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무인화기계2차 발주\"/>
    </mc:Choice>
  </mc:AlternateContent>
  <xr:revisionPtr revIDLastSave="0" documentId="13_ncr:1_{879F432E-22A8-404E-BF6C-30795E28004E}" xr6:coauthVersionLast="47" xr6:coauthVersionMax="47" xr10:uidLastSave="{00000000-0000-0000-0000-000000000000}"/>
  <bookViews>
    <workbookView xWindow="-120" yWindow="-120" windowWidth="29040" windowHeight="15720" firstSheet="2" activeTab="2" xr2:uid="{CEB05BF5-5B38-4730-A6A3-56CD3670D369}"/>
  </bookViews>
  <sheets>
    <sheet name="〓 목 차 〓" sheetId="1" state="hidden" r:id="rId1"/>
    <sheet name="※※안내※※" sheetId="2" state="hidden" r:id="rId2"/>
    <sheet name="공사원가계산서" sheetId="3" r:id="rId3"/>
    <sheet name="총괄내역서" sheetId="4" r:id="rId4"/>
    <sheet name="설계내역서" sheetId="5" r:id="rId5"/>
    <sheet name="일위대가목록표" sheetId="6" r:id="rId6"/>
    <sheet name="일위대가표" sheetId="7" r:id="rId7"/>
    <sheet name="단가산출근거목록표" sheetId="8" r:id="rId8"/>
    <sheet name="단가산출근거" sheetId="9" r:id="rId9"/>
    <sheet name="환율및기초자료" sheetId="10" r:id="rId10"/>
    <sheet name="중기목록표" sheetId="11" r:id="rId11"/>
    <sheet name="중기사용료" sheetId="12" r:id="rId12"/>
    <sheet name="재료비목록표" sheetId="13" r:id="rId13"/>
    <sheet name="노무비목록표" sheetId="14" r:id="rId14"/>
    <sheet name="경비목록표" sheetId="15" r:id="rId15"/>
    <sheet name="일식견적목록표" sheetId="16" r:id="rId16"/>
    <sheet name="자재단가대비표" sheetId="17" r:id="rId17"/>
    <sheet name="〓 INITIAL 〓" sheetId="18" state="veryHidden" r:id="rId18"/>
  </sheets>
  <definedNames>
    <definedName name="_xlnm.Print_Area" localSheetId="0">'〓 목 차 〓'!$A:$C</definedName>
    <definedName name="_xlnm.Print_Area" localSheetId="14">경비목록표!$A:$F</definedName>
    <definedName name="_xlnm.Print_Area" localSheetId="2">공사원가계산서!$A:$F</definedName>
    <definedName name="_xlnm.Print_Area" localSheetId="13">노무비목록표!$A:$F</definedName>
    <definedName name="_xlnm.Print_Area" localSheetId="8">단가산출근거!$A:$F</definedName>
    <definedName name="_xlnm.Print_Area" localSheetId="7">단가산출근거목록표!$A:$I</definedName>
    <definedName name="_xlnm.Print_Area" localSheetId="4">설계내역서!$A:$N</definedName>
    <definedName name="_xlnm.Print_Area" localSheetId="15">일식견적목록표!$A:$I</definedName>
    <definedName name="_xlnm.Print_Area" localSheetId="5">일위대가목록표!$A:$I</definedName>
    <definedName name="_xlnm.Print_Area" localSheetId="6">일위대가표!$A:$M</definedName>
    <definedName name="_xlnm.Print_Area" localSheetId="16">자재단가대비표!$A:$Q</definedName>
    <definedName name="_xlnm.Print_Area" localSheetId="12">재료비목록표!$A:$F</definedName>
    <definedName name="_xlnm.Print_Area" localSheetId="10">중기목록표!$A:$I</definedName>
    <definedName name="_xlnm.Print_Area" localSheetId="11">중기사용료!$A:$M</definedName>
    <definedName name="_xlnm.Print_Area" localSheetId="3">총괄내역서!$A:$G</definedName>
    <definedName name="_xlnm.Print_Area" localSheetId="9">환율및기초자료!$A:$H</definedName>
    <definedName name="_xlnm.Print_Titles" localSheetId="14">경비목록표!$1:$3</definedName>
    <definedName name="_xlnm.Print_Titles" localSheetId="2">공사원가계산서!$1:$4</definedName>
    <definedName name="_xlnm.Print_Titles" localSheetId="13">노무비목록표!$1:$3</definedName>
    <definedName name="_xlnm.Print_Titles" localSheetId="8">단가산출근거!$1:$4</definedName>
    <definedName name="_xlnm.Print_Titles" localSheetId="7">단가산출근거목록표!$1:$3</definedName>
    <definedName name="_xlnm.Print_Titles" localSheetId="4">설계내역서!$1:$4</definedName>
    <definedName name="_xlnm.Print_Titles" localSheetId="15">일식견적목록표!$1:$3</definedName>
    <definedName name="_xlnm.Print_Titles" localSheetId="5">일위대가목록표!$1:$3</definedName>
    <definedName name="_xlnm.Print_Titles" localSheetId="6">일위대가표!$1:$4</definedName>
    <definedName name="_xlnm.Print_Titles" localSheetId="16">자재단가대비표!$1:$4</definedName>
    <definedName name="_xlnm.Print_Titles" localSheetId="12">재료비목록표!$1:$3</definedName>
    <definedName name="_xlnm.Print_Titles" localSheetId="10">중기목록표!$1:$3</definedName>
    <definedName name="_xlnm.Print_Titles" localSheetId="11">중기사용료!$1:$4</definedName>
    <definedName name="_xlnm.Print_Titles" localSheetId="3">총괄내역서!$1:$3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18" l="1"/>
  <c r="D6" i="18"/>
  <c r="C6" i="18" s="1"/>
  <c r="D7" i="18"/>
  <c r="C7" i="18" s="1"/>
  <c r="I7" i="18" s="1"/>
  <c r="D8" i="18"/>
  <c r="C8" i="18" s="1"/>
  <c r="D9" i="18"/>
  <c r="C9" i="18" s="1"/>
  <c r="L9" i="18" s="1"/>
  <c r="D10" i="18"/>
  <c r="C10" i="18" s="1"/>
  <c r="J10" i="18" s="1"/>
  <c r="D11" i="18"/>
  <c r="C11" i="18" s="1"/>
  <c r="D13" i="18"/>
  <c r="C13" i="18" s="1"/>
  <c r="G13" i="18" s="1"/>
  <c r="D14" i="18"/>
  <c r="C14" i="18" s="1"/>
  <c r="P14" i="18" s="1"/>
  <c r="D15" i="18"/>
  <c r="C15" i="18" s="1"/>
  <c r="F15" i="18" s="1"/>
  <c r="D16" i="18"/>
  <c r="C16" i="18" s="1"/>
  <c r="E16" i="18" s="1"/>
  <c r="D17" i="18"/>
  <c r="C17" i="18" s="1"/>
  <c r="L17" i="18" s="1"/>
  <c r="D18" i="18"/>
  <c r="C18" i="18" s="1"/>
  <c r="X18" i="18"/>
  <c r="D19" i="18"/>
  <c r="C19" i="18" s="1"/>
  <c r="L19" i="18" s="1"/>
  <c r="D20" i="18"/>
  <c r="C20" i="18" s="1"/>
  <c r="D24" i="18"/>
  <c r="D33" i="18"/>
  <c r="C35" i="18"/>
  <c r="D35" i="18"/>
  <c r="E35" i="18"/>
  <c r="F35" i="18"/>
  <c r="G35" i="18"/>
  <c r="H35" i="18"/>
  <c r="I35" i="18"/>
  <c r="J35" i="18"/>
  <c r="D52" i="18"/>
  <c r="D75" i="18"/>
  <c r="D4" i="1"/>
  <c r="A2" i="2"/>
  <c r="G2" i="15"/>
  <c r="Z14" i="12" s="1"/>
  <c r="H3" i="15"/>
  <c r="G2" i="3"/>
  <c r="D5" i="1" s="1"/>
  <c r="H4" i="3"/>
  <c r="F26" i="3"/>
  <c r="F27" i="3"/>
  <c r="F29" i="3"/>
  <c r="G2" i="14"/>
  <c r="Y220" i="9" s="1"/>
  <c r="H3" i="14"/>
  <c r="G2" i="9"/>
  <c r="K5" i="8" s="1"/>
  <c r="Y4" i="9"/>
  <c r="G5" i="9"/>
  <c r="B12" i="9"/>
  <c r="AB12" i="9"/>
  <c r="AF12" i="9"/>
  <c r="AD24" i="9" s="1"/>
  <c r="AJ12" i="9"/>
  <c r="AB16" i="9" s="1"/>
  <c r="B14" i="9"/>
  <c r="AB14" i="9"/>
  <c r="Z20" i="9" s="1"/>
  <c r="AF14" i="9"/>
  <c r="AF20" i="9" s="1"/>
  <c r="B18" i="9"/>
  <c r="AB18" i="9"/>
  <c r="AD20" i="9" s="1"/>
  <c r="AB24" i="9"/>
  <c r="AF24" i="9"/>
  <c r="X26" i="9"/>
  <c r="X28" i="9"/>
  <c r="X30" i="9"/>
  <c r="B36" i="9"/>
  <c r="AB36" i="9"/>
  <c r="AF46" i="9" s="1"/>
  <c r="AF36" i="9"/>
  <c r="AD46" i="9" s="1"/>
  <c r="AJ36" i="9"/>
  <c r="AB46" i="9" s="1"/>
  <c r="AN36" i="9"/>
  <c r="AO40" i="9" s="1"/>
  <c r="B38" i="9"/>
  <c r="AB38" i="9"/>
  <c r="Z44" i="9" s="1"/>
  <c r="AF38" i="9"/>
  <c r="AB44" i="9" s="1"/>
  <c r="AA40" i="9"/>
  <c r="B42" i="9"/>
  <c r="AB42" i="9"/>
  <c r="AF44" i="9" s="1"/>
  <c r="X49" i="9"/>
  <c r="X51" i="9"/>
  <c r="X53" i="9"/>
  <c r="B59" i="9"/>
  <c r="AB59" i="9"/>
  <c r="AF59" i="9"/>
  <c r="AD69" i="9" s="1"/>
  <c r="AJ59" i="9"/>
  <c r="AF69" i="9" s="1"/>
  <c r="AN59" i="9"/>
  <c r="B61" i="9"/>
  <c r="AB61" i="9"/>
  <c r="Z65" i="9" s="1"/>
  <c r="AF61" i="9"/>
  <c r="AA63" i="9"/>
  <c r="AE63" i="9"/>
  <c r="AK63" i="9"/>
  <c r="B63" i="9" s="1"/>
  <c r="AD65" i="9"/>
  <c r="AC67" i="9"/>
  <c r="X71" i="9"/>
  <c r="X73" i="9"/>
  <c r="X75" i="9"/>
  <c r="AD81" i="9"/>
  <c r="J83" i="9"/>
  <c r="I83" i="9" s="1"/>
  <c r="X83" i="9"/>
  <c r="J85" i="9"/>
  <c r="I85" i="9" s="1"/>
  <c r="X85" i="9"/>
  <c r="G155" i="9"/>
  <c r="AD164" i="9"/>
  <c r="AE170" i="9" s="1"/>
  <c r="H170" i="9" s="1"/>
  <c r="J169" i="9"/>
  <c r="I169" i="9" s="1"/>
  <c r="X169" i="9"/>
  <c r="J170" i="9"/>
  <c r="I170" i="9" s="1"/>
  <c r="X170" i="9"/>
  <c r="H172" i="9"/>
  <c r="D172" i="9" s="1"/>
  <c r="AC172" i="9"/>
  <c r="G205" i="9"/>
  <c r="AD214" i="9"/>
  <c r="Z215" i="9" s="1"/>
  <c r="J219" i="9"/>
  <c r="I219" i="9" s="1"/>
  <c r="X219" i="9"/>
  <c r="AE219" i="9"/>
  <c r="H219" i="9" s="1"/>
  <c r="I220" i="9"/>
  <c r="J220" i="9"/>
  <c r="X220" i="9"/>
  <c r="AC222" i="9"/>
  <c r="H222" i="9" s="1"/>
  <c r="G255" i="9"/>
  <c r="AD264" i="9"/>
  <c r="AD265" i="9" s="1"/>
  <c r="B265" i="9" s="1"/>
  <c r="Z265" i="9"/>
  <c r="I269" i="9"/>
  <c r="J269" i="9"/>
  <c r="X269" i="9"/>
  <c r="AC269" i="9"/>
  <c r="J270" i="9"/>
  <c r="I270" i="9" s="1"/>
  <c r="X270" i="9"/>
  <c r="AC270" i="9"/>
  <c r="AC272" i="9"/>
  <c r="H272" i="9" s="1"/>
  <c r="G305" i="9"/>
  <c r="AD314" i="9"/>
  <c r="AC319" i="9" s="1"/>
  <c r="J319" i="9"/>
  <c r="I319" i="9" s="1"/>
  <c r="X319" i="9"/>
  <c r="J320" i="9"/>
  <c r="I320" i="9" s="1"/>
  <c r="X320" i="9"/>
  <c r="AC322" i="9"/>
  <c r="H322" i="9" s="1"/>
  <c r="G355" i="9"/>
  <c r="AD364" i="9"/>
  <c r="J369" i="9"/>
  <c r="I369" i="9" s="1"/>
  <c r="X369" i="9"/>
  <c r="J370" i="9"/>
  <c r="I370" i="9" s="1"/>
  <c r="X370" i="9"/>
  <c r="AC372" i="9"/>
  <c r="H372" i="9" s="1"/>
  <c r="D372" i="9" s="1"/>
  <c r="G405" i="9"/>
  <c r="AD414" i="9"/>
  <c r="AC420" i="9" s="1"/>
  <c r="J419" i="9"/>
  <c r="I419" i="9" s="1"/>
  <c r="X419" i="9"/>
  <c r="AE419" i="9"/>
  <c r="H419" i="9" s="1"/>
  <c r="J420" i="9"/>
  <c r="I420" i="9" s="1"/>
  <c r="X420" i="9"/>
  <c r="AC422" i="9"/>
  <c r="H422" i="9" s="1"/>
  <c r="G455" i="9"/>
  <c r="AD462" i="9"/>
  <c r="B462" i="9" s="1"/>
  <c r="AD464" i="9"/>
  <c r="AA484" i="9" s="1"/>
  <c r="AD466" i="9"/>
  <c r="X470" i="9"/>
  <c r="AE470" i="9"/>
  <c r="H470" i="9" s="1"/>
  <c r="X472" i="9"/>
  <c r="AE472" i="9"/>
  <c r="H472" i="9" s="1"/>
  <c r="F472" i="9" s="1"/>
  <c r="AC478" i="9"/>
  <c r="H478" i="9" s="1"/>
  <c r="J482" i="9"/>
  <c r="I482" i="9" s="1"/>
  <c r="X482" i="9"/>
  <c r="AE482" i="9"/>
  <c r="H482" i="9" s="1"/>
  <c r="J484" i="9"/>
  <c r="I484" i="9" s="1"/>
  <c r="X484" i="9"/>
  <c r="AC486" i="9"/>
  <c r="H486" i="9" s="1"/>
  <c r="G505" i="9"/>
  <c r="B512" i="9"/>
  <c r="AB512" i="9"/>
  <c r="I514" i="9"/>
  <c r="J514" i="9"/>
  <c r="X514" i="9"/>
  <c r="AC514" i="9"/>
  <c r="AE514" i="9"/>
  <c r="H514" i="9" s="1"/>
  <c r="G555" i="9"/>
  <c r="J562" i="9"/>
  <c r="I562" i="9" s="1"/>
  <c r="X562" i="9"/>
  <c r="AC562" i="9"/>
  <c r="H562" i="9" s="1"/>
  <c r="G605" i="9"/>
  <c r="B612" i="9"/>
  <c r="AB612" i="9"/>
  <c r="AC614" i="9" s="1"/>
  <c r="J614" i="9"/>
  <c r="I614" i="9" s="1"/>
  <c r="X614" i="9"/>
  <c r="G655" i="9"/>
  <c r="AD659" i="9"/>
  <c r="B659" i="9" s="1"/>
  <c r="AD661" i="9"/>
  <c r="AA670" i="9" s="1"/>
  <c r="AD663" i="9"/>
  <c r="AC668" i="9" s="1"/>
  <c r="J668" i="9"/>
  <c r="I668" i="9" s="1"/>
  <c r="X668" i="9"/>
  <c r="AA668" i="9"/>
  <c r="I670" i="9"/>
  <c r="J670" i="9"/>
  <c r="X670" i="9"/>
  <c r="AE670" i="9"/>
  <c r="H670" i="9" s="1"/>
  <c r="G705" i="9"/>
  <c r="AD709" i="9"/>
  <c r="B711" i="9"/>
  <c r="AD711" i="9"/>
  <c r="AA720" i="9" s="1"/>
  <c r="AD713" i="9"/>
  <c r="AC718" i="9" s="1"/>
  <c r="J718" i="9"/>
  <c r="I718" i="9" s="1"/>
  <c r="X718" i="9"/>
  <c r="J720" i="9"/>
  <c r="I720" i="9" s="1"/>
  <c r="X720" i="9"/>
  <c r="J2" i="8"/>
  <c r="D10" i="1" s="1"/>
  <c r="K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O2" i="5"/>
  <c r="D7" i="1" s="1"/>
  <c r="AC4" i="5"/>
  <c r="O5" i="5"/>
  <c r="O6" i="5"/>
  <c r="O664" i="5"/>
  <c r="I665" i="5"/>
  <c r="M665" i="5"/>
  <c r="I666" i="5"/>
  <c r="M666" i="5"/>
  <c r="I667" i="5"/>
  <c r="M667" i="5"/>
  <c r="I668" i="5"/>
  <c r="M668" i="5"/>
  <c r="I669" i="5"/>
  <c r="M669" i="5"/>
  <c r="I670" i="5"/>
  <c r="M670" i="5"/>
  <c r="I671" i="5"/>
  <c r="M671" i="5"/>
  <c r="I672" i="5"/>
  <c r="M672" i="5"/>
  <c r="I673" i="5"/>
  <c r="M673" i="5"/>
  <c r="I674" i="5"/>
  <c r="M674" i="5"/>
  <c r="I675" i="5"/>
  <c r="M675" i="5"/>
  <c r="I676" i="5"/>
  <c r="M676" i="5"/>
  <c r="I677" i="5"/>
  <c r="M677" i="5"/>
  <c r="I678" i="5"/>
  <c r="M678" i="5"/>
  <c r="I679" i="5"/>
  <c r="M679" i="5"/>
  <c r="I680" i="5"/>
  <c r="M680" i="5"/>
  <c r="I681" i="5"/>
  <c r="M681" i="5"/>
  <c r="I682" i="5"/>
  <c r="M682" i="5"/>
  <c r="I683" i="5"/>
  <c r="M683" i="5"/>
  <c r="I684" i="5"/>
  <c r="M684" i="5"/>
  <c r="I685" i="5"/>
  <c r="M685" i="5"/>
  <c r="I686" i="5"/>
  <c r="M686" i="5"/>
  <c r="I687" i="5"/>
  <c r="M687" i="5"/>
  <c r="I688" i="5"/>
  <c r="M688" i="5"/>
  <c r="I689" i="5"/>
  <c r="M689" i="5"/>
  <c r="I690" i="5"/>
  <c r="M690" i="5"/>
  <c r="I691" i="5"/>
  <c r="M691" i="5"/>
  <c r="I692" i="5"/>
  <c r="M692" i="5"/>
  <c r="I693" i="5"/>
  <c r="M693" i="5"/>
  <c r="I694" i="5"/>
  <c r="M694" i="5"/>
  <c r="I695" i="5"/>
  <c r="M695" i="5"/>
  <c r="I696" i="5"/>
  <c r="M696" i="5"/>
  <c r="I697" i="5"/>
  <c r="M697" i="5"/>
  <c r="I698" i="5"/>
  <c r="M698" i="5"/>
  <c r="I699" i="5"/>
  <c r="M699" i="5"/>
  <c r="I700" i="5"/>
  <c r="M700" i="5"/>
  <c r="I701" i="5"/>
  <c r="M701" i="5"/>
  <c r="I702" i="5"/>
  <c r="M702" i="5"/>
  <c r="I703" i="5"/>
  <c r="M703" i="5"/>
  <c r="I704" i="5"/>
  <c r="M704" i="5"/>
  <c r="I705" i="5"/>
  <c r="M705" i="5"/>
  <c r="I706" i="5"/>
  <c r="M706" i="5"/>
  <c r="I707" i="5"/>
  <c r="M707" i="5"/>
  <c r="I708" i="5"/>
  <c r="M708" i="5"/>
  <c r="I709" i="5"/>
  <c r="M709" i="5"/>
  <c r="I710" i="5"/>
  <c r="M710" i="5"/>
  <c r="I711" i="5"/>
  <c r="M711" i="5"/>
  <c r="I712" i="5"/>
  <c r="M712" i="5"/>
  <c r="I713" i="5"/>
  <c r="M713" i="5"/>
  <c r="I714" i="5"/>
  <c r="M714" i="5"/>
  <c r="I715" i="5"/>
  <c r="M715" i="5"/>
  <c r="I716" i="5"/>
  <c r="M716" i="5"/>
  <c r="I717" i="5"/>
  <c r="M717" i="5"/>
  <c r="I718" i="5"/>
  <c r="M718" i="5"/>
  <c r="I719" i="5"/>
  <c r="M719" i="5"/>
  <c r="I720" i="5"/>
  <c r="M720" i="5"/>
  <c r="I721" i="5"/>
  <c r="M721" i="5"/>
  <c r="I722" i="5"/>
  <c r="M722" i="5"/>
  <c r="I723" i="5"/>
  <c r="M723" i="5"/>
  <c r="I724" i="5"/>
  <c r="M724" i="5"/>
  <c r="I725" i="5"/>
  <c r="M725" i="5"/>
  <c r="I726" i="5"/>
  <c r="M726" i="5"/>
  <c r="I727" i="5"/>
  <c r="M727" i="5"/>
  <c r="I728" i="5"/>
  <c r="M728" i="5"/>
  <c r="I729" i="5"/>
  <c r="M729" i="5"/>
  <c r="I730" i="5"/>
  <c r="M730" i="5"/>
  <c r="I731" i="5"/>
  <c r="M731" i="5"/>
  <c r="I732" i="5"/>
  <c r="M732" i="5"/>
  <c r="I733" i="5"/>
  <c r="M733" i="5"/>
  <c r="I734" i="5"/>
  <c r="M734" i="5"/>
  <c r="I735" i="5"/>
  <c r="M735" i="5"/>
  <c r="I736" i="5"/>
  <c r="M736" i="5"/>
  <c r="I737" i="5"/>
  <c r="M737" i="5"/>
  <c r="I738" i="5"/>
  <c r="M738" i="5"/>
  <c r="I739" i="5"/>
  <c r="M739" i="5"/>
  <c r="I740" i="5"/>
  <c r="M740" i="5"/>
  <c r="I741" i="5"/>
  <c r="M741" i="5"/>
  <c r="I742" i="5"/>
  <c r="M742" i="5"/>
  <c r="I743" i="5"/>
  <c r="M743" i="5"/>
  <c r="I744" i="5"/>
  <c r="M744" i="5"/>
  <c r="I745" i="5"/>
  <c r="M745" i="5"/>
  <c r="I746" i="5"/>
  <c r="M746" i="5"/>
  <c r="I747" i="5"/>
  <c r="M747" i="5"/>
  <c r="I748" i="5"/>
  <c r="M748" i="5"/>
  <c r="I749" i="5"/>
  <c r="M749" i="5"/>
  <c r="I750" i="5"/>
  <c r="M750" i="5"/>
  <c r="I751" i="5"/>
  <c r="M751" i="5"/>
  <c r="I752" i="5"/>
  <c r="M752" i="5"/>
  <c r="I753" i="5"/>
  <c r="M753" i="5"/>
  <c r="I754" i="5"/>
  <c r="M754" i="5"/>
  <c r="I755" i="5"/>
  <c r="M755" i="5"/>
  <c r="I756" i="5"/>
  <c r="M756" i="5"/>
  <c r="I757" i="5"/>
  <c r="M757" i="5"/>
  <c r="I758" i="5"/>
  <c r="M758" i="5"/>
  <c r="I759" i="5"/>
  <c r="M759" i="5"/>
  <c r="I760" i="5"/>
  <c r="M760" i="5"/>
  <c r="I761" i="5"/>
  <c r="M761" i="5"/>
  <c r="I762" i="5"/>
  <c r="M762" i="5"/>
  <c r="I763" i="5"/>
  <c r="M763" i="5"/>
  <c r="I764" i="5"/>
  <c r="M764" i="5"/>
  <c r="I765" i="5"/>
  <c r="M765" i="5"/>
  <c r="I766" i="5"/>
  <c r="M766" i="5"/>
  <c r="I767" i="5"/>
  <c r="M767" i="5"/>
  <c r="I768" i="5"/>
  <c r="M768" i="5"/>
  <c r="I769" i="5"/>
  <c r="M769" i="5"/>
  <c r="I770" i="5"/>
  <c r="M770" i="5"/>
  <c r="I771" i="5"/>
  <c r="M771" i="5"/>
  <c r="I772" i="5"/>
  <c r="M772" i="5"/>
  <c r="I773" i="5"/>
  <c r="M773" i="5"/>
  <c r="I774" i="5"/>
  <c r="M774" i="5"/>
  <c r="I775" i="5"/>
  <c r="M775" i="5"/>
  <c r="I776" i="5"/>
  <c r="M776" i="5"/>
  <c r="I777" i="5"/>
  <c r="M777" i="5"/>
  <c r="I778" i="5"/>
  <c r="M778" i="5"/>
  <c r="I779" i="5"/>
  <c r="M779" i="5"/>
  <c r="I780" i="5"/>
  <c r="M780" i="5"/>
  <c r="I781" i="5"/>
  <c r="M781" i="5"/>
  <c r="I782" i="5"/>
  <c r="M782" i="5"/>
  <c r="I783" i="5"/>
  <c r="M783" i="5"/>
  <c r="I784" i="5"/>
  <c r="M784" i="5"/>
  <c r="I785" i="5"/>
  <c r="M785" i="5"/>
  <c r="I786" i="5"/>
  <c r="M786" i="5"/>
  <c r="I787" i="5"/>
  <c r="M787" i="5"/>
  <c r="I788" i="5"/>
  <c r="M788" i="5"/>
  <c r="I789" i="5"/>
  <c r="M789" i="5"/>
  <c r="I790" i="5"/>
  <c r="M790" i="5"/>
  <c r="I791" i="5"/>
  <c r="M791" i="5"/>
  <c r="I792" i="5"/>
  <c r="M792" i="5"/>
  <c r="I793" i="5"/>
  <c r="M793" i="5"/>
  <c r="I794" i="5"/>
  <c r="M794" i="5"/>
  <c r="I795" i="5"/>
  <c r="M795" i="5"/>
  <c r="I796" i="5"/>
  <c r="M796" i="5"/>
  <c r="I797" i="5"/>
  <c r="M797" i="5"/>
  <c r="I798" i="5"/>
  <c r="M798" i="5"/>
  <c r="I799" i="5"/>
  <c r="M799" i="5"/>
  <c r="I800" i="5"/>
  <c r="M800" i="5"/>
  <c r="I801" i="5"/>
  <c r="M801" i="5"/>
  <c r="I802" i="5"/>
  <c r="M802" i="5"/>
  <c r="I803" i="5"/>
  <c r="M803" i="5"/>
  <c r="I804" i="5"/>
  <c r="M804" i="5"/>
  <c r="I805" i="5"/>
  <c r="M805" i="5"/>
  <c r="I806" i="5"/>
  <c r="M806" i="5"/>
  <c r="I807" i="5"/>
  <c r="M807" i="5"/>
  <c r="I808" i="5"/>
  <c r="M808" i="5"/>
  <c r="I809" i="5"/>
  <c r="M809" i="5"/>
  <c r="I810" i="5"/>
  <c r="M810" i="5"/>
  <c r="I811" i="5"/>
  <c r="M811" i="5"/>
  <c r="I812" i="5"/>
  <c r="M812" i="5"/>
  <c r="I813" i="5"/>
  <c r="M813" i="5"/>
  <c r="I814" i="5"/>
  <c r="M814" i="5"/>
  <c r="I815" i="5"/>
  <c r="M815" i="5"/>
  <c r="I816" i="5"/>
  <c r="M816" i="5"/>
  <c r="I817" i="5"/>
  <c r="M817" i="5"/>
  <c r="I818" i="5"/>
  <c r="M818" i="5"/>
  <c r="I819" i="5"/>
  <c r="M819" i="5"/>
  <c r="I820" i="5"/>
  <c r="M820" i="5"/>
  <c r="I821" i="5"/>
  <c r="M821" i="5"/>
  <c r="I822" i="5"/>
  <c r="M822" i="5"/>
  <c r="I823" i="5"/>
  <c r="M823" i="5"/>
  <c r="I824" i="5"/>
  <c r="M824" i="5"/>
  <c r="I825" i="5"/>
  <c r="M825" i="5"/>
  <c r="I826" i="5"/>
  <c r="M826" i="5"/>
  <c r="I827" i="5"/>
  <c r="M827" i="5"/>
  <c r="I828" i="5"/>
  <c r="M828" i="5"/>
  <c r="I829" i="5"/>
  <c r="M829" i="5"/>
  <c r="I830" i="5"/>
  <c r="M830" i="5"/>
  <c r="I831" i="5"/>
  <c r="M831" i="5"/>
  <c r="I832" i="5"/>
  <c r="M832" i="5"/>
  <c r="I833" i="5"/>
  <c r="M833" i="5"/>
  <c r="I834" i="5"/>
  <c r="M834" i="5"/>
  <c r="I835" i="5"/>
  <c r="M835" i="5"/>
  <c r="I836" i="5"/>
  <c r="M836" i="5"/>
  <c r="I837" i="5"/>
  <c r="M837" i="5"/>
  <c r="I838" i="5"/>
  <c r="M838" i="5"/>
  <c r="I839" i="5"/>
  <c r="M839" i="5"/>
  <c r="I840" i="5"/>
  <c r="M840" i="5"/>
  <c r="I841" i="5"/>
  <c r="M841" i="5"/>
  <c r="I842" i="5"/>
  <c r="M842" i="5"/>
  <c r="I843" i="5"/>
  <c r="M843" i="5"/>
  <c r="I844" i="5"/>
  <c r="M844" i="5"/>
  <c r="I845" i="5"/>
  <c r="M845" i="5"/>
  <c r="I846" i="5"/>
  <c r="M846" i="5"/>
  <c r="I847" i="5"/>
  <c r="M847" i="5"/>
  <c r="I848" i="5"/>
  <c r="M848" i="5"/>
  <c r="I849" i="5"/>
  <c r="M849" i="5"/>
  <c r="I850" i="5"/>
  <c r="M850" i="5"/>
  <c r="I851" i="5"/>
  <c r="M851" i="5"/>
  <c r="I852" i="5"/>
  <c r="M852" i="5"/>
  <c r="I853" i="5"/>
  <c r="M853" i="5"/>
  <c r="I854" i="5"/>
  <c r="M854" i="5"/>
  <c r="I855" i="5"/>
  <c r="M855" i="5"/>
  <c r="I856" i="5"/>
  <c r="M856" i="5"/>
  <c r="I857" i="5"/>
  <c r="M857" i="5"/>
  <c r="I858" i="5"/>
  <c r="M858" i="5"/>
  <c r="I859" i="5"/>
  <c r="M859" i="5"/>
  <c r="I860" i="5"/>
  <c r="M860" i="5"/>
  <c r="I861" i="5"/>
  <c r="M861" i="5"/>
  <c r="I862" i="5"/>
  <c r="M862" i="5"/>
  <c r="I863" i="5"/>
  <c r="M863" i="5"/>
  <c r="I864" i="5"/>
  <c r="M864" i="5"/>
  <c r="I865" i="5"/>
  <c r="M865" i="5"/>
  <c r="I866" i="5"/>
  <c r="M866" i="5"/>
  <c r="I867" i="5"/>
  <c r="M867" i="5"/>
  <c r="I868" i="5"/>
  <c r="M868" i="5"/>
  <c r="I869" i="5"/>
  <c r="M869" i="5"/>
  <c r="I870" i="5"/>
  <c r="M870" i="5"/>
  <c r="I871" i="5"/>
  <c r="M871" i="5"/>
  <c r="I872" i="5"/>
  <c r="M872" i="5"/>
  <c r="I873" i="5"/>
  <c r="M873" i="5"/>
  <c r="I874" i="5"/>
  <c r="M874" i="5"/>
  <c r="I875" i="5"/>
  <c r="M875" i="5"/>
  <c r="I876" i="5"/>
  <c r="M876" i="5"/>
  <c r="I877" i="5"/>
  <c r="M877" i="5"/>
  <c r="I878" i="5"/>
  <c r="M878" i="5"/>
  <c r="I879" i="5"/>
  <c r="M879" i="5"/>
  <c r="I880" i="5"/>
  <c r="M880" i="5"/>
  <c r="I881" i="5"/>
  <c r="M881" i="5"/>
  <c r="I882" i="5"/>
  <c r="M882" i="5"/>
  <c r="I883" i="5"/>
  <c r="M883" i="5"/>
  <c r="I884" i="5"/>
  <c r="M884" i="5"/>
  <c r="I885" i="5"/>
  <c r="M885" i="5"/>
  <c r="I886" i="5"/>
  <c r="M886" i="5"/>
  <c r="I887" i="5"/>
  <c r="M887" i="5"/>
  <c r="I888" i="5"/>
  <c r="M888" i="5"/>
  <c r="I889" i="5"/>
  <c r="M889" i="5"/>
  <c r="I890" i="5"/>
  <c r="M890" i="5"/>
  <c r="I891" i="5"/>
  <c r="M891" i="5"/>
  <c r="I892" i="5"/>
  <c r="M892" i="5"/>
  <c r="I893" i="5"/>
  <c r="M893" i="5"/>
  <c r="I894" i="5"/>
  <c r="M894" i="5"/>
  <c r="I895" i="5"/>
  <c r="M895" i="5"/>
  <c r="I896" i="5"/>
  <c r="M896" i="5"/>
  <c r="I897" i="5"/>
  <c r="M897" i="5"/>
  <c r="I898" i="5"/>
  <c r="M898" i="5"/>
  <c r="I899" i="5"/>
  <c r="M899" i="5"/>
  <c r="I900" i="5"/>
  <c r="M900" i="5"/>
  <c r="I901" i="5"/>
  <c r="M901" i="5"/>
  <c r="I902" i="5"/>
  <c r="M902" i="5"/>
  <c r="I903" i="5"/>
  <c r="M903" i="5"/>
  <c r="I904" i="5"/>
  <c r="M904" i="5"/>
  <c r="I905" i="5"/>
  <c r="M905" i="5"/>
  <c r="I906" i="5"/>
  <c r="M906" i="5"/>
  <c r="I907" i="5"/>
  <c r="M907" i="5"/>
  <c r="I908" i="5"/>
  <c r="M908" i="5"/>
  <c r="I909" i="5"/>
  <c r="M909" i="5"/>
  <c r="I910" i="5"/>
  <c r="M910" i="5"/>
  <c r="I911" i="5"/>
  <c r="M911" i="5"/>
  <c r="I912" i="5"/>
  <c r="M912" i="5"/>
  <c r="I913" i="5"/>
  <c r="M913" i="5"/>
  <c r="I914" i="5"/>
  <c r="M914" i="5"/>
  <c r="I915" i="5"/>
  <c r="M915" i="5"/>
  <c r="I916" i="5"/>
  <c r="M916" i="5"/>
  <c r="I917" i="5"/>
  <c r="M917" i="5"/>
  <c r="I918" i="5"/>
  <c r="M918" i="5"/>
  <c r="I919" i="5"/>
  <c r="M919" i="5"/>
  <c r="I920" i="5"/>
  <c r="M920" i="5"/>
  <c r="I921" i="5"/>
  <c r="M921" i="5"/>
  <c r="I922" i="5"/>
  <c r="M922" i="5"/>
  <c r="I923" i="5"/>
  <c r="M923" i="5"/>
  <c r="I924" i="5"/>
  <c r="M924" i="5"/>
  <c r="I925" i="5"/>
  <c r="M925" i="5"/>
  <c r="I926" i="5"/>
  <c r="M926" i="5"/>
  <c r="I927" i="5"/>
  <c r="M927" i="5"/>
  <c r="I928" i="5"/>
  <c r="M928" i="5"/>
  <c r="I929" i="5"/>
  <c r="M929" i="5"/>
  <c r="I930" i="5"/>
  <c r="M930" i="5"/>
  <c r="I931" i="5"/>
  <c r="M931" i="5"/>
  <c r="I932" i="5"/>
  <c r="M932" i="5"/>
  <c r="I933" i="5"/>
  <c r="M933" i="5"/>
  <c r="I934" i="5"/>
  <c r="M934" i="5"/>
  <c r="I935" i="5"/>
  <c r="M935" i="5"/>
  <c r="I936" i="5"/>
  <c r="M936" i="5"/>
  <c r="I937" i="5"/>
  <c r="M937" i="5"/>
  <c r="I938" i="5"/>
  <c r="M938" i="5"/>
  <c r="I939" i="5"/>
  <c r="M939" i="5"/>
  <c r="I940" i="5"/>
  <c r="M940" i="5"/>
  <c r="I941" i="5"/>
  <c r="M941" i="5"/>
  <c r="I942" i="5"/>
  <c r="M942" i="5"/>
  <c r="I943" i="5"/>
  <c r="M943" i="5"/>
  <c r="I944" i="5"/>
  <c r="M944" i="5"/>
  <c r="I945" i="5"/>
  <c r="M945" i="5"/>
  <c r="I946" i="5"/>
  <c r="M946" i="5"/>
  <c r="I947" i="5"/>
  <c r="M947" i="5"/>
  <c r="I948" i="5"/>
  <c r="M948" i="5"/>
  <c r="I949" i="5"/>
  <c r="M949" i="5"/>
  <c r="I950" i="5"/>
  <c r="M950" i="5"/>
  <c r="I951" i="5"/>
  <c r="M951" i="5"/>
  <c r="I952" i="5"/>
  <c r="M952" i="5"/>
  <c r="I953" i="5"/>
  <c r="M953" i="5"/>
  <c r="I954" i="5"/>
  <c r="M954" i="5"/>
  <c r="I955" i="5"/>
  <c r="M955" i="5"/>
  <c r="I956" i="5"/>
  <c r="M956" i="5"/>
  <c r="I957" i="5"/>
  <c r="M957" i="5"/>
  <c r="I958" i="5"/>
  <c r="M958" i="5"/>
  <c r="I959" i="5"/>
  <c r="M959" i="5"/>
  <c r="I960" i="5"/>
  <c r="M960" i="5"/>
  <c r="I961" i="5"/>
  <c r="M961" i="5"/>
  <c r="I962" i="5"/>
  <c r="M962" i="5"/>
  <c r="I963" i="5"/>
  <c r="M963" i="5"/>
  <c r="I964" i="5"/>
  <c r="M964" i="5"/>
  <c r="I965" i="5"/>
  <c r="M965" i="5"/>
  <c r="I966" i="5"/>
  <c r="M966" i="5"/>
  <c r="I967" i="5"/>
  <c r="M967" i="5"/>
  <c r="I968" i="5"/>
  <c r="M968" i="5"/>
  <c r="I969" i="5"/>
  <c r="M969" i="5"/>
  <c r="I970" i="5"/>
  <c r="M970" i="5"/>
  <c r="I971" i="5"/>
  <c r="M971" i="5"/>
  <c r="I972" i="5"/>
  <c r="M972" i="5"/>
  <c r="I973" i="5"/>
  <c r="M973" i="5"/>
  <c r="I974" i="5"/>
  <c r="M974" i="5"/>
  <c r="I975" i="5"/>
  <c r="M975" i="5"/>
  <c r="I976" i="5"/>
  <c r="M976" i="5"/>
  <c r="I977" i="5"/>
  <c r="M977" i="5"/>
  <c r="I978" i="5"/>
  <c r="M978" i="5"/>
  <c r="I979" i="5"/>
  <c r="M979" i="5"/>
  <c r="I980" i="5"/>
  <c r="M980" i="5"/>
  <c r="I981" i="5"/>
  <c r="M981" i="5"/>
  <c r="I982" i="5"/>
  <c r="M982" i="5"/>
  <c r="I983" i="5"/>
  <c r="M983" i="5"/>
  <c r="I984" i="5"/>
  <c r="M984" i="5"/>
  <c r="I985" i="5"/>
  <c r="M985" i="5"/>
  <c r="I986" i="5"/>
  <c r="M986" i="5"/>
  <c r="I987" i="5"/>
  <c r="M987" i="5"/>
  <c r="I988" i="5"/>
  <c r="M988" i="5"/>
  <c r="I989" i="5"/>
  <c r="M989" i="5"/>
  <c r="I990" i="5"/>
  <c r="M990" i="5"/>
  <c r="I991" i="5"/>
  <c r="M991" i="5"/>
  <c r="I992" i="5"/>
  <c r="M992" i="5"/>
  <c r="I993" i="5"/>
  <c r="M993" i="5"/>
  <c r="O1005" i="5"/>
  <c r="H1006" i="5"/>
  <c r="I1006" i="5" s="1"/>
  <c r="J1006" i="5"/>
  <c r="K1006" i="5" s="1"/>
  <c r="L1006" i="5"/>
  <c r="M1006" i="5"/>
  <c r="H1007" i="5"/>
  <c r="I1007" i="5" s="1"/>
  <c r="J1007" i="5"/>
  <c r="K1007" i="5" s="1"/>
  <c r="L1007" i="5"/>
  <c r="M1007" i="5"/>
  <c r="H1008" i="5"/>
  <c r="I1008" i="5"/>
  <c r="J1008" i="5"/>
  <c r="K1008" i="5" s="1"/>
  <c r="L1008" i="5"/>
  <c r="M1008" i="5"/>
  <c r="H1009" i="5"/>
  <c r="I1009" i="5" s="1"/>
  <c r="J1009" i="5"/>
  <c r="K1009" i="5" s="1"/>
  <c r="G1009" i="5" s="1"/>
  <c r="L1009" i="5"/>
  <c r="M1009" i="5"/>
  <c r="H1010" i="5"/>
  <c r="I1010" i="5" s="1"/>
  <c r="J1010" i="5"/>
  <c r="L1010" i="5"/>
  <c r="M1010" i="5" s="1"/>
  <c r="H1011" i="5"/>
  <c r="I1011" i="5" s="1"/>
  <c r="J1011" i="5"/>
  <c r="F1011" i="5" s="1"/>
  <c r="L1011" i="5"/>
  <c r="M1011" i="5"/>
  <c r="J2" i="16"/>
  <c r="Z2500" i="7" s="1"/>
  <c r="K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J2" i="6"/>
  <c r="AC79" i="5" s="1"/>
  <c r="K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468" i="6"/>
  <c r="J469" i="6"/>
  <c r="J470" i="6"/>
  <c r="J471" i="6"/>
  <c r="J472" i="6"/>
  <c r="J473" i="6"/>
  <c r="J474" i="6"/>
  <c r="J475" i="6"/>
  <c r="J476" i="6"/>
  <c r="J477" i="6"/>
  <c r="J478" i="6"/>
  <c r="J479" i="6"/>
  <c r="J480" i="6"/>
  <c r="J481" i="6"/>
  <c r="J482" i="6"/>
  <c r="J483" i="6"/>
  <c r="J484" i="6"/>
  <c r="J485" i="6"/>
  <c r="J486" i="6"/>
  <c r="J487" i="6"/>
  <c r="J488" i="6"/>
  <c r="J489" i="6"/>
  <c r="J490" i="6"/>
  <c r="J491" i="6"/>
  <c r="J492" i="6"/>
  <c r="J493" i="6"/>
  <c r="J494" i="6"/>
  <c r="J495" i="6"/>
  <c r="J496" i="6"/>
  <c r="J497" i="6"/>
  <c r="J498" i="6"/>
  <c r="J499" i="6"/>
  <c r="J500" i="6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43" i="6"/>
  <c r="J544" i="6"/>
  <c r="J545" i="6"/>
  <c r="J546" i="6"/>
  <c r="J547" i="6"/>
  <c r="J548" i="6"/>
  <c r="J549" i="6"/>
  <c r="J550" i="6"/>
  <c r="J551" i="6"/>
  <c r="J552" i="6"/>
  <c r="J553" i="6"/>
  <c r="J554" i="6"/>
  <c r="J555" i="6"/>
  <c r="J556" i="6"/>
  <c r="J557" i="6"/>
  <c r="J558" i="6"/>
  <c r="J559" i="6"/>
  <c r="J560" i="6"/>
  <c r="J561" i="6"/>
  <c r="J562" i="6"/>
  <c r="J563" i="6"/>
  <c r="J564" i="6"/>
  <c r="J565" i="6"/>
  <c r="J566" i="6"/>
  <c r="J567" i="6"/>
  <c r="J568" i="6"/>
  <c r="J569" i="6"/>
  <c r="J570" i="6"/>
  <c r="J571" i="6"/>
  <c r="J572" i="6"/>
  <c r="J573" i="6"/>
  <c r="J574" i="6"/>
  <c r="J575" i="6"/>
  <c r="J576" i="6"/>
  <c r="J577" i="6"/>
  <c r="J578" i="6"/>
  <c r="J579" i="6"/>
  <c r="J580" i="6"/>
  <c r="J581" i="6"/>
  <c r="J582" i="6"/>
  <c r="J583" i="6"/>
  <c r="J584" i="6"/>
  <c r="J585" i="6"/>
  <c r="J586" i="6"/>
  <c r="J587" i="6"/>
  <c r="J588" i="6"/>
  <c r="J589" i="6"/>
  <c r="J590" i="6"/>
  <c r="J591" i="6"/>
  <c r="J592" i="6"/>
  <c r="J593" i="6"/>
  <c r="J594" i="6"/>
  <c r="J595" i="6"/>
  <c r="J596" i="6"/>
  <c r="J597" i="6"/>
  <c r="J598" i="6"/>
  <c r="J599" i="6"/>
  <c r="J600" i="6"/>
  <c r="J601" i="6"/>
  <c r="J602" i="6"/>
  <c r="J603" i="6"/>
  <c r="J604" i="6"/>
  <c r="J605" i="6"/>
  <c r="J606" i="6"/>
  <c r="J607" i="6"/>
  <c r="J608" i="6"/>
  <c r="J609" i="6"/>
  <c r="J610" i="6"/>
  <c r="J611" i="6"/>
  <c r="J612" i="6"/>
  <c r="J613" i="6"/>
  <c r="J614" i="6"/>
  <c r="J615" i="6"/>
  <c r="J616" i="6"/>
  <c r="J617" i="6"/>
  <c r="J618" i="6"/>
  <c r="J619" i="6"/>
  <c r="J620" i="6"/>
  <c r="J621" i="6"/>
  <c r="J622" i="6"/>
  <c r="J623" i="6"/>
  <c r="J624" i="6"/>
  <c r="J625" i="6"/>
  <c r="J626" i="6"/>
  <c r="J627" i="6"/>
  <c r="J628" i="6"/>
  <c r="J629" i="6"/>
  <c r="J630" i="6"/>
  <c r="J631" i="6"/>
  <c r="J632" i="6"/>
  <c r="J633" i="6"/>
  <c r="J634" i="6"/>
  <c r="J635" i="6"/>
  <c r="J636" i="6"/>
  <c r="J637" i="6"/>
  <c r="J638" i="6"/>
  <c r="J639" i="6"/>
  <c r="J640" i="6"/>
  <c r="J641" i="6"/>
  <c r="J642" i="6"/>
  <c r="J643" i="6"/>
  <c r="J644" i="6"/>
  <c r="J645" i="6"/>
  <c r="J646" i="6"/>
  <c r="J647" i="6"/>
  <c r="J648" i="6"/>
  <c r="J649" i="6"/>
  <c r="J650" i="6"/>
  <c r="J651" i="6"/>
  <c r="J652" i="6"/>
  <c r="J653" i="6"/>
  <c r="J654" i="6"/>
  <c r="J655" i="6"/>
  <c r="J656" i="6"/>
  <c r="J657" i="6"/>
  <c r="J658" i="6"/>
  <c r="J659" i="6"/>
  <c r="J660" i="6"/>
  <c r="J661" i="6"/>
  <c r="J662" i="6"/>
  <c r="J663" i="6"/>
  <c r="J664" i="6"/>
  <c r="J665" i="6"/>
  <c r="J666" i="6"/>
  <c r="J667" i="6"/>
  <c r="J668" i="6"/>
  <c r="J669" i="6"/>
  <c r="J670" i="6"/>
  <c r="J671" i="6"/>
  <c r="J672" i="6"/>
  <c r="J673" i="6"/>
  <c r="J674" i="6"/>
  <c r="J675" i="6"/>
  <c r="J676" i="6"/>
  <c r="J677" i="6"/>
  <c r="J678" i="6"/>
  <c r="J679" i="6"/>
  <c r="J680" i="6"/>
  <c r="J681" i="6"/>
  <c r="J682" i="6"/>
  <c r="J683" i="6"/>
  <c r="J684" i="6"/>
  <c r="J685" i="6"/>
  <c r="J686" i="6"/>
  <c r="J687" i="6"/>
  <c r="J688" i="6"/>
  <c r="J689" i="6"/>
  <c r="J690" i="6"/>
  <c r="J691" i="6"/>
  <c r="J692" i="6"/>
  <c r="J693" i="6"/>
  <c r="J694" i="6"/>
  <c r="J695" i="6"/>
  <c r="J696" i="6"/>
  <c r="J697" i="6"/>
  <c r="J698" i="6"/>
  <c r="J699" i="6"/>
  <c r="J700" i="6"/>
  <c r="J701" i="6"/>
  <c r="J702" i="6"/>
  <c r="J703" i="6"/>
  <c r="J704" i="6"/>
  <c r="J705" i="6"/>
  <c r="J706" i="6"/>
  <c r="J707" i="6"/>
  <c r="J708" i="6"/>
  <c r="J709" i="6"/>
  <c r="J710" i="6"/>
  <c r="J711" i="6"/>
  <c r="J712" i="6"/>
  <c r="J713" i="6"/>
  <c r="J714" i="6"/>
  <c r="J715" i="6"/>
  <c r="J716" i="6"/>
  <c r="J717" i="6"/>
  <c r="J718" i="6"/>
  <c r="J719" i="6"/>
  <c r="J720" i="6"/>
  <c r="J721" i="6"/>
  <c r="J722" i="6"/>
  <c r="J723" i="6"/>
  <c r="J724" i="6"/>
  <c r="J725" i="6"/>
  <c r="J726" i="6"/>
  <c r="J727" i="6"/>
  <c r="J728" i="6"/>
  <c r="J729" i="6"/>
  <c r="J730" i="6"/>
  <c r="J731" i="6"/>
  <c r="J732" i="6"/>
  <c r="J733" i="6"/>
  <c r="J734" i="6"/>
  <c r="J735" i="6"/>
  <c r="J736" i="6"/>
  <c r="J737" i="6"/>
  <c r="J738" i="6"/>
  <c r="J739" i="6"/>
  <c r="J740" i="6"/>
  <c r="J741" i="6"/>
  <c r="J742" i="6"/>
  <c r="J743" i="6"/>
  <c r="J744" i="6"/>
  <c r="J745" i="6"/>
  <c r="J746" i="6"/>
  <c r="J747" i="6"/>
  <c r="J748" i="6"/>
  <c r="J749" i="6"/>
  <c r="J750" i="6"/>
  <c r="J751" i="6"/>
  <c r="J752" i="6"/>
  <c r="J753" i="6"/>
  <c r="J754" i="6"/>
  <c r="J755" i="6"/>
  <c r="J756" i="6"/>
  <c r="J757" i="6"/>
  <c r="J758" i="6"/>
  <c r="J759" i="6"/>
  <c r="J760" i="6"/>
  <c r="J761" i="6"/>
  <c r="J762" i="6"/>
  <c r="J763" i="6"/>
  <c r="J764" i="6"/>
  <c r="N2" i="7"/>
  <c r="K113" i="6" s="1"/>
  <c r="Z4" i="7"/>
  <c r="N6" i="7"/>
  <c r="H8" i="7"/>
  <c r="L8" i="7"/>
  <c r="N11" i="7"/>
  <c r="Z12" i="7"/>
  <c r="H13" i="7"/>
  <c r="L13" i="7"/>
  <c r="N16" i="7"/>
  <c r="H18" i="7"/>
  <c r="L18" i="7"/>
  <c r="N21" i="7"/>
  <c r="H23" i="7"/>
  <c r="L23" i="7"/>
  <c r="N26" i="7"/>
  <c r="H28" i="7"/>
  <c r="L28" i="7"/>
  <c r="N31" i="7"/>
  <c r="Z32" i="7"/>
  <c r="H33" i="7"/>
  <c r="L33" i="7"/>
  <c r="N36" i="7"/>
  <c r="H38" i="7"/>
  <c r="L38" i="7"/>
  <c r="N41" i="7"/>
  <c r="Z42" i="7"/>
  <c r="H43" i="7"/>
  <c r="L43" i="7"/>
  <c r="N46" i="7"/>
  <c r="Z47" i="7"/>
  <c r="H48" i="7"/>
  <c r="L48" i="7"/>
  <c r="N51" i="7"/>
  <c r="H53" i="7"/>
  <c r="L53" i="7"/>
  <c r="N56" i="7"/>
  <c r="H58" i="7"/>
  <c r="L58" i="7"/>
  <c r="N61" i="7"/>
  <c r="Z62" i="7"/>
  <c r="H63" i="7"/>
  <c r="L63" i="7"/>
  <c r="N66" i="7"/>
  <c r="N70" i="7"/>
  <c r="N74" i="7"/>
  <c r="Z75" i="7"/>
  <c r="N78" i="7"/>
  <c r="Z79" i="7"/>
  <c r="N82" i="7"/>
  <c r="Z83" i="7"/>
  <c r="N86" i="7"/>
  <c r="N90" i="7"/>
  <c r="N94" i="7"/>
  <c r="N98" i="7"/>
  <c r="N102" i="7"/>
  <c r="N106" i="7"/>
  <c r="N110" i="7"/>
  <c r="Z111" i="7"/>
  <c r="N114" i="7"/>
  <c r="Z116" i="7"/>
  <c r="N119" i="7"/>
  <c r="Z121" i="7"/>
  <c r="N124" i="7"/>
  <c r="Z125" i="7"/>
  <c r="N128" i="7"/>
  <c r="N132" i="7"/>
  <c r="N136" i="7"/>
  <c r="Z137" i="7"/>
  <c r="N140" i="7"/>
  <c r="N144" i="7"/>
  <c r="N148" i="7"/>
  <c r="N152" i="7"/>
  <c r="N156" i="7"/>
  <c r="N160" i="7"/>
  <c r="Z161" i="7"/>
  <c r="N164" i="7"/>
  <c r="N168" i="7"/>
  <c r="Z169" i="7"/>
  <c r="N172" i="7"/>
  <c r="Z173" i="7"/>
  <c r="N176" i="7"/>
  <c r="Z177" i="7"/>
  <c r="N180" i="7"/>
  <c r="Z181" i="7"/>
  <c r="N184" i="7"/>
  <c r="N188" i="7"/>
  <c r="N192" i="7"/>
  <c r="N196" i="7"/>
  <c r="Z197" i="7"/>
  <c r="N200" i="7"/>
  <c r="N204" i="7"/>
  <c r="N208" i="7"/>
  <c r="H210" i="7"/>
  <c r="L210" i="7"/>
  <c r="N213" i="7"/>
  <c r="Z214" i="7"/>
  <c r="H215" i="7"/>
  <c r="L215" i="7"/>
  <c r="N218" i="7"/>
  <c r="Z219" i="7"/>
  <c r="H220" i="7"/>
  <c r="L220" i="7"/>
  <c r="N223" i="7"/>
  <c r="Z224" i="7"/>
  <c r="H225" i="7"/>
  <c r="L225" i="7"/>
  <c r="N228" i="7"/>
  <c r="H230" i="7"/>
  <c r="L230" i="7"/>
  <c r="N233" i="7"/>
  <c r="H235" i="7"/>
  <c r="L235" i="7"/>
  <c r="N238" i="7"/>
  <c r="Z239" i="7"/>
  <c r="H240" i="7"/>
  <c r="L240" i="7"/>
  <c r="N243" i="7"/>
  <c r="Z244" i="7"/>
  <c r="H245" i="7"/>
  <c r="L245" i="7"/>
  <c r="N248" i="7"/>
  <c r="Z249" i="7"/>
  <c r="H250" i="7"/>
  <c r="L250" i="7"/>
  <c r="N253" i="7"/>
  <c r="Z254" i="7"/>
  <c r="H255" i="7"/>
  <c r="L255" i="7"/>
  <c r="N258" i="7"/>
  <c r="H260" i="7"/>
  <c r="L260" i="7"/>
  <c r="N263" i="7"/>
  <c r="H265" i="7"/>
  <c r="L265" i="7"/>
  <c r="N268" i="7"/>
  <c r="N272" i="7"/>
  <c r="N276" i="7"/>
  <c r="Z277" i="7"/>
  <c r="N280" i="7"/>
  <c r="Z281" i="7"/>
  <c r="N284" i="7"/>
  <c r="Z285" i="7"/>
  <c r="N288" i="7"/>
  <c r="Z289" i="7"/>
  <c r="N292" i="7"/>
  <c r="Z293" i="7"/>
  <c r="N296" i="7"/>
  <c r="Z297" i="7"/>
  <c r="N300" i="7"/>
  <c r="Z301" i="7"/>
  <c r="N304" i="7"/>
  <c r="N308" i="7"/>
  <c r="N312" i="7"/>
  <c r="Z313" i="7"/>
  <c r="N316" i="7"/>
  <c r="N320" i="7"/>
  <c r="N324" i="7"/>
  <c r="Z325" i="7"/>
  <c r="N328" i="7"/>
  <c r="Z329" i="7"/>
  <c r="N332" i="7"/>
  <c r="Z333" i="7"/>
  <c r="N336" i="7"/>
  <c r="Z337" i="7"/>
  <c r="N340" i="7"/>
  <c r="Z341" i="7"/>
  <c r="N344" i="7"/>
  <c r="Z345" i="7"/>
  <c r="N348" i="7"/>
  <c r="N352" i="7"/>
  <c r="N356" i="7"/>
  <c r="N360" i="7"/>
  <c r="N364" i="7"/>
  <c r="N368" i="7"/>
  <c r="N372" i="7"/>
  <c r="N376" i="7"/>
  <c r="Z377" i="7"/>
  <c r="N380" i="7"/>
  <c r="N384" i="7"/>
  <c r="Z385" i="7"/>
  <c r="N388" i="7"/>
  <c r="Z389" i="7"/>
  <c r="N392" i="7"/>
  <c r="Z393" i="7"/>
  <c r="N396" i="7"/>
  <c r="Z397" i="7"/>
  <c r="N400" i="7"/>
  <c r="Z401" i="7"/>
  <c r="N404" i="7"/>
  <c r="N408" i="7"/>
  <c r="N412" i="7"/>
  <c r="H414" i="7"/>
  <c r="L414" i="7"/>
  <c r="N417" i="7"/>
  <c r="Z418" i="7"/>
  <c r="H419" i="7"/>
  <c r="L419" i="7"/>
  <c r="N422" i="7"/>
  <c r="Z423" i="7"/>
  <c r="H424" i="7"/>
  <c r="L424" i="7"/>
  <c r="N427" i="7"/>
  <c r="Z428" i="7"/>
  <c r="H429" i="7"/>
  <c r="L429" i="7"/>
  <c r="N432" i="7"/>
  <c r="Z433" i="7"/>
  <c r="H434" i="7"/>
  <c r="L434" i="7"/>
  <c r="N437" i="7"/>
  <c r="H439" i="7"/>
  <c r="L439" i="7"/>
  <c r="N442" i="7"/>
  <c r="H444" i="7"/>
  <c r="L444" i="7"/>
  <c r="N447" i="7"/>
  <c r="H449" i="7"/>
  <c r="L449" i="7"/>
  <c r="N452" i="7"/>
  <c r="Z453" i="7"/>
  <c r="H454" i="7"/>
  <c r="L454" i="7"/>
  <c r="N457" i="7"/>
  <c r="Z458" i="7"/>
  <c r="H459" i="7"/>
  <c r="L459" i="7"/>
  <c r="N462" i="7"/>
  <c r="Z463" i="7"/>
  <c r="H464" i="7"/>
  <c r="L464" i="7"/>
  <c r="N467" i="7"/>
  <c r="H469" i="7"/>
  <c r="L469" i="7"/>
  <c r="N472" i="7"/>
  <c r="N476" i="7"/>
  <c r="Z477" i="7"/>
  <c r="N480" i="7"/>
  <c r="N484" i="7"/>
  <c r="N488" i="7"/>
  <c r="Z489" i="7"/>
  <c r="N492" i="7"/>
  <c r="Z493" i="7"/>
  <c r="N496" i="7"/>
  <c r="Z497" i="7"/>
  <c r="N500" i="7"/>
  <c r="Z501" i="7"/>
  <c r="N504" i="7"/>
  <c r="N508" i="7"/>
  <c r="Z509" i="7"/>
  <c r="N512" i="7"/>
  <c r="N516" i="7"/>
  <c r="Z517" i="7"/>
  <c r="N520" i="7"/>
  <c r="N524" i="7"/>
  <c r="N528" i="7"/>
  <c r="N532" i="7"/>
  <c r="N536" i="7"/>
  <c r="N540" i="7"/>
  <c r="Z541" i="7"/>
  <c r="N544" i="7"/>
  <c r="Z545" i="7"/>
  <c r="N548" i="7"/>
  <c r="Z549" i="7"/>
  <c r="N552" i="7"/>
  <c r="Z553" i="7"/>
  <c r="N556" i="7"/>
  <c r="N560" i="7"/>
  <c r="N564" i="7"/>
  <c r="Z565" i="7"/>
  <c r="N568" i="7"/>
  <c r="N572" i="7"/>
  <c r="N576" i="7"/>
  <c r="N580" i="7"/>
  <c r="N584" i="7"/>
  <c r="N588" i="7"/>
  <c r="N592" i="7"/>
  <c r="N596" i="7"/>
  <c r="Z597" i="7"/>
  <c r="N600" i="7"/>
  <c r="Z601" i="7"/>
  <c r="N604" i="7"/>
  <c r="N608" i="7"/>
  <c r="N612" i="7"/>
  <c r="N616" i="7"/>
  <c r="H618" i="7"/>
  <c r="L618" i="7"/>
  <c r="N621" i="7"/>
  <c r="Z622" i="7"/>
  <c r="H623" i="7"/>
  <c r="L623" i="7"/>
  <c r="N626" i="7"/>
  <c r="H628" i="7"/>
  <c r="L628" i="7"/>
  <c r="N631" i="7"/>
  <c r="H633" i="7"/>
  <c r="L633" i="7"/>
  <c r="N636" i="7"/>
  <c r="Z637" i="7"/>
  <c r="H638" i="7"/>
  <c r="L638" i="7"/>
  <c r="N641" i="7"/>
  <c r="Z642" i="7"/>
  <c r="H643" i="7"/>
  <c r="L643" i="7"/>
  <c r="N646" i="7"/>
  <c r="H648" i="7"/>
  <c r="L648" i="7"/>
  <c r="N651" i="7"/>
  <c r="Z652" i="7"/>
  <c r="H653" i="7"/>
  <c r="L653" i="7"/>
  <c r="N656" i="7"/>
  <c r="H658" i="7"/>
  <c r="L658" i="7"/>
  <c r="N661" i="7"/>
  <c r="H663" i="7"/>
  <c r="L663" i="7"/>
  <c r="N666" i="7"/>
  <c r="Z667" i="7"/>
  <c r="H668" i="7"/>
  <c r="L668" i="7"/>
  <c r="N671" i="7"/>
  <c r="Z672" i="7"/>
  <c r="H673" i="7"/>
  <c r="L673" i="7"/>
  <c r="N676" i="7"/>
  <c r="Z677" i="7"/>
  <c r="H678" i="7"/>
  <c r="L678" i="7"/>
  <c r="N681" i="7"/>
  <c r="Z682" i="7"/>
  <c r="N685" i="7"/>
  <c r="N689" i="7"/>
  <c r="N693" i="7"/>
  <c r="N697" i="7"/>
  <c r="N701" i="7"/>
  <c r="Z702" i="7"/>
  <c r="N705" i="7"/>
  <c r="N709" i="7"/>
  <c r="N713" i="7"/>
  <c r="Z714" i="7"/>
  <c r="N717" i="7"/>
  <c r="Z718" i="7"/>
  <c r="N721" i="7"/>
  <c r="Z722" i="7"/>
  <c r="N725" i="7"/>
  <c r="Z726" i="7"/>
  <c r="N729" i="7"/>
  <c r="Z730" i="7"/>
  <c r="N733" i="7"/>
  <c r="N737" i="7"/>
  <c r="N741" i="7"/>
  <c r="Z742" i="7"/>
  <c r="N745" i="7"/>
  <c r="N749" i="7"/>
  <c r="Z750" i="7"/>
  <c r="N753" i="7"/>
  <c r="Z754" i="7"/>
  <c r="N757" i="7"/>
  <c r="N761" i="7"/>
  <c r="Z762" i="7"/>
  <c r="N765" i="7"/>
  <c r="Z766" i="7"/>
  <c r="N769" i="7"/>
  <c r="Z770" i="7"/>
  <c r="N773" i="7"/>
  <c r="Z774" i="7"/>
  <c r="N777" i="7"/>
  <c r="Z778" i="7"/>
  <c r="N781" i="7"/>
  <c r="Z782" i="7"/>
  <c r="N785" i="7"/>
  <c r="N789" i="7"/>
  <c r="N793" i="7"/>
  <c r="N797" i="7"/>
  <c r="N801" i="7"/>
  <c r="Z802" i="7"/>
  <c r="N805" i="7"/>
  <c r="N809" i="7"/>
  <c r="Z810" i="7"/>
  <c r="N813" i="7"/>
  <c r="Z814" i="7"/>
  <c r="N817" i="7"/>
  <c r="Z818" i="7"/>
  <c r="N821" i="7"/>
  <c r="Z822" i="7"/>
  <c r="N825" i="7"/>
  <c r="Z826" i="7"/>
  <c r="N829" i="7"/>
  <c r="Z830" i="7"/>
  <c r="N833" i="7"/>
  <c r="N837" i="7"/>
  <c r="H839" i="7"/>
  <c r="L839" i="7"/>
  <c r="N842" i="7"/>
  <c r="H844" i="7"/>
  <c r="L844" i="7"/>
  <c r="N847" i="7"/>
  <c r="H849" i="7"/>
  <c r="L849" i="7"/>
  <c r="N852" i="7"/>
  <c r="Z853" i="7"/>
  <c r="H854" i="7"/>
  <c r="L854" i="7"/>
  <c r="N857" i="7"/>
  <c r="Z858" i="7"/>
  <c r="N861" i="7"/>
  <c r="Z862" i="7"/>
  <c r="N865" i="7"/>
  <c r="Z866" i="7"/>
  <c r="N869" i="7"/>
  <c r="Z870" i="7"/>
  <c r="N873" i="7"/>
  <c r="N877" i="7"/>
  <c r="N881" i="7"/>
  <c r="H883" i="7"/>
  <c r="J883" i="7"/>
  <c r="N886" i="7"/>
  <c r="N890" i="7"/>
  <c r="Z891" i="7"/>
  <c r="N894" i="7"/>
  <c r="Z895" i="7"/>
  <c r="N898" i="7"/>
  <c r="Z899" i="7"/>
  <c r="N902" i="7"/>
  <c r="Z903" i="7"/>
  <c r="N906" i="7"/>
  <c r="Z907" i="7"/>
  <c r="H908" i="7"/>
  <c r="L908" i="7"/>
  <c r="N911" i="7"/>
  <c r="Z912" i="7"/>
  <c r="H913" i="7"/>
  <c r="L913" i="7"/>
  <c r="N916" i="7"/>
  <c r="H918" i="7"/>
  <c r="L918" i="7"/>
  <c r="N921" i="7"/>
  <c r="N925" i="7"/>
  <c r="N929" i="7"/>
  <c r="Z930" i="7"/>
  <c r="N933" i="7"/>
  <c r="Z934" i="7"/>
  <c r="N937" i="7"/>
  <c r="Z938" i="7"/>
  <c r="N941" i="7"/>
  <c r="Z942" i="7"/>
  <c r="N945" i="7"/>
  <c r="Z946" i="7"/>
  <c r="N949" i="7"/>
  <c r="Z950" i="7"/>
  <c r="N953" i="7"/>
  <c r="Z954" i="7"/>
  <c r="N957" i="7"/>
  <c r="Z958" i="7"/>
  <c r="H959" i="7"/>
  <c r="L959" i="7"/>
  <c r="N962" i="7"/>
  <c r="Z963" i="7"/>
  <c r="N966" i="7"/>
  <c r="N970" i="7"/>
  <c r="N974" i="7"/>
  <c r="Z975" i="7"/>
  <c r="H976" i="7"/>
  <c r="L976" i="7"/>
  <c r="N979" i="7"/>
  <c r="Z980" i="7"/>
  <c r="N983" i="7"/>
  <c r="Z984" i="7"/>
  <c r="N987" i="7"/>
  <c r="Z988" i="7"/>
  <c r="N991" i="7"/>
  <c r="Z992" i="7"/>
  <c r="H993" i="7"/>
  <c r="L993" i="7"/>
  <c r="N996" i="7"/>
  <c r="Z997" i="7"/>
  <c r="N1000" i="7"/>
  <c r="N1004" i="7"/>
  <c r="N1008" i="7"/>
  <c r="Z1009" i="7"/>
  <c r="H1010" i="7"/>
  <c r="L1010" i="7"/>
  <c r="N1013" i="7"/>
  <c r="Z1014" i="7"/>
  <c r="H1015" i="7"/>
  <c r="L1015" i="7"/>
  <c r="N1018" i="7"/>
  <c r="Z1019" i="7"/>
  <c r="H1020" i="7"/>
  <c r="L1020" i="7"/>
  <c r="N1023" i="7"/>
  <c r="Z1024" i="7"/>
  <c r="H1025" i="7"/>
  <c r="L1025" i="7"/>
  <c r="N1028" i="7"/>
  <c r="Z1029" i="7"/>
  <c r="H1030" i="7"/>
  <c r="L1030" i="7"/>
  <c r="N1033" i="7"/>
  <c r="H1035" i="7"/>
  <c r="L1035" i="7"/>
  <c r="N1038" i="7"/>
  <c r="Z1039" i="7"/>
  <c r="H1040" i="7"/>
  <c r="L1040" i="7"/>
  <c r="N1043" i="7"/>
  <c r="Z1044" i="7"/>
  <c r="H1045" i="7"/>
  <c r="L1045" i="7"/>
  <c r="N1048" i="7"/>
  <c r="H1050" i="7"/>
  <c r="L1050" i="7"/>
  <c r="N1053" i="7"/>
  <c r="Z1054" i="7"/>
  <c r="H1055" i="7"/>
  <c r="L1055" i="7"/>
  <c r="N1058" i="7"/>
  <c r="Z1059" i="7"/>
  <c r="H1060" i="7"/>
  <c r="L1060" i="7"/>
  <c r="N1063" i="7"/>
  <c r="Z1064" i="7"/>
  <c r="H1065" i="7"/>
  <c r="L1065" i="7"/>
  <c r="N1068" i="7"/>
  <c r="N1072" i="7"/>
  <c r="N1076" i="7"/>
  <c r="N1080" i="7"/>
  <c r="N1084" i="7"/>
  <c r="N1088" i="7"/>
  <c r="Z1089" i="7"/>
  <c r="N1092" i="7"/>
  <c r="Z1093" i="7"/>
  <c r="N1096" i="7"/>
  <c r="Z1097" i="7"/>
  <c r="N1100" i="7"/>
  <c r="Z1101" i="7"/>
  <c r="N1104" i="7"/>
  <c r="Z1105" i="7"/>
  <c r="N1108" i="7"/>
  <c r="Z1109" i="7"/>
  <c r="N1112" i="7"/>
  <c r="Z1113" i="7"/>
  <c r="N1116" i="7"/>
  <c r="N1120" i="7"/>
  <c r="N1124" i="7"/>
  <c r="N1128" i="7"/>
  <c r="N1132" i="7"/>
  <c r="N1136" i="7"/>
  <c r="N1140" i="7"/>
  <c r="N1144" i="7"/>
  <c r="Z1145" i="7"/>
  <c r="N1148" i="7"/>
  <c r="Z1149" i="7"/>
  <c r="N1152" i="7"/>
  <c r="Z1153" i="7"/>
  <c r="N1156" i="7"/>
  <c r="Z1157" i="7"/>
  <c r="N1160" i="7"/>
  <c r="Z1161" i="7"/>
  <c r="N1164" i="7"/>
  <c r="N1168" i="7"/>
  <c r="N1172" i="7"/>
  <c r="Z1173" i="7"/>
  <c r="N1176" i="7"/>
  <c r="N1180" i="7"/>
  <c r="N1184" i="7"/>
  <c r="N1188" i="7"/>
  <c r="Z1189" i="7"/>
  <c r="N1192" i="7"/>
  <c r="N1196" i="7"/>
  <c r="N1200" i="7"/>
  <c r="Z1201" i="7"/>
  <c r="N1204" i="7"/>
  <c r="Z1205" i="7"/>
  <c r="N1208" i="7"/>
  <c r="Z1209" i="7"/>
  <c r="N1212" i="7"/>
  <c r="H1214" i="7"/>
  <c r="L1214" i="7"/>
  <c r="N1217" i="7"/>
  <c r="Z1218" i="7"/>
  <c r="H1219" i="7"/>
  <c r="L1219" i="7"/>
  <c r="N1222" i="7"/>
  <c r="N1226" i="7"/>
  <c r="Z1227" i="7"/>
  <c r="N1230" i="7"/>
  <c r="N1234" i="7"/>
  <c r="Z1235" i="7"/>
  <c r="N1238" i="7"/>
  <c r="N1242" i="7"/>
  <c r="N1246" i="7"/>
  <c r="Z1247" i="7"/>
  <c r="H1248" i="7"/>
  <c r="L1248" i="7"/>
  <c r="N1251" i="7"/>
  <c r="H1253" i="7"/>
  <c r="L1253" i="7"/>
  <c r="N1256" i="7"/>
  <c r="Z1257" i="7"/>
  <c r="H1258" i="7"/>
  <c r="L1258" i="7"/>
  <c r="N1261" i="7"/>
  <c r="H1263" i="7"/>
  <c r="L1263" i="7"/>
  <c r="N1266" i="7"/>
  <c r="Z1267" i="7"/>
  <c r="H1268" i="7"/>
  <c r="L1268" i="7"/>
  <c r="N1271" i="7"/>
  <c r="Z1272" i="7"/>
  <c r="H1273" i="7"/>
  <c r="L1273" i="7"/>
  <c r="N1276" i="7"/>
  <c r="H1278" i="7"/>
  <c r="L1278" i="7"/>
  <c r="N1281" i="7"/>
  <c r="H1283" i="7"/>
  <c r="L1283" i="7"/>
  <c r="N1286" i="7"/>
  <c r="Z1287" i="7"/>
  <c r="H1288" i="7"/>
  <c r="L1288" i="7"/>
  <c r="N1291" i="7"/>
  <c r="H1293" i="7"/>
  <c r="L1293" i="7"/>
  <c r="N1296" i="7"/>
  <c r="Z1297" i="7"/>
  <c r="N1300" i="7"/>
  <c r="Z1301" i="7"/>
  <c r="N1304" i="7"/>
  <c r="N1308" i="7"/>
  <c r="Z1309" i="7"/>
  <c r="N1312" i="7"/>
  <c r="N1316" i="7"/>
  <c r="N1320" i="7"/>
  <c r="N1324" i="7"/>
  <c r="N1328" i="7"/>
  <c r="Z1329" i="7"/>
  <c r="N1332" i="7"/>
  <c r="N1336" i="7"/>
  <c r="N1340" i="7"/>
  <c r="Z1341" i="7"/>
  <c r="N1344" i="7"/>
  <c r="Z1345" i="7"/>
  <c r="N1348" i="7"/>
  <c r="Z1349" i="7"/>
  <c r="N1352" i="7"/>
  <c r="Z1353" i="7"/>
  <c r="N1356" i="7"/>
  <c r="Z1357" i="7"/>
  <c r="N1360" i="7"/>
  <c r="N1364" i="7"/>
  <c r="Z1365" i="7"/>
  <c r="N1368" i="7"/>
  <c r="N1372" i="7"/>
  <c r="N1376" i="7"/>
  <c r="N1380" i="7"/>
  <c r="N1384" i="7"/>
  <c r="N1388" i="7"/>
  <c r="Z1389" i="7"/>
  <c r="N1392" i="7"/>
  <c r="Z1393" i="7"/>
  <c r="N1396" i="7"/>
  <c r="Z1397" i="7"/>
  <c r="N1400" i="7"/>
  <c r="Z1401" i="7"/>
  <c r="N1404" i="7"/>
  <c r="Z1405" i="7"/>
  <c r="N1408" i="7"/>
  <c r="Z1409" i="7"/>
  <c r="N1412" i="7"/>
  <c r="Z1413" i="7"/>
  <c r="N1416" i="7"/>
  <c r="H1418" i="7"/>
  <c r="L1418" i="7"/>
  <c r="N1421" i="7"/>
  <c r="Z1422" i="7"/>
  <c r="H1423" i="7"/>
  <c r="L1423" i="7"/>
  <c r="N1426" i="7"/>
  <c r="H1428" i="7"/>
  <c r="L1428" i="7"/>
  <c r="N1431" i="7"/>
  <c r="Z1432" i="7"/>
  <c r="H1433" i="7"/>
  <c r="L1433" i="7"/>
  <c r="N1436" i="7"/>
  <c r="Z1437" i="7"/>
  <c r="H1438" i="7"/>
  <c r="L1438" i="7"/>
  <c r="N1441" i="7"/>
  <c r="Z1442" i="7"/>
  <c r="H1443" i="7"/>
  <c r="L1443" i="7"/>
  <c r="N1446" i="7"/>
  <c r="H1448" i="7"/>
  <c r="L1448" i="7"/>
  <c r="N1451" i="7"/>
  <c r="H1453" i="7"/>
  <c r="L1453" i="7"/>
  <c r="N1456" i="7"/>
  <c r="Z1457" i="7"/>
  <c r="H1458" i="7"/>
  <c r="L1458" i="7"/>
  <c r="N1461" i="7"/>
  <c r="Z1462" i="7"/>
  <c r="H1463" i="7"/>
  <c r="L1463" i="7"/>
  <c r="N1466" i="7"/>
  <c r="Z1467" i="7"/>
  <c r="H1468" i="7"/>
  <c r="L1468" i="7"/>
  <c r="N1471" i="7"/>
  <c r="Z1472" i="7"/>
  <c r="H1473" i="7"/>
  <c r="L1473" i="7"/>
  <c r="N1476" i="7"/>
  <c r="N1482" i="7"/>
  <c r="Z1484" i="7"/>
  <c r="N1488" i="7"/>
  <c r="Z1491" i="7"/>
  <c r="N1494" i="7"/>
  <c r="Z1496" i="7"/>
  <c r="Z1497" i="7"/>
  <c r="N1500" i="7"/>
  <c r="Z1502" i="7"/>
  <c r="N1506" i="7"/>
  <c r="Z1508" i="7"/>
  <c r="N1512" i="7"/>
  <c r="Z1515" i="7"/>
  <c r="N1518" i="7"/>
  <c r="Z1520" i="7"/>
  <c r="N1524" i="7"/>
  <c r="Z1526" i="7"/>
  <c r="Z1527" i="7"/>
  <c r="N1530" i="7"/>
  <c r="Z1532" i="7"/>
  <c r="Z1533" i="7"/>
  <c r="N1536" i="7"/>
  <c r="Z1538" i="7"/>
  <c r="Z1539" i="7"/>
  <c r="N1542" i="7"/>
  <c r="N1548" i="7"/>
  <c r="E1550" i="7"/>
  <c r="F1550" i="7"/>
  <c r="G1550" i="7"/>
  <c r="H1550" i="7" s="1"/>
  <c r="H1551" i="7" s="1"/>
  <c r="F359" i="6" s="1"/>
  <c r="G1479" i="7" s="1"/>
  <c r="H1479" i="7" s="1"/>
  <c r="J1550" i="7"/>
  <c r="L1550" i="7"/>
  <c r="L1551" i="7" s="1"/>
  <c r="H359" i="6" s="1"/>
  <c r="J1551" i="7"/>
  <c r="N1553" i="7"/>
  <c r="G1555" i="7"/>
  <c r="E1555" i="7" s="1"/>
  <c r="H1555" i="7"/>
  <c r="H1556" i="7" s="1"/>
  <c r="F360" i="6" s="1"/>
  <c r="J1555" i="7"/>
  <c r="F1555" i="7" s="1"/>
  <c r="L1555" i="7"/>
  <c r="L1556" i="7" s="1"/>
  <c r="H360" i="6" s="1"/>
  <c r="K1485" i="7" s="1"/>
  <c r="L1485" i="7" s="1"/>
  <c r="N1558" i="7"/>
  <c r="G1560" i="7"/>
  <c r="E1560" i="7" s="1"/>
  <c r="H1560" i="7"/>
  <c r="H1561" i="7" s="1"/>
  <c r="F361" i="6" s="1"/>
  <c r="G1491" i="7" s="1"/>
  <c r="H1491" i="7" s="1"/>
  <c r="J1560" i="7"/>
  <c r="J1561" i="7" s="1"/>
  <c r="L1560" i="7"/>
  <c r="L1561" i="7" s="1"/>
  <c r="H361" i="6" s="1"/>
  <c r="K1491" i="7" s="1"/>
  <c r="L1491" i="7" s="1"/>
  <c r="N1563" i="7"/>
  <c r="E1565" i="7"/>
  <c r="G1565" i="7"/>
  <c r="H1565" i="7"/>
  <c r="H1566" i="7" s="1"/>
  <c r="F362" i="6" s="1"/>
  <c r="G1497" i="7" s="1"/>
  <c r="H1497" i="7" s="1"/>
  <c r="J1565" i="7"/>
  <c r="L1565" i="7"/>
  <c r="J1566" i="7"/>
  <c r="L1566" i="7"/>
  <c r="H362" i="6" s="1"/>
  <c r="N1568" i="7"/>
  <c r="G1570" i="7"/>
  <c r="E1570" i="7" s="1"/>
  <c r="J1570" i="7"/>
  <c r="L1570" i="7"/>
  <c r="L1571" i="7" s="1"/>
  <c r="H363" i="6" s="1"/>
  <c r="Z1570" i="7"/>
  <c r="N1573" i="7"/>
  <c r="G1575" i="7"/>
  <c r="J1575" i="7"/>
  <c r="L1575" i="7"/>
  <c r="L1576" i="7"/>
  <c r="H364" i="6" s="1"/>
  <c r="N1578" i="7"/>
  <c r="G1580" i="7"/>
  <c r="E1580" i="7" s="1"/>
  <c r="J1580" i="7"/>
  <c r="L1580" i="7"/>
  <c r="L1581" i="7" s="1"/>
  <c r="H365" i="6" s="1"/>
  <c r="N1583" i="7"/>
  <c r="G1585" i="7"/>
  <c r="E1585" i="7" s="1"/>
  <c r="J1585" i="7"/>
  <c r="L1585" i="7"/>
  <c r="L1586" i="7" s="1"/>
  <c r="H366" i="6" s="1"/>
  <c r="N1588" i="7"/>
  <c r="G1590" i="7"/>
  <c r="E1590" i="7" s="1"/>
  <c r="H1590" i="7"/>
  <c r="J1590" i="7"/>
  <c r="J1591" i="7" s="1"/>
  <c r="L1590" i="7"/>
  <c r="L1591" i="7" s="1"/>
  <c r="H367" i="6" s="1"/>
  <c r="H1591" i="7"/>
  <c r="F367" i="6" s="1"/>
  <c r="G1527" i="7" s="1"/>
  <c r="H1527" i="7" s="1"/>
  <c r="N1593" i="7"/>
  <c r="G1595" i="7"/>
  <c r="E1595" i="7" s="1"/>
  <c r="H1595" i="7"/>
  <c r="H1596" i="7" s="1"/>
  <c r="F368" i="6" s="1"/>
  <c r="J1595" i="7"/>
  <c r="L1595" i="7"/>
  <c r="L1596" i="7" s="1"/>
  <c r="H368" i="6" s="1"/>
  <c r="N1598" i="7"/>
  <c r="G1600" i="7"/>
  <c r="H1600" i="7" s="1"/>
  <c r="H1601" i="7" s="1"/>
  <c r="F369" i="6" s="1"/>
  <c r="J1600" i="7"/>
  <c r="F1600" i="7" s="1"/>
  <c r="L1600" i="7"/>
  <c r="L1601" i="7" s="1"/>
  <c r="H369" i="6" s="1"/>
  <c r="L372" i="5" s="1"/>
  <c r="M372" i="5" s="1"/>
  <c r="N1603" i="7"/>
  <c r="G1605" i="7"/>
  <c r="E1605" i="7" s="1"/>
  <c r="J1605" i="7"/>
  <c r="L1605" i="7"/>
  <c r="L1606" i="7" s="1"/>
  <c r="H370" i="6" s="1"/>
  <c r="K1545" i="7" s="1"/>
  <c r="L1545" i="7" s="1"/>
  <c r="J1606" i="7"/>
  <c r="N1608" i="7"/>
  <c r="K1610" i="7"/>
  <c r="L1610" i="7"/>
  <c r="L1611" i="7" s="1"/>
  <c r="H371" i="6" s="1"/>
  <c r="N1613" i="7"/>
  <c r="Z1615" i="7"/>
  <c r="N1618" i="7"/>
  <c r="N1623" i="7"/>
  <c r="Z1625" i="7"/>
  <c r="N1628" i="7"/>
  <c r="N1633" i="7"/>
  <c r="Z1635" i="7"/>
  <c r="N1638" i="7"/>
  <c r="Z1640" i="7"/>
  <c r="N1643" i="7"/>
  <c r="Z1645" i="7"/>
  <c r="N1648" i="7"/>
  <c r="N1653" i="7"/>
  <c r="N1658" i="7"/>
  <c r="Z1660" i="7"/>
  <c r="N1663" i="7"/>
  <c r="N1668" i="7"/>
  <c r="G1669" i="7"/>
  <c r="H1669" i="7" s="1"/>
  <c r="H1671" i="7" s="1"/>
  <c r="F383" i="6" s="1"/>
  <c r="H386" i="5" s="1"/>
  <c r="I386" i="5" s="1"/>
  <c r="I1669" i="7"/>
  <c r="K1669" i="7"/>
  <c r="L1669" i="7"/>
  <c r="L1671" i="7" s="1"/>
  <c r="H383" i="6" s="1"/>
  <c r="L386" i="5" s="1"/>
  <c r="M386" i="5" s="1"/>
  <c r="H1670" i="7"/>
  <c r="L1670" i="7"/>
  <c r="N1673" i="7"/>
  <c r="G1674" i="7"/>
  <c r="H1674" i="7"/>
  <c r="H1676" i="7" s="1"/>
  <c r="F384" i="6" s="1"/>
  <c r="H387" i="5" s="1"/>
  <c r="I387" i="5" s="1"/>
  <c r="I1674" i="7"/>
  <c r="J1674" i="7" s="1"/>
  <c r="K1674" i="7"/>
  <c r="L1674" i="7"/>
  <c r="H1675" i="7"/>
  <c r="L1675" i="7"/>
  <c r="L1676" i="7" s="1"/>
  <c r="H384" i="6" s="1"/>
  <c r="L387" i="5" s="1"/>
  <c r="M387" i="5" s="1"/>
  <c r="N1678" i="7"/>
  <c r="G1679" i="7"/>
  <c r="H1679" i="7" s="1"/>
  <c r="I1679" i="7"/>
  <c r="J1679" i="7"/>
  <c r="K1679" i="7"/>
  <c r="L1679" i="7"/>
  <c r="L1681" i="7" s="1"/>
  <c r="H385" i="6" s="1"/>
  <c r="L388" i="5" s="1"/>
  <c r="M388" i="5" s="1"/>
  <c r="Z1679" i="7"/>
  <c r="H1680" i="7"/>
  <c r="L1680" i="7"/>
  <c r="N1683" i="7"/>
  <c r="G1684" i="7"/>
  <c r="H1684" i="7"/>
  <c r="I1684" i="7"/>
  <c r="J1684" i="7" s="1"/>
  <c r="K1684" i="7"/>
  <c r="L1684" i="7" s="1"/>
  <c r="L1686" i="7" s="1"/>
  <c r="H386" i="6" s="1"/>
  <c r="L389" i="5" s="1"/>
  <c r="M389" i="5" s="1"/>
  <c r="H1685" i="7"/>
  <c r="L1685" i="7"/>
  <c r="N1688" i="7"/>
  <c r="G1689" i="7"/>
  <c r="H1689" i="7"/>
  <c r="H1691" i="7" s="1"/>
  <c r="F387" i="6" s="1"/>
  <c r="H390" i="5" s="1"/>
  <c r="I390" i="5" s="1"/>
  <c r="I1689" i="7"/>
  <c r="J1689" i="7"/>
  <c r="K1689" i="7"/>
  <c r="L1689" i="7"/>
  <c r="L1691" i="7" s="1"/>
  <c r="H387" i="6" s="1"/>
  <c r="L390" i="5" s="1"/>
  <c r="M390" i="5" s="1"/>
  <c r="H1690" i="7"/>
  <c r="L1690" i="7"/>
  <c r="N1693" i="7"/>
  <c r="E1694" i="7"/>
  <c r="G1694" i="7"/>
  <c r="H1694" i="7"/>
  <c r="I1694" i="7"/>
  <c r="J1694" i="7" s="1"/>
  <c r="K1694" i="7"/>
  <c r="L1694" i="7"/>
  <c r="L1696" i="7" s="1"/>
  <c r="H388" i="6" s="1"/>
  <c r="L391" i="5" s="1"/>
  <c r="M391" i="5" s="1"/>
  <c r="H1695" i="7"/>
  <c r="H1696" i="7" s="1"/>
  <c r="F388" i="6" s="1"/>
  <c r="H391" i="5" s="1"/>
  <c r="I391" i="5" s="1"/>
  <c r="L1695" i="7"/>
  <c r="N1698" i="7"/>
  <c r="G1699" i="7"/>
  <c r="H1699" i="7" s="1"/>
  <c r="H1700" i="7" s="1"/>
  <c r="F389" i="6" s="1"/>
  <c r="H392" i="5" s="1"/>
  <c r="I392" i="5" s="1"/>
  <c r="I1699" i="7"/>
  <c r="J1699" i="7" s="1"/>
  <c r="K1699" i="7"/>
  <c r="L1699" i="7"/>
  <c r="L1700" i="7" s="1"/>
  <c r="H389" i="6" s="1"/>
  <c r="L392" i="5" s="1"/>
  <c r="M392" i="5" s="1"/>
  <c r="N1702" i="7"/>
  <c r="G1703" i="7"/>
  <c r="H1703" i="7" s="1"/>
  <c r="H1704" i="7" s="1"/>
  <c r="F390" i="6" s="1"/>
  <c r="H393" i="5" s="1"/>
  <c r="I393" i="5" s="1"/>
  <c r="I1703" i="7"/>
  <c r="J1703" i="7"/>
  <c r="J1704" i="7" s="1"/>
  <c r="K1703" i="7"/>
  <c r="L1703" i="7" s="1"/>
  <c r="L1704" i="7" s="1"/>
  <c r="H390" i="6" s="1"/>
  <c r="L393" i="5" s="1"/>
  <c r="M393" i="5" s="1"/>
  <c r="N1706" i="7"/>
  <c r="G1707" i="7"/>
  <c r="H1707" i="7" s="1"/>
  <c r="H1708" i="7" s="1"/>
  <c r="F391" i="6" s="1"/>
  <c r="H394" i="5" s="1"/>
  <c r="I394" i="5" s="1"/>
  <c r="I1707" i="7"/>
  <c r="J1707" i="7"/>
  <c r="K1707" i="7"/>
  <c r="L1707" i="7"/>
  <c r="L1708" i="7" s="1"/>
  <c r="H391" i="6" s="1"/>
  <c r="L394" i="5" s="1"/>
  <c r="M394" i="5" s="1"/>
  <c r="N1710" i="7"/>
  <c r="G1711" i="7"/>
  <c r="H1711" i="7"/>
  <c r="H1712" i="7" s="1"/>
  <c r="F392" i="6" s="1"/>
  <c r="H395" i="5" s="1"/>
  <c r="I395" i="5" s="1"/>
  <c r="I1711" i="7"/>
  <c r="J1711" i="7" s="1"/>
  <c r="K1711" i="7"/>
  <c r="L1711" i="7" s="1"/>
  <c r="L1712" i="7" s="1"/>
  <c r="H392" i="6" s="1"/>
  <c r="L395" i="5" s="1"/>
  <c r="M395" i="5" s="1"/>
  <c r="N1714" i="7"/>
  <c r="G1715" i="7"/>
  <c r="E1715" i="7" s="1"/>
  <c r="I1715" i="7"/>
  <c r="J1715" i="7" s="1"/>
  <c r="J1716" i="7" s="1"/>
  <c r="K1715" i="7"/>
  <c r="L1715" i="7" s="1"/>
  <c r="L1716" i="7" s="1"/>
  <c r="H393" i="6" s="1"/>
  <c r="L396" i="5" s="1"/>
  <c r="M396" i="5" s="1"/>
  <c r="N1718" i="7"/>
  <c r="Z1719" i="7"/>
  <c r="H1720" i="7"/>
  <c r="L1720" i="7"/>
  <c r="N1723" i="7"/>
  <c r="Z1724" i="7"/>
  <c r="H1725" i="7"/>
  <c r="L1725" i="7"/>
  <c r="N1728" i="7"/>
  <c r="Z1729" i="7"/>
  <c r="H1730" i="7"/>
  <c r="L1730" i="7"/>
  <c r="N1733" i="7"/>
  <c r="G1734" i="7"/>
  <c r="H1734" i="7" s="1"/>
  <c r="H1736" i="7" s="1"/>
  <c r="F397" i="6" s="1"/>
  <c r="H400" i="5" s="1"/>
  <c r="I400" i="5" s="1"/>
  <c r="Z1734" i="7"/>
  <c r="H1735" i="7"/>
  <c r="L1735" i="7"/>
  <c r="N1738" i="7"/>
  <c r="G1739" i="7"/>
  <c r="H1739" i="7" s="1"/>
  <c r="H1740" i="7" s="1"/>
  <c r="F398" i="6" s="1"/>
  <c r="I1739" i="7"/>
  <c r="J1739" i="7"/>
  <c r="K1739" i="7"/>
  <c r="L1739" i="7" s="1"/>
  <c r="L1740" i="7" s="1"/>
  <c r="H398" i="6" s="1"/>
  <c r="J1740" i="7"/>
  <c r="G398" i="6" s="1"/>
  <c r="N1742" i="7"/>
  <c r="G1743" i="7"/>
  <c r="I1743" i="7"/>
  <c r="J1743" i="7" s="1"/>
  <c r="K1743" i="7"/>
  <c r="L1743" i="7" s="1"/>
  <c r="L1744" i="7" s="1"/>
  <c r="H399" i="6" s="1"/>
  <c r="J1744" i="7"/>
  <c r="G399" i="6" s="1"/>
  <c r="N1746" i="7"/>
  <c r="G1747" i="7"/>
  <c r="H1747" i="7" s="1"/>
  <c r="H1748" i="7" s="1"/>
  <c r="F400" i="6" s="1"/>
  <c r="I1747" i="7"/>
  <c r="J1747" i="7" s="1"/>
  <c r="J1748" i="7" s="1"/>
  <c r="G400" i="6" s="1"/>
  <c r="K1747" i="7"/>
  <c r="L1747" i="7" s="1"/>
  <c r="L1748" i="7" s="1"/>
  <c r="H400" i="6" s="1"/>
  <c r="N1750" i="7"/>
  <c r="G1751" i="7"/>
  <c r="H1751" i="7"/>
  <c r="I1751" i="7"/>
  <c r="J1751" i="7"/>
  <c r="J1752" i="7" s="1"/>
  <c r="K1751" i="7"/>
  <c r="L1751" i="7" s="1"/>
  <c r="L1752" i="7" s="1"/>
  <c r="H401" i="6" s="1"/>
  <c r="L404" i="5" s="1"/>
  <c r="M404" i="5" s="1"/>
  <c r="H1752" i="7"/>
  <c r="F401" i="6" s="1"/>
  <c r="H404" i="5" s="1"/>
  <c r="I404" i="5" s="1"/>
  <c r="N1754" i="7"/>
  <c r="Z1755" i="7"/>
  <c r="H1756" i="7"/>
  <c r="L1756" i="7"/>
  <c r="N1759" i="7"/>
  <c r="Z1760" i="7"/>
  <c r="H1761" i="7"/>
  <c r="L1761" i="7"/>
  <c r="N1764" i="7"/>
  <c r="H1766" i="7"/>
  <c r="L1766" i="7"/>
  <c r="N1769" i="7"/>
  <c r="Z1770" i="7"/>
  <c r="H1771" i="7"/>
  <c r="L1771" i="7"/>
  <c r="N1774" i="7"/>
  <c r="N1778" i="7"/>
  <c r="Z1779" i="7"/>
  <c r="N1782" i="7"/>
  <c r="Z1783" i="7"/>
  <c r="N1786" i="7"/>
  <c r="N1790" i="7"/>
  <c r="Z1791" i="7"/>
  <c r="N1794" i="7"/>
  <c r="Z1795" i="7"/>
  <c r="N1798" i="7"/>
  <c r="Z1799" i="7"/>
  <c r="N1802" i="7"/>
  <c r="N1806" i="7"/>
  <c r="Z1807" i="7"/>
  <c r="N1810" i="7"/>
  <c r="Z1811" i="7"/>
  <c r="N1814" i="7"/>
  <c r="Z1815" i="7"/>
  <c r="N1818" i="7"/>
  <c r="Z1819" i="7"/>
  <c r="N1822" i="7"/>
  <c r="H1824" i="7"/>
  <c r="L1824" i="7"/>
  <c r="N1827" i="7"/>
  <c r="Z1828" i="7"/>
  <c r="H1829" i="7"/>
  <c r="L1829" i="7"/>
  <c r="N1832" i="7"/>
  <c r="Z1833" i="7"/>
  <c r="H1834" i="7"/>
  <c r="L1834" i="7"/>
  <c r="N1837" i="7"/>
  <c r="Z1838" i="7"/>
  <c r="H1839" i="7"/>
  <c r="L1839" i="7"/>
  <c r="N1842" i="7"/>
  <c r="Z1843" i="7"/>
  <c r="H1844" i="7"/>
  <c r="L1844" i="7"/>
  <c r="N1847" i="7"/>
  <c r="Z1848" i="7"/>
  <c r="H1849" i="7"/>
  <c r="L1849" i="7"/>
  <c r="N1852" i="7"/>
  <c r="N1856" i="7"/>
  <c r="N1860" i="7"/>
  <c r="Z1861" i="7"/>
  <c r="N1864" i="7"/>
  <c r="N1868" i="7"/>
  <c r="Z1869" i="7"/>
  <c r="N1872" i="7"/>
  <c r="Z1873" i="7"/>
  <c r="N1876" i="7"/>
  <c r="Z1877" i="7"/>
  <c r="N1880" i="7"/>
  <c r="N1884" i="7"/>
  <c r="Z1885" i="7"/>
  <c r="N1888" i="7"/>
  <c r="Z1889" i="7"/>
  <c r="N1892" i="7"/>
  <c r="Z1893" i="7"/>
  <c r="N1896" i="7"/>
  <c r="Z1897" i="7"/>
  <c r="N1900" i="7"/>
  <c r="Z1901" i="7"/>
  <c r="N1904" i="7"/>
  <c r="N1908" i="7"/>
  <c r="Z1909" i="7"/>
  <c r="N1912" i="7"/>
  <c r="Z1913" i="7"/>
  <c r="N1916" i="7"/>
  <c r="N1920" i="7"/>
  <c r="Z1921" i="7"/>
  <c r="N1924" i="7"/>
  <c r="Z1925" i="7"/>
  <c r="H1926" i="7"/>
  <c r="L1926" i="7"/>
  <c r="N1929" i="7"/>
  <c r="Z1930" i="7"/>
  <c r="H1931" i="7"/>
  <c r="L1931" i="7"/>
  <c r="N1934" i="7"/>
  <c r="Z1935" i="7"/>
  <c r="H1936" i="7"/>
  <c r="I1936" i="7"/>
  <c r="L1936" i="7"/>
  <c r="N1939" i="7"/>
  <c r="H1941" i="7"/>
  <c r="L1941" i="7"/>
  <c r="N1944" i="7"/>
  <c r="Z1945" i="7"/>
  <c r="H1946" i="7"/>
  <c r="L1946" i="7"/>
  <c r="N1949" i="7"/>
  <c r="Z1950" i="7"/>
  <c r="N1953" i="7"/>
  <c r="Z1954" i="7"/>
  <c r="N1957" i="7"/>
  <c r="N1961" i="7"/>
  <c r="Z1962" i="7"/>
  <c r="N1965" i="7"/>
  <c r="Z1966" i="7"/>
  <c r="N1969" i="7"/>
  <c r="Z1970" i="7"/>
  <c r="N1973" i="7"/>
  <c r="Z1974" i="7"/>
  <c r="N1977" i="7"/>
  <c r="Z1978" i="7"/>
  <c r="N1981" i="7"/>
  <c r="N1985" i="7"/>
  <c r="Z1986" i="7"/>
  <c r="N1989" i="7"/>
  <c r="Z1990" i="7"/>
  <c r="N1993" i="7"/>
  <c r="N1997" i="7"/>
  <c r="Z1998" i="7"/>
  <c r="N2001" i="7"/>
  <c r="N2005" i="7"/>
  <c r="N2009" i="7"/>
  <c r="Z2010" i="7"/>
  <c r="H2011" i="7"/>
  <c r="L2011" i="7"/>
  <c r="N2014" i="7"/>
  <c r="Z2015" i="7"/>
  <c r="H2016" i="7"/>
  <c r="L2016" i="7"/>
  <c r="N2019" i="7"/>
  <c r="Z2020" i="7"/>
  <c r="N2023" i="7"/>
  <c r="Z2024" i="7"/>
  <c r="N2027" i="7"/>
  <c r="N2031" i="7"/>
  <c r="Z2032" i="7"/>
  <c r="N2035" i="7"/>
  <c r="Z2036" i="7"/>
  <c r="N2039" i="7"/>
  <c r="N2043" i="7"/>
  <c r="H2045" i="7"/>
  <c r="L2045" i="7"/>
  <c r="N2048" i="7"/>
  <c r="Z2049" i="7"/>
  <c r="H2050" i="7"/>
  <c r="L2050" i="7"/>
  <c r="N2053" i="7"/>
  <c r="Z2054" i="7"/>
  <c r="H2055" i="7"/>
  <c r="L2055" i="7"/>
  <c r="N2058" i="7"/>
  <c r="Z2059" i="7"/>
  <c r="H2060" i="7"/>
  <c r="L2060" i="7"/>
  <c r="N2063" i="7"/>
  <c r="H2065" i="7"/>
  <c r="L2065" i="7"/>
  <c r="N2068" i="7"/>
  <c r="Z2069" i="7"/>
  <c r="N2072" i="7"/>
  <c r="N2076" i="7"/>
  <c r="N2080" i="7"/>
  <c r="N2084" i="7"/>
  <c r="Z2085" i="7"/>
  <c r="N2088" i="7"/>
  <c r="Z2089" i="7"/>
  <c r="N2092" i="7"/>
  <c r="Z2093" i="7"/>
  <c r="N2096" i="7"/>
  <c r="Z2097" i="7"/>
  <c r="N2100" i="7"/>
  <c r="Z2101" i="7"/>
  <c r="N2104" i="7"/>
  <c r="Z2105" i="7"/>
  <c r="N2108" i="7"/>
  <c r="Z2109" i="7"/>
  <c r="N2112" i="7"/>
  <c r="N2116" i="7"/>
  <c r="H2118" i="7"/>
  <c r="L2118" i="7"/>
  <c r="N2121" i="7"/>
  <c r="H2123" i="7"/>
  <c r="L2123" i="7"/>
  <c r="N2126" i="7"/>
  <c r="Z2127" i="7"/>
  <c r="H2128" i="7"/>
  <c r="L2128" i="7"/>
  <c r="N2131" i="7"/>
  <c r="Z2132" i="7"/>
  <c r="H2133" i="7"/>
  <c r="L2133" i="7"/>
  <c r="N2136" i="7"/>
  <c r="Z2137" i="7"/>
  <c r="H2138" i="7"/>
  <c r="L2138" i="7"/>
  <c r="N2141" i="7"/>
  <c r="Z2142" i="7"/>
  <c r="H2143" i="7"/>
  <c r="L2143" i="7"/>
  <c r="N2146" i="7"/>
  <c r="N2150" i="7"/>
  <c r="Z2151" i="7"/>
  <c r="N2154" i="7"/>
  <c r="N2158" i="7"/>
  <c r="N2162" i="7"/>
  <c r="N2166" i="7"/>
  <c r="Z2167" i="7"/>
  <c r="N2170" i="7"/>
  <c r="Z2171" i="7"/>
  <c r="N2174" i="7"/>
  <c r="Z2175" i="7"/>
  <c r="N2178" i="7"/>
  <c r="Z2179" i="7"/>
  <c r="N2182" i="7"/>
  <c r="Z2183" i="7"/>
  <c r="N2186" i="7"/>
  <c r="Z2187" i="7"/>
  <c r="N2190" i="7"/>
  <c r="Z2191" i="7"/>
  <c r="N2194" i="7"/>
  <c r="Z2195" i="7"/>
  <c r="N2198" i="7"/>
  <c r="N2202" i="7"/>
  <c r="N2206" i="7"/>
  <c r="N2210" i="7"/>
  <c r="Z2211" i="7"/>
  <c r="N2214" i="7"/>
  <c r="N2218" i="7"/>
  <c r="Z2219" i="7"/>
  <c r="H2220" i="7"/>
  <c r="L2220" i="7"/>
  <c r="N2223" i="7"/>
  <c r="Z2224" i="7"/>
  <c r="H2225" i="7"/>
  <c r="L2225" i="7"/>
  <c r="N2228" i="7"/>
  <c r="Z2229" i="7"/>
  <c r="H2230" i="7"/>
  <c r="L2230" i="7"/>
  <c r="N2233" i="7"/>
  <c r="Z2234" i="7"/>
  <c r="H2235" i="7"/>
  <c r="L2235" i="7"/>
  <c r="N2238" i="7"/>
  <c r="H2240" i="7"/>
  <c r="L2240" i="7"/>
  <c r="N2243" i="7"/>
  <c r="Z2244" i="7"/>
  <c r="N2247" i="7"/>
  <c r="N2251" i="7"/>
  <c r="Z2252" i="7"/>
  <c r="N2255" i="7"/>
  <c r="Z2256" i="7"/>
  <c r="N2259" i="7"/>
  <c r="Z2260" i="7"/>
  <c r="N2263" i="7"/>
  <c r="Z2264" i="7"/>
  <c r="N2267" i="7"/>
  <c r="Z2268" i="7"/>
  <c r="N2271" i="7"/>
  <c r="Z2272" i="7"/>
  <c r="N2275" i="7"/>
  <c r="Z2276" i="7"/>
  <c r="N2279" i="7"/>
  <c r="Z2280" i="7"/>
  <c r="N2283" i="7"/>
  <c r="N2287" i="7"/>
  <c r="N2291" i="7"/>
  <c r="Z2292" i="7"/>
  <c r="N2295" i="7"/>
  <c r="Z2296" i="7"/>
  <c r="N2299" i="7"/>
  <c r="Z2300" i="7"/>
  <c r="N2303" i="7"/>
  <c r="Z2304" i="7"/>
  <c r="H2305" i="7"/>
  <c r="L2305" i="7"/>
  <c r="N2308" i="7"/>
  <c r="Z2309" i="7"/>
  <c r="H2310" i="7"/>
  <c r="L2310" i="7"/>
  <c r="N2313" i="7"/>
  <c r="Z2314" i="7"/>
  <c r="H2315" i="7"/>
  <c r="L2315" i="7"/>
  <c r="N2318" i="7"/>
  <c r="H2320" i="7"/>
  <c r="L2320" i="7"/>
  <c r="N2323" i="7"/>
  <c r="Z2324" i="7"/>
  <c r="H2325" i="7"/>
  <c r="L2325" i="7"/>
  <c r="N2328" i="7"/>
  <c r="Z2329" i="7"/>
  <c r="H2330" i="7"/>
  <c r="L2330" i="7"/>
  <c r="N2333" i="7"/>
  <c r="Z2334" i="7"/>
  <c r="N2337" i="7"/>
  <c r="Z2338" i="7"/>
  <c r="N2341" i="7"/>
  <c r="Z2342" i="7"/>
  <c r="N2345" i="7"/>
  <c r="Z2346" i="7"/>
  <c r="N2349" i="7"/>
  <c r="Z2350" i="7"/>
  <c r="N2353" i="7"/>
  <c r="Z2354" i="7"/>
  <c r="N2357" i="7"/>
  <c r="N2361" i="7"/>
  <c r="N2365" i="7"/>
  <c r="N2369" i="7"/>
  <c r="Z2370" i="7"/>
  <c r="N2373" i="7"/>
  <c r="Z2374" i="7"/>
  <c r="N2377" i="7"/>
  <c r="Z2378" i="7"/>
  <c r="N2381" i="7"/>
  <c r="Z2382" i="7"/>
  <c r="N2385" i="7"/>
  <c r="Z2386" i="7"/>
  <c r="N2389" i="7"/>
  <c r="Z2390" i="7"/>
  <c r="N2393" i="7"/>
  <c r="Z2394" i="7"/>
  <c r="N2397" i="7"/>
  <c r="Z2398" i="7"/>
  <c r="N2401" i="7"/>
  <c r="Z2402" i="7"/>
  <c r="N2405" i="7"/>
  <c r="H2407" i="7"/>
  <c r="L2407" i="7"/>
  <c r="N2410" i="7"/>
  <c r="H2412" i="7"/>
  <c r="L2412" i="7"/>
  <c r="N2415" i="7"/>
  <c r="Z2416" i="7"/>
  <c r="H2417" i="7"/>
  <c r="L2417" i="7"/>
  <c r="N2420" i="7"/>
  <c r="Z2421" i="7"/>
  <c r="H2422" i="7"/>
  <c r="L2422" i="7"/>
  <c r="N2425" i="7"/>
  <c r="Z2426" i="7"/>
  <c r="N2429" i="7"/>
  <c r="Z2430" i="7"/>
  <c r="N2433" i="7"/>
  <c r="Z2434" i="7"/>
  <c r="N2437" i="7"/>
  <c r="N2441" i="7"/>
  <c r="Z2442" i="7"/>
  <c r="N2445" i="7"/>
  <c r="N2449" i="7"/>
  <c r="N2453" i="7"/>
  <c r="Z2454" i="7"/>
  <c r="N2457" i="7"/>
  <c r="Z2458" i="7"/>
  <c r="N2461" i="7"/>
  <c r="Z2462" i="7"/>
  <c r="N2465" i="7"/>
  <c r="Z2466" i="7"/>
  <c r="N2469" i="7"/>
  <c r="Z2470" i="7"/>
  <c r="N2473" i="7"/>
  <c r="E2474" i="7"/>
  <c r="G2474" i="7"/>
  <c r="H2474" i="7" s="1"/>
  <c r="I2474" i="7"/>
  <c r="J2474" i="7" s="1"/>
  <c r="K2474" i="7"/>
  <c r="L2474" i="7" s="1"/>
  <c r="H2475" i="7"/>
  <c r="L2475" i="7"/>
  <c r="N2478" i="7"/>
  <c r="G2479" i="7"/>
  <c r="H2479" i="7" s="1"/>
  <c r="H2481" i="7" s="1"/>
  <c r="F572" i="6" s="1"/>
  <c r="H575" i="5" s="1"/>
  <c r="I575" i="5" s="1"/>
  <c r="I2479" i="7"/>
  <c r="J2479" i="7"/>
  <c r="F2479" i="7" s="1"/>
  <c r="K2479" i="7"/>
  <c r="L2479" i="7"/>
  <c r="L2481" i="7" s="1"/>
  <c r="H572" i="6" s="1"/>
  <c r="L575" i="5" s="1"/>
  <c r="M575" i="5" s="1"/>
  <c r="H2480" i="7"/>
  <c r="L2480" i="7"/>
  <c r="N2483" i="7"/>
  <c r="G2484" i="7"/>
  <c r="H2484" i="7"/>
  <c r="H2485" i="7" s="1"/>
  <c r="F573" i="6" s="1"/>
  <c r="H576" i="5" s="1"/>
  <c r="I576" i="5" s="1"/>
  <c r="I2484" i="7"/>
  <c r="J2484" i="7" s="1"/>
  <c r="J2485" i="7" s="1"/>
  <c r="K2484" i="7"/>
  <c r="L2484" i="7" s="1"/>
  <c r="L2485" i="7" s="1"/>
  <c r="H573" i="6" s="1"/>
  <c r="L576" i="5" s="1"/>
  <c r="M576" i="5" s="1"/>
  <c r="N2487" i="7"/>
  <c r="G2488" i="7"/>
  <c r="H2488" i="7"/>
  <c r="H2489" i="7" s="1"/>
  <c r="F574" i="6" s="1"/>
  <c r="H577" i="5" s="1"/>
  <c r="I577" i="5" s="1"/>
  <c r="I2488" i="7"/>
  <c r="E2488" i="7" s="1"/>
  <c r="K2488" i="7"/>
  <c r="L2488" i="7"/>
  <c r="L2489" i="7"/>
  <c r="H574" i="6" s="1"/>
  <c r="L577" i="5" s="1"/>
  <c r="M577" i="5" s="1"/>
  <c r="N2491" i="7"/>
  <c r="G2492" i="7"/>
  <c r="H2492" i="7"/>
  <c r="H2493" i="7" s="1"/>
  <c r="F575" i="6" s="1"/>
  <c r="H578" i="5" s="1"/>
  <c r="I578" i="5" s="1"/>
  <c r="I2492" i="7"/>
  <c r="J2492" i="7" s="1"/>
  <c r="K2492" i="7"/>
  <c r="N2495" i="7"/>
  <c r="G2496" i="7"/>
  <c r="H2496" i="7" s="1"/>
  <c r="H2497" i="7" s="1"/>
  <c r="F576" i="6" s="1"/>
  <c r="H579" i="5" s="1"/>
  <c r="I579" i="5" s="1"/>
  <c r="I2496" i="7"/>
  <c r="J2496" i="7"/>
  <c r="K2496" i="7"/>
  <c r="L2496" i="7" s="1"/>
  <c r="L2497" i="7" s="1"/>
  <c r="H576" i="6" s="1"/>
  <c r="L579" i="5" s="1"/>
  <c r="M579" i="5" s="1"/>
  <c r="J2497" i="7"/>
  <c r="G576" i="6" s="1"/>
  <c r="J579" i="5" s="1"/>
  <c r="N2499" i="7"/>
  <c r="G2500" i="7"/>
  <c r="H2500" i="7"/>
  <c r="I2500" i="7"/>
  <c r="J2500" i="7" s="1"/>
  <c r="J2501" i="7" s="1"/>
  <c r="K2500" i="7"/>
  <c r="L2500" i="7" s="1"/>
  <c r="L2501" i="7" s="1"/>
  <c r="J2502" i="7"/>
  <c r="L2502" i="7"/>
  <c r="L2503" i="7" s="1"/>
  <c r="H577" i="6" s="1"/>
  <c r="L580" i="5" s="1"/>
  <c r="M580" i="5" s="1"/>
  <c r="J2503" i="7"/>
  <c r="N2505" i="7"/>
  <c r="G2506" i="7"/>
  <c r="H2506" i="7"/>
  <c r="I2506" i="7"/>
  <c r="J2506" i="7"/>
  <c r="K2506" i="7"/>
  <c r="L2506" i="7" s="1"/>
  <c r="L2507" i="7" s="1"/>
  <c r="J2508" i="7"/>
  <c r="L2508" i="7"/>
  <c r="J2509" i="7"/>
  <c r="G578" i="6" s="1"/>
  <c r="J581" i="5" s="1"/>
  <c r="L2509" i="7"/>
  <c r="H578" i="6" s="1"/>
  <c r="L581" i="5" s="1"/>
  <c r="M581" i="5" s="1"/>
  <c r="N2511" i="7"/>
  <c r="Z2513" i="7"/>
  <c r="N2517" i="7"/>
  <c r="Z2520" i="7"/>
  <c r="N2523" i="7"/>
  <c r="Z2525" i="7"/>
  <c r="Z2526" i="7"/>
  <c r="N2529" i="7"/>
  <c r="N2535" i="7"/>
  <c r="Z2537" i="7"/>
  <c r="Z2538" i="7"/>
  <c r="N2541" i="7"/>
  <c r="Z2543" i="7"/>
  <c r="Z2544" i="7"/>
  <c r="N2547" i="7"/>
  <c r="G2549" i="7"/>
  <c r="H2549" i="7" s="1"/>
  <c r="J2549" i="7"/>
  <c r="L2549" i="7"/>
  <c r="G2550" i="7"/>
  <c r="E2550" i="7" s="1"/>
  <c r="J2550" i="7"/>
  <c r="L2550" i="7"/>
  <c r="H2551" i="7"/>
  <c r="J2551" i="7"/>
  <c r="N2554" i="7"/>
  <c r="E2556" i="7"/>
  <c r="G2556" i="7"/>
  <c r="H2556" i="7"/>
  <c r="J2556" i="7"/>
  <c r="F2556" i="7" s="1"/>
  <c r="L2556" i="7"/>
  <c r="E2557" i="7"/>
  <c r="G2557" i="7"/>
  <c r="H2557" i="7"/>
  <c r="J2557" i="7"/>
  <c r="L2557" i="7"/>
  <c r="H2558" i="7"/>
  <c r="J2558" i="7"/>
  <c r="N2561" i="7"/>
  <c r="G2563" i="7"/>
  <c r="E2563" i="7" s="1"/>
  <c r="J2563" i="7"/>
  <c r="J2566" i="7" s="1"/>
  <c r="L2563" i="7"/>
  <c r="E2564" i="7"/>
  <c r="G2564" i="7"/>
  <c r="H2564" i="7" s="1"/>
  <c r="J2564" i="7"/>
  <c r="L2564" i="7"/>
  <c r="Z2564" i="7"/>
  <c r="H2565" i="7"/>
  <c r="J2565" i="7"/>
  <c r="N2568" i="7"/>
  <c r="G2570" i="7"/>
  <c r="E2570" i="7" s="1"/>
  <c r="J2570" i="7"/>
  <c r="L2570" i="7"/>
  <c r="G2571" i="7"/>
  <c r="E2571" i="7" s="1"/>
  <c r="H2571" i="7"/>
  <c r="J2571" i="7"/>
  <c r="L2571" i="7"/>
  <c r="Z2571" i="7"/>
  <c r="H2572" i="7"/>
  <c r="J2572" i="7"/>
  <c r="N2575" i="7"/>
  <c r="G2577" i="7"/>
  <c r="E2577" i="7" s="1"/>
  <c r="H2577" i="7"/>
  <c r="J2577" i="7"/>
  <c r="L2577" i="7"/>
  <c r="G2578" i="7"/>
  <c r="E2578" i="7" s="1"/>
  <c r="H2578" i="7"/>
  <c r="J2578" i="7"/>
  <c r="L2578" i="7"/>
  <c r="Z2578" i="7"/>
  <c r="H2579" i="7"/>
  <c r="J2579" i="7"/>
  <c r="N2582" i="7"/>
  <c r="E2584" i="7"/>
  <c r="G2584" i="7"/>
  <c r="H2584" i="7"/>
  <c r="H2587" i="7" s="1"/>
  <c r="F590" i="6" s="1"/>
  <c r="J2584" i="7"/>
  <c r="L2584" i="7"/>
  <c r="G2585" i="7"/>
  <c r="E2585" i="7" s="1"/>
  <c r="H2585" i="7"/>
  <c r="J2585" i="7"/>
  <c r="L2585" i="7"/>
  <c r="H2586" i="7"/>
  <c r="J2586" i="7"/>
  <c r="N2589" i="7"/>
  <c r="Z2591" i="7"/>
  <c r="N2594" i="7"/>
  <c r="Z2596" i="7"/>
  <c r="N2599" i="7"/>
  <c r="Z2601" i="7"/>
  <c r="N2604" i="7"/>
  <c r="N2609" i="7"/>
  <c r="Z2611" i="7"/>
  <c r="N2614" i="7"/>
  <c r="Z2616" i="7"/>
  <c r="N2619" i="7"/>
  <c r="H2620" i="7"/>
  <c r="L2620" i="7"/>
  <c r="Z2621" i="7"/>
  <c r="N2624" i="7"/>
  <c r="H2625" i="7"/>
  <c r="L2625" i="7"/>
  <c r="Z2626" i="7"/>
  <c r="N2629" i="7"/>
  <c r="H2630" i="7"/>
  <c r="L2630" i="7"/>
  <c r="N2634" i="7"/>
  <c r="H2635" i="7"/>
  <c r="L2635" i="7"/>
  <c r="Z2636" i="7"/>
  <c r="N2639" i="7"/>
  <c r="H2640" i="7"/>
  <c r="L2640" i="7"/>
  <c r="N2644" i="7"/>
  <c r="H2645" i="7"/>
  <c r="L2645" i="7"/>
  <c r="Z2646" i="7"/>
  <c r="N2649" i="7"/>
  <c r="H2650" i="7"/>
  <c r="L2650" i="7"/>
  <c r="Z2651" i="7"/>
  <c r="N2654" i="7"/>
  <c r="G2655" i="7"/>
  <c r="E2655" i="7" s="1"/>
  <c r="H2655" i="7"/>
  <c r="K2658" i="7" s="1"/>
  <c r="J2655" i="7"/>
  <c r="F2655" i="7" s="1"/>
  <c r="L2655" i="7"/>
  <c r="H2656" i="7"/>
  <c r="L2656" i="7"/>
  <c r="H2657" i="7"/>
  <c r="L2657" i="7"/>
  <c r="H2658" i="7"/>
  <c r="J2658" i="7"/>
  <c r="N2661" i="7"/>
  <c r="E2662" i="7"/>
  <c r="G2662" i="7"/>
  <c r="H2662" i="7"/>
  <c r="J2662" i="7"/>
  <c r="F2662" i="7" s="1"/>
  <c r="L2662" i="7"/>
  <c r="L2666" i="7" s="1"/>
  <c r="H605" i="6" s="1"/>
  <c r="L608" i="5" s="1"/>
  <c r="M608" i="5" s="1"/>
  <c r="H2663" i="7"/>
  <c r="L2663" i="7"/>
  <c r="H2664" i="7"/>
  <c r="L2664" i="7"/>
  <c r="H2665" i="7"/>
  <c r="J2665" i="7"/>
  <c r="K2665" i="7"/>
  <c r="E2665" i="7" s="1"/>
  <c r="L2665" i="7"/>
  <c r="N2668" i="7"/>
  <c r="G2669" i="7"/>
  <c r="H2669" i="7" s="1"/>
  <c r="J2669" i="7"/>
  <c r="F2669" i="7" s="1"/>
  <c r="L2669" i="7"/>
  <c r="Z2669" i="7"/>
  <c r="H2670" i="7"/>
  <c r="L2670" i="7"/>
  <c r="H2671" i="7"/>
  <c r="L2671" i="7"/>
  <c r="H2672" i="7"/>
  <c r="J2672" i="7"/>
  <c r="N2675" i="7"/>
  <c r="G2676" i="7"/>
  <c r="E2676" i="7" s="1"/>
  <c r="J2676" i="7"/>
  <c r="L2676" i="7"/>
  <c r="H2677" i="7"/>
  <c r="L2677" i="7"/>
  <c r="H2678" i="7"/>
  <c r="L2678" i="7"/>
  <c r="H2679" i="7"/>
  <c r="J2679" i="7"/>
  <c r="N2682" i="7"/>
  <c r="G2683" i="7"/>
  <c r="E2683" i="7" s="1"/>
  <c r="J2683" i="7"/>
  <c r="L2683" i="7"/>
  <c r="Z2683" i="7"/>
  <c r="H2684" i="7"/>
  <c r="L2684" i="7"/>
  <c r="H2685" i="7"/>
  <c r="L2685" i="7"/>
  <c r="H2686" i="7"/>
  <c r="J2686" i="7"/>
  <c r="N2689" i="7"/>
  <c r="E2690" i="7"/>
  <c r="G2690" i="7"/>
  <c r="H2690" i="7"/>
  <c r="K2693" i="7" s="1"/>
  <c r="J2690" i="7"/>
  <c r="L2690" i="7"/>
  <c r="H2691" i="7"/>
  <c r="L2691" i="7"/>
  <c r="H2692" i="7"/>
  <c r="L2692" i="7"/>
  <c r="H2693" i="7"/>
  <c r="J2693" i="7"/>
  <c r="N2696" i="7"/>
  <c r="G2697" i="7"/>
  <c r="E2697" i="7" s="1"/>
  <c r="J2697" i="7"/>
  <c r="L2697" i="7"/>
  <c r="H2698" i="7"/>
  <c r="L2698" i="7"/>
  <c r="H2699" i="7"/>
  <c r="L2699" i="7"/>
  <c r="H2700" i="7"/>
  <c r="J2700" i="7"/>
  <c r="N2703" i="7"/>
  <c r="G2705" i="7"/>
  <c r="J2705" i="7"/>
  <c r="L2705" i="7"/>
  <c r="H2706" i="7"/>
  <c r="J2706" i="7"/>
  <c r="N2709" i="7"/>
  <c r="G2711" i="7"/>
  <c r="E2711" i="7" s="1"/>
  <c r="H2711" i="7"/>
  <c r="J2711" i="7"/>
  <c r="L2711" i="7"/>
  <c r="H2712" i="7"/>
  <c r="J2712" i="7"/>
  <c r="N2715" i="7"/>
  <c r="E2716" i="7"/>
  <c r="G2716" i="7"/>
  <c r="H2716" i="7" s="1"/>
  <c r="J2716" i="7"/>
  <c r="L2716" i="7"/>
  <c r="F2716" i="7" s="1"/>
  <c r="G2717" i="7"/>
  <c r="E2717" i="7" s="1"/>
  <c r="J2717" i="7"/>
  <c r="L2717" i="7"/>
  <c r="H2718" i="7"/>
  <c r="J2718" i="7"/>
  <c r="N2721" i="7"/>
  <c r="E2722" i="7"/>
  <c r="F2722" i="7"/>
  <c r="G2722" i="7"/>
  <c r="H2722" i="7"/>
  <c r="J2722" i="7"/>
  <c r="L2722" i="7"/>
  <c r="G2723" i="7"/>
  <c r="E2723" i="7" s="1"/>
  <c r="J2723" i="7"/>
  <c r="L2723" i="7"/>
  <c r="H2724" i="7"/>
  <c r="J2724" i="7"/>
  <c r="N2727" i="7"/>
  <c r="G2728" i="7"/>
  <c r="H2728" i="7" s="1"/>
  <c r="J2728" i="7"/>
  <c r="L2728" i="7"/>
  <c r="Z2728" i="7"/>
  <c r="G2729" i="7"/>
  <c r="E2729" i="7" s="1"/>
  <c r="J2729" i="7"/>
  <c r="L2729" i="7"/>
  <c r="H2730" i="7"/>
  <c r="J2730" i="7"/>
  <c r="N2733" i="7"/>
  <c r="Z2734" i="7"/>
  <c r="H2735" i="7"/>
  <c r="L2735" i="7"/>
  <c r="N2738" i="7"/>
  <c r="Z2739" i="7"/>
  <c r="H2740" i="7"/>
  <c r="L2740" i="7"/>
  <c r="N2743" i="7"/>
  <c r="H2745" i="7"/>
  <c r="L2745" i="7"/>
  <c r="N2748" i="7"/>
  <c r="Z2749" i="7"/>
  <c r="H2750" i="7"/>
  <c r="L2750" i="7"/>
  <c r="N2753" i="7"/>
  <c r="H2755" i="7"/>
  <c r="L2755" i="7"/>
  <c r="N2758" i="7"/>
  <c r="Z2759" i="7"/>
  <c r="H2760" i="7"/>
  <c r="L2760" i="7"/>
  <c r="N2763" i="7"/>
  <c r="Z2764" i="7"/>
  <c r="H2765" i="7"/>
  <c r="L2765" i="7"/>
  <c r="N2768" i="7"/>
  <c r="Z2769" i="7"/>
  <c r="H2770" i="7"/>
  <c r="L2770" i="7"/>
  <c r="N2773" i="7"/>
  <c r="Z2774" i="7"/>
  <c r="H2775" i="7"/>
  <c r="L2775" i="7"/>
  <c r="N2778" i="7"/>
  <c r="G2780" i="7"/>
  <c r="J2780" i="7"/>
  <c r="L2780" i="7"/>
  <c r="H2781" i="7"/>
  <c r="J2781" i="7"/>
  <c r="J2782" i="7" s="1"/>
  <c r="G625" i="6" s="1"/>
  <c r="J628" i="5" s="1"/>
  <c r="N2784" i="7"/>
  <c r="G2786" i="7"/>
  <c r="H2786" i="7" s="1"/>
  <c r="J2786" i="7"/>
  <c r="J2788" i="7" s="1"/>
  <c r="L2786" i="7"/>
  <c r="H2787" i="7"/>
  <c r="J2787" i="7"/>
  <c r="N2790" i="7"/>
  <c r="G2792" i="7"/>
  <c r="E2792" i="7" s="1"/>
  <c r="H2792" i="7"/>
  <c r="J2792" i="7"/>
  <c r="L2792" i="7"/>
  <c r="G2793" i="7"/>
  <c r="E2793" i="7" s="1"/>
  <c r="J2793" i="7"/>
  <c r="L2793" i="7"/>
  <c r="Z2793" i="7"/>
  <c r="H2794" i="7"/>
  <c r="J2794" i="7"/>
  <c r="N2797" i="7"/>
  <c r="G2799" i="7"/>
  <c r="E2799" i="7" s="1"/>
  <c r="H2799" i="7"/>
  <c r="J2799" i="7"/>
  <c r="L2799" i="7"/>
  <c r="L2800" i="7" s="1"/>
  <c r="H628" i="6" s="1"/>
  <c r="L631" i="5" s="1"/>
  <c r="M631" i="5" s="1"/>
  <c r="H2800" i="7"/>
  <c r="F628" i="6" s="1"/>
  <c r="H631" i="5" s="1"/>
  <c r="I631" i="5" s="1"/>
  <c r="N2802" i="7"/>
  <c r="G2804" i="7"/>
  <c r="E2804" i="7" s="1"/>
  <c r="H2804" i="7"/>
  <c r="J2804" i="7"/>
  <c r="F2804" i="7" s="1"/>
  <c r="L2804" i="7"/>
  <c r="G2805" i="7"/>
  <c r="H2805" i="7" s="1"/>
  <c r="J2805" i="7"/>
  <c r="L2805" i="7"/>
  <c r="G2806" i="7"/>
  <c r="E2806" i="7" s="1"/>
  <c r="H2806" i="7"/>
  <c r="J2806" i="7"/>
  <c r="L2806" i="7"/>
  <c r="E2807" i="7"/>
  <c r="G2807" i="7"/>
  <c r="H2807" i="7"/>
  <c r="J2807" i="7"/>
  <c r="J2810" i="7" s="1"/>
  <c r="L2807" i="7"/>
  <c r="Z2807" i="7"/>
  <c r="G2808" i="7"/>
  <c r="J2808" i="7"/>
  <c r="L2808" i="7"/>
  <c r="J2809" i="7"/>
  <c r="L2809" i="7"/>
  <c r="N2812" i="7"/>
  <c r="G2814" i="7"/>
  <c r="H2814" i="7" s="1"/>
  <c r="J2814" i="7"/>
  <c r="L2814" i="7"/>
  <c r="G2815" i="7"/>
  <c r="J2815" i="7"/>
  <c r="L2815" i="7"/>
  <c r="E2816" i="7"/>
  <c r="G2816" i="7"/>
  <c r="H2816" i="7" s="1"/>
  <c r="J2816" i="7"/>
  <c r="L2816" i="7"/>
  <c r="G2817" i="7"/>
  <c r="E2817" i="7" s="1"/>
  <c r="J2817" i="7"/>
  <c r="L2817" i="7"/>
  <c r="H2818" i="7"/>
  <c r="J2818" i="7"/>
  <c r="H2819" i="7"/>
  <c r="L2819" i="7"/>
  <c r="N2822" i="7"/>
  <c r="G2823" i="7"/>
  <c r="E2823" i="7" s="1"/>
  <c r="H2823" i="7"/>
  <c r="J2823" i="7"/>
  <c r="L2823" i="7"/>
  <c r="G2824" i="7"/>
  <c r="H2824" i="7" s="1"/>
  <c r="J2824" i="7"/>
  <c r="L2824" i="7"/>
  <c r="Z2824" i="7"/>
  <c r="Z2825" i="7"/>
  <c r="Z2826" i="7"/>
  <c r="Z2827" i="7"/>
  <c r="Z2828" i="7"/>
  <c r="Z2829" i="7"/>
  <c r="H2830" i="7"/>
  <c r="L2830" i="7"/>
  <c r="H2831" i="7"/>
  <c r="L2831" i="7"/>
  <c r="H2832" i="7"/>
  <c r="L2832" i="7"/>
  <c r="H2833" i="7"/>
  <c r="L2833" i="7"/>
  <c r="H2834" i="7"/>
  <c r="L2834" i="7"/>
  <c r="H2835" i="7"/>
  <c r="L2835" i="7"/>
  <c r="H2836" i="7"/>
  <c r="L2836" i="7"/>
  <c r="H2837" i="7"/>
  <c r="L2837" i="7"/>
  <c r="H2838" i="7"/>
  <c r="I2838" i="7"/>
  <c r="L2838" i="7"/>
  <c r="N2841" i="7"/>
  <c r="N2845" i="7"/>
  <c r="N2849" i="7"/>
  <c r="G2851" i="7"/>
  <c r="E2851" i="7" s="1"/>
  <c r="J2851" i="7"/>
  <c r="L2851" i="7"/>
  <c r="G2852" i="7"/>
  <c r="E2852" i="7" s="1"/>
  <c r="J2852" i="7"/>
  <c r="L2852" i="7"/>
  <c r="Z2852" i="7"/>
  <c r="N2856" i="7"/>
  <c r="E2858" i="7"/>
  <c r="G2858" i="7"/>
  <c r="H2858" i="7"/>
  <c r="J2858" i="7"/>
  <c r="L2858" i="7"/>
  <c r="F2858" i="7" s="1"/>
  <c r="G2859" i="7"/>
  <c r="J2859" i="7"/>
  <c r="L2859" i="7"/>
  <c r="Z2859" i="7"/>
  <c r="N2863" i="7"/>
  <c r="E2865" i="7"/>
  <c r="G2865" i="7"/>
  <c r="H2865" i="7" s="1"/>
  <c r="F2865" i="7" s="1"/>
  <c r="J2865" i="7"/>
  <c r="L2865" i="7"/>
  <c r="G2866" i="7"/>
  <c r="E2866" i="7" s="1"/>
  <c r="J2866" i="7"/>
  <c r="L2866" i="7"/>
  <c r="N2870" i="7"/>
  <c r="E2872" i="7"/>
  <c r="G2872" i="7"/>
  <c r="H2872" i="7"/>
  <c r="J2872" i="7"/>
  <c r="L2872" i="7"/>
  <c r="G2873" i="7"/>
  <c r="J2873" i="7"/>
  <c r="L2873" i="7"/>
  <c r="Z2873" i="7"/>
  <c r="N2877" i="7"/>
  <c r="Z2879" i="7"/>
  <c r="J2881" i="7"/>
  <c r="L2881" i="7"/>
  <c r="L2882" i="7" s="1"/>
  <c r="H638" i="6" s="1"/>
  <c r="L641" i="5" s="1"/>
  <c r="M641" i="5" s="1"/>
  <c r="N2884" i="7"/>
  <c r="Z2886" i="7"/>
  <c r="J2888" i="7"/>
  <c r="L2888" i="7"/>
  <c r="L2889" i="7" s="1"/>
  <c r="H639" i="6" s="1"/>
  <c r="L642" i="5" s="1"/>
  <c r="M642" i="5" s="1"/>
  <c r="J2889" i="7"/>
  <c r="G639" i="6" s="1"/>
  <c r="J642" i="5" s="1"/>
  <c r="N2891" i="7"/>
  <c r="J2895" i="7"/>
  <c r="L2895" i="7"/>
  <c r="L2896" i="7" s="1"/>
  <c r="H640" i="6" s="1"/>
  <c r="L643" i="5" s="1"/>
  <c r="M643" i="5" s="1"/>
  <c r="J2896" i="7"/>
  <c r="G640" i="6" s="1"/>
  <c r="J643" i="5" s="1"/>
  <c r="N2898" i="7"/>
  <c r="Z2900" i="7"/>
  <c r="J2902" i="7"/>
  <c r="L2902" i="7"/>
  <c r="J2903" i="7"/>
  <c r="G641" i="6" s="1"/>
  <c r="J644" i="5" s="1"/>
  <c r="L2903" i="7"/>
  <c r="H641" i="6" s="1"/>
  <c r="L644" i="5" s="1"/>
  <c r="M644" i="5" s="1"/>
  <c r="N2905" i="7"/>
  <c r="Z2907" i="7"/>
  <c r="J2909" i="7"/>
  <c r="J2910" i="7" s="1"/>
  <c r="L2909" i="7"/>
  <c r="L2910" i="7"/>
  <c r="H642" i="6" s="1"/>
  <c r="L645" i="5" s="1"/>
  <c r="M645" i="5" s="1"/>
  <c r="N2912" i="7"/>
  <c r="Z2914" i="7"/>
  <c r="J2916" i="7"/>
  <c r="L2916" i="7"/>
  <c r="L2917" i="7" s="1"/>
  <c r="H643" i="6" s="1"/>
  <c r="L646" i="5" s="1"/>
  <c r="M646" i="5" s="1"/>
  <c r="J2917" i="7"/>
  <c r="N2919" i="7"/>
  <c r="J2923" i="7"/>
  <c r="J2924" i="7" s="1"/>
  <c r="G644" i="6" s="1"/>
  <c r="J647" i="5" s="1"/>
  <c r="L2923" i="7"/>
  <c r="L2924" i="7"/>
  <c r="H644" i="6" s="1"/>
  <c r="L647" i="5" s="1"/>
  <c r="M647" i="5" s="1"/>
  <c r="N2926" i="7"/>
  <c r="Z2928" i="7"/>
  <c r="J2930" i="7"/>
  <c r="J2931" i="7" s="1"/>
  <c r="G645" i="6" s="1"/>
  <c r="J648" i="5" s="1"/>
  <c r="L2930" i="7"/>
  <c r="L2931" i="7" s="1"/>
  <c r="H645" i="6" s="1"/>
  <c r="L648" i="5" s="1"/>
  <c r="M648" i="5" s="1"/>
  <c r="N2933" i="7"/>
  <c r="Z2935" i="7"/>
  <c r="J2937" i="7"/>
  <c r="J2938" i="7" s="1"/>
  <c r="L2937" i="7"/>
  <c r="L2938" i="7" s="1"/>
  <c r="H646" i="6" s="1"/>
  <c r="L649" i="5" s="1"/>
  <c r="M649" i="5" s="1"/>
  <c r="N2940" i="7"/>
  <c r="Z2942" i="7"/>
  <c r="J2944" i="7"/>
  <c r="L2944" i="7"/>
  <c r="L2945" i="7" s="1"/>
  <c r="H647" i="6" s="1"/>
  <c r="L650" i="5" s="1"/>
  <c r="M650" i="5" s="1"/>
  <c r="J2945" i="7"/>
  <c r="G647" i="6" s="1"/>
  <c r="J650" i="5" s="1"/>
  <c r="N2947" i="7"/>
  <c r="Z2949" i="7"/>
  <c r="J2951" i="7"/>
  <c r="J2952" i="7" s="1"/>
  <c r="L2951" i="7"/>
  <c r="L2952" i="7" s="1"/>
  <c r="H648" i="6" s="1"/>
  <c r="L651" i="5" s="1"/>
  <c r="M651" i="5" s="1"/>
  <c r="N2954" i="7"/>
  <c r="J2958" i="7"/>
  <c r="J2959" i="7" s="1"/>
  <c r="G649" i="6" s="1"/>
  <c r="J652" i="5" s="1"/>
  <c r="L2958" i="7"/>
  <c r="L2959" i="7" s="1"/>
  <c r="H649" i="6" s="1"/>
  <c r="L652" i="5" s="1"/>
  <c r="M652" i="5" s="1"/>
  <c r="N2961" i="7"/>
  <c r="Z2963" i="7"/>
  <c r="J2965" i="7"/>
  <c r="J2966" i="7" s="1"/>
  <c r="G650" i="6" s="1"/>
  <c r="J653" i="5" s="1"/>
  <c r="L2965" i="7"/>
  <c r="L2966" i="7" s="1"/>
  <c r="H650" i="6" s="1"/>
  <c r="L653" i="5" s="1"/>
  <c r="M653" i="5" s="1"/>
  <c r="N2968" i="7"/>
  <c r="Z2970" i="7"/>
  <c r="J2972" i="7"/>
  <c r="L2972" i="7"/>
  <c r="L2973" i="7" s="1"/>
  <c r="H651" i="6" s="1"/>
  <c r="L654" i="5" s="1"/>
  <c r="M654" i="5" s="1"/>
  <c r="N2975" i="7"/>
  <c r="Z2977" i="7"/>
  <c r="J2979" i="7"/>
  <c r="L2979" i="7"/>
  <c r="L2980" i="7" s="1"/>
  <c r="H652" i="6" s="1"/>
  <c r="L655" i="5" s="1"/>
  <c r="M655" i="5" s="1"/>
  <c r="N2982" i="7"/>
  <c r="G2984" i="7"/>
  <c r="J2984" i="7"/>
  <c r="L2984" i="7"/>
  <c r="G2985" i="7"/>
  <c r="J2985" i="7"/>
  <c r="L2985" i="7"/>
  <c r="N2988" i="7"/>
  <c r="G2989" i="7"/>
  <c r="E2989" i="7" s="1"/>
  <c r="H2989" i="7"/>
  <c r="H2990" i="7" s="1"/>
  <c r="F654" i="6" s="1"/>
  <c r="H657" i="5" s="1"/>
  <c r="I657" i="5" s="1"/>
  <c r="J2989" i="7"/>
  <c r="J2990" i="7" s="1"/>
  <c r="G654" i="6" s="1"/>
  <c r="J657" i="5" s="1"/>
  <c r="L2989" i="7"/>
  <c r="L2990" i="7" s="1"/>
  <c r="H654" i="6" s="1"/>
  <c r="L657" i="5" s="1"/>
  <c r="M657" i="5" s="1"/>
  <c r="Z2989" i="7"/>
  <c r="N2992" i="7"/>
  <c r="G2993" i="7"/>
  <c r="H2993" i="7" s="1"/>
  <c r="H2994" i="7" s="1"/>
  <c r="F655" i="6" s="1"/>
  <c r="H658" i="5" s="1"/>
  <c r="I658" i="5" s="1"/>
  <c r="J2993" i="7"/>
  <c r="J2994" i="7" s="1"/>
  <c r="L2993" i="7"/>
  <c r="L2994" i="7" s="1"/>
  <c r="H655" i="6" s="1"/>
  <c r="L658" i="5" s="1"/>
  <c r="M658" i="5" s="1"/>
  <c r="Z2993" i="7"/>
  <c r="N2996" i="7"/>
  <c r="N3001" i="7"/>
  <c r="Z3003" i="7"/>
  <c r="N3006" i="7"/>
  <c r="N3012" i="7"/>
  <c r="N3017" i="7"/>
  <c r="G3019" i="7"/>
  <c r="E3019" i="7" s="1"/>
  <c r="J3019" i="7"/>
  <c r="L3019" i="7"/>
  <c r="G3020" i="7"/>
  <c r="E3020" i="7" s="1"/>
  <c r="J3020" i="7"/>
  <c r="L3020" i="7"/>
  <c r="H3021" i="7"/>
  <c r="J3021" i="7"/>
  <c r="N3024" i="7"/>
  <c r="Z3026" i="7"/>
  <c r="Z3027" i="7"/>
  <c r="N3030" i="7"/>
  <c r="Z3032" i="7"/>
  <c r="N3035" i="7"/>
  <c r="E3037" i="7"/>
  <c r="G3037" i="7"/>
  <c r="H3037" i="7"/>
  <c r="J3037" i="7"/>
  <c r="L3037" i="7"/>
  <c r="E3038" i="7"/>
  <c r="F3038" i="7"/>
  <c r="G3038" i="7"/>
  <c r="H3038" i="7"/>
  <c r="J3038" i="7"/>
  <c r="L3038" i="7"/>
  <c r="Z3038" i="7"/>
  <c r="H3039" i="7"/>
  <c r="J3039" i="7"/>
  <c r="N3042" i="7"/>
  <c r="Z3044" i="7"/>
  <c r="Z3045" i="7"/>
  <c r="N3048" i="7"/>
  <c r="Z3050" i="7"/>
  <c r="N3053" i="7"/>
  <c r="G3055" i="7"/>
  <c r="E3055" i="7" s="1"/>
  <c r="J3055" i="7"/>
  <c r="L3055" i="7"/>
  <c r="G3056" i="7"/>
  <c r="E3056" i="7" s="1"/>
  <c r="H3056" i="7"/>
  <c r="J3056" i="7"/>
  <c r="F3056" i="7" s="1"/>
  <c r="L3056" i="7"/>
  <c r="H3057" i="7"/>
  <c r="J3057" i="7"/>
  <c r="N3060" i="7"/>
  <c r="Z3062" i="7"/>
  <c r="Z3063" i="7"/>
  <c r="N3066" i="7"/>
  <c r="Z3068" i="7"/>
  <c r="N3071" i="7"/>
  <c r="E3073" i="7"/>
  <c r="G3073" i="7"/>
  <c r="H3073" i="7" s="1"/>
  <c r="K3075" i="7" s="1"/>
  <c r="J3073" i="7"/>
  <c r="L3073" i="7"/>
  <c r="G3074" i="7"/>
  <c r="H3074" i="7" s="1"/>
  <c r="J3074" i="7"/>
  <c r="L3074" i="7"/>
  <c r="H3075" i="7"/>
  <c r="J3075" i="7"/>
  <c r="N3078" i="7"/>
  <c r="Z3080" i="7"/>
  <c r="Z3081" i="7"/>
  <c r="N3084" i="7"/>
  <c r="Z3086" i="7"/>
  <c r="N3089" i="7"/>
  <c r="G3091" i="7"/>
  <c r="E3091" i="7" s="1"/>
  <c r="H3091" i="7"/>
  <c r="J3091" i="7"/>
  <c r="L3091" i="7"/>
  <c r="Z3091" i="7"/>
  <c r="G3092" i="7"/>
  <c r="E3092" i="7" s="1"/>
  <c r="J3092" i="7"/>
  <c r="L3092" i="7"/>
  <c r="H3093" i="7"/>
  <c r="J3093" i="7"/>
  <c r="N3096" i="7"/>
  <c r="Z3098" i="7"/>
  <c r="Z3099" i="7"/>
  <c r="N3102" i="7"/>
  <c r="Z3104" i="7"/>
  <c r="N3107" i="7"/>
  <c r="G3109" i="7"/>
  <c r="E3109" i="7" s="1"/>
  <c r="J3109" i="7"/>
  <c r="L3109" i="7"/>
  <c r="Z3109" i="7"/>
  <c r="G3110" i="7"/>
  <c r="E3110" i="7" s="1"/>
  <c r="J3110" i="7"/>
  <c r="L3110" i="7"/>
  <c r="H3111" i="7"/>
  <c r="J3111" i="7"/>
  <c r="N3114" i="7"/>
  <c r="N3120" i="7"/>
  <c r="Z3122" i="7"/>
  <c r="N3125" i="7"/>
  <c r="G3127" i="7"/>
  <c r="H3127" i="7" s="1"/>
  <c r="J3127" i="7"/>
  <c r="L3127" i="7"/>
  <c r="G3128" i="7"/>
  <c r="H3128" i="7" s="1"/>
  <c r="J3128" i="7"/>
  <c r="L3128" i="7"/>
  <c r="H3129" i="7"/>
  <c r="J3129" i="7"/>
  <c r="N3132" i="7"/>
  <c r="Z3134" i="7"/>
  <c r="Z3135" i="7"/>
  <c r="N3138" i="7"/>
  <c r="Z3140" i="7"/>
  <c r="N3143" i="7"/>
  <c r="E3145" i="7"/>
  <c r="G3145" i="7"/>
  <c r="H3145" i="7"/>
  <c r="J3145" i="7"/>
  <c r="J3148" i="7" s="1"/>
  <c r="L3145" i="7"/>
  <c r="G3146" i="7"/>
  <c r="E3146" i="7" s="1"/>
  <c r="J3146" i="7"/>
  <c r="L3146" i="7"/>
  <c r="Z3146" i="7"/>
  <c r="H3147" i="7"/>
  <c r="J3147" i="7"/>
  <c r="N3150" i="7"/>
  <c r="Z3152" i="7"/>
  <c r="Z3153" i="7"/>
  <c r="N3156" i="7"/>
  <c r="Z3158" i="7"/>
  <c r="N3161" i="7"/>
  <c r="G3163" i="7"/>
  <c r="E3163" i="7" s="1"/>
  <c r="J3163" i="7"/>
  <c r="L3163" i="7"/>
  <c r="G3164" i="7"/>
  <c r="H3164" i="7" s="1"/>
  <c r="F3164" i="7" s="1"/>
  <c r="J3164" i="7"/>
  <c r="J3166" i="7" s="1"/>
  <c r="L3164" i="7"/>
  <c r="H3165" i="7"/>
  <c r="J3165" i="7"/>
  <c r="N3168" i="7"/>
  <c r="Z3170" i="7"/>
  <c r="Z3171" i="7"/>
  <c r="N3174" i="7"/>
  <c r="Z3176" i="7"/>
  <c r="N3179" i="7"/>
  <c r="E3181" i="7"/>
  <c r="G3181" i="7"/>
  <c r="H3181" i="7" s="1"/>
  <c r="J3181" i="7"/>
  <c r="L3181" i="7"/>
  <c r="Z3181" i="7"/>
  <c r="E3182" i="7"/>
  <c r="G3182" i="7"/>
  <c r="H3182" i="7"/>
  <c r="J3182" i="7"/>
  <c r="F3182" i="7" s="1"/>
  <c r="L3182" i="7"/>
  <c r="Z3182" i="7"/>
  <c r="H3183" i="7"/>
  <c r="J3183" i="7"/>
  <c r="N3186" i="7"/>
  <c r="Z3188" i="7"/>
  <c r="Z3189" i="7"/>
  <c r="N3192" i="7"/>
  <c r="Z3194" i="7"/>
  <c r="N3197" i="7"/>
  <c r="G3199" i="7"/>
  <c r="J3199" i="7"/>
  <c r="L3199" i="7"/>
  <c r="Z3199" i="7"/>
  <c r="G3200" i="7"/>
  <c r="E3200" i="7" s="1"/>
  <c r="H3200" i="7"/>
  <c r="J3200" i="7"/>
  <c r="L3200" i="7"/>
  <c r="H3201" i="7"/>
  <c r="J3201" i="7"/>
  <c r="N3204" i="7"/>
  <c r="Z3206" i="7"/>
  <c r="Z3207" i="7"/>
  <c r="N3210" i="7"/>
  <c r="N3215" i="7"/>
  <c r="G3217" i="7"/>
  <c r="E3217" i="7" s="1"/>
  <c r="H3217" i="7"/>
  <c r="J3217" i="7"/>
  <c r="J3220" i="7" s="1"/>
  <c r="L3217" i="7"/>
  <c r="E3218" i="7"/>
  <c r="G3218" i="7"/>
  <c r="H3218" i="7"/>
  <c r="J3218" i="7"/>
  <c r="L3218" i="7"/>
  <c r="H3219" i="7"/>
  <c r="J3219" i="7"/>
  <c r="N3222" i="7"/>
  <c r="Z3224" i="7"/>
  <c r="Z3225" i="7"/>
  <c r="N3228" i="7"/>
  <c r="Z3229" i="7"/>
  <c r="N3232" i="7"/>
  <c r="G3234" i="7"/>
  <c r="E3234" i="7" s="1"/>
  <c r="H3234" i="7"/>
  <c r="J3234" i="7"/>
  <c r="L3234" i="7"/>
  <c r="G3235" i="7"/>
  <c r="E3235" i="7" s="1"/>
  <c r="J3235" i="7"/>
  <c r="L3235" i="7"/>
  <c r="Z3235" i="7"/>
  <c r="H3236" i="7"/>
  <c r="J3236" i="7"/>
  <c r="N3239" i="7"/>
  <c r="Z3241" i="7"/>
  <c r="Z3242" i="7"/>
  <c r="N3245" i="7"/>
  <c r="N3249" i="7"/>
  <c r="G3251" i="7"/>
  <c r="E3251" i="7" s="1"/>
  <c r="H3251" i="7"/>
  <c r="J3251" i="7"/>
  <c r="L3251" i="7"/>
  <c r="E3252" i="7"/>
  <c r="G3252" i="7"/>
  <c r="H3252" i="7"/>
  <c r="J3252" i="7"/>
  <c r="L3252" i="7"/>
  <c r="H3253" i="7"/>
  <c r="J3253" i="7"/>
  <c r="N3256" i="7"/>
  <c r="Z3258" i="7"/>
  <c r="Z3259" i="7"/>
  <c r="N3262" i="7"/>
  <c r="Z3263" i="7"/>
  <c r="N3266" i="7"/>
  <c r="E3268" i="7"/>
  <c r="G3268" i="7"/>
  <c r="H3268" i="7" s="1"/>
  <c r="J3268" i="7"/>
  <c r="L3268" i="7"/>
  <c r="F3268" i="7" s="1"/>
  <c r="Z3268" i="7"/>
  <c r="G3269" i="7"/>
  <c r="E3269" i="7" s="1"/>
  <c r="H3269" i="7"/>
  <c r="F3269" i="7" s="1"/>
  <c r="J3269" i="7"/>
  <c r="L3269" i="7"/>
  <c r="H3270" i="7"/>
  <c r="H3271" i="7" s="1"/>
  <c r="F702" i="6" s="1"/>
  <c r="J3270" i="7"/>
  <c r="N3273" i="7"/>
  <c r="Z3275" i="7"/>
  <c r="Z3276" i="7"/>
  <c r="N3279" i="7"/>
  <c r="Z3280" i="7"/>
  <c r="N3283" i="7"/>
  <c r="E3285" i="7"/>
  <c r="G3285" i="7"/>
  <c r="H3285" i="7"/>
  <c r="J3285" i="7"/>
  <c r="L3285" i="7"/>
  <c r="G3286" i="7"/>
  <c r="E3286" i="7" s="1"/>
  <c r="J3286" i="7"/>
  <c r="L3286" i="7"/>
  <c r="H3287" i="7"/>
  <c r="J3287" i="7"/>
  <c r="N3290" i="7"/>
  <c r="N3296" i="7"/>
  <c r="Z3297" i="7"/>
  <c r="N3300" i="7"/>
  <c r="G3302" i="7"/>
  <c r="H3302" i="7" s="1"/>
  <c r="J3302" i="7"/>
  <c r="L3302" i="7"/>
  <c r="Z3302" i="7"/>
  <c r="G3303" i="7"/>
  <c r="E3303" i="7" s="1"/>
  <c r="H3303" i="7"/>
  <c r="J3303" i="7"/>
  <c r="F3303" i="7" s="1"/>
  <c r="L3303" i="7"/>
  <c r="Z3303" i="7"/>
  <c r="H3304" i="7"/>
  <c r="J3304" i="7"/>
  <c r="N3307" i="7"/>
  <c r="Z3309" i="7"/>
  <c r="Z3310" i="7"/>
  <c r="N3313" i="7"/>
  <c r="Z3314" i="7"/>
  <c r="N3317" i="7"/>
  <c r="G3319" i="7"/>
  <c r="H3319" i="7" s="1"/>
  <c r="J3319" i="7"/>
  <c r="L3319" i="7"/>
  <c r="G3320" i="7"/>
  <c r="E3320" i="7" s="1"/>
  <c r="J3320" i="7"/>
  <c r="L3320" i="7"/>
  <c r="H3321" i="7"/>
  <c r="J3321" i="7"/>
  <c r="J3322" i="7"/>
  <c r="G711" i="6" s="1"/>
  <c r="I3314" i="7" s="1"/>
  <c r="N3324" i="7"/>
  <c r="Z3326" i="7"/>
  <c r="N3330" i="7"/>
  <c r="N3335" i="7"/>
  <c r="E3337" i="7"/>
  <c r="G3337" i="7"/>
  <c r="H3337" i="7" s="1"/>
  <c r="J3337" i="7"/>
  <c r="L3337" i="7"/>
  <c r="E3338" i="7"/>
  <c r="G3338" i="7"/>
  <c r="H3338" i="7" s="1"/>
  <c r="F3338" i="7" s="1"/>
  <c r="J3338" i="7"/>
  <c r="L3338" i="7"/>
  <c r="H3339" i="7"/>
  <c r="J3339" i="7"/>
  <c r="J3340" i="7" s="1"/>
  <c r="G714" i="6" s="1"/>
  <c r="I3332" i="7" s="1"/>
  <c r="N3342" i="7"/>
  <c r="Z3344" i="7"/>
  <c r="Z3345" i="7"/>
  <c r="N3348" i="7"/>
  <c r="Z3350" i="7"/>
  <c r="N3353" i="7"/>
  <c r="G3355" i="7"/>
  <c r="E3355" i="7" s="1"/>
  <c r="H3355" i="7"/>
  <c r="H3357" i="7" s="1"/>
  <c r="F717" i="6" s="1"/>
  <c r="J3355" i="7"/>
  <c r="L3355" i="7"/>
  <c r="G3356" i="7"/>
  <c r="E3356" i="7" s="1"/>
  <c r="H3356" i="7"/>
  <c r="J3356" i="7"/>
  <c r="L3356" i="7"/>
  <c r="N3359" i="7"/>
  <c r="Z3362" i="7"/>
  <c r="N3365" i="7"/>
  <c r="Z3367" i="7"/>
  <c r="N3370" i="7"/>
  <c r="E3372" i="7"/>
  <c r="G3372" i="7"/>
  <c r="H3372" i="7"/>
  <c r="J3372" i="7"/>
  <c r="L3372" i="7"/>
  <c r="G3373" i="7"/>
  <c r="H3373" i="7" s="1"/>
  <c r="F3373" i="7" s="1"/>
  <c r="J3373" i="7"/>
  <c r="L3373" i="7"/>
  <c r="L3374" i="7"/>
  <c r="H720" i="6" s="1"/>
  <c r="K3367" i="7" s="1"/>
  <c r="L3367" i="7" s="1"/>
  <c r="L3368" i="7" s="1"/>
  <c r="H719" i="6" s="1"/>
  <c r="N3376" i="7"/>
  <c r="Z3378" i="7"/>
  <c r="Z3379" i="7"/>
  <c r="N3382" i="7"/>
  <c r="Z3384" i="7"/>
  <c r="N3387" i="7"/>
  <c r="G3389" i="7"/>
  <c r="E3389" i="7" s="1"/>
  <c r="J3389" i="7"/>
  <c r="L3389" i="7"/>
  <c r="Z3389" i="7"/>
  <c r="G3390" i="7"/>
  <c r="E3390" i="7" s="1"/>
  <c r="H3390" i="7"/>
  <c r="J3390" i="7"/>
  <c r="L3390" i="7"/>
  <c r="N3393" i="7"/>
  <c r="N3399" i="7"/>
  <c r="Z3401" i="7"/>
  <c r="N3404" i="7"/>
  <c r="G3406" i="7"/>
  <c r="H3406" i="7" s="1"/>
  <c r="J3406" i="7"/>
  <c r="J3408" i="7" s="1"/>
  <c r="L3406" i="7"/>
  <c r="L3408" i="7" s="1"/>
  <c r="H726" i="6" s="1"/>
  <c r="K2028" i="7" s="1"/>
  <c r="L2028" i="7" s="1"/>
  <c r="L2029" i="7" s="1"/>
  <c r="H466" i="6" s="1"/>
  <c r="L469" i="5" s="1"/>
  <c r="M469" i="5" s="1"/>
  <c r="G3407" i="7"/>
  <c r="E3407" i="7" s="1"/>
  <c r="H3407" i="7"/>
  <c r="J3407" i="7"/>
  <c r="L3407" i="7"/>
  <c r="N3410" i="7"/>
  <c r="Z3412" i="7"/>
  <c r="N3415" i="7"/>
  <c r="G3417" i="7"/>
  <c r="E3417" i="7" s="1"/>
  <c r="J3417" i="7"/>
  <c r="J3419" i="7" s="1"/>
  <c r="G728" i="6" s="1"/>
  <c r="I3412" i="7" s="1"/>
  <c r="L3417" i="7"/>
  <c r="L3419" i="7" s="1"/>
  <c r="H728" i="6" s="1"/>
  <c r="K3412" i="7" s="1"/>
  <c r="L3412" i="7" s="1"/>
  <c r="L3413" i="7" s="1"/>
  <c r="H727" i="6" s="1"/>
  <c r="Z3417" i="7"/>
  <c r="E3418" i="7"/>
  <c r="G3418" i="7"/>
  <c r="H3418" i="7"/>
  <c r="J3418" i="7"/>
  <c r="F3418" i="7" s="1"/>
  <c r="L3418" i="7"/>
  <c r="Z3418" i="7"/>
  <c r="N3421" i="7"/>
  <c r="N3427" i="7"/>
  <c r="Z3429" i="7"/>
  <c r="Z3430" i="7"/>
  <c r="N3433" i="7"/>
  <c r="Z3435" i="7"/>
  <c r="Z3436" i="7"/>
  <c r="N3439" i="7"/>
  <c r="N3444" i="7"/>
  <c r="G3446" i="7"/>
  <c r="E3446" i="7" s="1"/>
  <c r="H3446" i="7"/>
  <c r="J3446" i="7"/>
  <c r="L3446" i="7"/>
  <c r="Z3446" i="7"/>
  <c r="G3447" i="7"/>
  <c r="H3447" i="7" s="1"/>
  <c r="J3447" i="7"/>
  <c r="F3447" i="7" s="1"/>
  <c r="L3447" i="7"/>
  <c r="L3448" i="7" s="1"/>
  <c r="H733" i="6" s="1"/>
  <c r="Z3447" i="7"/>
  <c r="N3450" i="7"/>
  <c r="Z3453" i="7"/>
  <c r="N3456" i="7"/>
  <c r="Z3458" i="7"/>
  <c r="N3461" i="7"/>
  <c r="E3463" i="7"/>
  <c r="G3463" i="7"/>
  <c r="H3463" i="7" s="1"/>
  <c r="J3463" i="7"/>
  <c r="L3463" i="7"/>
  <c r="G3464" i="7"/>
  <c r="H3464" i="7" s="1"/>
  <c r="J3464" i="7"/>
  <c r="L3464" i="7"/>
  <c r="Z3464" i="7"/>
  <c r="N3467" i="7"/>
  <c r="Z3469" i="7"/>
  <c r="Z3470" i="7"/>
  <c r="N3473" i="7"/>
  <c r="Z3475" i="7"/>
  <c r="N3478" i="7"/>
  <c r="E3480" i="7"/>
  <c r="G3480" i="7"/>
  <c r="H3480" i="7"/>
  <c r="J3480" i="7"/>
  <c r="L3480" i="7"/>
  <c r="Z3480" i="7"/>
  <c r="G3481" i="7"/>
  <c r="E3481" i="7" s="1"/>
  <c r="H3481" i="7"/>
  <c r="J3481" i="7"/>
  <c r="F3481" i="7" s="1"/>
  <c r="L3481" i="7"/>
  <c r="N3484" i="7"/>
  <c r="Z3487" i="7"/>
  <c r="N3490" i="7"/>
  <c r="Z3492" i="7"/>
  <c r="N3495" i="7"/>
  <c r="G3497" i="7"/>
  <c r="E3497" i="7" s="1"/>
  <c r="J3497" i="7"/>
  <c r="L3497" i="7"/>
  <c r="Z3497" i="7"/>
  <c r="G3498" i="7"/>
  <c r="E3498" i="7" s="1"/>
  <c r="H3498" i="7"/>
  <c r="J3498" i="7"/>
  <c r="J3499" i="7" s="1"/>
  <c r="G742" i="6" s="1"/>
  <c r="L3498" i="7"/>
  <c r="Z3498" i="7"/>
  <c r="N3501" i="7"/>
  <c r="N3507" i="7"/>
  <c r="Z3509" i="7"/>
  <c r="N3512" i="7"/>
  <c r="E3514" i="7"/>
  <c r="G3514" i="7"/>
  <c r="H3514" i="7" s="1"/>
  <c r="J3514" i="7"/>
  <c r="L3514" i="7"/>
  <c r="L3516" i="7" s="1"/>
  <c r="H745" i="6" s="1"/>
  <c r="G3515" i="7"/>
  <c r="E3515" i="7" s="1"/>
  <c r="H3515" i="7"/>
  <c r="J3515" i="7"/>
  <c r="L3515" i="7"/>
  <c r="Z3515" i="7"/>
  <c r="N3518" i="7"/>
  <c r="Z3520" i="7"/>
  <c r="Z3521" i="7"/>
  <c r="N3524" i="7"/>
  <c r="Z3526" i="7"/>
  <c r="N3529" i="7"/>
  <c r="G3531" i="7"/>
  <c r="H3531" i="7" s="1"/>
  <c r="J3531" i="7"/>
  <c r="J3533" i="7" s="1"/>
  <c r="L3531" i="7"/>
  <c r="G3532" i="7"/>
  <c r="J3532" i="7"/>
  <c r="L3532" i="7"/>
  <c r="L3533" i="7" s="1"/>
  <c r="H748" i="6" s="1"/>
  <c r="K3526" i="7" s="1"/>
  <c r="L3526" i="7" s="1"/>
  <c r="L3527" i="7" s="1"/>
  <c r="H747" i="6" s="1"/>
  <c r="N3535" i="7"/>
  <c r="Z3536" i="7"/>
  <c r="N3539" i="7"/>
  <c r="Z3540" i="7"/>
  <c r="N3543" i="7"/>
  <c r="N3547" i="7"/>
  <c r="Z3548" i="7"/>
  <c r="N3551" i="7"/>
  <c r="Z3552" i="7"/>
  <c r="N3555" i="7"/>
  <c r="N3559" i="7"/>
  <c r="G3560" i="7"/>
  <c r="E3560" i="7" s="1"/>
  <c r="J3560" i="7"/>
  <c r="L3560" i="7"/>
  <c r="H3561" i="7"/>
  <c r="J3561" i="7"/>
  <c r="N3564" i="7"/>
  <c r="E3565" i="7"/>
  <c r="G3565" i="7"/>
  <c r="H3565" i="7" s="1"/>
  <c r="J3565" i="7"/>
  <c r="L3565" i="7"/>
  <c r="G3566" i="7"/>
  <c r="E3566" i="7" s="1"/>
  <c r="H3566" i="7"/>
  <c r="J3566" i="7"/>
  <c r="L3566" i="7"/>
  <c r="Z3566" i="7"/>
  <c r="H3567" i="7"/>
  <c r="J3567" i="7"/>
  <c r="N3570" i="7"/>
  <c r="G3571" i="7"/>
  <c r="E3571" i="7" s="1"/>
  <c r="J3571" i="7"/>
  <c r="L3571" i="7"/>
  <c r="G3572" i="7"/>
  <c r="E3572" i="7" s="1"/>
  <c r="H3572" i="7"/>
  <c r="J3572" i="7"/>
  <c r="L3572" i="7"/>
  <c r="H3573" i="7"/>
  <c r="J3573" i="7"/>
  <c r="N3576" i="7"/>
  <c r="G3577" i="7"/>
  <c r="H3577" i="7" s="1"/>
  <c r="J3577" i="7"/>
  <c r="F3577" i="7" s="1"/>
  <c r="L3577" i="7"/>
  <c r="G3578" i="7"/>
  <c r="E3578" i="7" s="1"/>
  <c r="J3578" i="7"/>
  <c r="L3578" i="7"/>
  <c r="H3579" i="7"/>
  <c r="J3579" i="7"/>
  <c r="J3580" i="7"/>
  <c r="G758" i="6" s="1"/>
  <c r="I2769" i="7" s="1"/>
  <c r="N3582" i="7"/>
  <c r="G3583" i="7"/>
  <c r="H3583" i="7" s="1"/>
  <c r="J3583" i="7"/>
  <c r="L3583" i="7"/>
  <c r="E3584" i="7"/>
  <c r="G3584" i="7"/>
  <c r="H3584" i="7"/>
  <c r="J3584" i="7"/>
  <c r="J3586" i="7" s="1"/>
  <c r="G759" i="6" s="1"/>
  <c r="I2774" i="7" s="1"/>
  <c r="L3584" i="7"/>
  <c r="H3585" i="7"/>
  <c r="J3585" i="7"/>
  <c r="N3588" i="7"/>
  <c r="G3589" i="7"/>
  <c r="E3589" i="7" s="1"/>
  <c r="J3589" i="7"/>
  <c r="L3589" i="7"/>
  <c r="E3590" i="7"/>
  <c r="G3590" i="7"/>
  <c r="H3590" i="7" s="1"/>
  <c r="J3590" i="7"/>
  <c r="L3590" i="7"/>
  <c r="F3590" i="7" s="1"/>
  <c r="H3591" i="7"/>
  <c r="L3591" i="7"/>
  <c r="H3592" i="7"/>
  <c r="L3592" i="7"/>
  <c r="H3593" i="7"/>
  <c r="L3593" i="7"/>
  <c r="N3596" i="7"/>
  <c r="N3602" i="7"/>
  <c r="N3607" i="7"/>
  <c r="Z3608" i="7"/>
  <c r="N3611" i="7"/>
  <c r="G3613" i="7"/>
  <c r="H3613" i="7" s="1"/>
  <c r="F3613" i="7" s="1"/>
  <c r="J3613" i="7"/>
  <c r="J3614" i="7" s="1"/>
  <c r="G764" i="6" s="1"/>
  <c r="I2829" i="7" s="1"/>
  <c r="L3613" i="7"/>
  <c r="L3614" i="7"/>
  <c r="H764" i="6" s="1"/>
  <c r="K2829" i="7" s="1"/>
  <c r="L2829" i="7" s="1"/>
  <c r="R2" i="17"/>
  <c r="H153" i="13" s="1"/>
  <c r="S4" i="17"/>
  <c r="V5" i="17"/>
  <c r="U5" i="17" s="1"/>
  <c r="W5" i="17" s="1"/>
  <c r="V6" i="17"/>
  <c r="U6" i="17" s="1"/>
  <c r="W6" i="17" s="1"/>
  <c r="U7" i="17"/>
  <c r="W7" i="17" s="1"/>
  <c r="V7" i="17"/>
  <c r="U8" i="17"/>
  <c r="W8" i="17" s="1"/>
  <c r="V8" i="17"/>
  <c r="V9" i="17"/>
  <c r="U9" i="17" s="1"/>
  <c r="W9" i="17" s="1"/>
  <c r="V10" i="17"/>
  <c r="U10" i="17" s="1"/>
  <c r="W10" i="17" s="1"/>
  <c r="V11" i="17"/>
  <c r="U11" i="17" s="1"/>
  <c r="W11" i="17" s="1"/>
  <c r="V12" i="17"/>
  <c r="U12" i="17" s="1"/>
  <c r="W12" i="17" s="1"/>
  <c r="V13" i="17"/>
  <c r="U13" i="17" s="1"/>
  <c r="W13" i="17" s="1"/>
  <c r="V14" i="17"/>
  <c r="U14" i="17" s="1"/>
  <c r="W14" i="17" s="1"/>
  <c r="U15" i="17"/>
  <c r="W15" i="17" s="1"/>
  <c r="V15" i="17"/>
  <c r="V16" i="17"/>
  <c r="U16" i="17" s="1"/>
  <c r="W16" i="17" s="1"/>
  <c r="V17" i="17"/>
  <c r="U17" i="17" s="1"/>
  <c r="W17" i="17" s="1"/>
  <c r="V18" i="17"/>
  <c r="U18" i="17" s="1"/>
  <c r="W18" i="17" s="1"/>
  <c r="V19" i="17"/>
  <c r="U19" i="17" s="1"/>
  <c r="W19" i="17" s="1"/>
  <c r="V20" i="17"/>
  <c r="U20" i="17" s="1"/>
  <c r="W20" i="17" s="1"/>
  <c r="V21" i="17"/>
  <c r="U21" i="17" s="1"/>
  <c r="W21" i="17" s="1"/>
  <c r="V22" i="17"/>
  <c r="U22" i="17" s="1"/>
  <c r="W22" i="17" s="1"/>
  <c r="U23" i="17"/>
  <c r="V23" i="17"/>
  <c r="W23" i="17"/>
  <c r="V24" i="17"/>
  <c r="U24" i="17" s="1"/>
  <c r="W24" i="17" s="1"/>
  <c r="U25" i="17"/>
  <c r="W25" i="17" s="1"/>
  <c r="V25" i="17"/>
  <c r="V26" i="17"/>
  <c r="U26" i="17" s="1"/>
  <c r="W26" i="17" s="1"/>
  <c r="V27" i="17"/>
  <c r="U27" i="17" s="1"/>
  <c r="W27" i="17" s="1"/>
  <c r="V28" i="17"/>
  <c r="U28" i="17" s="1"/>
  <c r="W28" i="17" s="1"/>
  <c r="V29" i="17"/>
  <c r="U29" i="17" s="1"/>
  <c r="W29" i="17" s="1"/>
  <c r="V30" i="17"/>
  <c r="U30" i="17" s="1"/>
  <c r="W30" i="17" s="1"/>
  <c r="V31" i="17"/>
  <c r="U31" i="17" s="1"/>
  <c r="W31" i="17" s="1"/>
  <c r="U32" i="17"/>
  <c r="W32" i="17" s="1"/>
  <c r="V32" i="17"/>
  <c r="V33" i="17"/>
  <c r="U33" i="17" s="1"/>
  <c r="W33" i="17" s="1"/>
  <c r="V34" i="17"/>
  <c r="U34" i="17" s="1"/>
  <c r="W34" i="17" s="1"/>
  <c r="V35" i="17"/>
  <c r="U35" i="17" s="1"/>
  <c r="W35" i="17" s="1"/>
  <c r="V36" i="17"/>
  <c r="U36" i="17" s="1"/>
  <c r="W36" i="17" s="1"/>
  <c r="V37" i="17"/>
  <c r="U37" i="17" s="1"/>
  <c r="W37" i="17" s="1"/>
  <c r="U38" i="17"/>
  <c r="W38" i="17" s="1"/>
  <c r="V38" i="17"/>
  <c r="V39" i="17"/>
  <c r="U39" i="17" s="1"/>
  <c r="W39" i="17" s="1"/>
  <c r="U40" i="17"/>
  <c r="W40" i="17" s="1"/>
  <c r="V40" i="17"/>
  <c r="V41" i="17"/>
  <c r="U41" i="17" s="1"/>
  <c r="W41" i="17" s="1"/>
  <c r="U42" i="17"/>
  <c r="W42" i="17" s="1"/>
  <c r="V42" i="17"/>
  <c r="V43" i="17"/>
  <c r="U43" i="17" s="1"/>
  <c r="W43" i="17" s="1"/>
  <c r="V44" i="17"/>
  <c r="U44" i="17" s="1"/>
  <c r="W44" i="17" s="1"/>
  <c r="V45" i="17"/>
  <c r="U45" i="17" s="1"/>
  <c r="W45" i="17" s="1"/>
  <c r="V46" i="17"/>
  <c r="U46" i="17" s="1"/>
  <c r="W46" i="17" s="1"/>
  <c r="V47" i="17"/>
  <c r="U47" i="17" s="1"/>
  <c r="W47" i="17" s="1"/>
  <c r="V48" i="17"/>
  <c r="U48" i="17" s="1"/>
  <c r="W48" i="17" s="1"/>
  <c r="V49" i="17"/>
  <c r="U49" i="17" s="1"/>
  <c r="W49" i="17" s="1"/>
  <c r="V50" i="17"/>
  <c r="U50" i="17" s="1"/>
  <c r="W50" i="17" s="1"/>
  <c r="V51" i="17"/>
  <c r="U51" i="17" s="1"/>
  <c r="W51" i="17" s="1"/>
  <c r="V52" i="17"/>
  <c r="U52" i="17" s="1"/>
  <c r="W52" i="17" s="1"/>
  <c r="V53" i="17"/>
  <c r="U53" i="17" s="1"/>
  <c r="W53" i="17"/>
  <c r="V54" i="17"/>
  <c r="U54" i="17" s="1"/>
  <c r="W54" i="17" s="1"/>
  <c r="V55" i="17"/>
  <c r="U55" i="17" s="1"/>
  <c r="W55" i="17" s="1"/>
  <c r="V56" i="17"/>
  <c r="U56" i="17" s="1"/>
  <c r="W56" i="17" s="1"/>
  <c r="V57" i="17"/>
  <c r="U57" i="17" s="1"/>
  <c r="W57" i="17" s="1"/>
  <c r="V58" i="17"/>
  <c r="U58" i="17" s="1"/>
  <c r="W58" i="17" s="1"/>
  <c r="V59" i="17"/>
  <c r="U59" i="17" s="1"/>
  <c r="W59" i="17" s="1"/>
  <c r="V60" i="17"/>
  <c r="U60" i="17" s="1"/>
  <c r="W60" i="17" s="1"/>
  <c r="V61" i="17"/>
  <c r="U61" i="17" s="1"/>
  <c r="W61" i="17" s="1"/>
  <c r="V62" i="17"/>
  <c r="U62" i="17" s="1"/>
  <c r="W62" i="17" s="1"/>
  <c r="U63" i="17"/>
  <c r="V63" i="17"/>
  <c r="W63" i="17"/>
  <c r="V64" i="17"/>
  <c r="U64" i="17" s="1"/>
  <c r="W64" i="17" s="1"/>
  <c r="V65" i="17"/>
  <c r="U65" i="17" s="1"/>
  <c r="W65" i="17" s="1"/>
  <c r="V66" i="17"/>
  <c r="U66" i="17" s="1"/>
  <c r="W66" i="17" s="1"/>
  <c r="V67" i="17"/>
  <c r="U67" i="17" s="1"/>
  <c r="W67" i="17" s="1"/>
  <c r="V68" i="17"/>
  <c r="U68" i="17" s="1"/>
  <c r="W68" i="17" s="1"/>
  <c r="V69" i="17"/>
  <c r="U69" i="17" s="1"/>
  <c r="W69" i="17" s="1"/>
  <c r="V70" i="17"/>
  <c r="U70" i="17" s="1"/>
  <c r="W70" i="17" s="1"/>
  <c r="V71" i="17"/>
  <c r="U71" i="17" s="1"/>
  <c r="W71" i="17" s="1"/>
  <c r="V72" i="17"/>
  <c r="U72" i="17" s="1"/>
  <c r="W72" i="17" s="1"/>
  <c r="V73" i="17"/>
  <c r="U73" i="17" s="1"/>
  <c r="W73" i="17" s="1"/>
  <c r="U74" i="17"/>
  <c r="W74" i="17" s="1"/>
  <c r="V74" i="17"/>
  <c r="V75" i="17"/>
  <c r="U75" i="17" s="1"/>
  <c r="W75" i="17" s="1"/>
  <c r="V76" i="17"/>
  <c r="U76" i="17" s="1"/>
  <c r="W76" i="17" s="1"/>
  <c r="V77" i="17"/>
  <c r="U77" i="17" s="1"/>
  <c r="W77" i="17" s="1"/>
  <c r="V78" i="17"/>
  <c r="U78" i="17" s="1"/>
  <c r="W78" i="17"/>
  <c r="V79" i="17"/>
  <c r="U79" i="17" s="1"/>
  <c r="W79" i="17" s="1"/>
  <c r="V80" i="17"/>
  <c r="U80" i="17" s="1"/>
  <c r="W80" i="17" s="1"/>
  <c r="V81" i="17"/>
  <c r="U81" i="17" s="1"/>
  <c r="W81" i="17" s="1"/>
  <c r="V82" i="17"/>
  <c r="U82" i="17" s="1"/>
  <c r="W82" i="17" s="1"/>
  <c r="V83" i="17"/>
  <c r="U83" i="17" s="1"/>
  <c r="W83" i="17" s="1"/>
  <c r="V84" i="17"/>
  <c r="U84" i="17" s="1"/>
  <c r="W84" i="17" s="1"/>
  <c r="V85" i="17"/>
  <c r="U85" i="17" s="1"/>
  <c r="W85" i="17" s="1"/>
  <c r="V86" i="17"/>
  <c r="U86" i="17" s="1"/>
  <c r="W86" i="17" s="1"/>
  <c r="V87" i="17"/>
  <c r="U87" i="17" s="1"/>
  <c r="W87" i="17" s="1"/>
  <c r="V88" i="17"/>
  <c r="U88" i="17" s="1"/>
  <c r="W88" i="17" s="1"/>
  <c r="V89" i="17"/>
  <c r="U89" i="17" s="1"/>
  <c r="W89" i="17" s="1"/>
  <c r="V90" i="17"/>
  <c r="U90" i="17" s="1"/>
  <c r="W90" i="17" s="1"/>
  <c r="V91" i="17"/>
  <c r="U91" i="17" s="1"/>
  <c r="W91" i="17" s="1"/>
  <c r="V92" i="17"/>
  <c r="U92" i="17" s="1"/>
  <c r="W92" i="17" s="1"/>
  <c r="V93" i="17"/>
  <c r="U93" i="17" s="1"/>
  <c r="W93" i="17" s="1"/>
  <c r="V94" i="17"/>
  <c r="U94" i="17" s="1"/>
  <c r="W94" i="17" s="1"/>
  <c r="U95" i="17"/>
  <c r="W95" i="17" s="1"/>
  <c r="V95" i="17"/>
  <c r="V96" i="17"/>
  <c r="U96" i="17" s="1"/>
  <c r="W96" i="17" s="1"/>
  <c r="V97" i="17"/>
  <c r="U97" i="17" s="1"/>
  <c r="W97" i="17" s="1"/>
  <c r="V98" i="17"/>
  <c r="U98" i="17" s="1"/>
  <c r="W98" i="17" s="1"/>
  <c r="V99" i="17"/>
  <c r="U99" i="17" s="1"/>
  <c r="W99" i="17" s="1"/>
  <c r="V100" i="17"/>
  <c r="U100" i="17" s="1"/>
  <c r="W100" i="17" s="1"/>
  <c r="V101" i="17"/>
  <c r="U101" i="17" s="1"/>
  <c r="W101" i="17" s="1"/>
  <c r="V102" i="17"/>
  <c r="U102" i="17" s="1"/>
  <c r="W102" i="17" s="1"/>
  <c r="V103" i="17"/>
  <c r="U103" i="17" s="1"/>
  <c r="W103" i="17" s="1"/>
  <c r="U104" i="17"/>
  <c r="W104" i="17" s="1"/>
  <c r="V104" i="17"/>
  <c r="V105" i="17"/>
  <c r="U105" i="17" s="1"/>
  <c r="W105" i="17" s="1"/>
  <c r="V106" i="17"/>
  <c r="U106" i="17" s="1"/>
  <c r="W106" i="17" s="1"/>
  <c r="U107" i="17"/>
  <c r="W107" i="17" s="1"/>
  <c r="V107" i="17"/>
  <c r="V108" i="17"/>
  <c r="U108" i="17" s="1"/>
  <c r="W108" i="17" s="1"/>
  <c r="V109" i="17"/>
  <c r="U109" i="17" s="1"/>
  <c r="W109" i="17"/>
  <c r="U110" i="17"/>
  <c r="W110" i="17" s="1"/>
  <c r="V110" i="17"/>
  <c r="V111" i="17"/>
  <c r="U111" i="17" s="1"/>
  <c r="W111" i="17" s="1"/>
  <c r="V112" i="17"/>
  <c r="U112" i="17" s="1"/>
  <c r="W112" i="17" s="1"/>
  <c r="V113" i="17"/>
  <c r="U113" i="17" s="1"/>
  <c r="W113" i="17" s="1"/>
  <c r="V114" i="17"/>
  <c r="U114" i="17" s="1"/>
  <c r="W114" i="17" s="1"/>
  <c r="U115" i="17"/>
  <c r="W115" i="17" s="1"/>
  <c r="V115" i="17"/>
  <c r="U116" i="17"/>
  <c r="W116" i="17" s="1"/>
  <c r="V116" i="17"/>
  <c r="V117" i="17"/>
  <c r="U117" i="17" s="1"/>
  <c r="W117" i="17" s="1"/>
  <c r="V118" i="17"/>
  <c r="U118" i="17" s="1"/>
  <c r="W118" i="17" s="1"/>
  <c r="V119" i="17"/>
  <c r="U119" i="17" s="1"/>
  <c r="W119" i="17" s="1"/>
  <c r="V120" i="17"/>
  <c r="U120" i="17" s="1"/>
  <c r="W120" i="17" s="1"/>
  <c r="V121" i="17"/>
  <c r="U121" i="17" s="1"/>
  <c r="W121" i="17" s="1"/>
  <c r="V122" i="17"/>
  <c r="U122" i="17" s="1"/>
  <c r="W122" i="17" s="1"/>
  <c r="V123" i="17"/>
  <c r="U123" i="17" s="1"/>
  <c r="W123" i="17" s="1"/>
  <c r="V124" i="17"/>
  <c r="U124" i="17" s="1"/>
  <c r="W124" i="17" s="1"/>
  <c r="V125" i="17"/>
  <c r="U125" i="17" s="1"/>
  <c r="W125" i="17"/>
  <c r="V126" i="17"/>
  <c r="U126" i="17" s="1"/>
  <c r="W126" i="17" s="1"/>
  <c r="U127" i="17"/>
  <c r="W127" i="17" s="1"/>
  <c r="V127" i="17"/>
  <c r="V128" i="17"/>
  <c r="U128" i="17" s="1"/>
  <c r="W128" i="17" s="1"/>
  <c r="U129" i="17"/>
  <c r="W129" i="17" s="1"/>
  <c r="V129" i="17"/>
  <c r="V130" i="17"/>
  <c r="U130" i="17" s="1"/>
  <c r="W130" i="17" s="1"/>
  <c r="V131" i="17"/>
  <c r="U131" i="17" s="1"/>
  <c r="W131" i="17" s="1"/>
  <c r="V132" i="17"/>
  <c r="U132" i="17" s="1"/>
  <c r="W132" i="17" s="1"/>
  <c r="V133" i="17"/>
  <c r="U133" i="17" s="1"/>
  <c r="W133" i="17" s="1"/>
  <c r="V134" i="17"/>
  <c r="U134" i="17" s="1"/>
  <c r="W134" i="17" s="1"/>
  <c r="V135" i="17"/>
  <c r="U135" i="17" s="1"/>
  <c r="W135" i="17" s="1"/>
  <c r="V136" i="17"/>
  <c r="U136" i="17" s="1"/>
  <c r="W136" i="17" s="1"/>
  <c r="V137" i="17"/>
  <c r="U137" i="17" s="1"/>
  <c r="W137" i="17" s="1"/>
  <c r="U138" i="17"/>
  <c r="W138" i="17" s="1"/>
  <c r="V138" i="17"/>
  <c r="V139" i="17"/>
  <c r="U139" i="17" s="1"/>
  <c r="W139" i="17" s="1"/>
  <c r="U140" i="17"/>
  <c r="W140" i="17" s="1"/>
  <c r="V140" i="17"/>
  <c r="U141" i="17"/>
  <c r="W141" i="17" s="1"/>
  <c r="V141" i="17"/>
  <c r="V142" i="17"/>
  <c r="U142" i="17" s="1"/>
  <c r="W142" i="17" s="1"/>
  <c r="V143" i="17"/>
  <c r="U143" i="17" s="1"/>
  <c r="W143" i="17" s="1"/>
  <c r="V144" i="17"/>
  <c r="U144" i="17" s="1"/>
  <c r="W144" i="17"/>
  <c r="V145" i="17"/>
  <c r="U145" i="17" s="1"/>
  <c r="W145" i="17" s="1"/>
  <c r="U146" i="17"/>
  <c r="W146" i="17" s="1"/>
  <c r="V146" i="17"/>
  <c r="V147" i="17"/>
  <c r="U147" i="17" s="1"/>
  <c r="W147" i="17" s="1"/>
  <c r="V148" i="17"/>
  <c r="U148" i="17" s="1"/>
  <c r="W148" i="17" s="1"/>
  <c r="V149" i="17"/>
  <c r="U149" i="17" s="1"/>
  <c r="W149" i="17" s="1"/>
  <c r="V150" i="17"/>
  <c r="U150" i="17" s="1"/>
  <c r="W150" i="17" s="1"/>
  <c r="V151" i="17"/>
  <c r="U151" i="17" s="1"/>
  <c r="W151" i="17" s="1"/>
  <c r="U152" i="17"/>
  <c r="W152" i="17" s="1"/>
  <c r="V152" i="17"/>
  <c r="V153" i="17"/>
  <c r="U153" i="17" s="1"/>
  <c r="W153" i="17"/>
  <c r="V154" i="17"/>
  <c r="U154" i="17" s="1"/>
  <c r="W154" i="17" s="1"/>
  <c r="V155" i="17"/>
  <c r="U155" i="17" s="1"/>
  <c r="W155" i="17" s="1"/>
  <c r="V156" i="17"/>
  <c r="U156" i="17" s="1"/>
  <c r="W156" i="17" s="1"/>
  <c r="V157" i="17"/>
  <c r="U157" i="17" s="1"/>
  <c r="W157" i="17" s="1"/>
  <c r="U158" i="17"/>
  <c r="W158" i="17" s="1"/>
  <c r="V158" i="17"/>
  <c r="V159" i="17"/>
  <c r="U159" i="17" s="1"/>
  <c r="W159" i="17" s="1"/>
  <c r="U160" i="17"/>
  <c r="W160" i="17" s="1"/>
  <c r="V160" i="17"/>
  <c r="V161" i="17"/>
  <c r="U161" i="17" s="1"/>
  <c r="W161" i="17" s="1"/>
  <c r="V162" i="17"/>
  <c r="U162" i="17" s="1"/>
  <c r="W162" i="17" s="1"/>
  <c r="V163" i="17"/>
  <c r="U163" i="17" s="1"/>
  <c r="W163" i="17" s="1"/>
  <c r="U164" i="17"/>
  <c r="W164" i="17" s="1"/>
  <c r="V164" i="17"/>
  <c r="V165" i="17"/>
  <c r="U165" i="17" s="1"/>
  <c r="W165" i="17" s="1"/>
  <c r="V166" i="17"/>
  <c r="U166" i="17" s="1"/>
  <c r="W166" i="17" s="1"/>
  <c r="V167" i="17"/>
  <c r="U167" i="17" s="1"/>
  <c r="W167" i="17" s="1"/>
  <c r="V168" i="17"/>
  <c r="U168" i="17" s="1"/>
  <c r="W168" i="17" s="1"/>
  <c r="V169" i="17"/>
  <c r="U169" i="17" s="1"/>
  <c r="W169" i="17" s="1"/>
  <c r="V170" i="17"/>
  <c r="U170" i="17" s="1"/>
  <c r="W170" i="17" s="1"/>
  <c r="V171" i="17"/>
  <c r="U171" i="17" s="1"/>
  <c r="W171" i="17" s="1"/>
  <c r="V172" i="17"/>
  <c r="U172" i="17" s="1"/>
  <c r="W172" i="17" s="1"/>
  <c r="V173" i="17"/>
  <c r="U173" i="17" s="1"/>
  <c r="W173" i="17" s="1"/>
  <c r="V174" i="17"/>
  <c r="U174" i="17" s="1"/>
  <c r="W174" i="17" s="1"/>
  <c r="V175" i="17"/>
  <c r="U175" i="17" s="1"/>
  <c r="W175" i="17" s="1"/>
  <c r="V176" i="17"/>
  <c r="U176" i="17" s="1"/>
  <c r="W176" i="17" s="1"/>
  <c r="V177" i="17"/>
  <c r="U177" i="17" s="1"/>
  <c r="W177" i="17" s="1"/>
  <c r="V178" i="17"/>
  <c r="U178" i="17" s="1"/>
  <c r="W178" i="17" s="1"/>
  <c r="V179" i="17"/>
  <c r="U179" i="17" s="1"/>
  <c r="W179" i="17" s="1"/>
  <c r="V180" i="17"/>
  <c r="U180" i="17" s="1"/>
  <c r="W180" i="17" s="1"/>
  <c r="V181" i="17"/>
  <c r="U181" i="17" s="1"/>
  <c r="W181" i="17" s="1"/>
  <c r="U182" i="17"/>
  <c r="W182" i="17" s="1"/>
  <c r="V182" i="17"/>
  <c r="V183" i="17"/>
  <c r="U183" i="17" s="1"/>
  <c r="W183" i="17" s="1"/>
  <c r="V184" i="17"/>
  <c r="U184" i="17" s="1"/>
  <c r="W184" i="17" s="1"/>
  <c r="V185" i="17"/>
  <c r="U185" i="17" s="1"/>
  <c r="W185" i="17" s="1"/>
  <c r="V186" i="17"/>
  <c r="U186" i="17" s="1"/>
  <c r="W186" i="17" s="1"/>
  <c r="V187" i="17"/>
  <c r="U187" i="17" s="1"/>
  <c r="W187" i="17" s="1"/>
  <c r="V188" i="17"/>
  <c r="U188" i="17" s="1"/>
  <c r="W188" i="17" s="1"/>
  <c r="U189" i="17"/>
  <c r="W189" i="17" s="1"/>
  <c r="V189" i="17"/>
  <c r="V190" i="17"/>
  <c r="U190" i="17" s="1"/>
  <c r="W190" i="17" s="1"/>
  <c r="V191" i="17"/>
  <c r="U191" i="17" s="1"/>
  <c r="W191" i="17" s="1"/>
  <c r="V192" i="17"/>
  <c r="U192" i="17" s="1"/>
  <c r="W192" i="17" s="1"/>
  <c r="V193" i="17"/>
  <c r="U193" i="17" s="1"/>
  <c r="W193" i="17" s="1"/>
  <c r="U194" i="17"/>
  <c r="W194" i="17" s="1"/>
  <c r="V194" i="17"/>
  <c r="V195" i="17"/>
  <c r="U195" i="17" s="1"/>
  <c r="W195" i="17" s="1"/>
  <c r="V196" i="17"/>
  <c r="U196" i="17" s="1"/>
  <c r="W196" i="17" s="1"/>
  <c r="V197" i="17"/>
  <c r="U197" i="17" s="1"/>
  <c r="W197" i="17" s="1"/>
  <c r="V198" i="17"/>
  <c r="U198" i="17" s="1"/>
  <c r="W198" i="17" s="1"/>
  <c r="V199" i="17"/>
  <c r="U199" i="17" s="1"/>
  <c r="W199" i="17" s="1"/>
  <c r="V200" i="17"/>
  <c r="U200" i="17" s="1"/>
  <c r="W200" i="17" s="1"/>
  <c r="V201" i="17"/>
  <c r="U201" i="17" s="1"/>
  <c r="W201" i="17" s="1"/>
  <c r="V202" i="17"/>
  <c r="U202" i="17" s="1"/>
  <c r="W202" i="17" s="1"/>
  <c r="V203" i="17"/>
  <c r="U203" i="17" s="1"/>
  <c r="W203" i="17"/>
  <c r="V204" i="17"/>
  <c r="U204" i="17" s="1"/>
  <c r="W204" i="17" s="1"/>
  <c r="V205" i="17"/>
  <c r="U205" i="17" s="1"/>
  <c r="W205" i="17" s="1"/>
  <c r="V206" i="17"/>
  <c r="U206" i="17" s="1"/>
  <c r="W206" i="17" s="1"/>
  <c r="V207" i="17"/>
  <c r="U207" i="17" s="1"/>
  <c r="W207" i="17" s="1"/>
  <c r="U208" i="17"/>
  <c r="W208" i="17" s="1"/>
  <c r="V208" i="17"/>
  <c r="V209" i="17"/>
  <c r="U209" i="17" s="1"/>
  <c r="W209" i="17" s="1"/>
  <c r="V210" i="17"/>
  <c r="U210" i="17" s="1"/>
  <c r="W210" i="17" s="1"/>
  <c r="V211" i="17"/>
  <c r="U211" i="17" s="1"/>
  <c r="W211" i="17" s="1"/>
  <c r="U212" i="17"/>
  <c r="W212" i="17" s="1"/>
  <c r="V212" i="17"/>
  <c r="V213" i="17"/>
  <c r="U213" i="17" s="1"/>
  <c r="W213" i="17" s="1"/>
  <c r="U214" i="17"/>
  <c r="W214" i="17" s="1"/>
  <c r="V214" i="17"/>
  <c r="V215" i="17"/>
  <c r="U215" i="17" s="1"/>
  <c r="W215" i="17" s="1"/>
  <c r="U216" i="17"/>
  <c r="V216" i="17"/>
  <c r="W216" i="17"/>
  <c r="V217" i="17"/>
  <c r="U217" i="17" s="1"/>
  <c r="W217" i="17" s="1"/>
  <c r="V218" i="17"/>
  <c r="U218" i="17" s="1"/>
  <c r="W218" i="17" s="1"/>
  <c r="V219" i="17"/>
  <c r="U219" i="17" s="1"/>
  <c r="W219" i="17" s="1"/>
  <c r="V220" i="17"/>
  <c r="U220" i="17" s="1"/>
  <c r="W220" i="17" s="1"/>
  <c r="V221" i="17"/>
  <c r="U221" i="17" s="1"/>
  <c r="W221" i="17" s="1"/>
  <c r="V222" i="17"/>
  <c r="U222" i="17" s="1"/>
  <c r="W222" i="17" s="1"/>
  <c r="V223" i="17"/>
  <c r="U223" i="17" s="1"/>
  <c r="W223" i="17" s="1"/>
  <c r="U224" i="17"/>
  <c r="W224" i="17" s="1"/>
  <c r="V224" i="17"/>
  <c r="V225" i="17"/>
  <c r="U225" i="17" s="1"/>
  <c r="W225" i="17" s="1"/>
  <c r="V226" i="17"/>
  <c r="U226" i="17" s="1"/>
  <c r="W226" i="17" s="1"/>
  <c r="V227" i="17"/>
  <c r="U227" i="17" s="1"/>
  <c r="W227" i="17" s="1"/>
  <c r="V228" i="17"/>
  <c r="U228" i="17" s="1"/>
  <c r="W228" i="17" s="1"/>
  <c r="V229" i="17"/>
  <c r="U229" i="17" s="1"/>
  <c r="W229" i="17" s="1"/>
  <c r="U230" i="17"/>
  <c r="W230" i="17" s="1"/>
  <c r="V230" i="17"/>
  <c r="V231" i="17"/>
  <c r="U231" i="17" s="1"/>
  <c r="W231" i="17"/>
  <c r="V232" i="17"/>
  <c r="U232" i="17" s="1"/>
  <c r="W232" i="17" s="1"/>
  <c r="V233" i="17"/>
  <c r="U233" i="17" s="1"/>
  <c r="W233" i="17" s="1"/>
  <c r="U234" i="17"/>
  <c r="W234" i="17" s="1"/>
  <c r="V234" i="17"/>
  <c r="V235" i="17"/>
  <c r="U235" i="17" s="1"/>
  <c r="W235" i="17" s="1"/>
  <c r="U236" i="17"/>
  <c r="W236" i="17" s="1"/>
  <c r="V236" i="17"/>
  <c r="V237" i="17"/>
  <c r="U237" i="17" s="1"/>
  <c r="W237" i="17" s="1"/>
  <c r="V238" i="17"/>
  <c r="U238" i="17" s="1"/>
  <c r="W238" i="17" s="1"/>
  <c r="V239" i="17"/>
  <c r="U239" i="17" s="1"/>
  <c r="W239" i="17" s="1"/>
  <c r="V240" i="17"/>
  <c r="U240" i="17" s="1"/>
  <c r="W240" i="17" s="1"/>
  <c r="V241" i="17"/>
  <c r="U241" i="17" s="1"/>
  <c r="W241" i="17" s="1"/>
  <c r="V242" i="17"/>
  <c r="U242" i="17" s="1"/>
  <c r="W242" i="17" s="1"/>
  <c r="V243" i="17"/>
  <c r="U243" i="17" s="1"/>
  <c r="W243" i="17" s="1"/>
  <c r="V244" i="17"/>
  <c r="U244" i="17" s="1"/>
  <c r="W244" i="17" s="1"/>
  <c r="V245" i="17"/>
  <c r="U245" i="17" s="1"/>
  <c r="W245" i="17" s="1"/>
  <c r="V246" i="17"/>
  <c r="U246" i="17" s="1"/>
  <c r="W246" i="17" s="1"/>
  <c r="V247" i="17"/>
  <c r="U247" i="17" s="1"/>
  <c r="W247" i="17"/>
  <c r="U248" i="17"/>
  <c r="W248" i="17" s="1"/>
  <c r="V248" i="17"/>
  <c r="V249" i="17"/>
  <c r="U249" i="17" s="1"/>
  <c r="W249" i="17" s="1"/>
  <c r="V250" i="17"/>
  <c r="U250" i="17" s="1"/>
  <c r="W250" i="17" s="1"/>
  <c r="V251" i="17"/>
  <c r="U251" i="17" s="1"/>
  <c r="W251" i="17"/>
  <c r="V252" i="17"/>
  <c r="U252" i="17" s="1"/>
  <c r="W252" i="17" s="1"/>
  <c r="V253" i="17"/>
  <c r="U253" i="17" s="1"/>
  <c r="W253" i="17" s="1"/>
  <c r="U254" i="17"/>
  <c r="W254" i="17" s="1"/>
  <c r="V254" i="17"/>
  <c r="U255" i="17"/>
  <c r="W255" i="17" s="1"/>
  <c r="V255" i="17"/>
  <c r="V256" i="17"/>
  <c r="U256" i="17" s="1"/>
  <c r="W256" i="17" s="1"/>
  <c r="V257" i="17"/>
  <c r="U257" i="17" s="1"/>
  <c r="W257" i="17" s="1"/>
  <c r="V258" i="17"/>
  <c r="U258" i="17" s="1"/>
  <c r="W258" i="17" s="1"/>
  <c r="V259" i="17"/>
  <c r="U259" i="17" s="1"/>
  <c r="W259" i="17" s="1"/>
  <c r="V260" i="17"/>
  <c r="U260" i="17" s="1"/>
  <c r="W260" i="17" s="1"/>
  <c r="U261" i="17"/>
  <c r="W261" i="17" s="1"/>
  <c r="V261" i="17"/>
  <c r="V262" i="17"/>
  <c r="U262" i="17" s="1"/>
  <c r="W262" i="17" s="1"/>
  <c r="V263" i="17"/>
  <c r="U263" i="17" s="1"/>
  <c r="W263" i="17" s="1"/>
  <c r="V264" i="17"/>
  <c r="U264" i="17" s="1"/>
  <c r="W264" i="17"/>
  <c r="V265" i="17"/>
  <c r="U265" i="17" s="1"/>
  <c r="W265" i="17" s="1"/>
  <c r="U266" i="17"/>
  <c r="W266" i="17" s="1"/>
  <c r="V266" i="17"/>
  <c r="U267" i="17"/>
  <c r="W267" i="17" s="1"/>
  <c r="V267" i="17"/>
  <c r="V268" i="17"/>
  <c r="U268" i="17" s="1"/>
  <c r="W268" i="17" s="1"/>
  <c r="V269" i="17"/>
  <c r="U269" i="17" s="1"/>
  <c r="W269" i="17" s="1"/>
  <c r="V270" i="17"/>
  <c r="U270" i="17" s="1"/>
  <c r="W270" i="17" s="1"/>
  <c r="V271" i="17"/>
  <c r="U271" i="17" s="1"/>
  <c r="W271" i="17" s="1"/>
  <c r="U272" i="17"/>
  <c r="W272" i="17" s="1"/>
  <c r="V272" i="17"/>
  <c r="V273" i="17"/>
  <c r="U273" i="17" s="1"/>
  <c r="W273" i="17" s="1"/>
  <c r="V274" i="17"/>
  <c r="U274" i="17" s="1"/>
  <c r="W274" i="17" s="1"/>
  <c r="V275" i="17"/>
  <c r="U275" i="17" s="1"/>
  <c r="W275" i="17" s="1"/>
  <c r="V276" i="17"/>
  <c r="U276" i="17" s="1"/>
  <c r="W276" i="17" s="1"/>
  <c r="V277" i="17"/>
  <c r="U277" i="17" s="1"/>
  <c r="W277" i="17" s="1"/>
  <c r="U278" i="17"/>
  <c r="W278" i="17" s="1"/>
  <c r="V278" i="17"/>
  <c r="V279" i="17"/>
  <c r="U279" i="17" s="1"/>
  <c r="W279" i="17" s="1"/>
  <c r="V280" i="17"/>
  <c r="U280" i="17" s="1"/>
  <c r="W280" i="17" s="1"/>
  <c r="V281" i="17"/>
  <c r="U281" i="17" s="1"/>
  <c r="W281" i="17" s="1"/>
  <c r="V282" i="17"/>
  <c r="U282" i="17" s="1"/>
  <c r="W282" i="17" s="1"/>
  <c r="V283" i="17"/>
  <c r="U283" i="17" s="1"/>
  <c r="W283" i="17" s="1"/>
  <c r="V284" i="17"/>
  <c r="U284" i="17" s="1"/>
  <c r="W284" i="17" s="1"/>
  <c r="V285" i="17"/>
  <c r="U285" i="17" s="1"/>
  <c r="W285" i="17" s="1"/>
  <c r="V286" i="17"/>
  <c r="U286" i="17" s="1"/>
  <c r="W286" i="17" s="1"/>
  <c r="V287" i="17"/>
  <c r="U287" i="17" s="1"/>
  <c r="W287" i="17" s="1"/>
  <c r="V288" i="17"/>
  <c r="U288" i="17" s="1"/>
  <c r="W288" i="17" s="1"/>
  <c r="V289" i="17"/>
  <c r="U289" i="17" s="1"/>
  <c r="W289" i="17" s="1"/>
  <c r="V290" i="17"/>
  <c r="U290" i="17" s="1"/>
  <c r="W290" i="17" s="1"/>
  <c r="V291" i="17"/>
  <c r="U291" i="17" s="1"/>
  <c r="W291" i="17" s="1"/>
  <c r="V292" i="17"/>
  <c r="U292" i="17" s="1"/>
  <c r="W292" i="17" s="1"/>
  <c r="U293" i="17"/>
  <c r="W293" i="17" s="1"/>
  <c r="V293" i="17"/>
  <c r="V294" i="17"/>
  <c r="U294" i="17" s="1"/>
  <c r="W294" i="17" s="1"/>
  <c r="V295" i="17"/>
  <c r="U295" i="17" s="1"/>
  <c r="W295" i="17" s="1"/>
  <c r="V296" i="17"/>
  <c r="U296" i="17" s="1"/>
  <c r="W296" i="17" s="1"/>
  <c r="V297" i="17"/>
  <c r="U297" i="17" s="1"/>
  <c r="W297" i="17"/>
  <c r="V298" i="17"/>
  <c r="U298" i="17" s="1"/>
  <c r="W298" i="17" s="1"/>
  <c r="V299" i="17"/>
  <c r="U299" i="17" s="1"/>
  <c r="W299" i="17" s="1"/>
  <c r="V300" i="17"/>
  <c r="U300" i="17" s="1"/>
  <c r="W300" i="17" s="1"/>
  <c r="U301" i="17"/>
  <c r="W301" i="17" s="1"/>
  <c r="V301" i="17"/>
  <c r="V302" i="17"/>
  <c r="U302" i="17" s="1"/>
  <c r="W302" i="17" s="1"/>
  <c r="V303" i="17"/>
  <c r="U303" i="17" s="1"/>
  <c r="W303" i="17" s="1"/>
  <c r="V304" i="17"/>
  <c r="U304" i="17" s="1"/>
  <c r="W304" i="17" s="1"/>
  <c r="V305" i="17"/>
  <c r="U305" i="17" s="1"/>
  <c r="W305" i="17" s="1"/>
  <c r="V306" i="17"/>
  <c r="U306" i="17" s="1"/>
  <c r="W306" i="17" s="1"/>
  <c r="V307" i="17"/>
  <c r="U307" i="17" s="1"/>
  <c r="W307" i="17" s="1"/>
  <c r="U308" i="17"/>
  <c r="W308" i="17" s="1"/>
  <c r="V308" i="17"/>
  <c r="V309" i="17"/>
  <c r="U309" i="17" s="1"/>
  <c r="W309" i="17" s="1"/>
  <c r="V310" i="17"/>
  <c r="U310" i="17" s="1"/>
  <c r="W310" i="17" s="1"/>
  <c r="V311" i="17"/>
  <c r="U311" i="17" s="1"/>
  <c r="W311" i="17" s="1"/>
  <c r="V312" i="17"/>
  <c r="U312" i="17" s="1"/>
  <c r="W312" i="17" s="1"/>
  <c r="U313" i="17"/>
  <c r="W313" i="17" s="1"/>
  <c r="V313" i="17"/>
  <c r="U314" i="17"/>
  <c r="W314" i="17" s="1"/>
  <c r="V314" i="17"/>
  <c r="V315" i="17"/>
  <c r="U315" i="17" s="1"/>
  <c r="W315" i="17" s="1"/>
  <c r="V316" i="17"/>
  <c r="U316" i="17" s="1"/>
  <c r="W316" i="17" s="1"/>
  <c r="V317" i="17"/>
  <c r="U317" i="17" s="1"/>
  <c r="W317" i="17" s="1"/>
  <c r="V318" i="17"/>
  <c r="U318" i="17" s="1"/>
  <c r="W318" i="17" s="1"/>
  <c r="V319" i="17"/>
  <c r="U319" i="17" s="1"/>
  <c r="W319" i="17" s="1"/>
  <c r="U320" i="17"/>
  <c r="W320" i="17" s="1"/>
  <c r="V320" i="17"/>
  <c r="V321" i="17"/>
  <c r="U321" i="17" s="1"/>
  <c r="W321" i="17" s="1"/>
  <c r="V322" i="17"/>
  <c r="U322" i="17" s="1"/>
  <c r="W322" i="17"/>
  <c r="V323" i="17"/>
  <c r="U323" i="17" s="1"/>
  <c r="W323" i="17" s="1"/>
  <c r="V324" i="17"/>
  <c r="U324" i="17" s="1"/>
  <c r="W324" i="17" s="1"/>
  <c r="V325" i="17"/>
  <c r="U325" i="17" s="1"/>
  <c r="W325" i="17" s="1"/>
  <c r="U326" i="17"/>
  <c r="W326" i="17" s="1"/>
  <c r="V326" i="17"/>
  <c r="V327" i="17"/>
  <c r="U327" i="17" s="1"/>
  <c r="W327" i="17" s="1"/>
  <c r="U328" i="17"/>
  <c r="W328" i="17" s="1"/>
  <c r="V328" i="17"/>
  <c r="V329" i="17"/>
  <c r="U329" i="17" s="1"/>
  <c r="W329" i="17" s="1"/>
  <c r="V330" i="17"/>
  <c r="U330" i="17" s="1"/>
  <c r="W330" i="17" s="1"/>
  <c r="V331" i="17"/>
  <c r="U331" i="17" s="1"/>
  <c r="W331" i="17" s="1"/>
  <c r="V332" i="17"/>
  <c r="U332" i="17" s="1"/>
  <c r="W332" i="17" s="1"/>
  <c r="U333" i="17"/>
  <c r="W333" i="17" s="1"/>
  <c r="V333" i="17"/>
  <c r="U334" i="17"/>
  <c r="W334" i="17" s="1"/>
  <c r="V334" i="17"/>
  <c r="V335" i="17"/>
  <c r="U335" i="17" s="1"/>
  <c r="W335" i="17" s="1"/>
  <c r="V336" i="17"/>
  <c r="U336" i="17" s="1"/>
  <c r="W336" i="17"/>
  <c r="U337" i="17"/>
  <c r="W337" i="17" s="1"/>
  <c r="V337" i="17"/>
  <c r="U338" i="17"/>
  <c r="W338" i="17" s="1"/>
  <c r="V338" i="17"/>
  <c r="U339" i="17"/>
  <c r="W339" i="17" s="1"/>
  <c r="V339" i="17"/>
  <c r="V340" i="17"/>
  <c r="U340" i="17" s="1"/>
  <c r="W340" i="17" s="1"/>
  <c r="V341" i="17"/>
  <c r="U341" i="17" s="1"/>
  <c r="W341" i="17" s="1"/>
  <c r="V342" i="17"/>
  <c r="U342" i="17" s="1"/>
  <c r="W342" i="17" s="1"/>
  <c r="V343" i="17"/>
  <c r="U343" i="17" s="1"/>
  <c r="W343" i="17" s="1"/>
  <c r="V344" i="17"/>
  <c r="U344" i="17" s="1"/>
  <c r="W344" i="17" s="1"/>
  <c r="V345" i="17"/>
  <c r="U345" i="17" s="1"/>
  <c r="W345" i="17" s="1"/>
  <c r="U346" i="17"/>
  <c r="W346" i="17" s="1"/>
  <c r="V346" i="17"/>
  <c r="V347" i="17"/>
  <c r="U347" i="17" s="1"/>
  <c r="W347" i="17" s="1"/>
  <c r="V348" i="17"/>
  <c r="U348" i="17" s="1"/>
  <c r="W348" i="17" s="1"/>
  <c r="V349" i="17"/>
  <c r="U349" i="17" s="1"/>
  <c r="W349" i="17" s="1"/>
  <c r="V350" i="17"/>
  <c r="U350" i="17" s="1"/>
  <c r="W350" i="17" s="1"/>
  <c r="V351" i="17"/>
  <c r="U351" i="17" s="1"/>
  <c r="W351" i="17" s="1"/>
  <c r="V352" i="17"/>
  <c r="U352" i="17" s="1"/>
  <c r="W352" i="17" s="1"/>
  <c r="V353" i="17"/>
  <c r="U353" i="17" s="1"/>
  <c r="W353" i="17" s="1"/>
  <c r="V354" i="17"/>
  <c r="U354" i="17" s="1"/>
  <c r="W354" i="17" s="1"/>
  <c r="V355" i="17"/>
  <c r="U355" i="17" s="1"/>
  <c r="W355" i="17" s="1"/>
  <c r="V356" i="17"/>
  <c r="U356" i="17" s="1"/>
  <c r="W356" i="17" s="1"/>
  <c r="V357" i="17"/>
  <c r="U357" i="17" s="1"/>
  <c r="W357" i="17" s="1"/>
  <c r="V358" i="17"/>
  <c r="U358" i="17" s="1"/>
  <c r="W358" i="17" s="1"/>
  <c r="V359" i="17"/>
  <c r="U359" i="17" s="1"/>
  <c r="W359" i="17" s="1"/>
  <c r="V360" i="17"/>
  <c r="U360" i="17" s="1"/>
  <c r="W360" i="17" s="1"/>
  <c r="V361" i="17"/>
  <c r="U361" i="17" s="1"/>
  <c r="W361" i="17" s="1"/>
  <c r="V362" i="17"/>
  <c r="U362" i="17" s="1"/>
  <c r="W362" i="17" s="1"/>
  <c r="V363" i="17"/>
  <c r="U363" i="17" s="1"/>
  <c r="W363" i="17" s="1"/>
  <c r="U364" i="17"/>
  <c r="W364" i="17" s="1"/>
  <c r="V364" i="17"/>
  <c r="V365" i="17"/>
  <c r="U365" i="17" s="1"/>
  <c r="W365" i="17" s="1"/>
  <c r="V366" i="17"/>
  <c r="U366" i="17" s="1"/>
  <c r="W366" i="17" s="1"/>
  <c r="V367" i="17"/>
  <c r="U367" i="17" s="1"/>
  <c r="W367" i="17" s="1"/>
  <c r="V368" i="17"/>
  <c r="U368" i="17" s="1"/>
  <c r="W368" i="17" s="1"/>
  <c r="V369" i="17"/>
  <c r="U369" i="17" s="1"/>
  <c r="W369" i="17" s="1"/>
  <c r="V370" i="17"/>
  <c r="U370" i="17" s="1"/>
  <c r="W370" i="17" s="1"/>
  <c r="V371" i="17"/>
  <c r="U371" i="17" s="1"/>
  <c r="W371" i="17" s="1"/>
  <c r="G2" i="13"/>
  <c r="Z2745" i="7" s="1"/>
  <c r="H3" i="13"/>
  <c r="E4" i="13"/>
  <c r="J957" i="5" s="1"/>
  <c r="G4" i="13"/>
  <c r="E5" i="13"/>
  <c r="G5" i="13"/>
  <c r="E6" i="13"/>
  <c r="G6" i="13"/>
  <c r="E7" i="13"/>
  <c r="G7" i="13"/>
  <c r="E8" i="13"/>
  <c r="K472" i="9" s="1"/>
  <c r="G8" i="13"/>
  <c r="E9" i="13"/>
  <c r="J971" i="5" s="1"/>
  <c r="G9" i="13"/>
  <c r="E10" i="13"/>
  <c r="J972" i="5" s="1"/>
  <c r="G10" i="13"/>
  <c r="E11" i="13"/>
  <c r="J973" i="5" s="1"/>
  <c r="G11" i="13"/>
  <c r="E12" i="13"/>
  <c r="J974" i="5" s="1"/>
  <c r="G12" i="13"/>
  <c r="E13" i="13"/>
  <c r="I16" i="12" s="1"/>
  <c r="G13" i="13"/>
  <c r="E14" i="13"/>
  <c r="J993" i="5" s="1"/>
  <c r="G14" i="13"/>
  <c r="E15" i="13"/>
  <c r="J880" i="5" s="1"/>
  <c r="G15" i="13"/>
  <c r="E16" i="13"/>
  <c r="J881" i="5" s="1"/>
  <c r="G16" i="13"/>
  <c r="E17" i="13"/>
  <c r="J882" i="5" s="1"/>
  <c r="G17" i="13"/>
  <c r="E18" i="13"/>
  <c r="J883" i="5" s="1"/>
  <c r="G18" i="13"/>
  <c r="E19" i="13"/>
  <c r="J884" i="5" s="1"/>
  <c r="G19" i="13"/>
  <c r="E20" i="13"/>
  <c r="J878" i="5" s="1"/>
  <c r="G20" i="13"/>
  <c r="E21" i="13"/>
  <c r="J879" i="5" s="1"/>
  <c r="G21" i="13"/>
  <c r="E22" i="13"/>
  <c r="J962" i="5" s="1"/>
  <c r="G22" i="13"/>
  <c r="E23" i="13"/>
  <c r="J963" i="5" s="1"/>
  <c r="G23" i="13"/>
  <c r="E24" i="13"/>
  <c r="I2630" i="7" s="1"/>
  <c r="G24" i="13"/>
  <c r="E25" i="13"/>
  <c r="G25" i="13"/>
  <c r="E26" i="13"/>
  <c r="I2635" i="7" s="1"/>
  <c r="E2635" i="7" s="1"/>
  <c r="G26" i="13"/>
  <c r="E27" i="13"/>
  <c r="I2650" i="7" s="1"/>
  <c r="J2650" i="7" s="1"/>
  <c r="G27" i="13"/>
  <c r="E28" i="13"/>
  <c r="I2620" i="7" s="1"/>
  <c r="G28" i="13"/>
  <c r="E29" i="13"/>
  <c r="I2625" i="7" s="1"/>
  <c r="G29" i="13"/>
  <c r="E30" i="13"/>
  <c r="J988" i="5" s="1"/>
  <c r="G30" i="13"/>
  <c r="E31" i="13"/>
  <c r="I976" i="7" s="1"/>
  <c r="G31" i="13"/>
  <c r="E32" i="13"/>
  <c r="I993" i="7" s="1"/>
  <c r="G32" i="13"/>
  <c r="E33" i="13"/>
  <c r="G33" i="13"/>
  <c r="E34" i="13"/>
  <c r="J897" i="5" s="1"/>
  <c r="G34" i="13"/>
  <c r="E35" i="13"/>
  <c r="J898" i="5" s="1"/>
  <c r="G35" i="13"/>
  <c r="E36" i="13"/>
  <c r="J899" i="5" s="1"/>
  <c r="G36" i="13"/>
  <c r="E37" i="13"/>
  <c r="J900" i="5" s="1"/>
  <c r="G37" i="13"/>
  <c r="E38" i="13"/>
  <c r="G38" i="13"/>
  <c r="E39" i="13"/>
  <c r="G39" i="13"/>
  <c r="E40" i="13"/>
  <c r="G40" i="13"/>
  <c r="E41" i="13"/>
  <c r="G41" i="13"/>
  <c r="E42" i="13"/>
  <c r="J672" i="5" s="1"/>
  <c r="G42" i="13"/>
  <c r="E43" i="13"/>
  <c r="G43" i="13"/>
  <c r="E44" i="13"/>
  <c r="G44" i="13"/>
  <c r="E45" i="13"/>
  <c r="G45" i="13"/>
  <c r="E46" i="13"/>
  <c r="G46" i="13"/>
  <c r="E47" i="13"/>
  <c r="G47" i="13"/>
  <c r="E48" i="13"/>
  <c r="G48" i="13"/>
  <c r="E49" i="13"/>
  <c r="G49" i="13"/>
  <c r="E50" i="13"/>
  <c r="G50" i="13"/>
  <c r="E51" i="13"/>
  <c r="G51" i="13"/>
  <c r="E52" i="13"/>
  <c r="G52" i="13"/>
  <c r="E53" i="13"/>
  <c r="G53" i="13"/>
  <c r="E54" i="13"/>
  <c r="G54" i="13"/>
  <c r="E55" i="13"/>
  <c r="J685" i="5" s="1"/>
  <c r="G55" i="13"/>
  <c r="E56" i="13"/>
  <c r="G56" i="13"/>
  <c r="E57" i="13"/>
  <c r="G57" i="13"/>
  <c r="E58" i="13"/>
  <c r="G58" i="13"/>
  <c r="E59" i="13"/>
  <c r="G59" i="13"/>
  <c r="E60" i="13"/>
  <c r="G60" i="13"/>
  <c r="E61" i="13"/>
  <c r="G61" i="13"/>
  <c r="E62" i="13"/>
  <c r="G62" i="13"/>
  <c r="E63" i="13"/>
  <c r="G63" i="13"/>
  <c r="E64" i="13"/>
  <c r="J967" i="5" s="1"/>
  <c r="G64" i="13"/>
  <c r="E65" i="13"/>
  <c r="J970" i="5" s="1"/>
  <c r="G65" i="13"/>
  <c r="E66" i="13"/>
  <c r="G66" i="13"/>
  <c r="E67" i="13"/>
  <c r="G67" i="13"/>
  <c r="E68" i="13"/>
  <c r="J975" i="5" s="1"/>
  <c r="G68" i="13"/>
  <c r="E69" i="13"/>
  <c r="G69" i="13"/>
  <c r="E70" i="13"/>
  <c r="G70" i="13"/>
  <c r="E71" i="13"/>
  <c r="J977" i="5" s="1"/>
  <c r="G71" i="13"/>
  <c r="E72" i="13"/>
  <c r="G72" i="13"/>
  <c r="E73" i="13"/>
  <c r="G73" i="13"/>
  <c r="E74" i="13"/>
  <c r="G74" i="13"/>
  <c r="E75" i="13"/>
  <c r="G75" i="13"/>
  <c r="E76" i="13"/>
  <c r="I2832" i="7" s="1"/>
  <c r="G76" i="13"/>
  <c r="E77" i="13"/>
  <c r="J901" i="5" s="1"/>
  <c r="G77" i="13"/>
  <c r="E78" i="13"/>
  <c r="J902" i="5" s="1"/>
  <c r="G78" i="13"/>
  <c r="E79" i="13"/>
  <c r="J903" i="5" s="1"/>
  <c r="G79" i="13"/>
  <c r="E80" i="13"/>
  <c r="J904" i="5" s="1"/>
  <c r="G80" i="13"/>
  <c r="E81" i="13"/>
  <c r="I3592" i="7" s="1"/>
  <c r="E3592" i="7" s="1"/>
  <c r="G81" i="13"/>
  <c r="E82" i="13"/>
  <c r="J745" i="5" s="1"/>
  <c r="G82" i="13"/>
  <c r="E83" i="13"/>
  <c r="J876" i="5" s="1"/>
  <c r="G83" i="13"/>
  <c r="E84" i="13"/>
  <c r="J969" i="5" s="1"/>
  <c r="G84" i="13"/>
  <c r="E85" i="13"/>
  <c r="J985" i="5" s="1"/>
  <c r="G85" i="13"/>
  <c r="E86" i="13"/>
  <c r="G86" i="13"/>
  <c r="E87" i="13"/>
  <c r="G87" i="13"/>
  <c r="E88" i="13"/>
  <c r="G88" i="13"/>
  <c r="E89" i="13"/>
  <c r="G89" i="13"/>
  <c r="E90" i="13"/>
  <c r="G90" i="13"/>
  <c r="E91" i="13"/>
  <c r="J831" i="5" s="1"/>
  <c r="G91" i="13"/>
  <c r="E92" i="13"/>
  <c r="J987" i="5" s="1"/>
  <c r="G92" i="13"/>
  <c r="E93" i="13"/>
  <c r="J989" i="5" s="1"/>
  <c r="G93" i="13"/>
  <c r="E94" i="13"/>
  <c r="J743" i="5" s="1"/>
  <c r="G94" i="13"/>
  <c r="E95" i="13"/>
  <c r="J744" i="5" s="1"/>
  <c r="G95" i="13"/>
  <c r="E96" i="13"/>
  <c r="G96" i="13"/>
  <c r="E97" i="13"/>
  <c r="G97" i="13"/>
  <c r="E98" i="13"/>
  <c r="G98" i="13"/>
  <c r="E99" i="13"/>
  <c r="G99" i="13"/>
  <c r="E100" i="13"/>
  <c r="G100" i="13"/>
  <c r="E101" i="13"/>
  <c r="G101" i="13"/>
  <c r="E102" i="13"/>
  <c r="G102" i="13"/>
  <c r="E103" i="13"/>
  <c r="G103" i="13"/>
  <c r="E104" i="13"/>
  <c r="G104" i="13"/>
  <c r="E105" i="13"/>
  <c r="G105" i="13"/>
  <c r="E106" i="13"/>
  <c r="G106" i="13"/>
  <c r="E107" i="13"/>
  <c r="G107" i="13"/>
  <c r="E108" i="13"/>
  <c r="G108" i="13"/>
  <c r="E109" i="13"/>
  <c r="G109" i="13"/>
  <c r="E110" i="13"/>
  <c r="J867" i="5" s="1"/>
  <c r="G110" i="13"/>
  <c r="E111" i="13"/>
  <c r="G111" i="13"/>
  <c r="E112" i="13"/>
  <c r="G112" i="13"/>
  <c r="E113" i="13"/>
  <c r="J865" i="5" s="1"/>
  <c r="G113" i="13"/>
  <c r="E114" i="13"/>
  <c r="G114" i="13"/>
  <c r="E115" i="13"/>
  <c r="I2837" i="7" s="1"/>
  <c r="G115" i="13"/>
  <c r="E116" i="13"/>
  <c r="G116" i="13"/>
  <c r="E117" i="13"/>
  <c r="I2836" i="7" s="1"/>
  <c r="G117" i="13"/>
  <c r="E118" i="13"/>
  <c r="J895" i="5" s="1"/>
  <c r="G118" i="13"/>
  <c r="E119" i="13"/>
  <c r="J896" i="5" s="1"/>
  <c r="G119" i="13"/>
  <c r="E120" i="13"/>
  <c r="J945" i="5" s="1"/>
  <c r="G120" i="13"/>
  <c r="E121" i="13"/>
  <c r="J946" i="5" s="1"/>
  <c r="G121" i="13"/>
  <c r="E122" i="13"/>
  <c r="J947" i="5" s="1"/>
  <c r="G122" i="13"/>
  <c r="E123" i="13"/>
  <c r="J948" i="5" s="1"/>
  <c r="G123" i="13"/>
  <c r="E124" i="13"/>
  <c r="J949" i="5" s="1"/>
  <c r="G124" i="13"/>
  <c r="E125" i="13"/>
  <c r="G125" i="13"/>
  <c r="E126" i="13"/>
  <c r="G126" i="13"/>
  <c r="E127" i="13"/>
  <c r="G127" i="13"/>
  <c r="E128" i="13"/>
  <c r="G128" i="13"/>
  <c r="E129" i="13"/>
  <c r="G129" i="13"/>
  <c r="E130" i="13"/>
  <c r="G130" i="13"/>
  <c r="E131" i="13"/>
  <c r="G131" i="13"/>
  <c r="E132" i="13"/>
  <c r="G132" i="13"/>
  <c r="E133" i="13"/>
  <c r="G133" i="13"/>
  <c r="E134" i="13"/>
  <c r="G134" i="13"/>
  <c r="E135" i="13"/>
  <c r="G135" i="13"/>
  <c r="E136" i="13"/>
  <c r="G136" i="13"/>
  <c r="E137" i="13"/>
  <c r="J966" i="5" s="1"/>
  <c r="G137" i="13"/>
  <c r="E138" i="13"/>
  <c r="J937" i="5" s="1"/>
  <c r="G138" i="13"/>
  <c r="E139" i="13"/>
  <c r="J938" i="5" s="1"/>
  <c r="G139" i="13"/>
  <c r="E140" i="13"/>
  <c r="J939" i="5" s="1"/>
  <c r="G140" i="13"/>
  <c r="E141" i="13"/>
  <c r="J940" i="5" s="1"/>
  <c r="G141" i="13"/>
  <c r="E142" i="13"/>
  <c r="J842" i="5" s="1"/>
  <c r="G142" i="13"/>
  <c r="E143" i="13"/>
  <c r="J843" i="5" s="1"/>
  <c r="G143" i="13"/>
  <c r="E144" i="13"/>
  <c r="G144" i="13"/>
  <c r="E145" i="13"/>
  <c r="G145" i="13"/>
  <c r="E146" i="13"/>
  <c r="G146" i="13"/>
  <c r="E147" i="13"/>
  <c r="G147" i="13"/>
  <c r="E148" i="13"/>
  <c r="J695" i="5" s="1"/>
  <c r="G148" i="13"/>
  <c r="E149" i="13"/>
  <c r="G149" i="13"/>
  <c r="E150" i="13"/>
  <c r="G150" i="13"/>
  <c r="E151" i="13"/>
  <c r="I414" i="7" s="1"/>
  <c r="G151" i="13"/>
  <c r="E152" i="13"/>
  <c r="G152" i="13"/>
  <c r="E153" i="13"/>
  <c r="G153" i="13"/>
  <c r="E154" i="13"/>
  <c r="G154" i="13"/>
  <c r="E155" i="13"/>
  <c r="G155" i="13"/>
  <c r="E156" i="13"/>
  <c r="G156" i="13"/>
  <c r="E157" i="13"/>
  <c r="G157" i="13"/>
  <c r="E158" i="13"/>
  <c r="G158" i="13"/>
  <c r="E159" i="13"/>
  <c r="J707" i="5" s="1"/>
  <c r="G159" i="13"/>
  <c r="E160" i="13"/>
  <c r="G160" i="13"/>
  <c r="E161" i="13"/>
  <c r="G161" i="13"/>
  <c r="E162" i="13"/>
  <c r="G162" i="13"/>
  <c r="E163" i="13"/>
  <c r="G163" i="13"/>
  <c r="E164" i="13"/>
  <c r="G164" i="13"/>
  <c r="E165" i="13"/>
  <c r="G165" i="13"/>
  <c r="E166" i="13"/>
  <c r="G166" i="13"/>
  <c r="E167" i="13"/>
  <c r="G167" i="13"/>
  <c r="E168" i="13"/>
  <c r="G168" i="13"/>
  <c r="E169" i="13"/>
  <c r="G169" i="13"/>
  <c r="E170" i="13"/>
  <c r="G170" i="13"/>
  <c r="E171" i="13"/>
  <c r="G171" i="13"/>
  <c r="E172" i="13"/>
  <c r="J791" i="5" s="1"/>
  <c r="G172" i="13"/>
  <c r="E173" i="13"/>
  <c r="J799" i="5" s="1"/>
  <c r="G173" i="13"/>
  <c r="E174" i="13"/>
  <c r="J792" i="5" s="1"/>
  <c r="G174" i="13"/>
  <c r="E175" i="13"/>
  <c r="J793" i="5" s="1"/>
  <c r="G175" i="13"/>
  <c r="E176" i="13"/>
  <c r="J794" i="5" s="1"/>
  <c r="G176" i="13"/>
  <c r="E177" i="13"/>
  <c r="J787" i="5" s="1"/>
  <c r="G177" i="13"/>
  <c r="E178" i="13"/>
  <c r="J795" i="5" s="1"/>
  <c r="G178" i="13"/>
  <c r="E179" i="13"/>
  <c r="J788" i="5" s="1"/>
  <c r="G179" i="13"/>
  <c r="E180" i="13"/>
  <c r="J796" i="5" s="1"/>
  <c r="G180" i="13"/>
  <c r="E181" i="13"/>
  <c r="J797" i="5" s="1"/>
  <c r="G181" i="13"/>
  <c r="E182" i="13"/>
  <c r="J789" i="5" s="1"/>
  <c r="G182" i="13"/>
  <c r="E183" i="13"/>
  <c r="J798" i="5" s="1"/>
  <c r="G183" i="13"/>
  <c r="E184" i="13"/>
  <c r="J790" i="5" s="1"/>
  <c r="G184" i="13"/>
  <c r="E185" i="13"/>
  <c r="J778" i="5" s="1"/>
  <c r="G185" i="13"/>
  <c r="E186" i="13"/>
  <c r="J786" i="5" s="1"/>
  <c r="G186" i="13"/>
  <c r="E187" i="13"/>
  <c r="J779" i="5" s="1"/>
  <c r="G187" i="13"/>
  <c r="E188" i="13"/>
  <c r="J780" i="5" s="1"/>
  <c r="G188" i="13"/>
  <c r="E189" i="13"/>
  <c r="J781" i="5" s="1"/>
  <c r="G189" i="13"/>
  <c r="E190" i="13"/>
  <c r="J774" i="5" s="1"/>
  <c r="G190" i="13"/>
  <c r="E191" i="13"/>
  <c r="J782" i="5" s="1"/>
  <c r="G191" i="13"/>
  <c r="E192" i="13"/>
  <c r="J775" i="5" s="1"/>
  <c r="G192" i="13"/>
  <c r="E193" i="13"/>
  <c r="J783" i="5" s="1"/>
  <c r="G193" i="13"/>
  <c r="E194" i="13"/>
  <c r="J784" i="5" s="1"/>
  <c r="G194" i="13"/>
  <c r="E195" i="13"/>
  <c r="J776" i="5" s="1"/>
  <c r="G195" i="13"/>
  <c r="E196" i="13"/>
  <c r="J785" i="5" s="1"/>
  <c r="G196" i="13"/>
  <c r="E197" i="13"/>
  <c r="J777" i="5" s="1"/>
  <c r="G197" i="13"/>
  <c r="E198" i="13"/>
  <c r="J765" i="5" s="1"/>
  <c r="G198" i="13"/>
  <c r="E199" i="13"/>
  <c r="J773" i="5" s="1"/>
  <c r="G199" i="13"/>
  <c r="E200" i="13"/>
  <c r="J766" i="5" s="1"/>
  <c r="G200" i="13"/>
  <c r="E201" i="13"/>
  <c r="J767" i="5" s="1"/>
  <c r="G201" i="13"/>
  <c r="E202" i="13"/>
  <c r="J768" i="5" s="1"/>
  <c r="G202" i="13"/>
  <c r="E203" i="13"/>
  <c r="J761" i="5" s="1"/>
  <c r="G203" i="13"/>
  <c r="E204" i="13"/>
  <c r="J769" i="5" s="1"/>
  <c r="G204" i="13"/>
  <c r="E205" i="13"/>
  <c r="J762" i="5" s="1"/>
  <c r="G205" i="13"/>
  <c r="E206" i="13"/>
  <c r="J770" i="5" s="1"/>
  <c r="G206" i="13"/>
  <c r="E207" i="13"/>
  <c r="J771" i="5" s="1"/>
  <c r="G207" i="13"/>
  <c r="E208" i="13"/>
  <c r="J763" i="5" s="1"/>
  <c r="G208" i="13"/>
  <c r="E209" i="13"/>
  <c r="J772" i="5" s="1"/>
  <c r="G209" i="13"/>
  <c r="E210" i="13"/>
  <c r="J764" i="5" s="1"/>
  <c r="G210" i="13"/>
  <c r="E211" i="13"/>
  <c r="J964" i="5" s="1"/>
  <c r="G211" i="13"/>
  <c r="E212" i="13"/>
  <c r="J959" i="5" s="1"/>
  <c r="G212" i="13"/>
  <c r="E213" i="13"/>
  <c r="J893" i="5" s="1"/>
  <c r="G213" i="13"/>
  <c r="E214" i="13"/>
  <c r="J852" i="5" s="1"/>
  <c r="G214" i="13"/>
  <c r="E215" i="13"/>
  <c r="G215" i="13"/>
  <c r="E216" i="13"/>
  <c r="J854" i="5" s="1"/>
  <c r="G216" i="13"/>
  <c r="E217" i="13"/>
  <c r="G217" i="13"/>
  <c r="E218" i="13"/>
  <c r="G218" i="13"/>
  <c r="E219" i="13"/>
  <c r="G219" i="13"/>
  <c r="E220" i="13"/>
  <c r="I1824" i="7" s="1"/>
  <c r="G220" i="13"/>
  <c r="E221" i="13"/>
  <c r="G221" i="13"/>
  <c r="E222" i="13"/>
  <c r="G222" i="13"/>
  <c r="E223" i="13"/>
  <c r="G223" i="13"/>
  <c r="E224" i="13"/>
  <c r="G224" i="13"/>
  <c r="E225" i="13"/>
  <c r="G225" i="13"/>
  <c r="E226" i="13"/>
  <c r="J892" i="5" s="1"/>
  <c r="G226" i="13"/>
  <c r="E227" i="13"/>
  <c r="J861" i="5" s="1"/>
  <c r="G227" i="13"/>
  <c r="E228" i="13"/>
  <c r="G228" i="13"/>
  <c r="E229" i="13"/>
  <c r="G229" i="13"/>
  <c r="E230" i="13"/>
  <c r="G230" i="13"/>
  <c r="E231" i="13"/>
  <c r="G231" i="13"/>
  <c r="E232" i="13"/>
  <c r="I3591" i="7" s="1"/>
  <c r="G232" i="13"/>
  <c r="E233" i="13"/>
  <c r="J991" i="5" s="1"/>
  <c r="G233" i="13"/>
  <c r="E234" i="13"/>
  <c r="I2475" i="7" s="1"/>
  <c r="J2475" i="7" s="1"/>
  <c r="F2475" i="7" s="1"/>
  <c r="G234" i="13"/>
  <c r="E235" i="13"/>
  <c r="I2480" i="7" s="1"/>
  <c r="G235" i="13"/>
  <c r="E236" i="13"/>
  <c r="I2692" i="7" s="1"/>
  <c r="G236" i="13"/>
  <c r="E237" i="13"/>
  <c r="J877" i="5" s="1"/>
  <c r="G237" i="13"/>
  <c r="E238" i="13"/>
  <c r="J960" i="5" s="1"/>
  <c r="G238" i="13"/>
  <c r="E239" i="13"/>
  <c r="J941" i="5" s="1"/>
  <c r="G239" i="13"/>
  <c r="E240" i="13"/>
  <c r="J942" i="5" s="1"/>
  <c r="G240" i="13"/>
  <c r="E241" i="13"/>
  <c r="J943" i="5" s="1"/>
  <c r="G241" i="13"/>
  <c r="E242" i="13"/>
  <c r="J944" i="5" s="1"/>
  <c r="G242" i="13"/>
  <c r="E243" i="13"/>
  <c r="J894" i="5" s="1"/>
  <c r="G243" i="13"/>
  <c r="E244" i="13"/>
  <c r="J933" i="5" s="1"/>
  <c r="G244" i="13"/>
  <c r="E245" i="13"/>
  <c r="J934" i="5" s="1"/>
  <c r="G245" i="13"/>
  <c r="E246" i="13"/>
  <c r="J935" i="5" s="1"/>
  <c r="G246" i="13"/>
  <c r="E247" i="13"/>
  <c r="J936" i="5" s="1"/>
  <c r="G247" i="13"/>
  <c r="E248" i="13"/>
  <c r="I2833" i="7" s="1"/>
  <c r="G248" i="13"/>
  <c r="E249" i="13"/>
  <c r="J958" i="5" s="1"/>
  <c r="G249" i="13"/>
  <c r="E250" i="13"/>
  <c r="G250" i="13"/>
  <c r="E251" i="13"/>
  <c r="G251" i="13"/>
  <c r="E252" i="13"/>
  <c r="G252" i="13"/>
  <c r="E253" i="13"/>
  <c r="J756" i="5" s="1"/>
  <c r="G253" i="13"/>
  <c r="E254" i="13"/>
  <c r="G254" i="13"/>
  <c r="E255" i="13"/>
  <c r="G255" i="13"/>
  <c r="E256" i="13"/>
  <c r="G256" i="13"/>
  <c r="E257" i="13"/>
  <c r="G257" i="13"/>
  <c r="E258" i="13"/>
  <c r="G258" i="13"/>
  <c r="E259" i="13"/>
  <c r="G259" i="13"/>
  <c r="E260" i="13"/>
  <c r="I1468" i="7" s="1"/>
  <c r="G260" i="13"/>
  <c r="E261" i="13"/>
  <c r="G261" i="13"/>
  <c r="E262" i="13"/>
  <c r="G262" i="13"/>
  <c r="E263" i="13"/>
  <c r="J990" i="5" s="1"/>
  <c r="G263" i="13"/>
  <c r="E264" i="13"/>
  <c r="I959" i="7" s="1"/>
  <c r="G264" i="13"/>
  <c r="E265" i="13"/>
  <c r="J804" i="5" s="1"/>
  <c r="G265" i="13"/>
  <c r="E266" i="13"/>
  <c r="J805" i="5" s="1"/>
  <c r="G266" i="13"/>
  <c r="E267" i="13"/>
  <c r="J806" i="5" s="1"/>
  <c r="G267" i="13"/>
  <c r="E268" i="13"/>
  <c r="J800" i="5" s="1"/>
  <c r="G268" i="13"/>
  <c r="E269" i="13"/>
  <c r="J807" i="5" s="1"/>
  <c r="G269" i="13"/>
  <c r="E270" i="13"/>
  <c r="J801" i="5" s="1"/>
  <c r="G270" i="13"/>
  <c r="E271" i="13"/>
  <c r="J802" i="5" s="1"/>
  <c r="G271" i="13"/>
  <c r="E272" i="13"/>
  <c r="J808" i="5" s="1"/>
  <c r="G272" i="13"/>
  <c r="E273" i="13"/>
  <c r="J803" i="5" s="1"/>
  <c r="G273" i="13"/>
  <c r="E274" i="13"/>
  <c r="J809" i="5" s="1"/>
  <c r="G274" i="13"/>
  <c r="E275" i="13"/>
  <c r="J814" i="5" s="1"/>
  <c r="G275" i="13"/>
  <c r="E276" i="13"/>
  <c r="J815" i="5" s="1"/>
  <c r="G276" i="13"/>
  <c r="E277" i="13"/>
  <c r="J816" i="5" s="1"/>
  <c r="G277" i="13"/>
  <c r="E278" i="13"/>
  <c r="J810" i="5" s="1"/>
  <c r="G278" i="13"/>
  <c r="E279" i="13"/>
  <c r="J817" i="5" s="1"/>
  <c r="F817" i="5" s="1"/>
  <c r="G279" i="13"/>
  <c r="E280" i="13"/>
  <c r="G280" i="13"/>
  <c r="E281" i="13"/>
  <c r="J812" i="5" s="1"/>
  <c r="G281" i="13"/>
  <c r="E282" i="13"/>
  <c r="J818" i="5" s="1"/>
  <c r="G282" i="13"/>
  <c r="E283" i="13"/>
  <c r="J813" i="5" s="1"/>
  <c r="G283" i="13"/>
  <c r="E284" i="13"/>
  <c r="J819" i="5" s="1"/>
  <c r="G284" i="13"/>
  <c r="E285" i="13"/>
  <c r="J824" i="5" s="1"/>
  <c r="G285" i="13"/>
  <c r="E286" i="13"/>
  <c r="J825" i="5" s="1"/>
  <c r="G286" i="13"/>
  <c r="E287" i="13"/>
  <c r="J826" i="5" s="1"/>
  <c r="G287" i="13"/>
  <c r="E288" i="13"/>
  <c r="J827" i="5" s="1"/>
  <c r="G288" i="13"/>
  <c r="E289" i="13"/>
  <c r="J821" i="5" s="1"/>
  <c r="G289" i="13"/>
  <c r="E290" i="13"/>
  <c r="J828" i="5" s="1"/>
  <c r="G290" i="13"/>
  <c r="E291" i="13"/>
  <c r="J822" i="5" s="1"/>
  <c r="G291" i="13"/>
  <c r="E292" i="13"/>
  <c r="J823" i="5" s="1"/>
  <c r="G292" i="13"/>
  <c r="E293" i="13"/>
  <c r="J829" i="5" s="1"/>
  <c r="G293" i="13"/>
  <c r="E294" i="13"/>
  <c r="J830" i="5" s="1"/>
  <c r="G294" i="13"/>
  <c r="E295" i="13"/>
  <c r="I3593" i="7" s="1"/>
  <c r="G295" i="13"/>
  <c r="E296" i="13"/>
  <c r="J857" i="5" s="1"/>
  <c r="G296" i="13"/>
  <c r="E297" i="13"/>
  <c r="G297" i="13"/>
  <c r="E298" i="13"/>
  <c r="G298" i="13"/>
  <c r="E299" i="13"/>
  <c r="I1926" i="7" s="1"/>
  <c r="G299" i="13"/>
  <c r="E300" i="13"/>
  <c r="J856" i="5" s="1"/>
  <c r="G300" i="13"/>
  <c r="E301" i="13"/>
  <c r="J968" i="5" s="1"/>
  <c r="G301" i="13"/>
  <c r="E302" i="13"/>
  <c r="J986" i="5" s="1"/>
  <c r="G302" i="13"/>
  <c r="E303" i="13"/>
  <c r="I2830" i="7" s="1"/>
  <c r="G303" i="13"/>
  <c r="E304" i="13"/>
  <c r="I2831" i="7" s="1"/>
  <c r="J2831" i="7" s="1"/>
  <c r="F2831" i="7" s="1"/>
  <c r="G304" i="13"/>
  <c r="E305" i="13"/>
  <c r="J887" i="5" s="1"/>
  <c r="G305" i="13"/>
  <c r="E306" i="13"/>
  <c r="J888" i="5" s="1"/>
  <c r="G306" i="13"/>
  <c r="E307" i="13"/>
  <c r="J889" i="5" s="1"/>
  <c r="G307" i="13"/>
  <c r="E308" i="13"/>
  <c r="J890" i="5" s="1"/>
  <c r="G308" i="13"/>
  <c r="E309" i="13"/>
  <c r="J891" i="5" s="1"/>
  <c r="G309" i="13"/>
  <c r="E310" i="13"/>
  <c r="J885" i="5" s="1"/>
  <c r="G310" i="13"/>
  <c r="E311" i="13"/>
  <c r="J886" i="5" s="1"/>
  <c r="G311" i="13"/>
  <c r="E312" i="13"/>
  <c r="J956" i="5" s="1"/>
  <c r="G312" i="13"/>
  <c r="E313" i="13"/>
  <c r="I2412" i="7" s="1"/>
  <c r="G313" i="13"/>
  <c r="E314" i="13"/>
  <c r="I2417" i="7" s="1"/>
  <c r="G314" i="13"/>
  <c r="E315" i="13"/>
  <c r="I2422" i="7" s="1"/>
  <c r="J2422" i="7" s="1"/>
  <c r="G315" i="13"/>
  <c r="E316" i="13"/>
  <c r="I2407" i="7" s="1"/>
  <c r="E2407" i="7" s="1"/>
  <c r="G316" i="13"/>
  <c r="E317" i="13"/>
  <c r="I2011" i="7" s="1"/>
  <c r="G317" i="13"/>
  <c r="E318" i="13"/>
  <c r="I2016" i="7" s="1"/>
  <c r="G318" i="13"/>
  <c r="E319" i="13"/>
  <c r="J961" i="5" s="1"/>
  <c r="G319" i="13"/>
  <c r="E320" i="13"/>
  <c r="J992" i="5" s="1"/>
  <c r="G320" i="13"/>
  <c r="E321" i="13"/>
  <c r="J918" i="5" s="1"/>
  <c r="G321" i="13"/>
  <c r="E322" i="13"/>
  <c r="J919" i="5" s="1"/>
  <c r="G322" i="13"/>
  <c r="E323" i="13"/>
  <c r="J920" i="5" s="1"/>
  <c r="G323" i="13"/>
  <c r="E324" i="13"/>
  <c r="J921" i="5" s="1"/>
  <c r="G324" i="13"/>
  <c r="E325" i="13"/>
  <c r="J922" i="5" s="1"/>
  <c r="G325" i="13"/>
  <c r="E326" i="13"/>
  <c r="J923" i="5" s="1"/>
  <c r="G326" i="13"/>
  <c r="E327" i="13"/>
  <c r="J924" i="5" s="1"/>
  <c r="G327" i="13"/>
  <c r="E328" i="13"/>
  <c r="J925" i="5" s="1"/>
  <c r="G328" i="13"/>
  <c r="E329" i="13"/>
  <c r="J926" i="5" s="1"/>
  <c r="G329" i="13"/>
  <c r="E330" i="13"/>
  <c r="J927" i="5" s="1"/>
  <c r="G330" i="13"/>
  <c r="E331" i="13"/>
  <c r="J928" i="5" s="1"/>
  <c r="G331" i="13"/>
  <c r="E332" i="13"/>
  <c r="J929" i="5" s="1"/>
  <c r="G332" i="13"/>
  <c r="E333" i="13"/>
  <c r="J930" i="5" s="1"/>
  <c r="G333" i="13"/>
  <c r="E334" i="13"/>
  <c r="J931" i="5" s="1"/>
  <c r="G334" i="13"/>
  <c r="E335" i="13"/>
  <c r="J932" i="5" s="1"/>
  <c r="G335" i="13"/>
  <c r="E336" i="13"/>
  <c r="J953" i="5" s="1"/>
  <c r="G336" i="13"/>
  <c r="E337" i="13"/>
  <c r="J954" i="5" s="1"/>
  <c r="G337" i="13"/>
  <c r="E338" i="13"/>
  <c r="J955" i="5" s="1"/>
  <c r="G338" i="13"/>
  <c r="E339" i="13"/>
  <c r="J950" i="5" s="1"/>
  <c r="G339" i="13"/>
  <c r="E340" i="13"/>
  <c r="J951" i="5" s="1"/>
  <c r="G340" i="13"/>
  <c r="E341" i="13"/>
  <c r="J952" i="5" s="1"/>
  <c r="G341" i="13"/>
  <c r="E342" i="13"/>
  <c r="J907" i="5" s="1"/>
  <c r="G342" i="13"/>
  <c r="E343" i="13"/>
  <c r="J908" i="5" s="1"/>
  <c r="G343" i="13"/>
  <c r="E344" i="13"/>
  <c r="J909" i="5" s="1"/>
  <c r="G344" i="13"/>
  <c r="E345" i="13"/>
  <c r="J910" i="5" s="1"/>
  <c r="G345" i="13"/>
  <c r="E346" i="13"/>
  <c r="J911" i="5" s="1"/>
  <c r="G346" i="13"/>
  <c r="E347" i="13"/>
  <c r="J905" i="5" s="1"/>
  <c r="G347" i="13"/>
  <c r="E348" i="13"/>
  <c r="J906" i="5" s="1"/>
  <c r="G348" i="13"/>
  <c r="E349" i="13"/>
  <c r="J913" i="5" s="1"/>
  <c r="G349" i="13"/>
  <c r="E350" i="13"/>
  <c r="J914" i="5" s="1"/>
  <c r="G350" i="13"/>
  <c r="E351" i="13"/>
  <c r="J915" i="5" s="1"/>
  <c r="G351" i="13"/>
  <c r="E352" i="13"/>
  <c r="J916" i="5" s="1"/>
  <c r="G352" i="13"/>
  <c r="E353" i="13"/>
  <c r="J917" i="5" s="1"/>
  <c r="G353" i="13"/>
  <c r="E354" i="13"/>
  <c r="J912" i="5" s="1"/>
  <c r="G354" i="13"/>
  <c r="E355" i="13"/>
  <c r="J965" i="5" s="1"/>
  <c r="G355" i="13"/>
  <c r="E356" i="13"/>
  <c r="K470" i="9" s="1"/>
  <c r="I470" i="9" s="1"/>
  <c r="G356" i="13"/>
  <c r="E357" i="13"/>
  <c r="G357" i="13"/>
  <c r="E358" i="13"/>
  <c r="J733" i="5" s="1"/>
  <c r="G358" i="13"/>
  <c r="E359" i="13"/>
  <c r="G359" i="13"/>
  <c r="E360" i="13"/>
  <c r="J735" i="5" s="1"/>
  <c r="G360" i="13"/>
  <c r="E361" i="13"/>
  <c r="G361" i="13"/>
  <c r="E362" i="13"/>
  <c r="G362" i="13"/>
  <c r="E363" i="13"/>
  <c r="J873" i="5" s="1"/>
  <c r="G363" i="13"/>
  <c r="E364" i="13"/>
  <c r="I2320" i="7" s="1"/>
  <c r="E2320" i="7" s="1"/>
  <c r="G364" i="13"/>
  <c r="E365" i="13"/>
  <c r="G365" i="13"/>
  <c r="E366" i="13"/>
  <c r="G366" i="13"/>
  <c r="E367" i="13"/>
  <c r="G367" i="13"/>
  <c r="E368" i="13"/>
  <c r="G368" i="13"/>
  <c r="E369" i="13"/>
  <c r="I2835" i="7" s="1"/>
  <c r="G369" i="13"/>
  <c r="E370" i="13"/>
  <c r="I2834" i="7" s="1"/>
  <c r="G370" i="13"/>
  <c r="J2" i="11"/>
  <c r="Z2860" i="7" s="1"/>
  <c r="K3" i="11"/>
  <c r="J4" i="11"/>
  <c r="J5" i="11"/>
  <c r="J6" i="11"/>
  <c r="F7" i="11"/>
  <c r="G7" i="11"/>
  <c r="J7" i="11"/>
  <c r="J8" i="11"/>
  <c r="N2" i="12"/>
  <c r="D14" i="1" s="1"/>
  <c r="Z4" i="12"/>
  <c r="N6" i="12"/>
  <c r="H7" i="12"/>
  <c r="J7" i="12"/>
  <c r="K7" i="12"/>
  <c r="E7" i="12" s="1"/>
  <c r="L7" i="12"/>
  <c r="J8" i="12"/>
  <c r="L8" i="12"/>
  <c r="H9" i="12"/>
  <c r="L9" i="12"/>
  <c r="H10" i="12"/>
  <c r="L10" i="12"/>
  <c r="N13" i="12"/>
  <c r="H14" i="12"/>
  <c r="J14" i="12"/>
  <c r="K14" i="12"/>
  <c r="E14" i="12" s="1"/>
  <c r="G15" i="12"/>
  <c r="H15" i="12" s="1"/>
  <c r="F15" i="12" s="1"/>
  <c r="J15" i="12"/>
  <c r="L15" i="12"/>
  <c r="E16" i="12"/>
  <c r="H16" i="12"/>
  <c r="F16" i="12" s="1"/>
  <c r="J16" i="12"/>
  <c r="L16" i="12"/>
  <c r="H17" i="12"/>
  <c r="I17" i="12"/>
  <c r="E17" i="12" s="1"/>
  <c r="J17" i="12"/>
  <c r="L17" i="12"/>
  <c r="N20" i="12"/>
  <c r="E21" i="12"/>
  <c r="H21" i="12"/>
  <c r="J21" i="12"/>
  <c r="K21" i="12"/>
  <c r="L21" i="12"/>
  <c r="J22" i="12"/>
  <c r="L22" i="12"/>
  <c r="H23" i="12"/>
  <c r="I23" i="12"/>
  <c r="E23" i="12" s="1"/>
  <c r="J23" i="12"/>
  <c r="I24" i="12" s="1"/>
  <c r="L23" i="12"/>
  <c r="H24" i="12"/>
  <c r="L24" i="12"/>
  <c r="N27" i="12"/>
  <c r="H28" i="12"/>
  <c r="J28" i="12"/>
  <c r="K28" i="12"/>
  <c r="E28" i="12" s="1"/>
  <c r="L28" i="12"/>
  <c r="L29" i="12" s="1"/>
  <c r="H7" i="11" s="1"/>
  <c r="K2867" i="7" s="1"/>
  <c r="L2867" i="7" s="1"/>
  <c r="L2868" i="7" s="1"/>
  <c r="H636" i="6" s="1"/>
  <c r="L639" i="5" s="1"/>
  <c r="M639" i="5" s="1"/>
  <c r="H29" i="12"/>
  <c r="J29" i="12"/>
  <c r="N31" i="12"/>
  <c r="H32" i="12"/>
  <c r="J32" i="12"/>
  <c r="K32" i="12"/>
  <c r="E32" i="12" s="1"/>
  <c r="J33" i="12"/>
  <c r="L33" i="12"/>
  <c r="E34" i="12"/>
  <c r="F34" i="12"/>
  <c r="H34" i="12"/>
  <c r="I34" i="12"/>
  <c r="J34" i="12"/>
  <c r="I35" i="12" s="1"/>
  <c r="L34" i="12"/>
  <c r="H35" i="12"/>
  <c r="L35" i="12"/>
  <c r="H2" i="4"/>
  <c r="Q3" i="4"/>
  <c r="E5" i="4"/>
  <c r="F10" i="3" s="1"/>
  <c r="E6" i="4"/>
  <c r="F13" i="3" s="1"/>
  <c r="E7" i="4"/>
  <c r="F14" i="3" s="1"/>
  <c r="E8" i="4"/>
  <c r="F15" i="3" s="1"/>
  <c r="E9" i="4"/>
  <c r="F16" i="3" s="1"/>
  <c r="E10" i="4"/>
  <c r="F17" i="3" s="1"/>
  <c r="E11" i="4"/>
  <c r="F18" i="3" s="1"/>
  <c r="E13" i="4"/>
  <c r="F20" i="3" s="1"/>
  <c r="E14" i="4"/>
  <c r="F21" i="3" s="1"/>
  <c r="E15" i="4"/>
  <c r="F22" i="3" s="1"/>
  <c r="E16" i="4"/>
  <c r="F23" i="3" s="1"/>
  <c r="E17" i="4"/>
  <c r="F24" i="3" s="1"/>
  <c r="E19" i="4"/>
  <c r="E23" i="4"/>
  <c r="I2" i="10"/>
  <c r="Z15" i="12" s="1"/>
  <c r="D6" i="10"/>
  <c r="G6" i="10" s="1"/>
  <c r="G8" i="12" s="1"/>
  <c r="D7" i="10"/>
  <c r="G7" i="10"/>
  <c r="J7" i="10"/>
  <c r="F11" i="10"/>
  <c r="F12" i="10"/>
  <c r="AC551" i="5" l="1"/>
  <c r="AC321" i="5"/>
  <c r="Z2492" i="7"/>
  <c r="Q4" i="4"/>
  <c r="K12" i="8"/>
  <c r="AC651" i="5"/>
  <c r="AC426" i="5"/>
  <c r="AC190" i="5"/>
  <c r="AC649" i="5"/>
  <c r="AC418" i="5"/>
  <c r="AC149" i="5"/>
  <c r="AC617" i="5"/>
  <c r="AC388" i="5"/>
  <c r="AC106" i="5"/>
  <c r="AC530" i="5"/>
  <c r="AC303" i="5"/>
  <c r="AC495" i="5"/>
  <c r="AC268" i="5"/>
  <c r="Z3599" i="7"/>
  <c r="Z3578" i="7"/>
  <c r="Z3337" i="7"/>
  <c r="Z3320" i="7"/>
  <c r="Z3286" i="7"/>
  <c r="Z3020" i="7"/>
  <c r="Z2872" i="7"/>
  <c r="Z2842" i="7"/>
  <c r="Z2816" i="7"/>
  <c r="Z2799" i="7"/>
  <c r="Z2716" i="7"/>
  <c r="Z1605" i="7"/>
  <c r="K603" i="6"/>
  <c r="K197" i="6"/>
  <c r="K174" i="6"/>
  <c r="K151" i="6"/>
  <c r="AC601" i="5"/>
  <c r="AC492" i="5"/>
  <c r="AC365" i="5"/>
  <c r="AC266" i="5"/>
  <c r="AC39" i="5"/>
  <c r="M16" i="18"/>
  <c r="H289" i="13"/>
  <c r="Z3556" i="7"/>
  <c r="Z3544" i="7"/>
  <c r="Z3463" i="7"/>
  <c r="Z3355" i="7"/>
  <c r="Z3218" i="7"/>
  <c r="Z3217" i="7"/>
  <c r="Z3128" i="7"/>
  <c r="Z2998" i="7"/>
  <c r="Z2858" i="7"/>
  <c r="Z2585" i="7"/>
  <c r="Z2570" i="7"/>
  <c r="Z2557" i="7"/>
  <c r="Z2556" i="7"/>
  <c r="Z2549" i="7"/>
  <c r="AC558" i="5"/>
  <c r="AC453" i="5"/>
  <c r="AC330" i="5"/>
  <c r="AC191" i="5"/>
  <c r="AC15" i="5"/>
  <c r="Z3604" i="7"/>
  <c r="Z3572" i="7"/>
  <c r="Z3531" i="7"/>
  <c r="Z3252" i="7"/>
  <c r="Z3037" i="7"/>
  <c r="Z3019" i="7"/>
  <c r="Z2846" i="7"/>
  <c r="Z2676" i="7"/>
  <c r="Z2662" i="7"/>
  <c r="Z1565" i="7"/>
  <c r="Z1550" i="7"/>
  <c r="K408" i="6"/>
  <c r="AC618" i="5"/>
  <c r="AC496" i="5"/>
  <c r="AC389" i="5"/>
  <c r="AC272" i="5"/>
  <c r="AC107" i="5"/>
  <c r="Z2484" i="7"/>
  <c r="J12" i="10"/>
  <c r="H299" i="13"/>
  <c r="Z3406" i="7"/>
  <c r="Z3373" i="7"/>
  <c r="Z3110" i="7"/>
  <c r="Z3056" i="7"/>
  <c r="Z2817" i="7"/>
  <c r="Z2808" i="7"/>
  <c r="Z2804" i="7"/>
  <c r="Z2717" i="7"/>
  <c r="Z2711" i="7"/>
  <c r="Z2697" i="7"/>
  <c r="Z2584" i="7"/>
  <c r="Z1560" i="7"/>
  <c r="Z1555" i="7"/>
  <c r="K744" i="6"/>
  <c r="K299" i="6"/>
  <c r="K106" i="6"/>
  <c r="AC650" i="5"/>
  <c r="AC611" i="5"/>
  <c r="AC532" i="5"/>
  <c r="AC493" i="5"/>
  <c r="AC424" i="5"/>
  <c r="AC373" i="5"/>
  <c r="AC306" i="5"/>
  <c r="AC267" i="5"/>
  <c r="AC186" i="5"/>
  <c r="AC96" i="5"/>
  <c r="J11" i="10"/>
  <c r="Z3584" i="7"/>
  <c r="Z3583" i="7"/>
  <c r="Z3577" i="7"/>
  <c r="Z3571" i="7"/>
  <c r="Z3565" i="7"/>
  <c r="Z3514" i="7"/>
  <c r="Z3390" i="7"/>
  <c r="Z3356" i="7"/>
  <c r="Z3338" i="7"/>
  <c r="Z3234" i="7"/>
  <c r="Z3164" i="7"/>
  <c r="Z3127" i="7"/>
  <c r="Z3074" i="7"/>
  <c r="Z2866" i="7"/>
  <c r="Z2823" i="7"/>
  <c r="Z2805" i="7"/>
  <c r="Z2786" i="7"/>
  <c r="Z2722" i="7"/>
  <c r="Z2577" i="7"/>
  <c r="Z1747" i="7"/>
  <c r="Z1707" i="7"/>
  <c r="Z1590" i="7"/>
  <c r="Z1585" i="7"/>
  <c r="AC620" i="5"/>
  <c r="AC584" i="5"/>
  <c r="AC529" i="5"/>
  <c r="AC479" i="5"/>
  <c r="AC417" i="5"/>
  <c r="AC359" i="5"/>
  <c r="AC302" i="5"/>
  <c r="AC237" i="5"/>
  <c r="AC116" i="5"/>
  <c r="AC23" i="5"/>
  <c r="K563" i="6"/>
  <c r="K540" i="6"/>
  <c r="K173" i="6"/>
  <c r="AC619" i="5"/>
  <c r="AC559" i="5"/>
  <c r="AC526" i="5"/>
  <c r="AC459" i="5"/>
  <c r="AC392" i="5"/>
  <c r="AC342" i="5"/>
  <c r="AC273" i="5"/>
  <c r="AC224" i="5"/>
  <c r="AC109" i="5"/>
  <c r="AC18" i="5"/>
  <c r="Y320" i="9"/>
  <c r="K641" i="6"/>
  <c r="AC610" i="5"/>
  <c r="AC486" i="5"/>
  <c r="AC360" i="5"/>
  <c r="AC239" i="5"/>
  <c r="AC104" i="5"/>
  <c r="K687" i="6"/>
  <c r="K477" i="6"/>
  <c r="K10" i="8"/>
  <c r="Z2496" i="7"/>
  <c r="AC598" i="5"/>
  <c r="AC473" i="5"/>
  <c r="AC358" i="5"/>
  <c r="AC232" i="5"/>
  <c r="AC74" i="5"/>
  <c r="Z21" i="12"/>
  <c r="H250" i="13"/>
  <c r="Z1703" i="7"/>
  <c r="Z1689" i="7"/>
  <c r="AC596" i="5"/>
  <c r="AC464" i="5"/>
  <c r="AC351" i="5"/>
  <c r="AC230" i="5"/>
  <c r="AC72" i="5"/>
  <c r="N17" i="18"/>
  <c r="Z1743" i="7"/>
  <c r="K707" i="6"/>
  <c r="AC590" i="5"/>
  <c r="AC463" i="5"/>
  <c r="AC350" i="5"/>
  <c r="AC229" i="5"/>
  <c r="AC61" i="5"/>
  <c r="K8" i="8"/>
  <c r="K11" i="8"/>
  <c r="Z2479" i="7"/>
  <c r="Z1674" i="7"/>
  <c r="K519" i="6"/>
  <c r="AC579" i="5"/>
  <c r="AC458" i="5"/>
  <c r="AC341" i="5"/>
  <c r="AC223" i="5"/>
  <c r="AC32" i="5"/>
  <c r="Z32" i="12"/>
  <c r="K727" i="6"/>
  <c r="AC561" i="5"/>
  <c r="AC457" i="5"/>
  <c r="AC337" i="5"/>
  <c r="AC193" i="5"/>
  <c r="AC24" i="5"/>
  <c r="Z2506" i="7"/>
  <c r="Z1715" i="7"/>
  <c r="Z1699" i="7"/>
  <c r="H329" i="13"/>
  <c r="Z1739" i="7"/>
  <c r="AC557" i="5"/>
  <c r="AC425" i="5"/>
  <c r="AC316" i="5"/>
  <c r="AC188" i="5"/>
  <c r="AC16" i="5"/>
  <c r="AC661" i="5"/>
  <c r="AC537" i="5"/>
  <c r="AC423" i="5"/>
  <c r="AC305" i="5"/>
  <c r="AC184" i="5"/>
  <c r="AC14" i="5"/>
  <c r="X9" i="18"/>
  <c r="Z1684" i="7"/>
  <c r="AC656" i="5"/>
  <c r="AC536" i="5"/>
  <c r="AC422" i="5"/>
  <c r="AC304" i="5"/>
  <c r="AC153" i="5"/>
  <c r="R9" i="18"/>
  <c r="Z1711" i="7"/>
  <c r="AC151" i="5"/>
  <c r="P9" i="18"/>
  <c r="Z1751" i="7"/>
  <c r="Z1669" i="7"/>
  <c r="Z2488" i="7"/>
  <c r="AC414" i="5"/>
  <c r="AC281" i="5"/>
  <c r="AC148" i="5"/>
  <c r="Z2474" i="7"/>
  <c r="Z1694" i="7"/>
  <c r="AC648" i="5"/>
  <c r="AC528" i="5"/>
  <c r="AC400" i="5"/>
  <c r="AC280" i="5"/>
  <c r="AC147" i="5"/>
  <c r="H171" i="13"/>
  <c r="AC626" i="5"/>
  <c r="AC527" i="5"/>
  <c r="AC394" i="5"/>
  <c r="AC274" i="5"/>
  <c r="AC134" i="5"/>
  <c r="AC133" i="5"/>
  <c r="Y514" i="9"/>
  <c r="D670" i="9"/>
  <c r="F670" i="9"/>
  <c r="E24" i="12"/>
  <c r="J24" i="12"/>
  <c r="F24" i="12" s="1"/>
  <c r="H3586" i="7"/>
  <c r="F759" i="6" s="1"/>
  <c r="G2774" i="7" s="1"/>
  <c r="H2774" i="7" s="1"/>
  <c r="H2776" i="7" s="1"/>
  <c r="F624" i="6" s="1"/>
  <c r="H627" i="5" s="1"/>
  <c r="I627" i="5" s="1"/>
  <c r="K3585" i="7"/>
  <c r="E3585" i="7" s="1"/>
  <c r="F3583" i="7"/>
  <c r="H372" i="5"/>
  <c r="I372" i="5" s="1"/>
  <c r="G1660" i="7"/>
  <c r="H1660" i="7" s="1"/>
  <c r="H1661" i="7" s="1"/>
  <c r="F381" i="6" s="1"/>
  <c r="E35" i="12"/>
  <c r="J35" i="12"/>
  <c r="J36" i="12" s="1"/>
  <c r="G8" i="11" s="1"/>
  <c r="J662" i="5" s="1"/>
  <c r="B40" i="9"/>
  <c r="AD44" i="9"/>
  <c r="F2817" i="7"/>
  <c r="E222" i="9"/>
  <c r="D222" i="9"/>
  <c r="K1503" i="7"/>
  <c r="L1503" i="7" s="1"/>
  <c r="K1630" i="7"/>
  <c r="L1630" i="7" s="1"/>
  <c r="L1631" i="7" s="1"/>
  <c r="H375" i="6" s="1"/>
  <c r="E2693" i="7"/>
  <c r="L2693" i="7"/>
  <c r="F2693" i="7" s="1"/>
  <c r="J3593" i="7"/>
  <c r="F3593" i="7" s="1"/>
  <c r="E3593" i="7"/>
  <c r="K2358" i="7"/>
  <c r="L2358" i="7" s="1"/>
  <c r="L2359" i="7" s="1"/>
  <c r="H543" i="6" s="1"/>
  <c r="L546" i="5" s="1"/>
  <c r="M546" i="5" s="1"/>
  <c r="K3441" i="7"/>
  <c r="L3441" i="7" s="1"/>
  <c r="L3442" i="7" s="1"/>
  <c r="H732" i="6" s="1"/>
  <c r="G367" i="6"/>
  <c r="F1591" i="7"/>
  <c r="E367" i="6" s="1"/>
  <c r="E3075" i="7"/>
  <c r="L3075" i="7"/>
  <c r="E3591" i="7"/>
  <c r="J3591" i="7"/>
  <c r="F3591" i="7" s="1"/>
  <c r="K3183" i="7"/>
  <c r="E3183" i="7" s="1"/>
  <c r="H3184" i="7"/>
  <c r="F687" i="6" s="1"/>
  <c r="G3171" i="7" s="1"/>
  <c r="H3171" i="7" s="1"/>
  <c r="E2830" i="7"/>
  <c r="J2830" i="7"/>
  <c r="F3407" i="7"/>
  <c r="E2993" i="7"/>
  <c r="F2872" i="7"/>
  <c r="F2824" i="7"/>
  <c r="F2816" i="7"/>
  <c r="H2697" i="7"/>
  <c r="K2700" i="7" s="1"/>
  <c r="F2578" i="7"/>
  <c r="J1601" i="7"/>
  <c r="F1601" i="7" s="1"/>
  <c r="E369" i="6" s="1"/>
  <c r="K256" i="6"/>
  <c r="AC643" i="5"/>
  <c r="AC565" i="5"/>
  <c r="AC501" i="5"/>
  <c r="AC439" i="5"/>
  <c r="AC380" i="5"/>
  <c r="AC309" i="5"/>
  <c r="AC245" i="5"/>
  <c r="AC177" i="5"/>
  <c r="AC78" i="5"/>
  <c r="AE614" i="9"/>
  <c r="H614" i="9" s="1"/>
  <c r="AD16" i="9"/>
  <c r="E3583" i="7"/>
  <c r="F3356" i="7"/>
  <c r="F3181" i="7"/>
  <c r="F2806" i="7"/>
  <c r="H2659" i="7"/>
  <c r="F604" i="6" s="1"/>
  <c r="H607" i="5" s="1"/>
  <c r="I607" i="5" s="1"/>
  <c r="F2564" i="7"/>
  <c r="E2500" i="7"/>
  <c r="H1686" i="7"/>
  <c r="F386" i="6" s="1"/>
  <c r="H389" i="5" s="1"/>
  <c r="I389" i="5" s="1"/>
  <c r="E1674" i="7"/>
  <c r="K597" i="6"/>
  <c r="AC642" i="5"/>
  <c r="AC564" i="5"/>
  <c r="AC499" i="5"/>
  <c r="AC431" i="5"/>
  <c r="AC378" i="5"/>
  <c r="AC308" i="5"/>
  <c r="AC244" i="5"/>
  <c r="AC162" i="5"/>
  <c r="AC76" i="5"/>
  <c r="K13" i="8"/>
  <c r="Y484" i="9"/>
  <c r="Y269" i="9"/>
  <c r="G16" i="18"/>
  <c r="H298" i="13"/>
  <c r="E2824" i="7"/>
  <c r="Z1600" i="7"/>
  <c r="AC639" i="5"/>
  <c r="AC562" i="5"/>
  <c r="AC498" i="5"/>
  <c r="AC427" i="5"/>
  <c r="AC377" i="5"/>
  <c r="AC307" i="5"/>
  <c r="AC240" i="5"/>
  <c r="AC155" i="5"/>
  <c r="AC75" i="5"/>
  <c r="Y614" i="9"/>
  <c r="AE320" i="9"/>
  <c r="H320" i="9" s="1"/>
  <c r="Y170" i="9"/>
  <c r="AF65" i="9"/>
  <c r="H152" i="13"/>
  <c r="H83" i="13"/>
  <c r="H72" i="13"/>
  <c r="F3218" i="7"/>
  <c r="E1684" i="7"/>
  <c r="H1585" i="7"/>
  <c r="H1586" i="7" s="1"/>
  <c r="F366" i="6" s="1"/>
  <c r="AC320" i="9"/>
  <c r="L15" i="18"/>
  <c r="L3357" i="7"/>
  <c r="H717" i="6" s="1"/>
  <c r="K1978" i="7" s="1"/>
  <c r="L1978" i="7" s="1"/>
  <c r="L1979" i="7" s="1"/>
  <c r="H454" i="6" s="1"/>
  <c r="L457" i="5" s="1"/>
  <c r="M457" i="5" s="1"/>
  <c r="J3305" i="7"/>
  <c r="G708" i="6" s="1"/>
  <c r="I1353" i="7" s="1"/>
  <c r="F2422" i="7"/>
  <c r="G15" i="18"/>
  <c r="H162" i="13"/>
  <c r="E3613" i="7"/>
  <c r="H3560" i="7"/>
  <c r="K3561" i="7" s="1"/>
  <c r="E3531" i="7"/>
  <c r="H3109" i="7"/>
  <c r="K3111" i="7" s="1"/>
  <c r="F2823" i="7"/>
  <c r="H2550" i="7"/>
  <c r="F2550" i="7" s="1"/>
  <c r="E2422" i="7"/>
  <c r="AC419" i="9"/>
  <c r="F3406" i="7"/>
  <c r="F2805" i="7"/>
  <c r="E2669" i="7"/>
  <c r="E3406" i="7"/>
  <c r="J3022" i="7"/>
  <c r="E2805" i="7"/>
  <c r="K13" i="18"/>
  <c r="H240" i="13"/>
  <c r="H161" i="13"/>
  <c r="H81" i="13"/>
  <c r="S200" i="17"/>
  <c r="H3235" i="7"/>
  <c r="H3019" i="7"/>
  <c r="E2814" i="7"/>
  <c r="I2735" i="7"/>
  <c r="H1715" i="7"/>
  <c r="E1669" i="7"/>
  <c r="H1580" i="7"/>
  <c r="H1581" i="7" s="1"/>
  <c r="F365" i="6" s="1"/>
  <c r="G1640" i="7" s="1"/>
  <c r="H1640" i="7" s="1"/>
  <c r="H1641" i="7" s="1"/>
  <c r="F377" i="6" s="1"/>
  <c r="H380" i="5" s="1"/>
  <c r="I380" i="5" s="1"/>
  <c r="AC616" i="5"/>
  <c r="AC542" i="5"/>
  <c r="AC484" i="5"/>
  <c r="AC420" i="5"/>
  <c r="AC357" i="5"/>
  <c r="AC289" i="5"/>
  <c r="AC228" i="5"/>
  <c r="AC144" i="5"/>
  <c r="AC28" i="5"/>
  <c r="AC670" i="9"/>
  <c r="AD415" i="9"/>
  <c r="B415" i="9" s="1"/>
  <c r="AE319" i="9"/>
  <c r="H319" i="9" s="1"/>
  <c r="J13" i="18"/>
  <c r="Z647" i="7"/>
  <c r="Z613" i="7"/>
  <c r="Z485" i="7"/>
  <c r="Z413" i="7"/>
  <c r="Z349" i="7"/>
  <c r="Z165" i="7"/>
  <c r="AC614" i="5"/>
  <c r="AC538" i="5"/>
  <c r="AC483" i="5"/>
  <c r="AC419" i="5"/>
  <c r="AC352" i="5"/>
  <c r="AC283" i="5"/>
  <c r="AC225" i="5"/>
  <c r="AC143" i="5"/>
  <c r="AC27" i="5"/>
  <c r="K9" i="8"/>
  <c r="Z415" i="9"/>
  <c r="Y319" i="9"/>
  <c r="B264" i="9"/>
  <c r="I13" i="18"/>
  <c r="H22" i="13"/>
  <c r="K3219" i="7"/>
  <c r="E1703" i="7"/>
  <c r="F1009" i="5"/>
  <c r="H339" i="13"/>
  <c r="H193" i="13"/>
  <c r="J3448" i="7"/>
  <c r="E2549" i="7"/>
  <c r="E2506" i="7"/>
  <c r="M1005" i="5"/>
  <c r="L14" i="12"/>
  <c r="L18" i="12" s="1"/>
  <c r="H5" i="11" s="1"/>
  <c r="L75" i="9" s="1"/>
  <c r="I75" i="9" s="1"/>
  <c r="H328" i="13"/>
  <c r="H249" i="13"/>
  <c r="H170" i="13"/>
  <c r="H3448" i="7"/>
  <c r="F733" i="6" s="1"/>
  <c r="G3436" i="7" s="1"/>
  <c r="H3436" i="7" s="1"/>
  <c r="F3217" i="7"/>
  <c r="E2831" i="7"/>
  <c r="J2707" i="7"/>
  <c r="K1615" i="7"/>
  <c r="L1615" i="7" s="1"/>
  <c r="L1616" i="7" s="1"/>
  <c r="H372" i="6" s="1"/>
  <c r="K63" i="6"/>
  <c r="AC608" i="5"/>
  <c r="AC534" i="5"/>
  <c r="AC466" i="5"/>
  <c r="AC416" i="5"/>
  <c r="AC345" i="5"/>
  <c r="AC278" i="5"/>
  <c r="AC197" i="5"/>
  <c r="AC131" i="5"/>
  <c r="AC20" i="5"/>
  <c r="D472" i="9"/>
  <c r="B414" i="9"/>
  <c r="H113" i="13"/>
  <c r="H32" i="13"/>
  <c r="H9" i="13"/>
  <c r="H3578" i="7"/>
  <c r="H3580" i="7" s="1"/>
  <c r="F758" i="6" s="1"/>
  <c r="G2769" i="7" s="1"/>
  <c r="H2769" i="7" s="1"/>
  <c r="H2771" i="7" s="1"/>
  <c r="F623" i="6" s="1"/>
  <c r="H626" i="5" s="1"/>
  <c r="I626" i="5" s="1"/>
  <c r="F3464" i="7"/>
  <c r="H3417" i="7"/>
  <c r="L2986" i="7"/>
  <c r="H653" i="6" s="1"/>
  <c r="L656" i="5" s="1"/>
  <c r="M656" i="5" s="1"/>
  <c r="F2557" i="7"/>
  <c r="H1681" i="7"/>
  <c r="F385" i="6" s="1"/>
  <c r="H388" i="5" s="1"/>
  <c r="I388" i="5" s="1"/>
  <c r="F1560" i="7"/>
  <c r="K497" i="6"/>
  <c r="K475" i="6"/>
  <c r="K428" i="6"/>
  <c r="K153" i="6"/>
  <c r="K107" i="6"/>
  <c r="K85" i="6"/>
  <c r="G1008" i="5"/>
  <c r="AC607" i="5"/>
  <c r="AC533" i="5"/>
  <c r="AC465" i="5"/>
  <c r="AC415" i="5"/>
  <c r="AC344" i="5"/>
  <c r="AC277" i="5"/>
  <c r="AC195" i="5"/>
  <c r="AC124" i="5"/>
  <c r="AC19" i="5"/>
  <c r="AJ69" i="9"/>
  <c r="F23" i="12"/>
  <c r="L32" i="12"/>
  <c r="F32" i="12" s="1"/>
  <c r="F14" i="12"/>
  <c r="H338" i="13"/>
  <c r="H259" i="13"/>
  <c r="H202" i="13"/>
  <c r="H192" i="13"/>
  <c r="K3270" i="7"/>
  <c r="I1005" i="5"/>
  <c r="AD315" i="9"/>
  <c r="B315" i="9" s="1"/>
  <c r="M19" i="18"/>
  <c r="F3584" i="7"/>
  <c r="F3515" i="7"/>
  <c r="L3465" i="7"/>
  <c r="H736" i="6" s="1"/>
  <c r="K3453" i="7" s="1"/>
  <c r="L3453" i="7" s="1"/>
  <c r="F3390" i="7"/>
  <c r="H3320" i="7"/>
  <c r="F3320" i="7" s="1"/>
  <c r="F3302" i="7"/>
  <c r="H3146" i="7"/>
  <c r="H3055" i="7"/>
  <c r="H2676" i="7"/>
  <c r="K2679" i="7" s="1"/>
  <c r="J2587" i="7"/>
  <c r="I2230" i="7"/>
  <c r="K1660" i="7"/>
  <c r="L1660" i="7" s="1"/>
  <c r="L1661" i="7" s="1"/>
  <c r="H381" i="6" s="1"/>
  <c r="J1556" i="7"/>
  <c r="G525" i="7"/>
  <c r="H525" i="7" s="1"/>
  <c r="H526" i="7" s="1"/>
  <c r="F124" i="6" s="1"/>
  <c r="H127" i="5" s="1"/>
  <c r="I127" i="5" s="1"/>
  <c r="Z315" i="9"/>
  <c r="H2701" i="7"/>
  <c r="F610" i="6" s="1"/>
  <c r="H613" i="5" s="1"/>
  <c r="I613" i="5" s="1"/>
  <c r="I638" i="7"/>
  <c r="J638" i="7" s="1"/>
  <c r="F638" i="7" s="1"/>
  <c r="H42" i="13"/>
  <c r="H291" i="13"/>
  <c r="H201" i="13"/>
  <c r="H2817" i="7"/>
  <c r="E2650" i="7"/>
  <c r="Y370" i="9"/>
  <c r="AC22" i="9"/>
  <c r="H3568" i="7"/>
  <c r="F756" i="6" s="1"/>
  <c r="G2759" i="7" s="1"/>
  <c r="H2759" i="7" s="1"/>
  <c r="H2761" i="7" s="1"/>
  <c r="F621" i="6" s="1"/>
  <c r="H624" i="5" s="1"/>
  <c r="I624" i="5" s="1"/>
  <c r="H211" i="13"/>
  <c r="H122" i="13"/>
  <c r="H3092" i="7"/>
  <c r="F3092" i="7" s="1"/>
  <c r="I1766" i="7"/>
  <c r="E1766" i="7" s="1"/>
  <c r="G1007" i="5"/>
  <c r="H123" i="13"/>
  <c r="H281" i="13"/>
  <c r="H280" i="13"/>
  <c r="J3112" i="7"/>
  <c r="E1699" i="7"/>
  <c r="G1650" i="7"/>
  <c r="H1650" i="7" s="1"/>
  <c r="H1651" i="7" s="1"/>
  <c r="F379" i="6" s="1"/>
  <c r="G1526" i="7" s="1"/>
  <c r="H1526" i="7" s="1"/>
  <c r="H1528" i="7" s="1"/>
  <c r="F355" i="6" s="1"/>
  <c r="K580" i="6"/>
  <c r="K559" i="6"/>
  <c r="K537" i="6"/>
  <c r="K284" i="6"/>
  <c r="Y720" i="9"/>
  <c r="AH44" i="9"/>
  <c r="B44" i="9" s="1"/>
  <c r="H347" i="13"/>
  <c r="F21" i="12"/>
  <c r="H369" i="13"/>
  <c r="H290" i="13"/>
  <c r="H200" i="13"/>
  <c r="H144" i="13"/>
  <c r="S345" i="17"/>
  <c r="K3362" i="7"/>
  <c r="L3362" i="7" s="1"/>
  <c r="F3145" i="7"/>
  <c r="H2666" i="7"/>
  <c r="F605" i="6" s="1"/>
  <c r="H608" i="5" s="1"/>
  <c r="I608" i="5" s="1"/>
  <c r="F1674" i="7"/>
  <c r="Z133" i="7"/>
  <c r="Z71" i="7"/>
  <c r="Z37" i="7"/>
  <c r="F1007" i="5"/>
  <c r="AC647" i="5"/>
  <c r="AC578" i="5"/>
  <c r="AC525" i="5"/>
  <c r="AC450" i="5"/>
  <c r="AC387" i="5"/>
  <c r="AC314" i="5"/>
  <c r="AC261" i="5"/>
  <c r="AC181" i="5"/>
  <c r="AC94" i="5"/>
  <c r="B661" i="9"/>
  <c r="AE420" i="9"/>
  <c r="H420" i="9" s="1"/>
  <c r="K17" i="18"/>
  <c r="L7" i="18"/>
  <c r="F29" i="12"/>
  <c r="E7" i="11" s="1"/>
  <c r="L11" i="12"/>
  <c r="H4" i="11" s="1"/>
  <c r="L663" i="5" s="1"/>
  <c r="M663" i="5" s="1"/>
  <c r="H210" i="13"/>
  <c r="E3577" i="7"/>
  <c r="H3389" i="7"/>
  <c r="H3391" i="7" s="1"/>
  <c r="F723" i="6" s="1"/>
  <c r="E2728" i="7"/>
  <c r="J2488" i="7"/>
  <c r="H1605" i="7"/>
  <c r="H1606" i="7" s="1"/>
  <c r="F370" i="6" s="1"/>
  <c r="G1545" i="7" s="1"/>
  <c r="H1545" i="7" s="1"/>
  <c r="I1448" i="7"/>
  <c r="K579" i="6"/>
  <c r="K304" i="6"/>
  <c r="K236" i="6"/>
  <c r="K213" i="6"/>
  <c r="AC646" i="5"/>
  <c r="AC577" i="5"/>
  <c r="AC524" i="5"/>
  <c r="AC449" i="5"/>
  <c r="AC386" i="5"/>
  <c r="AC313" i="5"/>
  <c r="AC254" i="5"/>
  <c r="AC180" i="5"/>
  <c r="AC93" i="5"/>
  <c r="H18" i="12"/>
  <c r="F5" i="11" s="1"/>
  <c r="J71" i="9" s="1"/>
  <c r="H360" i="13"/>
  <c r="H112" i="13"/>
  <c r="F13" i="10"/>
  <c r="H368" i="13"/>
  <c r="S344" i="17"/>
  <c r="H3408" i="7"/>
  <c r="F726" i="6" s="1"/>
  <c r="G3401" i="7" s="1"/>
  <c r="H3401" i="7" s="1"/>
  <c r="H3402" i="7" s="1"/>
  <c r="F725" i="6" s="1"/>
  <c r="G3395" i="7" s="1"/>
  <c r="H3395" i="7" s="1"/>
  <c r="H3397" i="7" s="1"/>
  <c r="F724" i="6" s="1"/>
  <c r="H3220" i="7"/>
  <c r="F693" i="6" s="1"/>
  <c r="F3200" i="7"/>
  <c r="F3091" i="7"/>
  <c r="K1982" i="7"/>
  <c r="L1982" i="7" s="1"/>
  <c r="L1983" i="7" s="1"/>
  <c r="H455" i="6" s="1"/>
  <c r="L458" i="5" s="1"/>
  <c r="M458" i="5" s="1"/>
  <c r="Z129" i="7"/>
  <c r="Z67" i="7"/>
  <c r="AC645" i="5"/>
  <c r="AC576" i="5"/>
  <c r="AC505" i="5"/>
  <c r="AC448" i="5"/>
  <c r="AC385" i="5"/>
  <c r="AC312" i="5"/>
  <c r="AC247" i="5"/>
  <c r="AC179" i="5"/>
  <c r="AC83" i="5"/>
  <c r="AB69" i="9"/>
  <c r="S16" i="18"/>
  <c r="Z706" i="7"/>
  <c r="Z505" i="7"/>
  <c r="Z381" i="7"/>
  <c r="Z321" i="7"/>
  <c r="Z185" i="7"/>
  <c r="AC644" i="5"/>
  <c r="AC571" i="5"/>
  <c r="AC504" i="5"/>
  <c r="AC447" i="5"/>
  <c r="AC384" i="5"/>
  <c r="AC310" i="5"/>
  <c r="AC246" i="5"/>
  <c r="AC178" i="5"/>
  <c r="AE269" i="9"/>
  <c r="H269" i="9" s="1"/>
  <c r="F269" i="9" s="1"/>
  <c r="N16" i="18"/>
  <c r="E20" i="18"/>
  <c r="L20" i="18"/>
  <c r="N20" i="18"/>
  <c r="R20" i="18"/>
  <c r="P20" i="18"/>
  <c r="X20" i="18"/>
  <c r="S294" i="17"/>
  <c r="S237" i="17"/>
  <c r="S54" i="17"/>
  <c r="S39" i="17"/>
  <c r="F11" i="18"/>
  <c r="P11" i="18"/>
  <c r="R11" i="18"/>
  <c r="X11" i="18"/>
  <c r="S165" i="17"/>
  <c r="S137" i="17"/>
  <c r="S66" i="17"/>
  <c r="S323" i="17"/>
  <c r="S151" i="17"/>
  <c r="S177" i="17"/>
  <c r="S164" i="17"/>
  <c r="S80" i="17"/>
  <c r="S65" i="17"/>
  <c r="S52" i="17"/>
  <c r="S297" i="17"/>
  <c r="S91" i="17"/>
  <c r="S9" i="17"/>
  <c r="Z2750" i="7"/>
  <c r="S85" i="17"/>
  <c r="S120" i="17"/>
  <c r="S132" i="17"/>
  <c r="S190" i="17"/>
  <c r="S293" i="17"/>
  <c r="S304" i="17"/>
  <c r="S38" i="17"/>
  <c r="S74" i="17"/>
  <c r="S144" i="17"/>
  <c r="S179" i="17"/>
  <c r="S213" i="17"/>
  <c r="S224" i="17"/>
  <c r="S248" i="17"/>
  <c r="S317" i="17"/>
  <c r="S363" i="17"/>
  <c r="S26" i="17"/>
  <c r="S51" i="17"/>
  <c r="S133" i="17"/>
  <c r="S305" i="17"/>
  <c r="Z1045" i="7"/>
  <c r="Z18" i="7"/>
  <c r="S73" i="17"/>
  <c r="S158" i="17"/>
  <c r="S205" i="17"/>
  <c r="S240" i="17"/>
  <c r="S286" i="17"/>
  <c r="S298" i="17"/>
  <c r="Z34" i="12"/>
  <c r="S12" i="17"/>
  <c r="S24" i="17"/>
  <c r="S146" i="17"/>
  <c r="S170" i="17"/>
  <c r="S217" i="17"/>
  <c r="S253" i="17"/>
  <c r="S324" i="17"/>
  <c r="S370" i="17"/>
  <c r="Z2684" i="7"/>
  <c r="S86" i="17"/>
  <c r="S206" i="17"/>
  <c r="S299" i="17"/>
  <c r="S311" i="17"/>
  <c r="S336" i="17"/>
  <c r="Z1453" i="7"/>
  <c r="Z1428" i="7"/>
  <c r="S5" i="17"/>
  <c r="S18" i="17"/>
  <c r="S140" i="17"/>
  <c r="S153" i="17"/>
  <c r="S238" i="17"/>
  <c r="S273" i="17"/>
  <c r="S349" i="17"/>
  <c r="S105" i="17"/>
  <c r="S6" i="17"/>
  <c r="S31" i="17"/>
  <c r="S227" i="17"/>
  <c r="S350" i="17"/>
  <c r="Z9" i="12"/>
  <c r="S93" i="17"/>
  <c r="S32" i="17"/>
  <c r="S264" i="17"/>
  <c r="S338" i="17"/>
  <c r="S351" i="17"/>
  <c r="S184" i="17"/>
  <c r="S318" i="17"/>
  <c r="S232" i="17"/>
  <c r="S330" i="17"/>
  <c r="Z2305" i="7"/>
  <c r="S160" i="17"/>
  <c r="S233" i="17"/>
  <c r="S268" i="17"/>
  <c r="S306" i="17"/>
  <c r="S111" i="17"/>
  <c r="S186" i="17"/>
  <c r="S221" i="17"/>
  <c r="Z3591" i="7"/>
  <c r="S81" i="17"/>
  <c r="S92" i="17"/>
  <c r="S178" i="17"/>
  <c r="S226" i="17"/>
  <c r="S325" i="17"/>
  <c r="S337" i="17"/>
  <c r="S67" i="17"/>
  <c r="S167" i="17"/>
  <c r="S239" i="17"/>
  <c r="S252" i="17"/>
  <c r="S312" i="17"/>
  <c r="S44" i="17"/>
  <c r="S180" i="17"/>
  <c r="S118" i="17"/>
  <c r="S204" i="17"/>
  <c r="S171" i="17"/>
  <c r="S267" i="17"/>
  <c r="S342" i="17"/>
  <c r="S220" i="17"/>
  <c r="S292" i="17"/>
  <c r="S355" i="17"/>
  <c r="S185" i="17"/>
  <c r="S343" i="17"/>
  <c r="S87" i="17"/>
  <c r="S198" i="17"/>
  <c r="S258" i="17"/>
  <c r="S331" i="17"/>
  <c r="Z23" i="12"/>
  <c r="S13" i="17"/>
  <c r="S99" i="17"/>
  <c r="S173" i="17"/>
  <c r="Z2838" i="7"/>
  <c r="S19" i="17"/>
  <c r="S361" i="17"/>
  <c r="S20" i="17"/>
  <c r="S58" i="17"/>
  <c r="S192" i="17"/>
  <c r="J13" i="10"/>
  <c r="S106" i="17"/>
  <c r="S362" i="17"/>
  <c r="S277" i="17"/>
  <c r="S159" i="17"/>
  <c r="S279" i="17"/>
  <c r="S329" i="17"/>
  <c r="S365" i="17"/>
  <c r="S245" i="17"/>
  <c r="S11" i="17"/>
  <c r="S98" i="17"/>
  <c r="S257" i="17"/>
  <c r="S280" i="17"/>
  <c r="S319" i="17"/>
  <c r="S246" i="17"/>
  <c r="S25" i="17"/>
  <c r="S125" i="17"/>
  <c r="Z2480" i="7"/>
  <c r="S59" i="17"/>
  <c r="S7" i="17"/>
  <c r="Z2760" i="7"/>
  <c r="Z2830" i="7"/>
  <c r="S45" i="17"/>
  <c r="S94" i="17"/>
  <c r="S131" i="17"/>
  <c r="S193" i="17"/>
  <c r="S107" i="17"/>
  <c r="S119" i="17"/>
  <c r="S157" i="17"/>
  <c r="S218" i="17"/>
  <c r="S33" i="17"/>
  <c r="S46" i="17"/>
  <c r="S84" i="17"/>
  <c r="S265" i="17"/>
  <c r="S278" i="17"/>
  <c r="S290" i="17"/>
  <c r="S303" i="17"/>
  <c r="S364" i="17"/>
  <c r="S60" i="17"/>
  <c r="S71" i="17"/>
  <c r="S145" i="17"/>
  <c r="S231" i="17"/>
  <c r="Z1931" i="7"/>
  <c r="Z2735" i="7"/>
  <c r="S34" i="17"/>
  <c r="S207" i="17"/>
  <c r="S219" i="17"/>
  <c r="S244" i="17"/>
  <c r="S100" i="17"/>
  <c r="S356" i="17"/>
  <c r="S113" i="17"/>
  <c r="S27" i="17"/>
  <c r="S369" i="17"/>
  <c r="S283" i="17"/>
  <c r="S368" i="17"/>
  <c r="S126" i="17"/>
  <c r="S40" i="17"/>
  <c r="S138" i="17"/>
  <c r="S79" i="17"/>
  <c r="H232" i="13"/>
  <c r="H40" i="13"/>
  <c r="S260" i="17"/>
  <c r="H330" i="13"/>
  <c r="H131" i="13"/>
  <c r="S271" i="17"/>
  <c r="S284" i="17"/>
  <c r="S199" i="17"/>
  <c r="S225" i="17"/>
  <c r="S139" i="17"/>
  <c r="S310" i="17"/>
  <c r="S251" i="17"/>
  <c r="S64" i="17"/>
  <c r="Z22" i="12"/>
  <c r="Z8" i="12"/>
  <c r="H320" i="13"/>
  <c r="H242" i="13"/>
  <c r="H219" i="13"/>
  <c r="S357" i="17"/>
  <c r="S114" i="17"/>
  <c r="S212" i="17"/>
  <c r="S127" i="17"/>
  <c r="S211" i="17"/>
  <c r="S112" i="17"/>
  <c r="S152" i="17"/>
  <c r="H18" i="13"/>
  <c r="H91" i="13"/>
  <c r="H139" i="13"/>
  <c r="H24" i="13"/>
  <c r="H82" i="13"/>
  <c r="H130" i="13"/>
  <c r="H15" i="13"/>
  <c r="H34" i="13"/>
  <c r="H73" i="13"/>
  <c r="H121" i="13"/>
  <c r="H31" i="13"/>
  <c r="H50" i="13"/>
  <c r="H80" i="13"/>
  <c r="H129" i="13"/>
  <c r="H187" i="13"/>
  <c r="H235" i="13"/>
  <c r="H283" i="13"/>
  <c r="H331" i="13"/>
  <c r="H322" i="13"/>
  <c r="H41" i="13"/>
  <c r="H90" i="13"/>
  <c r="H178" i="13"/>
  <c r="H226" i="13"/>
  <c r="H274" i="13"/>
  <c r="H370" i="13"/>
  <c r="H120" i="13"/>
  <c r="H169" i="13"/>
  <c r="H217" i="13"/>
  <c r="H265" i="13"/>
  <c r="H313" i="13"/>
  <c r="H361" i="13"/>
  <c r="H33" i="13"/>
  <c r="H104" i="13"/>
  <c r="H163" i="13"/>
  <c r="H272" i="13"/>
  <c r="H321" i="13"/>
  <c r="H64" i="13"/>
  <c r="H203" i="13"/>
  <c r="H243" i="13"/>
  <c r="H14" i="13"/>
  <c r="H224" i="13"/>
  <c r="H185" i="13"/>
  <c r="H56" i="13"/>
  <c r="H264" i="13"/>
  <c r="H106" i="13"/>
  <c r="H354" i="13"/>
  <c r="H345" i="13"/>
  <c r="H17" i="13"/>
  <c r="H227" i="13"/>
  <c r="H336" i="13"/>
  <c r="H306" i="13"/>
  <c r="H355" i="13"/>
  <c r="H99" i="13"/>
  <c r="H297" i="13"/>
  <c r="H49" i="13"/>
  <c r="H179" i="13"/>
  <c r="H288" i="13"/>
  <c r="H209" i="13"/>
  <c r="H23" i="13"/>
  <c r="H154" i="13"/>
  <c r="H184" i="13"/>
  <c r="H233" i="13"/>
  <c r="H282" i="13"/>
  <c r="H74" i="13"/>
  <c r="H114" i="13"/>
  <c r="H145" i="13"/>
  <c r="H194" i="13"/>
  <c r="H105" i="13"/>
  <c r="H273" i="13"/>
  <c r="H352" i="13"/>
  <c r="H65" i="13"/>
  <c r="H96" i="13"/>
  <c r="H362" i="13"/>
  <c r="H75" i="13"/>
  <c r="H323" i="13"/>
  <c r="H315" i="13"/>
  <c r="H257" i="13"/>
  <c r="H89" i="13"/>
  <c r="H267" i="13"/>
  <c r="H337" i="13"/>
  <c r="H160" i="13"/>
  <c r="H307" i="13"/>
  <c r="H312" i="13"/>
  <c r="H136" i="13"/>
  <c r="H234" i="13"/>
  <c r="H115" i="13"/>
  <c r="H195" i="13"/>
  <c r="H25" i="13"/>
  <c r="H176" i="13"/>
  <c r="H225" i="13"/>
  <c r="H304" i="13"/>
  <c r="H353" i="13"/>
  <c r="H266" i="13"/>
  <c r="H58" i="13"/>
  <c r="H168" i="13"/>
  <c r="H208" i="13"/>
  <c r="H8" i="13"/>
  <c r="H39" i="13"/>
  <c r="H218" i="13"/>
  <c r="H248" i="13"/>
  <c r="H346" i="13"/>
  <c r="H59" i="13"/>
  <c r="H258" i="13"/>
  <c r="H155" i="13"/>
  <c r="H146" i="13"/>
  <c r="H48" i="13"/>
  <c r="H6" i="13"/>
  <c r="H66" i="13"/>
  <c r="H97" i="13"/>
  <c r="H137" i="13"/>
  <c r="H186" i="13"/>
  <c r="H314" i="13"/>
  <c r="H344" i="13"/>
  <c r="H363" i="13"/>
  <c r="H16" i="13"/>
  <c r="H47" i="13"/>
  <c r="H57" i="13"/>
  <c r="H147" i="13"/>
  <c r="H216" i="13"/>
  <c r="H275" i="13"/>
  <c r="H107" i="13"/>
  <c r="H177" i="13"/>
  <c r="H256" i="13"/>
  <c r="H305" i="13"/>
  <c r="H7" i="13"/>
  <c r="H67" i="13"/>
  <c r="H88" i="13"/>
  <c r="H98" i="13"/>
  <c r="H128" i="13"/>
  <c r="H138" i="13"/>
  <c r="H296" i="13"/>
  <c r="H251" i="13"/>
  <c r="H241" i="13"/>
  <c r="S259" i="17"/>
  <c r="K675" i="6"/>
  <c r="K423" i="6"/>
  <c r="K317" i="6"/>
  <c r="D17" i="1"/>
  <c r="Z7" i="12"/>
  <c r="K443" i="6"/>
  <c r="K295" i="6"/>
  <c r="K207" i="6"/>
  <c r="K695" i="6"/>
  <c r="K653" i="6"/>
  <c r="K401" i="6"/>
  <c r="K31" i="6"/>
  <c r="M17" i="18"/>
  <c r="O17" i="18"/>
  <c r="K736" i="6"/>
  <c r="K611" i="6"/>
  <c r="K463" i="6"/>
  <c r="K380" i="6"/>
  <c r="K227" i="6"/>
  <c r="K75" i="6"/>
  <c r="K652" i="6"/>
  <c r="K631" i="6"/>
  <c r="K420" i="6"/>
  <c r="K400" i="6"/>
  <c r="K52" i="6"/>
  <c r="K30" i="6"/>
  <c r="K735" i="6"/>
  <c r="K357" i="6"/>
  <c r="K503" i="6"/>
  <c r="K399" i="6"/>
  <c r="K291" i="6"/>
  <c r="K94" i="6"/>
  <c r="K8" i="11"/>
  <c r="G19" i="18"/>
  <c r="N19" i="18"/>
  <c r="Q19" i="18"/>
  <c r="R19" i="18"/>
  <c r="K189" i="6"/>
  <c r="K7" i="11"/>
  <c r="K615" i="6"/>
  <c r="K341" i="6"/>
  <c r="K4" i="11"/>
  <c r="K480" i="6"/>
  <c r="K437" i="6"/>
  <c r="K376" i="6"/>
  <c r="K158" i="6"/>
  <c r="K5" i="6"/>
  <c r="K69" i="6"/>
  <c r="K228" i="6"/>
  <c r="K347" i="6"/>
  <c r="K405" i="6"/>
  <c r="K691" i="6"/>
  <c r="K728" i="6"/>
  <c r="K152" i="6"/>
  <c r="K545" i="6"/>
  <c r="K636" i="6"/>
  <c r="K711" i="6"/>
  <c r="K745" i="6"/>
  <c r="K763" i="6"/>
  <c r="K209" i="6"/>
  <c r="K289" i="6"/>
  <c r="K348" i="6"/>
  <c r="K485" i="6"/>
  <c r="K673" i="6"/>
  <c r="K114" i="6"/>
  <c r="K195" i="6"/>
  <c r="K233" i="6"/>
  <c r="K332" i="6"/>
  <c r="K429" i="6"/>
  <c r="K623" i="6"/>
  <c r="K732" i="6"/>
  <c r="K749" i="6"/>
  <c r="K255" i="6"/>
  <c r="K275" i="6"/>
  <c r="K293" i="6"/>
  <c r="K313" i="6"/>
  <c r="K333" i="6"/>
  <c r="K452" i="6"/>
  <c r="K571" i="6"/>
  <c r="K624" i="6"/>
  <c r="K260" i="6"/>
  <c r="K281" i="6"/>
  <c r="K385" i="6"/>
  <c r="K527" i="6"/>
  <c r="K585" i="6"/>
  <c r="K699" i="6"/>
  <c r="K719" i="6"/>
  <c r="K756" i="6"/>
  <c r="K681" i="6"/>
  <c r="K507" i="6"/>
  <c r="K660" i="6"/>
  <c r="K737" i="6"/>
  <c r="K241" i="6"/>
  <c r="K324" i="6"/>
  <c r="K605" i="6"/>
  <c r="K700" i="6"/>
  <c r="K99" i="6"/>
  <c r="K142" i="6"/>
  <c r="K661" i="6"/>
  <c r="K37" i="6"/>
  <c r="K183" i="6"/>
  <c r="K203" i="6"/>
  <c r="K471" i="6"/>
  <c r="K572" i="6"/>
  <c r="K589" i="6"/>
  <c r="K740" i="6"/>
  <c r="K760" i="6"/>
  <c r="K371" i="6"/>
  <c r="K511" i="6"/>
  <c r="K532" i="6"/>
  <c r="K553" i="6"/>
  <c r="K628" i="6"/>
  <c r="K724" i="6"/>
  <c r="K123" i="6"/>
  <c r="K145" i="6"/>
  <c r="K184" i="6"/>
  <c r="K204" i="6"/>
  <c r="K472" i="6"/>
  <c r="K609" i="6"/>
  <c r="K648" i="6"/>
  <c r="K664" i="6"/>
  <c r="K761" i="6"/>
  <c r="K62" i="6"/>
  <c r="K267" i="6"/>
  <c r="K392" i="6"/>
  <c r="K453" i="6"/>
  <c r="K493" i="6"/>
  <c r="K629" i="6"/>
  <c r="K725" i="6"/>
  <c r="K20" i="6"/>
  <c r="K84" i="6"/>
  <c r="K167" i="6"/>
  <c r="K205" i="6"/>
  <c r="K247" i="6"/>
  <c r="K592" i="6"/>
  <c r="K649" i="6"/>
  <c r="K616" i="6"/>
  <c r="K557" i="6"/>
  <c r="K596" i="6"/>
  <c r="K635" i="6"/>
  <c r="K712" i="6"/>
  <c r="K669" i="6"/>
  <c r="Z28" i="12"/>
  <c r="K752" i="6"/>
  <c r="AC34" i="5"/>
  <c r="AC84" i="5"/>
  <c r="AC127" i="5"/>
  <c r="AC164" i="5"/>
  <c r="AC200" i="5"/>
  <c r="AC234" i="5"/>
  <c r="AC262" i="5"/>
  <c r="AC291" i="5"/>
  <c r="AC317" i="5"/>
  <c r="AC346" i="5"/>
  <c r="AC374" i="5"/>
  <c r="AC402" i="5"/>
  <c r="AC428" i="5"/>
  <c r="AC454" i="5"/>
  <c r="AC480" i="5"/>
  <c r="AC513" i="5"/>
  <c r="AC539" i="5"/>
  <c r="AC566" i="5"/>
  <c r="AC591" i="5"/>
  <c r="AC627" i="5"/>
  <c r="AC652" i="5"/>
  <c r="Z557" i="7"/>
  <c r="Z605" i="7"/>
  <c r="Z1069" i="7"/>
  <c r="Z1117" i="7"/>
  <c r="Z1165" i="7"/>
  <c r="Z1213" i="7"/>
  <c r="Z1252" i="7"/>
  <c r="Z1282" i="7"/>
  <c r="Z1321" i="7"/>
  <c r="Z1369" i="7"/>
  <c r="Z1417" i="7"/>
  <c r="Z1650" i="7"/>
  <c r="Z2002" i="7"/>
  <c r="Z2044" i="7"/>
  <c r="Z2077" i="7"/>
  <c r="Z2122" i="7"/>
  <c r="Z2155" i="7"/>
  <c r="Z2203" i="7"/>
  <c r="Z2319" i="7"/>
  <c r="Z2514" i="7"/>
  <c r="Z2893" i="7"/>
  <c r="Z3009" i="7"/>
  <c r="Z3116" i="7"/>
  <c r="Z3327" i="7"/>
  <c r="Z3395" i="7"/>
  <c r="AC35" i="5"/>
  <c r="AC87" i="5"/>
  <c r="AC128" i="5"/>
  <c r="AC165" i="5"/>
  <c r="AC202" i="5"/>
  <c r="AC235" i="5"/>
  <c r="AC263" i="5"/>
  <c r="AC292" i="5"/>
  <c r="AC319" i="5"/>
  <c r="AC347" i="5"/>
  <c r="AC375" i="5"/>
  <c r="AC403" i="5"/>
  <c r="AC429" i="5"/>
  <c r="AC455" i="5"/>
  <c r="AC481" i="5"/>
  <c r="AC514" i="5"/>
  <c r="AC540" i="5"/>
  <c r="AC567" i="5"/>
  <c r="AC593" i="5"/>
  <c r="AC628" i="5"/>
  <c r="AC654" i="5"/>
  <c r="Z103" i="7"/>
  <c r="Z153" i="7"/>
  <c r="Z201" i="7"/>
  <c r="Z234" i="7"/>
  <c r="Z264" i="7"/>
  <c r="Z309" i="7"/>
  <c r="Z357" i="7"/>
  <c r="Z405" i="7"/>
  <c r="Z438" i="7"/>
  <c r="Z468" i="7"/>
  <c r="Z513" i="7"/>
  <c r="Z710" i="7"/>
  <c r="Z758" i="7"/>
  <c r="Z806" i="7"/>
  <c r="Z848" i="7"/>
  <c r="Z887" i="7"/>
  <c r="Z926" i="7"/>
  <c r="Z971" i="7"/>
  <c r="Z1447" i="7"/>
  <c r="Z1503" i="7"/>
  <c r="Z1544" i="7"/>
  <c r="Z1803" i="7"/>
  <c r="Z1881" i="7"/>
  <c r="Z1958" i="7"/>
  <c r="Z2239" i="7"/>
  <c r="Z2284" i="7"/>
  <c r="Z2358" i="7"/>
  <c r="Z2406" i="7"/>
  <c r="Z2438" i="7"/>
  <c r="Z3117" i="7"/>
  <c r="Z3246" i="7"/>
  <c r="Z3396" i="7"/>
  <c r="Z3441" i="7"/>
  <c r="AC36" i="5"/>
  <c r="AC90" i="5"/>
  <c r="AC130" i="5"/>
  <c r="AC166" i="5"/>
  <c r="AC203" i="5"/>
  <c r="AC236" i="5"/>
  <c r="AC264" i="5"/>
  <c r="AC293" i="5"/>
  <c r="AC320" i="5"/>
  <c r="AC348" i="5"/>
  <c r="AC376" i="5"/>
  <c r="AC404" i="5"/>
  <c r="AC430" i="5"/>
  <c r="AC456" i="5"/>
  <c r="AC482" i="5"/>
  <c r="AC515" i="5"/>
  <c r="AC541" i="5"/>
  <c r="AC568" i="5"/>
  <c r="AC595" i="5"/>
  <c r="AC629" i="5"/>
  <c r="AC655" i="5"/>
  <c r="Z561" i="7"/>
  <c r="Z609" i="7"/>
  <c r="Z1073" i="7"/>
  <c r="Z1121" i="7"/>
  <c r="Z1169" i="7"/>
  <c r="Z1325" i="7"/>
  <c r="Z1373" i="7"/>
  <c r="Z1610" i="7"/>
  <c r="Z1655" i="7"/>
  <c r="Z1765" i="7"/>
  <c r="Z2006" i="7"/>
  <c r="Z2081" i="7"/>
  <c r="Z2159" i="7"/>
  <c r="Z2207" i="7"/>
  <c r="Z2519" i="7"/>
  <c r="Z2631" i="7"/>
  <c r="Z2754" i="7"/>
  <c r="Z3014" i="7"/>
  <c r="Z3332" i="7"/>
  <c r="Z3486" i="7"/>
  <c r="AC47" i="5"/>
  <c r="AC98" i="5"/>
  <c r="AC136" i="5"/>
  <c r="AC170" i="5"/>
  <c r="AC208" i="5"/>
  <c r="AC241" i="5"/>
  <c r="AC269" i="5"/>
  <c r="AC297" i="5"/>
  <c r="AC324" i="5"/>
  <c r="AC353" i="5"/>
  <c r="AC381" i="5"/>
  <c r="AC408" i="5"/>
  <c r="AC434" i="5"/>
  <c r="AC460" i="5"/>
  <c r="AC487" i="5"/>
  <c r="AC519" i="5"/>
  <c r="AC545" i="5"/>
  <c r="AC572" i="5"/>
  <c r="AC602" i="5"/>
  <c r="AC633" i="5"/>
  <c r="AC659" i="5"/>
  <c r="Z7" i="7"/>
  <c r="Z569" i="7"/>
  <c r="Z617" i="7"/>
  <c r="Z1081" i="7"/>
  <c r="Z1129" i="7"/>
  <c r="Z1177" i="7"/>
  <c r="Z1333" i="7"/>
  <c r="Z1381" i="7"/>
  <c r="Z1452" i="7"/>
  <c r="AC7" i="5"/>
  <c r="AC50" i="5"/>
  <c r="AC100" i="5"/>
  <c r="AC137" i="5"/>
  <c r="AC172" i="5"/>
  <c r="AC210" i="5"/>
  <c r="AC242" i="5"/>
  <c r="AC270" i="5"/>
  <c r="AC298" i="5"/>
  <c r="AC325" i="5"/>
  <c r="AC355" i="5"/>
  <c r="AC382" i="5"/>
  <c r="AC410" i="5"/>
  <c r="AC435" i="5"/>
  <c r="AC461" i="5"/>
  <c r="AC489" i="5"/>
  <c r="AC520" i="5"/>
  <c r="AC546" i="5"/>
  <c r="AC573" i="5"/>
  <c r="AC604" i="5"/>
  <c r="AC634" i="5"/>
  <c r="AC660" i="5"/>
  <c r="AC10" i="5"/>
  <c r="AC51" i="5"/>
  <c r="AC103" i="5"/>
  <c r="AC138" i="5"/>
  <c r="AC173" i="5"/>
  <c r="AC211" i="5"/>
  <c r="AC243" i="5"/>
  <c r="AC271" i="5"/>
  <c r="AC299" i="5"/>
  <c r="AC326" i="5"/>
  <c r="AC356" i="5"/>
  <c r="AC383" i="5"/>
  <c r="AC411" i="5"/>
  <c r="AC436" i="5"/>
  <c r="AC462" i="5"/>
  <c r="AC490" i="5"/>
  <c r="AC521" i="5"/>
  <c r="AC547" i="5"/>
  <c r="AC575" i="5"/>
  <c r="AC605" i="5"/>
  <c r="AC635" i="5"/>
  <c r="Z525" i="7"/>
  <c r="Z573" i="7"/>
  <c r="Z1049" i="7"/>
  <c r="Z1085" i="7"/>
  <c r="Z1133" i="7"/>
  <c r="Z1181" i="7"/>
  <c r="Z1223" i="7"/>
  <c r="Z1262" i="7"/>
  <c r="Z1292" i="7"/>
  <c r="Z1337" i="7"/>
  <c r="Z1385" i="7"/>
  <c r="Z1427" i="7"/>
  <c r="AC44" i="5"/>
  <c r="AC111" i="5"/>
  <c r="AC156" i="5"/>
  <c r="AC205" i="5"/>
  <c r="AC248" i="5"/>
  <c r="AC284" i="5"/>
  <c r="AC322" i="5"/>
  <c r="AC361" i="5"/>
  <c r="AC395" i="5"/>
  <c r="AC432" i="5"/>
  <c r="AC467" i="5"/>
  <c r="AC507" i="5"/>
  <c r="AC543" i="5"/>
  <c r="AC580" i="5"/>
  <c r="AC622" i="5"/>
  <c r="AC657" i="5"/>
  <c r="Z87" i="7"/>
  <c r="Z189" i="7"/>
  <c r="Z259" i="7"/>
  <c r="Z353" i="7"/>
  <c r="Z734" i="7"/>
  <c r="Z834" i="7"/>
  <c r="Z1001" i="7"/>
  <c r="Z1034" i="7"/>
  <c r="Z1478" i="7"/>
  <c r="Z1509" i="7"/>
  <c r="Z1545" i="7"/>
  <c r="Z1823" i="7"/>
  <c r="Z1853" i="7"/>
  <c r="Z2064" i="7"/>
  <c r="Z2113" i="7"/>
  <c r="Z2362" i="7"/>
  <c r="Z2446" i="7"/>
  <c r="Z2641" i="7"/>
  <c r="Z3292" i="7"/>
  <c r="Z3423" i="7"/>
  <c r="Z3452" i="7"/>
  <c r="Z443" i="7"/>
  <c r="AC45" i="5"/>
  <c r="AC112" i="5"/>
  <c r="AC157" i="5"/>
  <c r="AC207" i="5"/>
  <c r="AC249" i="5"/>
  <c r="AC285" i="5"/>
  <c r="AC323" i="5"/>
  <c r="AC362" i="5"/>
  <c r="AC396" i="5"/>
  <c r="AC433" i="5"/>
  <c r="AC468" i="5"/>
  <c r="AC508" i="5"/>
  <c r="AC544" i="5"/>
  <c r="AC581" i="5"/>
  <c r="AC623" i="5"/>
  <c r="AC658" i="5"/>
  <c r="Z141" i="7"/>
  <c r="Z229" i="7"/>
  <c r="Z305" i="7"/>
  <c r="Z521" i="7"/>
  <c r="Z577" i="7"/>
  <c r="Z686" i="7"/>
  <c r="Z786" i="7"/>
  <c r="Z874" i="7"/>
  <c r="Z1125" i="7"/>
  <c r="Z1185" i="7"/>
  <c r="Z1231" i="7"/>
  <c r="Z1305" i="7"/>
  <c r="Z1361" i="7"/>
  <c r="Z1479" i="7"/>
  <c r="Z1620" i="7"/>
  <c r="Z1665" i="7"/>
  <c r="Z1775" i="7"/>
  <c r="Z1905" i="7"/>
  <c r="Z1940" i="7"/>
  <c r="Z1982" i="7"/>
  <c r="Z2028" i="7"/>
  <c r="Z2147" i="7"/>
  <c r="Z2199" i="7"/>
  <c r="Z2531" i="7"/>
  <c r="Z2606" i="7"/>
  <c r="Z3212" i="7"/>
  <c r="Z3293" i="7"/>
  <c r="Z3361" i="7"/>
  <c r="Z3424" i="7"/>
  <c r="Z3503" i="7"/>
  <c r="AC550" i="5"/>
  <c r="Z690" i="7"/>
  <c r="AC53" i="5"/>
  <c r="AC113" i="5"/>
  <c r="AC159" i="5"/>
  <c r="AC212" i="5"/>
  <c r="AC252" i="5"/>
  <c r="AC286" i="5"/>
  <c r="AC327" i="5"/>
  <c r="AC363" i="5"/>
  <c r="AC397" i="5"/>
  <c r="AC437" i="5"/>
  <c r="AC469" i="5"/>
  <c r="AC509" i="5"/>
  <c r="AC548" i="5"/>
  <c r="AC582" i="5"/>
  <c r="AC624" i="5"/>
  <c r="Z22" i="7"/>
  <c r="Z52" i="7"/>
  <c r="Z91" i="7"/>
  <c r="Z193" i="7"/>
  <c r="Z409" i="7"/>
  <c r="Z473" i="7"/>
  <c r="Z627" i="7"/>
  <c r="Z738" i="7"/>
  <c r="Z838" i="7"/>
  <c r="Z917" i="7"/>
  <c r="Z1005" i="7"/>
  <c r="Z1514" i="7"/>
  <c r="Z1857" i="7"/>
  <c r="Z2117" i="7"/>
  <c r="Z2288" i="7"/>
  <c r="Z2366" i="7"/>
  <c r="Z2411" i="7"/>
  <c r="Z2450" i="7"/>
  <c r="Z2532" i="7"/>
  <c r="Z2744" i="7"/>
  <c r="Z2921" i="7"/>
  <c r="Z2956" i="7"/>
  <c r="Z3008" i="7"/>
  <c r="Z3504" i="7"/>
  <c r="AC60" i="5"/>
  <c r="AC115" i="5"/>
  <c r="AC160" i="5"/>
  <c r="AC214" i="5"/>
  <c r="AC253" i="5"/>
  <c r="AC287" i="5"/>
  <c r="AC328" i="5"/>
  <c r="AC364" i="5"/>
  <c r="AC399" i="5"/>
  <c r="AC438" i="5"/>
  <c r="AC472" i="5"/>
  <c r="AC511" i="5"/>
  <c r="AC583" i="5"/>
  <c r="AC625" i="5"/>
  <c r="Z145" i="7"/>
  <c r="Z361" i="7"/>
  <c r="Z581" i="7"/>
  <c r="Z657" i="7"/>
  <c r="Z790" i="7"/>
  <c r="Z878" i="7"/>
  <c r="AC64" i="5"/>
  <c r="AC117" i="5"/>
  <c r="AC167" i="5"/>
  <c r="AC217" i="5"/>
  <c r="AC256" i="5"/>
  <c r="AC294" i="5"/>
  <c r="AC331" i="5"/>
  <c r="AC366" i="5"/>
  <c r="AC405" i="5"/>
  <c r="AC440" i="5"/>
  <c r="AC474" i="5"/>
  <c r="AC516" i="5"/>
  <c r="AC552" i="5"/>
  <c r="AC585" i="5"/>
  <c r="AC630" i="5"/>
  <c r="Z149" i="7"/>
  <c r="Z365" i="7"/>
  <c r="Z529" i="7"/>
  <c r="Z585" i="7"/>
  <c r="Z694" i="7"/>
  <c r="Z794" i="7"/>
  <c r="Z882" i="7"/>
  <c r="Z967" i="7"/>
  <c r="Z1077" i="7"/>
  <c r="Z1137" i="7"/>
  <c r="Z1193" i="7"/>
  <c r="Z1239" i="7"/>
  <c r="Z1313" i="7"/>
  <c r="Z1485" i="7"/>
  <c r="AC66" i="5"/>
  <c r="AC118" i="5"/>
  <c r="AC168" i="5"/>
  <c r="AC218" i="5"/>
  <c r="AC257" i="5"/>
  <c r="AC295" i="5"/>
  <c r="AC332" i="5"/>
  <c r="AC367" i="5"/>
  <c r="AC406" i="5"/>
  <c r="AC442" i="5"/>
  <c r="AC475" i="5"/>
  <c r="AC517" i="5"/>
  <c r="AC553" i="5"/>
  <c r="AC586" i="5"/>
  <c r="AC631" i="5"/>
  <c r="Z27" i="7"/>
  <c r="Z57" i="7"/>
  <c r="Z99" i="7"/>
  <c r="Z317" i="7"/>
  <c r="Z481" i="7"/>
  <c r="Z632" i="7"/>
  <c r="Z746" i="7"/>
  <c r="Z843" i="7"/>
  <c r="Z922" i="7"/>
  <c r="Z1521" i="7"/>
  <c r="Z1865" i="7"/>
  <c r="Z2073" i="7"/>
  <c r="AC67" i="5"/>
  <c r="AC120" i="5"/>
  <c r="AC169" i="5"/>
  <c r="AC219" i="5"/>
  <c r="AC258" i="5"/>
  <c r="AC296" i="5"/>
  <c r="AC334" i="5"/>
  <c r="AC368" i="5"/>
  <c r="AC407" i="5"/>
  <c r="AC443" i="5"/>
  <c r="AC476" i="5"/>
  <c r="AC518" i="5"/>
  <c r="AC554" i="5"/>
  <c r="AC587" i="5"/>
  <c r="AC632" i="5"/>
  <c r="Z205" i="7"/>
  <c r="Z269" i="7"/>
  <c r="Z369" i="7"/>
  <c r="Z448" i="7"/>
  <c r="Z533" i="7"/>
  <c r="Z589" i="7"/>
  <c r="Z662" i="7"/>
  <c r="Z698" i="7"/>
  <c r="Z798" i="7"/>
  <c r="Z1141" i="7"/>
  <c r="Z1197" i="7"/>
  <c r="Z1243" i="7"/>
  <c r="Z1277" i="7"/>
  <c r="Z1317" i="7"/>
  <c r="Z1377" i="7"/>
  <c r="Z1490" i="7"/>
  <c r="Z1630" i="7"/>
  <c r="Z1787" i="7"/>
  <c r="Z1917" i="7"/>
  <c r="Z1994" i="7"/>
  <c r="Z2040" i="7"/>
  <c r="Z2163" i="7"/>
  <c r="Z2215" i="7"/>
  <c r="Z2248" i="7"/>
  <c r="AC11" i="5"/>
  <c r="AC68" i="5"/>
  <c r="AC122" i="5"/>
  <c r="AC174" i="5"/>
  <c r="AC220" i="5"/>
  <c r="AC259" i="5"/>
  <c r="AC300" i="5"/>
  <c r="AC335" i="5"/>
  <c r="AC369" i="5"/>
  <c r="AC412" i="5"/>
  <c r="AC444" i="5"/>
  <c r="AC477" i="5"/>
  <c r="AC522" i="5"/>
  <c r="AC555" i="5"/>
  <c r="AC588" i="5"/>
  <c r="AC636" i="5"/>
  <c r="Z157" i="7"/>
  <c r="AC12" i="5"/>
  <c r="AC69" i="5"/>
  <c r="AC123" i="5"/>
  <c r="AC175" i="5"/>
  <c r="AC222" i="5"/>
  <c r="AC260" i="5"/>
  <c r="AC301" i="5"/>
  <c r="AC336" i="5"/>
  <c r="AC370" i="5"/>
  <c r="AC413" i="5"/>
  <c r="AC445" i="5"/>
  <c r="AC478" i="5"/>
  <c r="AC523" i="5"/>
  <c r="AC556" i="5"/>
  <c r="AC589" i="5"/>
  <c r="AC637" i="5"/>
  <c r="Z107" i="7"/>
  <c r="Z209" i="7"/>
  <c r="Z273" i="7"/>
  <c r="Z373" i="7"/>
  <c r="Z537" i="7"/>
  <c r="Z593" i="7"/>
  <c r="AC641" i="5"/>
  <c r="AC570" i="5"/>
  <c r="AC512" i="5"/>
  <c r="AC452" i="5"/>
  <c r="AC391" i="5"/>
  <c r="AC339" i="5"/>
  <c r="AC276" i="5"/>
  <c r="AC215" i="5"/>
  <c r="AC140" i="5"/>
  <c r="AC31" i="5"/>
  <c r="L13" i="18"/>
  <c r="N13" i="18"/>
  <c r="X13" i="18"/>
  <c r="K657" i="6"/>
  <c r="K577" i="6"/>
  <c r="K168" i="6"/>
  <c r="K656" i="6"/>
  <c r="K576" i="6"/>
  <c r="K276" i="6"/>
  <c r="K6" i="11"/>
  <c r="K356" i="6"/>
  <c r="H13" i="3"/>
  <c r="H23" i="3"/>
  <c r="H24" i="3"/>
  <c r="Z95" i="7"/>
  <c r="Z17" i="7"/>
  <c r="K731" i="6"/>
  <c r="K584" i="6"/>
  <c r="K457" i="6"/>
  <c r="K415" i="6"/>
  <c r="AC640" i="5"/>
  <c r="AC569" i="5"/>
  <c r="AC506" i="5"/>
  <c r="AC451" i="5"/>
  <c r="AC390" i="5"/>
  <c r="AC338" i="5"/>
  <c r="AC275" i="5"/>
  <c r="AC204" i="5"/>
  <c r="AC139" i="5"/>
  <c r="AC30" i="5"/>
  <c r="L16" i="18"/>
  <c r="K15" i="8"/>
  <c r="K16" i="8"/>
  <c r="D11" i="1"/>
  <c r="K6" i="8"/>
  <c r="K7" i="8"/>
  <c r="K16" i="18"/>
  <c r="J16" i="18"/>
  <c r="Z1575" i="7"/>
  <c r="Z2690" i="7"/>
  <c r="Z2815" i="7"/>
  <c r="Z3372" i="7"/>
  <c r="Z3481" i="7"/>
  <c r="Z3532" i="7"/>
  <c r="Z2563" i="7"/>
  <c r="Z2729" i="7"/>
  <c r="Z2806" i="7"/>
  <c r="Z2985" i="7"/>
  <c r="Z3073" i="7"/>
  <c r="Z3092" i="7"/>
  <c r="Z3163" i="7"/>
  <c r="Z3200" i="7"/>
  <c r="Z3285" i="7"/>
  <c r="Z3590" i="7"/>
  <c r="Z3613" i="7"/>
  <c r="Y85" i="9"/>
  <c r="Z2550" i="7"/>
  <c r="Z2655" i="7"/>
  <c r="Z2705" i="7"/>
  <c r="Z2780" i="7"/>
  <c r="Z3055" i="7"/>
  <c r="Z3145" i="7"/>
  <c r="Y562" i="9"/>
  <c r="D16" i="1"/>
  <c r="Y169" i="9"/>
  <c r="Y419" i="9"/>
  <c r="Y670" i="9"/>
  <c r="I16" i="18"/>
  <c r="H16" i="18"/>
  <c r="F8" i="18"/>
  <c r="K8" i="18"/>
  <c r="Z3589" i="7"/>
  <c r="Z3560" i="7"/>
  <c r="Z3319" i="7"/>
  <c r="Z2814" i="7"/>
  <c r="Z1580" i="7"/>
  <c r="Z3269" i="7"/>
  <c r="Z2984" i="7"/>
  <c r="Z2792" i="7"/>
  <c r="Z1595" i="7"/>
  <c r="K14" i="8"/>
  <c r="J6" i="10"/>
  <c r="Z3407" i="7"/>
  <c r="Z3251" i="7"/>
  <c r="Z2865" i="7"/>
  <c r="Z2851" i="7"/>
  <c r="Z2723" i="7"/>
  <c r="Y718" i="9"/>
  <c r="Y420" i="9"/>
  <c r="I15" i="18"/>
  <c r="N9" i="18"/>
  <c r="J3412" i="7"/>
  <c r="I71" i="9"/>
  <c r="G3263" i="7"/>
  <c r="H3263" i="7" s="1"/>
  <c r="H3264" i="7" s="1"/>
  <c r="F701" i="6" s="1"/>
  <c r="G1345" i="7"/>
  <c r="H1345" i="7" s="1"/>
  <c r="H1346" i="7" s="1"/>
  <c r="F317" i="6" s="1"/>
  <c r="H320" i="5" s="1"/>
  <c r="I320" i="5" s="1"/>
  <c r="G3259" i="7"/>
  <c r="H3259" i="7" s="1"/>
  <c r="G2040" i="7"/>
  <c r="H2040" i="7" s="1"/>
  <c r="H2041" i="7" s="1"/>
  <c r="F469" i="6" s="1"/>
  <c r="H472" i="5" s="1"/>
  <c r="I472" i="5" s="1"/>
  <c r="E8" i="12"/>
  <c r="H8" i="12"/>
  <c r="H11" i="12" s="1"/>
  <c r="F4" i="11" s="1"/>
  <c r="H663" i="5" s="1"/>
  <c r="I663" i="5" s="1"/>
  <c r="K2402" i="7"/>
  <c r="L2402" i="7" s="1"/>
  <c r="L2403" i="7" s="1"/>
  <c r="H554" i="6" s="1"/>
  <c r="L557" i="5" s="1"/>
  <c r="M557" i="5" s="1"/>
  <c r="K3520" i="7"/>
  <c r="L3520" i="7" s="1"/>
  <c r="F3235" i="7"/>
  <c r="J3237" i="7"/>
  <c r="F910" i="5"/>
  <c r="K910" i="5"/>
  <c r="G910" i="5" s="1"/>
  <c r="J858" i="5"/>
  <c r="I1941" i="7"/>
  <c r="F3586" i="7"/>
  <c r="E759" i="6" s="1"/>
  <c r="F3531" i="7"/>
  <c r="F3498" i="7"/>
  <c r="E3464" i="7"/>
  <c r="F3372" i="7"/>
  <c r="J3374" i="7"/>
  <c r="F3355" i="7"/>
  <c r="J3357" i="7"/>
  <c r="H382" i="5"/>
  <c r="I382" i="5" s="1"/>
  <c r="G605" i="7"/>
  <c r="H605" i="7" s="1"/>
  <c r="H606" i="7" s="1"/>
  <c r="F144" i="6" s="1"/>
  <c r="H147" i="5" s="1"/>
  <c r="I147" i="5" s="1"/>
  <c r="J3130" i="7"/>
  <c r="F3128" i="7"/>
  <c r="J3058" i="7"/>
  <c r="K2374" i="7"/>
  <c r="L2374" i="7" s="1"/>
  <c r="L2375" i="7" s="1"/>
  <c r="H547" i="6" s="1"/>
  <c r="L550" i="5" s="1"/>
  <c r="M550" i="5" s="1"/>
  <c r="K3504" i="7"/>
  <c r="L3504" i="7" s="1"/>
  <c r="F2807" i="7"/>
  <c r="K10" i="18"/>
  <c r="L10" i="18"/>
  <c r="E10" i="18"/>
  <c r="F10" i="18"/>
  <c r="X10" i="18"/>
  <c r="I10" i="18"/>
  <c r="G10" i="18"/>
  <c r="F912" i="5"/>
  <c r="K912" i="5"/>
  <c r="G912" i="5" s="1"/>
  <c r="F888" i="5"/>
  <c r="K888" i="5"/>
  <c r="G888" i="5" s="1"/>
  <c r="J759" i="5"/>
  <c r="I1463" i="7"/>
  <c r="K764" i="5"/>
  <c r="G764" i="5" s="1"/>
  <c r="F764" i="5"/>
  <c r="J709" i="5"/>
  <c r="I648" i="7"/>
  <c r="J866" i="5"/>
  <c r="I2225" i="7"/>
  <c r="J982" i="5"/>
  <c r="I2765" i="7"/>
  <c r="E472" i="9"/>
  <c r="C472" i="9" s="1"/>
  <c r="I472" i="9"/>
  <c r="J3592" i="7"/>
  <c r="F3592" i="7" s="1"/>
  <c r="L3585" i="7"/>
  <c r="L3586" i="7" s="1"/>
  <c r="H759" i="6" s="1"/>
  <c r="K2774" i="7" s="1"/>
  <c r="L2774" i="7" s="1"/>
  <c r="L2776" i="7" s="1"/>
  <c r="H624" i="6" s="1"/>
  <c r="L627" i="5" s="1"/>
  <c r="M627" i="5" s="1"/>
  <c r="H3374" i="7"/>
  <c r="F720" i="6" s="1"/>
  <c r="G2089" i="7"/>
  <c r="H2089" i="7" s="1"/>
  <c r="H2090" i="7" s="1"/>
  <c r="F480" i="6" s="1"/>
  <c r="H483" i="5" s="1"/>
  <c r="I483" i="5" s="1"/>
  <c r="G1978" i="7"/>
  <c r="H1978" i="7" s="1"/>
  <c r="H1979" i="7" s="1"/>
  <c r="F454" i="6" s="1"/>
  <c r="H457" i="5" s="1"/>
  <c r="I457" i="5" s="1"/>
  <c r="G2446" i="7"/>
  <c r="H2446" i="7" s="1"/>
  <c r="H2447" i="7" s="1"/>
  <c r="F564" i="6" s="1"/>
  <c r="H567" i="5" s="1"/>
  <c r="I567" i="5" s="1"/>
  <c r="G2179" i="7"/>
  <c r="H2179" i="7" s="1"/>
  <c r="H2180" i="7" s="1"/>
  <c r="F501" i="6" s="1"/>
  <c r="H504" i="5" s="1"/>
  <c r="I504" i="5" s="1"/>
  <c r="G1795" i="7"/>
  <c r="H1795" i="7" s="1"/>
  <c r="H1796" i="7" s="1"/>
  <c r="F411" i="6" s="1"/>
  <c r="H414" i="5" s="1"/>
  <c r="I414" i="5" s="1"/>
  <c r="G2272" i="7"/>
  <c r="H2272" i="7" s="1"/>
  <c r="H2273" i="7" s="1"/>
  <c r="F523" i="6" s="1"/>
  <c r="H526" i="5" s="1"/>
  <c r="I526" i="5" s="1"/>
  <c r="G3345" i="7"/>
  <c r="H3345" i="7" s="1"/>
  <c r="G1885" i="7"/>
  <c r="H1885" i="7" s="1"/>
  <c r="H1886" i="7" s="1"/>
  <c r="F432" i="6" s="1"/>
  <c r="H435" i="5" s="1"/>
  <c r="I435" i="5" s="1"/>
  <c r="G3350" i="7"/>
  <c r="H3350" i="7" s="1"/>
  <c r="H3351" i="7" s="1"/>
  <c r="F716" i="6" s="1"/>
  <c r="K2672" i="7"/>
  <c r="H2673" i="7"/>
  <c r="F606" i="6" s="1"/>
  <c r="H609" i="5" s="1"/>
  <c r="I609" i="5" s="1"/>
  <c r="H358" i="5"/>
  <c r="I358" i="5" s="1"/>
  <c r="G458" i="7"/>
  <c r="H458" i="7" s="1"/>
  <c r="H460" i="7" s="1"/>
  <c r="F108" i="6" s="1"/>
  <c r="H111" i="5" s="1"/>
  <c r="I111" i="5" s="1"/>
  <c r="G1462" i="7"/>
  <c r="H1462" i="7" s="1"/>
  <c r="H1464" i="7" s="1"/>
  <c r="F344" i="6" s="1"/>
  <c r="H347" i="5" s="1"/>
  <c r="I347" i="5" s="1"/>
  <c r="G509" i="7"/>
  <c r="H509" i="7" s="1"/>
  <c r="H510" i="7" s="1"/>
  <c r="F120" i="6" s="1"/>
  <c r="H123" i="5" s="1"/>
  <c r="I123" i="5" s="1"/>
  <c r="G2956" i="7"/>
  <c r="H2956" i="7" s="1"/>
  <c r="J18" i="12"/>
  <c r="J687" i="5"/>
  <c r="I250" i="7"/>
  <c r="J3568" i="7"/>
  <c r="F17" i="12"/>
  <c r="F954" i="5"/>
  <c r="K954" i="5"/>
  <c r="G954" i="5" s="1"/>
  <c r="I2670" i="7"/>
  <c r="I2691" i="7"/>
  <c r="I2698" i="7"/>
  <c r="I2663" i="7"/>
  <c r="I2656" i="7"/>
  <c r="I2684" i="7"/>
  <c r="K883" i="5"/>
  <c r="G883" i="5" s="1"/>
  <c r="F883" i="5"/>
  <c r="F873" i="5"/>
  <c r="K873" i="5"/>
  <c r="G873" i="5" s="1"/>
  <c r="F806" i="5"/>
  <c r="K806" i="5"/>
  <c r="G806" i="5" s="1"/>
  <c r="J851" i="5"/>
  <c r="I2123" i="7"/>
  <c r="J706" i="5"/>
  <c r="I633" i="7"/>
  <c r="F948" i="5"/>
  <c r="K948" i="5"/>
  <c r="G948" i="5" s="1"/>
  <c r="J981" i="5"/>
  <c r="I2760" i="7"/>
  <c r="F882" i="5"/>
  <c r="K882" i="5"/>
  <c r="G882" i="5" s="1"/>
  <c r="L3482" i="7"/>
  <c r="H739" i="6" s="1"/>
  <c r="K2362" i="7"/>
  <c r="L2362" i="7" s="1"/>
  <c r="L2363" i="7" s="1"/>
  <c r="H544" i="6" s="1"/>
  <c r="L547" i="5" s="1"/>
  <c r="M547" i="5" s="1"/>
  <c r="K3458" i="7"/>
  <c r="L3458" i="7" s="1"/>
  <c r="L3459" i="7" s="1"/>
  <c r="H735" i="6" s="1"/>
  <c r="F2985" i="7"/>
  <c r="J2507" i="7"/>
  <c r="F2507" i="7" s="1"/>
  <c r="F2506" i="7"/>
  <c r="K761" i="5"/>
  <c r="G761" i="5" s="1"/>
  <c r="F761" i="5"/>
  <c r="I3492" i="7"/>
  <c r="I2370" i="7"/>
  <c r="I3487" i="7"/>
  <c r="J2769" i="7"/>
  <c r="K911" i="5"/>
  <c r="G911" i="5" s="1"/>
  <c r="F911" i="5"/>
  <c r="J859" i="5"/>
  <c r="I1946" i="7"/>
  <c r="F768" i="5"/>
  <c r="K768" i="5"/>
  <c r="G768" i="5" s="1"/>
  <c r="J837" i="5"/>
  <c r="I1720" i="7"/>
  <c r="K965" i="5"/>
  <c r="G965" i="5" s="1"/>
  <c r="F965" i="5"/>
  <c r="B16" i="2"/>
  <c r="H26" i="3"/>
  <c r="H5" i="3"/>
  <c r="H14" i="3"/>
  <c r="H20" i="3"/>
  <c r="D6" i="1"/>
  <c r="H27" i="3"/>
  <c r="H15" i="3"/>
  <c r="H21" i="3"/>
  <c r="H16" i="3"/>
  <c r="H28" i="3"/>
  <c r="H17" i="3"/>
  <c r="H30" i="3"/>
  <c r="H18" i="3"/>
  <c r="H19" i="3"/>
  <c r="H22" i="3"/>
  <c r="H9" i="3"/>
  <c r="H29" i="3"/>
  <c r="H10" i="3"/>
  <c r="H12" i="3"/>
  <c r="F3585" i="7"/>
  <c r="J3482" i="7"/>
  <c r="F3463" i="7"/>
  <c r="J3465" i="7"/>
  <c r="G733" i="6"/>
  <c r="E2985" i="7"/>
  <c r="H2985" i="7"/>
  <c r="H2852" i="7"/>
  <c r="F2852" i="7" s="1"/>
  <c r="G726" i="6"/>
  <c r="F3408" i="7"/>
  <c r="E726" i="6" s="1"/>
  <c r="K784" i="5"/>
  <c r="G784" i="5" s="1"/>
  <c r="F784" i="5"/>
  <c r="J3332" i="7"/>
  <c r="F2650" i="7"/>
  <c r="K2712" i="7"/>
  <c r="H2713" i="7"/>
  <c r="F612" i="6" s="1"/>
  <c r="H615" i="5" s="1"/>
  <c r="I615" i="5" s="1"/>
  <c r="G361" i="6"/>
  <c r="F1561" i="7"/>
  <c r="E361" i="6" s="1"/>
  <c r="K772" i="5"/>
  <c r="G772" i="5" s="1"/>
  <c r="F772" i="5"/>
  <c r="H3482" i="7"/>
  <c r="F739" i="6" s="1"/>
  <c r="H3465" i="7"/>
  <c r="F736" i="6" s="1"/>
  <c r="G2358" i="7"/>
  <c r="H2358" i="7" s="1"/>
  <c r="H2359" i="7" s="1"/>
  <c r="F543" i="6" s="1"/>
  <c r="H546" i="5" s="1"/>
  <c r="I546" i="5" s="1"/>
  <c r="K3401" i="7"/>
  <c r="L3401" i="7" s="1"/>
  <c r="L3402" i="7" s="1"/>
  <c r="H725" i="6" s="1"/>
  <c r="G587" i="6"/>
  <c r="H2507" i="7"/>
  <c r="G2508" i="7"/>
  <c r="L2492" i="7"/>
  <c r="L2493" i="7" s="1"/>
  <c r="H575" i="6" s="1"/>
  <c r="L578" i="5" s="1"/>
  <c r="M578" i="5" s="1"/>
  <c r="E2492" i="7"/>
  <c r="J739" i="5"/>
  <c r="I1258" i="7"/>
  <c r="J754" i="5"/>
  <c r="I1438" i="7"/>
  <c r="K2853" i="7"/>
  <c r="L2853" i="7" s="1"/>
  <c r="L2854" i="7" s="1"/>
  <c r="H634" i="6" s="1"/>
  <c r="L637" i="5" s="1"/>
  <c r="M637" i="5" s="1"/>
  <c r="K2874" i="7"/>
  <c r="L2874" i="7" s="1"/>
  <c r="G2853" i="7"/>
  <c r="H2853" i="7" s="1"/>
  <c r="G2867" i="7"/>
  <c r="H2867" i="7" s="1"/>
  <c r="G2874" i="7"/>
  <c r="H2874" i="7" s="1"/>
  <c r="F3499" i="7"/>
  <c r="E742" i="6" s="1"/>
  <c r="E3373" i="7"/>
  <c r="F2799" i="7"/>
  <c r="J2800" i="7"/>
  <c r="F2474" i="7"/>
  <c r="H2476" i="7"/>
  <c r="F571" i="6" s="1"/>
  <c r="H574" i="5" s="1"/>
  <c r="I574" i="5" s="1"/>
  <c r="K917" i="5"/>
  <c r="G917" i="5" s="1"/>
  <c r="F917" i="5"/>
  <c r="F887" i="5"/>
  <c r="K887" i="5"/>
  <c r="G887" i="5" s="1"/>
  <c r="J758" i="5"/>
  <c r="I1458" i="7"/>
  <c r="J872" i="5"/>
  <c r="I2315" i="7"/>
  <c r="J2417" i="7"/>
  <c r="F2417" i="7" s="1"/>
  <c r="E2417" i="7"/>
  <c r="K805" i="5"/>
  <c r="G805" i="5" s="1"/>
  <c r="F805" i="5"/>
  <c r="J850" i="5"/>
  <c r="I2118" i="7"/>
  <c r="J714" i="5"/>
  <c r="I673" i="7"/>
  <c r="F947" i="5"/>
  <c r="K947" i="5"/>
  <c r="G947" i="5" s="1"/>
  <c r="J980" i="5"/>
  <c r="I2755" i="7"/>
  <c r="K881" i="5"/>
  <c r="G881" i="5" s="1"/>
  <c r="F881" i="5"/>
  <c r="J3562" i="7"/>
  <c r="H3516" i="7"/>
  <c r="F745" i="6" s="1"/>
  <c r="F3514" i="7"/>
  <c r="K2860" i="7"/>
  <c r="L2860" i="7" s="1"/>
  <c r="H2563" i="7"/>
  <c r="J2407" i="7"/>
  <c r="F2407" i="7" s="1"/>
  <c r="J2320" i="7"/>
  <c r="F2320" i="7" s="1"/>
  <c r="I1670" i="7"/>
  <c r="G597" i="7"/>
  <c r="H597" i="7" s="1"/>
  <c r="H598" i="7" s="1"/>
  <c r="F142" i="6" s="1"/>
  <c r="H145" i="5" s="1"/>
  <c r="I145" i="5" s="1"/>
  <c r="G1514" i="7"/>
  <c r="H1514" i="7" s="1"/>
  <c r="F944" i="5"/>
  <c r="K944" i="5"/>
  <c r="G944" i="5" s="1"/>
  <c r="J694" i="5"/>
  <c r="I434" i="7"/>
  <c r="J738" i="5"/>
  <c r="I1253" i="7"/>
  <c r="E1926" i="7"/>
  <c r="J1926" i="7"/>
  <c r="F1926" i="7" s="1"/>
  <c r="AC369" i="9"/>
  <c r="AE369" i="9"/>
  <c r="H369" i="9" s="1"/>
  <c r="Z365" i="9"/>
  <c r="AC370" i="9"/>
  <c r="AE370" i="9"/>
  <c r="H370" i="9" s="1"/>
  <c r="B364" i="9"/>
  <c r="AD365" i="9"/>
  <c r="B365" i="9" s="1"/>
  <c r="J676" i="5"/>
  <c r="I58" i="7"/>
  <c r="E3128" i="7"/>
  <c r="J699" i="5"/>
  <c r="I454" i="7"/>
  <c r="J679" i="5"/>
  <c r="I215" i="7"/>
  <c r="J3574" i="7"/>
  <c r="F3572" i="7"/>
  <c r="J25" i="12"/>
  <c r="Y28" i="9"/>
  <c r="Y71" i="9"/>
  <c r="Y75" i="9"/>
  <c r="Y26" i="9"/>
  <c r="Y73" i="9"/>
  <c r="Y30" i="9"/>
  <c r="Y49" i="9"/>
  <c r="AC663" i="5"/>
  <c r="Y51" i="9"/>
  <c r="Y53" i="9"/>
  <c r="D13" i="1"/>
  <c r="AC662" i="5"/>
  <c r="Z2853" i="7"/>
  <c r="Z2867" i="7"/>
  <c r="Z2874" i="7"/>
  <c r="F920" i="5"/>
  <c r="K920" i="5"/>
  <c r="G920" i="5" s="1"/>
  <c r="K814" i="5"/>
  <c r="G814" i="5" s="1"/>
  <c r="F814" i="5"/>
  <c r="K861" i="5"/>
  <c r="G861" i="5" s="1"/>
  <c r="F861" i="5"/>
  <c r="K788" i="5"/>
  <c r="G788" i="5" s="1"/>
  <c r="F788" i="5"/>
  <c r="J718" i="5"/>
  <c r="I1020" i="7"/>
  <c r="F876" i="5"/>
  <c r="K876" i="5"/>
  <c r="G876" i="5" s="1"/>
  <c r="I2645" i="7"/>
  <c r="I2640" i="7"/>
  <c r="F3446" i="7"/>
  <c r="K3339" i="7"/>
  <c r="H3340" i="7"/>
  <c r="F714" i="6" s="1"/>
  <c r="F3234" i="7"/>
  <c r="K3236" i="7"/>
  <c r="H3237" i="7"/>
  <c r="F696" i="6" s="1"/>
  <c r="J682" i="5"/>
  <c r="I230" i="7"/>
  <c r="F3566" i="7"/>
  <c r="K2002" i="7"/>
  <c r="L2002" i="7" s="1"/>
  <c r="L2003" i="7" s="1"/>
  <c r="H460" i="6" s="1"/>
  <c r="L463" i="5" s="1"/>
  <c r="M463" i="5" s="1"/>
  <c r="K2207" i="7"/>
  <c r="L2207" i="7" s="1"/>
  <c r="L2208" i="7" s="1"/>
  <c r="H508" i="6" s="1"/>
  <c r="L511" i="5" s="1"/>
  <c r="M511" i="5" s="1"/>
  <c r="K1913" i="7"/>
  <c r="L1913" i="7" s="1"/>
  <c r="L1914" i="7" s="1"/>
  <c r="H439" i="6" s="1"/>
  <c r="L442" i="5" s="1"/>
  <c r="M442" i="5" s="1"/>
  <c r="K1815" i="7"/>
  <c r="L1815" i="7" s="1"/>
  <c r="L1816" i="7" s="1"/>
  <c r="H416" i="6" s="1"/>
  <c r="L419" i="5" s="1"/>
  <c r="M419" i="5" s="1"/>
  <c r="K2466" i="7"/>
  <c r="L2466" i="7" s="1"/>
  <c r="L2467" i="7" s="1"/>
  <c r="H569" i="6" s="1"/>
  <c r="L572" i="5" s="1"/>
  <c r="M572" i="5" s="1"/>
  <c r="K2296" i="7"/>
  <c r="L2296" i="7" s="1"/>
  <c r="L2297" i="7" s="1"/>
  <c r="H529" i="6" s="1"/>
  <c r="L532" i="5" s="1"/>
  <c r="M532" i="5" s="1"/>
  <c r="K2109" i="7"/>
  <c r="L2109" i="7" s="1"/>
  <c r="L2110" i="7" s="1"/>
  <c r="H485" i="6" s="1"/>
  <c r="L488" i="5" s="1"/>
  <c r="M488" i="5" s="1"/>
  <c r="F828" i="5"/>
  <c r="K828" i="5"/>
  <c r="G828" i="5" s="1"/>
  <c r="J2692" i="7"/>
  <c r="F2692" i="7" s="1"/>
  <c r="E2692" i="7"/>
  <c r="K3567" i="7"/>
  <c r="K1873" i="7"/>
  <c r="L1873" i="7" s="1"/>
  <c r="L1874" i="7" s="1"/>
  <c r="H429" i="6" s="1"/>
  <c r="L432" i="5" s="1"/>
  <c r="M432" i="5" s="1"/>
  <c r="K2215" i="7"/>
  <c r="L2215" i="7" s="1"/>
  <c r="L2216" i="7" s="1"/>
  <c r="H510" i="6" s="1"/>
  <c r="L513" i="5" s="1"/>
  <c r="M513" i="5" s="1"/>
  <c r="K1921" i="7"/>
  <c r="L1921" i="7" s="1"/>
  <c r="L1922" i="7" s="1"/>
  <c r="H441" i="6" s="1"/>
  <c r="L444" i="5" s="1"/>
  <c r="M444" i="5" s="1"/>
  <c r="K1848" i="7"/>
  <c r="L1848" i="7" s="1"/>
  <c r="L1850" i="7" s="1"/>
  <c r="H423" i="6" s="1"/>
  <c r="L426" i="5" s="1"/>
  <c r="M426" i="5" s="1"/>
  <c r="F3337" i="7"/>
  <c r="H2984" i="7"/>
  <c r="E2984" i="7"/>
  <c r="G2860" i="7"/>
  <c r="H2860" i="7" s="1"/>
  <c r="F2690" i="7"/>
  <c r="I2677" i="7"/>
  <c r="J2635" i="7"/>
  <c r="F2563" i="7"/>
  <c r="G390" i="6"/>
  <c r="J393" i="5" s="1"/>
  <c r="F1704" i="7"/>
  <c r="E390" i="6" s="1"/>
  <c r="J2835" i="7"/>
  <c r="F2835" i="7" s="1"/>
  <c r="E2835" i="7"/>
  <c r="F803" i="5"/>
  <c r="K803" i="5"/>
  <c r="G803" i="5" s="1"/>
  <c r="K672" i="5"/>
  <c r="G672" i="5" s="1"/>
  <c r="F672" i="5"/>
  <c r="K1970" i="7"/>
  <c r="L1970" i="7" s="1"/>
  <c r="L1971" i="7" s="1"/>
  <c r="H452" i="6" s="1"/>
  <c r="L455" i="5" s="1"/>
  <c r="M455" i="5" s="1"/>
  <c r="K2032" i="7"/>
  <c r="L2032" i="7" s="1"/>
  <c r="L2033" i="7" s="1"/>
  <c r="H467" i="6" s="1"/>
  <c r="L470" i="5" s="1"/>
  <c r="M470" i="5" s="1"/>
  <c r="K1877" i="7"/>
  <c r="L1877" i="7" s="1"/>
  <c r="L1878" i="7" s="1"/>
  <c r="H430" i="6" s="1"/>
  <c r="L433" i="5" s="1"/>
  <c r="M433" i="5" s="1"/>
  <c r="K3396" i="7"/>
  <c r="L3396" i="7" s="1"/>
  <c r="K2171" i="7"/>
  <c r="L2171" i="7" s="1"/>
  <c r="L2172" i="7" s="1"/>
  <c r="H499" i="6" s="1"/>
  <c r="L502" i="5" s="1"/>
  <c r="M502" i="5" s="1"/>
  <c r="K2264" i="7"/>
  <c r="L2264" i="7" s="1"/>
  <c r="L2265" i="7" s="1"/>
  <c r="H521" i="6" s="1"/>
  <c r="L524" i="5" s="1"/>
  <c r="M524" i="5" s="1"/>
  <c r="K3424" i="7"/>
  <c r="L3424" i="7" s="1"/>
  <c r="E3319" i="7"/>
  <c r="F2830" i="7"/>
  <c r="K818" i="5"/>
  <c r="G818" i="5" s="1"/>
  <c r="F818" i="5"/>
  <c r="G1986" i="7"/>
  <c r="H1986" i="7" s="1"/>
  <c r="H1987" i="7" s="1"/>
  <c r="F456" i="6" s="1"/>
  <c r="H459" i="5" s="1"/>
  <c r="I459" i="5" s="1"/>
  <c r="G3379" i="7"/>
  <c r="H3379" i="7" s="1"/>
  <c r="G3430" i="7"/>
  <c r="H3430" i="7" s="1"/>
  <c r="G1803" i="7"/>
  <c r="H1803" i="7" s="1"/>
  <c r="H1804" i="7" s="1"/>
  <c r="F413" i="6" s="1"/>
  <c r="H416" i="5" s="1"/>
  <c r="I416" i="5" s="1"/>
  <c r="G2187" i="7"/>
  <c r="H2187" i="7" s="1"/>
  <c r="H2188" i="7" s="1"/>
  <c r="F503" i="6" s="1"/>
  <c r="H506" i="5" s="1"/>
  <c r="I506" i="5" s="1"/>
  <c r="G1893" i="7"/>
  <c r="H1893" i="7" s="1"/>
  <c r="H1894" i="7" s="1"/>
  <c r="F434" i="6" s="1"/>
  <c r="H437" i="5" s="1"/>
  <c r="I437" i="5" s="1"/>
  <c r="G2454" i="7"/>
  <c r="H2454" i="7" s="1"/>
  <c r="H2455" i="7" s="1"/>
  <c r="F566" i="6" s="1"/>
  <c r="H569" i="5" s="1"/>
  <c r="I569" i="5" s="1"/>
  <c r="G3384" i="7"/>
  <c r="H3384" i="7" s="1"/>
  <c r="H3385" i="7" s="1"/>
  <c r="F722" i="6" s="1"/>
  <c r="G2280" i="7"/>
  <c r="H2280" i="7" s="1"/>
  <c r="H2281" i="7" s="1"/>
  <c r="F525" i="6" s="1"/>
  <c r="H528" i="5" s="1"/>
  <c r="I528" i="5" s="1"/>
  <c r="K950" i="5"/>
  <c r="G950" i="5" s="1"/>
  <c r="F950" i="5"/>
  <c r="F822" i="5"/>
  <c r="K822" i="5"/>
  <c r="G822" i="5" s="1"/>
  <c r="F894" i="5"/>
  <c r="K894" i="5"/>
  <c r="G894" i="5" s="1"/>
  <c r="F776" i="5"/>
  <c r="K776" i="5"/>
  <c r="G776" i="5" s="1"/>
  <c r="J702" i="5"/>
  <c r="I469" i="7"/>
  <c r="G3396" i="7"/>
  <c r="H3396" i="7" s="1"/>
  <c r="J671" i="5"/>
  <c r="I38" i="7"/>
  <c r="K2378" i="7"/>
  <c r="L2378" i="7" s="1"/>
  <c r="L2379" i="7" s="1"/>
  <c r="H548" i="6" s="1"/>
  <c r="L551" i="5" s="1"/>
  <c r="M551" i="5" s="1"/>
  <c r="K3521" i="7"/>
  <c r="L3521" i="7" s="1"/>
  <c r="K3361" i="7"/>
  <c r="L3361" i="7" s="1"/>
  <c r="L3363" i="7" s="1"/>
  <c r="H718" i="6" s="1"/>
  <c r="E3302" i="7"/>
  <c r="F3075" i="7"/>
  <c r="K812" i="5"/>
  <c r="G812" i="5" s="1"/>
  <c r="F812" i="5"/>
  <c r="F991" i="5"/>
  <c r="K991" i="5"/>
  <c r="G991" i="5" s="1"/>
  <c r="J668" i="5"/>
  <c r="I23" i="7"/>
  <c r="E3164" i="7"/>
  <c r="J2973" i="7"/>
  <c r="E2838" i="7"/>
  <c r="J2838" i="7"/>
  <c r="F2838" i="7" s="1"/>
  <c r="L402" i="5"/>
  <c r="M402" i="5" s="1"/>
  <c r="K1724" i="7"/>
  <c r="L1724" i="7" s="1"/>
  <c r="L1726" i="7" s="1"/>
  <c r="H395" i="6" s="1"/>
  <c r="L398" i="5" s="1"/>
  <c r="M398" i="5" s="1"/>
  <c r="F955" i="5"/>
  <c r="K955" i="5"/>
  <c r="G955" i="5" s="1"/>
  <c r="J838" i="5"/>
  <c r="I1725" i="7"/>
  <c r="F905" i="5"/>
  <c r="K905" i="5"/>
  <c r="G905" i="5" s="1"/>
  <c r="J983" i="5"/>
  <c r="I2770" i="7"/>
  <c r="J3314" i="7"/>
  <c r="E1936" i="7"/>
  <c r="J1936" i="7"/>
  <c r="F1936" i="7" s="1"/>
  <c r="F2496" i="7"/>
  <c r="J736" i="5"/>
  <c r="I854" i="7"/>
  <c r="E2412" i="7"/>
  <c r="J2412" i="7"/>
  <c r="F2412" i="7" s="1"/>
  <c r="F804" i="5"/>
  <c r="K804" i="5"/>
  <c r="G804" i="5" s="1"/>
  <c r="K897" i="5"/>
  <c r="G897" i="5" s="1"/>
  <c r="F897" i="5"/>
  <c r="G693" i="6"/>
  <c r="F3037" i="7"/>
  <c r="J3040" i="7"/>
  <c r="E2230" i="7"/>
  <c r="J2230" i="7"/>
  <c r="F2230" i="7" s="1"/>
  <c r="F35" i="12"/>
  <c r="E15" i="12"/>
  <c r="E2834" i="7"/>
  <c r="J2834" i="7"/>
  <c r="F2834" i="7" s="1"/>
  <c r="K892" i="5"/>
  <c r="G892" i="5" s="1"/>
  <c r="F892" i="5"/>
  <c r="F795" i="5"/>
  <c r="K795" i="5"/>
  <c r="G795" i="5" s="1"/>
  <c r="J725" i="5"/>
  <c r="I1050" i="7"/>
  <c r="F745" i="5"/>
  <c r="K745" i="5"/>
  <c r="G745" i="5" s="1"/>
  <c r="J665" i="5"/>
  <c r="I8" i="7"/>
  <c r="J2630" i="7"/>
  <c r="E2630" i="7"/>
  <c r="J3271" i="7"/>
  <c r="G681" i="6"/>
  <c r="H3040" i="7"/>
  <c r="F663" i="6" s="1"/>
  <c r="K3039" i="7"/>
  <c r="G590" i="6"/>
  <c r="I1214" i="7"/>
  <c r="I1219" i="7"/>
  <c r="K3321" i="7"/>
  <c r="F3319" i="7"/>
  <c r="H3322" i="7"/>
  <c r="F711" i="6" s="1"/>
  <c r="F918" i="5"/>
  <c r="K918" i="5"/>
  <c r="G918" i="5" s="1"/>
  <c r="G675" i="6"/>
  <c r="K927" i="5"/>
  <c r="G927" i="5" s="1"/>
  <c r="F927" i="5"/>
  <c r="F786" i="5"/>
  <c r="K786" i="5"/>
  <c r="G786" i="5" s="1"/>
  <c r="F937" i="5"/>
  <c r="K937" i="5"/>
  <c r="G937" i="5" s="1"/>
  <c r="J836" i="5"/>
  <c r="I1695" i="7"/>
  <c r="K3304" i="7"/>
  <c r="H3305" i="7"/>
  <c r="F708" i="6" s="1"/>
  <c r="G648" i="6"/>
  <c r="J651" i="5" s="1"/>
  <c r="G642" i="6"/>
  <c r="J645" i="5" s="1"/>
  <c r="I2191" i="7"/>
  <c r="I1897" i="7"/>
  <c r="G22" i="12"/>
  <c r="G33" i="12"/>
  <c r="K926" i="5"/>
  <c r="G926" i="5" s="1"/>
  <c r="F926" i="5"/>
  <c r="G748" i="6"/>
  <c r="E2475" i="7"/>
  <c r="J700" i="5"/>
  <c r="I459" i="7"/>
  <c r="L375" i="5"/>
  <c r="M375" i="5" s="1"/>
  <c r="K577" i="7"/>
  <c r="L577" i="7" s="1"/>
  <c r="L578" i="7" s="1"/>
  <c r="H137" i="6" s="1"/>
  <c r="L140" i="5" s="1"/>
  <c r="M140" i="5" s="1"/>
  <c r="K1484" i="7"/>
  <c r="L1484" i="7" s="1"/>
  <c r="L1486" i="7" s="1"/>
  <c r="H348" i="6" s="1"/>
  <c r="I2860" i="7"/>
  <c r="I2874" i="7"/>
  <c r="I2853" i="7"/>
  <c r="I2867" i="7"/>
  <c r="F821" i="5"/>
  <c r="K821" i="5"/>
  <c r="G821" i="5" s="1"/>
  <c r="F943" i="5"/>
  <c r="K943" i="5"/>
  <c r="G943" i="5" s="1"/>
  <c r="F3252" i="7"/>
  <c r="J2713" i="7"/>
  <c r="F2711" i="7"/>
  <c r="G2097" i="7"/>
  <c r="H2097" i="7" s="1"/>
  <c r="H2098" i="7" s="1"/>
  <c r="F482" i="6" s="1"/>
  <c r="H485" i="5" s="1"/>
  <c r="I485" i="5" s="1"/>
  <c r="H371" i="5"/>
  <c r="I371" i="5" s="1"/>
  <c r="G1655" i="7"/>
  <c r="H1655" i="7" s="1"/>
  <c r="H1656" i="7" s="1"/>
  <c r="F380" i="6" s="1"/>
  <c r="G561" i="7"/>
  <c r="H561" i="7" s="1"/>
  <c r="H562" i="7" s="1"/>
  <c r="F133" i="6" s="1"/>
  <c r="H136" i="5" s="1"/>
  <c r="I136" i="5" s="1"/>
  <c r="G1533" i="7"/>
  <c r="H1533" i="7" s="1"/>
  <c r="F889" i="5"/>
  <c r="K889" i="5"/>
  <c r="G889" i="5" s="1"/>
  <c r="J752" i="5"/>
  <c r="I1428" i="7"/>
  <c r="K964" i="5"/>
  <c r="G964" i="5" s="1"/>
  <c r="F964" i="5"/>
  <c r="J710" i="5"/>
  <c r="I653" i="7"/>
  <c r="E2837" i="7"/>
  <c r="J2837" i="7"/>
  <c r="F2837" i="7" s="1"/>
  <c r="F971" i="5"/>
  <c r="K971" i="5"/>
  <c r="G971" i="5" s="1"/>
  <c r="J2774" i="7"/>
  <c r="K1795" i="7"/>
  <c r="L1795" i="7" s="1"/>
  <c r="L1796" i="7" s="1"/>
  <c r="H411" i="6" s="1"/>
  <c r="L414" i="5" s="1"/>
  <c r="M414" i="5" s="1"/>
  <c r="L25" i="12"/>
  <c r="H6" i="11" s="1"/>
  <c r="F2814" i="7"/>
  <c r="F919" i="5"/>
  <c r="K919" i="5"/>
  <c r="G919" i="5" s="1"/>
  <c r="F809" i="5"/>
  <c r="K809" i="5"/>
  <c r="G809" i="5" s="1"/>
  <c r="F928" i="5"/>
  <c r="K928" i="5"/>
  <c r="G928" i="5" s="1"/>
  <c r="K813" i="5"/>
  <c r="G813" i="5" s="1"/>
  <c r="F813" i="5"/>
  <c r="E2480" i="7"/>
  <c r="J2480" i="7"/>
  <c r="F2480" i="7" s="1"/>
  <c r="F779" i="5"/>
  <c r="K779" i="5"/>
  <c r="G779" i="5" s="1"/>
  <c r="K938" i="5"/>
  <c r="G938" i="5" s="1"/>
  <c r="F938" i="5"/>
  <c r="F831" i="5"/>
  <c r="K831" i="5"/>
  <c r="G831" i="5" s="1"/>
  <c r="K3509" i="7"/>
  <c r="L3509" i="7" s="1"/>
  <c r="L3510" i="7" s="1"/>
  <c r="H744" i="6" s="1"/>
  <c r="F2571" i="7"/>
  <c r="I2050" i="7"/>
  <c r="F1703" i="7"/>
  <c r="K787" i="5"/>
  <c r="G787" i="5" s="1"/>
  <c r="F787" i="5"/>
  <c r="J705" i="5"/>
  <c r="I628" i="7"/>
  <c r="J708" i="5"/>
  <c r="I643" i="7"/>
  <c r="J691" i="5"/>
  <c r="I419" i="7"/>
  <c r="J670" i="5"/>
  <c r="I33" i="7"/>
  <c r="F827" i="5"/>
  <c r="K827" i="5"/>
  <c r="G827" i="5" s="1"/>
  <c r="F942" i="5"/>
  <c r="K942" i="5"/>
  <c r="G942" i="5" s="1"/>
  <c r="J849" i="5"/>
  <c r="I1849" i="7"/>
  <c r="J724" i="5"/>
  <c r="I1045" i="7"/>
  <c r="H263" i="13"/>
  <c r="F7" i="12"/>
  <c r="H38" i="13"/>
  <c r="K962" i="5"/>
  <c r="G962" i="5" s="1"/>
  <c r="F962" i="5"/>
  <c r="S348" i="17"/>
  <c r="S335" i="17"/>
  <c r="S322" i="17"/>
  <c r="S309" i="17"/>
  <c r="S296" i="17"/>
  <c r="S270" i="17"/>
  <c r="S230" i="17"/>
  <c r="S210" i="17"/>
  <c r="S163" i="17"/>
  <c r="S150" i="17"/>
  <c r="S124" i="17"/>
  <c r="S104" i="17"/>
  <c r="S77" i="17"/>
  <c r="S37" i="17"/>
  <c r="S17" i="17"/>
  <c r="E2829" i="7"/>
  <c r="J2829" i="7"/>
  <c r="E3532" i="7"/>
  <c r="H3532" i="7"/>
  <c r="F3532" i="7" s="1"/>
  <c r="K3253" i="7"/>
  <c r="H3254" i="7"/>
  <c r="F699" i="6" s="1"/>
  <c r="F2993" i="7"/>
  <c r="Z2834" i="7"/>
  <c r="K628" i="5"/>
  <c r="E2705" i="7"/>
  <c r="H2705" i="7"/>
  <c r="F2705" i="7" s="1"/>
  <c r="I2128" i="7"/>
  <c r="I1881" i="7"/>
  <c r="J841" i="5"/>
  <c r="I1756" i="7"/>
  <c r="K946" i="5"/>
  <c r="G946" i="5" s="1"/>
  <c r="F946" i="5"/>
  <c r="G655" i="6"/>
  <c r="J658" i="5" s="1"/>
  <c r="F2994" i="7"/>
  <c r="E655" i="6" s="1"/>
  <c r="E1575" i="7"/>
  <c r="H1575" i="7"/>
  <c r="H1576" i="7" s="1"/>
  <c r="F364" i="6" s="1"/>
  <c r="F735" i="5"/>
  <c r="K735" i="5"/>
  <c r="G735" i="5" s="1"/>
  <c r="J811" i="5"/>
  <c r="J820" i="5"/>
  <c r="F763" i="5"/>
  <c r="K763" i="5"/>
  <c r="G763" i="5" s="1"/>
  <c r="J742" i="5"/>
  <c r="I1273" i="7"/>
  <c r="J3391" i="7"/>
  <c r="H367" i="13"/>
  <c r="H79" i="13"/>
  <c r="L384" i="5"/>
  <c r="M384" i="5" s="1"/>
  <c r="K1538" i="7"/>
  <c r="L1538" i="7" s="1"/>
  <c r="K5" i="11"/>
  <c r="H13" i="13"/>
  <c r="Z16" i="12"/>
  <c r="H46" i="13"/>
  <c r="F988" i="5"/>
  <c r="K988" i="5"/>
  <c r="G988" i="5" s="1"/>
  <c r="H21" i="13"/>
  <c r="J729" i="5"/>
  <c r="I839" i="7"/>
  <c r="S367" i="17"/>
  <c r="S354" i="17"/>
  <c r="S289" i="17"/>
  <c r="S263" i="17"/>
  <c r="S250" i="17"/>
  <c r="S203" i="17"/>
  <c r="S183" i="17"/>
  <c r="S143" i="17"/>
  <c r="S117" i="17"/>
  <c r="S90" i="17"/>
  <c r="S70" i="17"/>
  <c r="S57" i="17"/>
  <c r="S50" i="17"/>
  <c r="H3614" i="7"/>
  <c r="F764" i="6" s="1"/>
  <c r="G2829" i="7" s="1"/>
  <c r="H2829" i="7" s="1"/>
  <c r="H3571" i="7"/>
  <c r="H3497" i="7"/>
  <c r="H3499" i="7" s="1"/>
  <c r="F742" i="6" s="1"/>
  <c r="F3389" i="7"/>
  <c r="H3286" i="7"/>
  <c r="H3288" i="7" s="1"/>
  <c r="F705" i="6" s="1"/>
  <c r="F3219" i="7"/>
  <c r="F3055" i="7"/>
  <c r="K647" i="5"/>
  <c r="I1931" i="7"/>
  <c r="F767" i="5"/>
  <c r="K767" i="5"/>
  <c r="G767" i="5" s="1"/>
  <c r="E993" i="7"/>
  <c r="J993" i="7"/>
  <c r="F993" i="7" s="1"/>
  <c r="F992" i="5"/>
  <c r="K992" i="5"/>
  <c r="G992" i="5" s="1"/>
  <c r="F790" i="5"/>
  <c r="K790" i="5"/>
  <c r="G790" i="5" s="1"/>
  <c r="J834" i="5"/>
  <c r="I1685" i="7"/>
  <c r="H231" i="13"/>
  <c r="F3251" i="7"/>
  <c r="J3254" i="7"/>
  <c r="K642" i="5"/>
  <c r="H366" i="13"/>
  <c r="H358" i="13"/>
  <c r="H350" i="13"/>
  <c r="H342" i="13"/>
  <c r="H334" i="13"/>
  <c r="H326" i="13"/>
  <c r="H318" i="13"/>
  <c r="H310" i="13"/>
  <c r="H302" i="13"/>
  <c r="H294" i="13"/>
  <c r="H286" i="13"/>
  <c r="H278" i="13"/>
  <c r="H270" i="13"/>
  <c r="H262" i="13"/>
  <c r="H254" i="13"/>
  <c r="H246" i="13"/>
  <c r="H238" i="13"/>
  <c r="H230" i="13"/>
  <c r="H222" i="13"/>
  <c r="H214" i="13"/>
  <c r="H206" i="13"/>
  <c r="H198" i="13"/>
  <c r="H190" i="13"/>
  <c r="H182" i="13"/>
  <c r="H174" i="13"/>
  <c r="H166" i="13"/>
  <c r="H158" i="13"/>
  <c r="H150" i="13"/>
  <c r="H142" i="13"/>
  <c r="H134" i="13"/>
  <c r="H126" i="13"/>
  <c r="H118" i="13"/>
  <c r="H110" i="13"/>
  <c r="H102" i="13"/>
  <c r="H94" i="13"/>
  <c r="H86" i="13"/>
  <c r="H78" i="13"/>
  <c r="H70" i="13"/>
  <c r="H62" i="13"/>
  <c r="H54" i="13"/>
  <c r="J669" i="5"/>
  <c r="I28" i="7"/>
  <c r="H29" i="13"/>
  <c r="H4" i="13"/>
  <c r="S328" i="17"/>
  <c r="S315" i="17"/>
  <c r="S302" i="17"/>
  <c r="S276" i="17"/>
  <c r="S243" i="17"/>
  <c r="S236" i="17"/>
  <c r="S223" i="17"/>
  <c r="S196" i="17"/>
  <c r="S176" i="17"/>
  <c r="S156" i="17"/>
  <c r="S130" i="17"/>
  <c r="S110" i="17"/>
  <c r="S43" i="17"/>
  <c r="S30" i="17"/>
  <c r="S10" i="17"/>
  <c r="F3614" i="7"/>
  <c r="E764" i="6" s="1"/>
  <c r="Z3593" i="7"/>
  <c r="F3565" i="7"/>
  <c r="G684" i="6"/>
  <c r="F3074" i="7"/>
  <c r="G660" i="6"/>
  <c r="J2980" i="7"/>
  <c r="K644" i="5"/>
  <c r="J2725" i="7"/>
  <c r="H2501" i="7"/>
  <c r="G2502" i="7"/>
  <c r="K783" i="5"/>
  <c r="G783" i="5" s="1"/>
  <c r="F783" i="5"/>
  <c r="F909" i="5"/>
  <c r="K909" i="5"/>
  <c r="G909" i="5" s="1"/>
  <c r="J959" i="7"/>
  <c r="F959" i="7" s="1"/>
  <c r="E959" i="7"/>
  <c r="K794" i="5"/>
  <c r="G794" i="5" s="1"/>
  <c r="F794" i="5"/>
  <c r="J715" i="5"/>
  <c r="I678" i="7"/>
  <c r="J844" i="5"/>
  <c r="I1771" i="7"/>
  <c r="J978" i="5"/>
  <c r="I2745" i="7"/>
  <c r="J2719" i="7"/>
  <c r="J1448" i="7"/>
  <c r="F1448" i="7" s="1"/>
  <c r="E1448" i="7"/>
  <c r="H351" i="13"/>
  <c r="H95" i="13"/>
  <c r="J3184" i="7"/>
  <c r="J674" i="5"/>
  <c r="I48" i="7"/>
  <c r="H37" i="13"/>
  <c r="F879" i="5"/>
  <c r="K879" i="5"/>
  <c r="G879" i="5" s="1"/>
  <c r="H12" i="13"/>
  <c r="S360" i="17"/>
  <c r="S347" i="17"/>
  <c r="S334" i="17"/>
  <c r="S308" i="17"/>
  <c r="S282" i="17"/>
  <c r="S256" i="17"/>
  <c r="S209" i="17"/>
  <c r="S189" i="17"/>
  <c r="S169" i="17"/>
  <c r="S136" i="17"/>
  <c r="S96" i="17"/>
  <c r="S83" i="17"/>
  <c r="S63" i="17"/>
  <c r="S23" i="17"/>
  <c r="J3516" i="7"/>
  <c r="K2450" i="7"/>
  <c r="L2450" i="7" s="1"/>
  <c r="L2451" i="7" s="1"/>
  <c r="H565" i="6" s="1"/>
  <c r="L568" i="5" s="1"/>
  <c r="M568" i="5" s="1"/>
  <c r="K1889" i="7"/>
  <c r="L1889" i="7" s="1"/>
  <c r="L1890" i="7" s="1"/>
  <c r="H433" i="6" s="1"/>
  <c r="L436" i="5" s="1"/>
  <c r="M436" i="5" s="1"/>
  <c r="K2276" i="7"/>
  <c r="L2276" i="7" s="1"/>
  <c r="L2277" i="7" s="1"/>
  <c r="H524" i="6" s="1"/>
  <c r="L527" i="5" s="1"/>
  <c r="M527" i="5" s="1"/>
  <c r="K1799" i="7"/>
  <c r="L1799" i="7" s="1"/>
  <c r="L1800" i="7" s="1"/>
  <c r="H412" i="6" s="1"/>
  <c r="L415" i="5" s="1"/>
  <c r="M415" i="5" s="1"/>
  <c r="K2093" i="7"/>
  <c r="L2093" i="7" s="1"/>
  <c r="L2094" i="7" s="1"/>
  <c r="H481" i="6" s="1"/>
  <c r="L484" i="5" s="1"/>
  <c r="M484" i="5" s="1"/>
  <c r="K652" i="5"/>
  <c r="H593" i="5"/>
  <c r="I593" i="5" s="1"/>
  <c r="G2544" i="7"/>
  <c r="H2544" i="7" s="1"/>
  <c r="G2616" i="7"/>
  <c r="H2616" i="7" s="1"/>
  <c r="H2617" i="7" s="1"/>
  <c r="F596" i="6" s="1"/>
  <c r="Z2225" i="7"/>
  <c r="H384" i="5"/>
  <c r="I384" i="5" s="1"/>
  <c r="G1538" i="7"/>
  <c r="H1538" i="7" s="1"/>
  <c r="L378" i="5"/>
  <c r="M378" i="5" s="1"/>
  <c r="K589" i="7"/>
  <c r="L589" i="7" s="1"/>
  <c r="L590" i="7" s="1"/>
  <c r="H140" i="6" s="1"/>
  <c r="L143" i="5" s="1"/>
  <c r="M143" i="5" s="1"/>
  <c r="K1502" i="7"/>
  <c r="L1502" i="7" s="1"/>
  <c r="L1504" i="7" s="1"/>
  <c r="H351" i="6" s="1"/>
  <c r="J855" i="5"/>
  <c r="I2143" i="7"/>
  <c r="F966" i="5"/>
  <c r="K966" i="5"/>
  <c r="G966" i="5" s="1"/>
  <c r="L370" i="5"/>
  <c r="M370" i="5" s="1"/>
  <c r="K557" i="7"/>
  <c r="L557" i="7" s="1"/>
  <c r="L558" i="7" s="1"/>
  <c r="H132" i="6" s="1"/>
  <c r="L135" i="5" s="1"/>
  <c r="M135" i="5" s="1"/>
  <c r="K1527" i="7"/>
  <c r="L1527" i="7" s="1"/>
  <c r="K1650" i="7"/>
  <c r="L1650" i="7" s="1"/>
  <c r="L1651" i="7" s="1"/>
  <c r="H379" i="6" s="1"/>
  <c r="J871" i="5"/>
  <c r="I2310" i="7"/>
  <c r="F945" i="5"/>
  <c r="K945" i="5"/>
  <c r="G945" i="5" s="1"/>
  <c r="H359" i="13"/>
  <c r="H207" i="13"/>
  <c r="K3093" i="7"/>
  <c r="H3094" i="7"/>
  <c r="F672" i="6" s="1"/>
  <c r="F28" i="12"/>
  <c r="J875" i="5"/>
  <c r="I2330" i="7"/>
  <c r="F733" i="5"/>
  <c r="K733" i="5"/>
  <c r="G733" i="5" s="1"/>
  <c r="K914" i="5"/>
  <c r="G914" i="5" s="1"/>
  <c r="F914" i="5"/>
  <c r="F907" i="5"/>
  <c r="K907" i="5"/>
  <c r="G907" i="5" s="1"/>
  <c r="F931" i="5"/>
  <c r="K931" i="5"/>
  <c r="G931" i="5" s="1"/>
  <c r="F923" i="5"/>
  <c r="K923" i="5"/>
  <c r="G923" i="5" s="1"/>
  <c r="E2016" i="7"/>
  <c r="J2016" i="7"/>
  <c r="F2016" i="7" s="1"/>
  <c r="F885" i="5"/>
  <c r="K885" i="5"/>
  <c r="G885" i="5" s="1"/>
  <c r="K986" i="5"/>
  <c r="G986" i="5" s="1"/>
  <c r="F986" i="5"/>
  <c r="K830" i="5"/>
  <c r="G830" i="5" s="1"/>
  <c r="F830" i="5"/>
  <c r="F825" i="5"/>
  <c r="K825" i="5"/>
  <c r="G825" i="5" s="1"/>
  <c r="K810" i="5"/>
  <c r="G810" i="5" s="1"/>
  <c r="F810" i="5"/>
  <c r="F801" i="5"/>
  <c r="K801" i="5"/>
  <c r="G801" i="5" s="1"/>
  <c r="J760" i="5"/>
  <c r="I1473" i="7"/>
  <c r="J750" i="5"/>
  <c r="I1418" i="7"/>
  <c r="F935" i="5"/>
  <c r="K935" i="5"/>
  <c r="G935" i="5" s="1"/>
  <c r="F960" i="5"/>
  <c r="K960" i="5"/>
  <c r="G960" i="5" s="1"/>
  <c r="J864" i="5"/>
  <c r="I2065" i="7"/>
  <c r="J847" i="5"/>
  <c r="I1839" i="7"/>
  <c r="F852" i="5"/>
  <c r="K852" i="5"/>
  <c r="G852" i="5" s="1"/>
  <c r="K770" i="5"/>
  <c r="G770" i="5" s="1"/>
  <c r="F770" i="5"/>
  <c r="K765" i="5"/>
  <c r="G765" i="5" s="1"/>
  <c r="F765" i="5"/>
  <c r="F774" i="5"/>
  <c r="K774" i="5"/>
  <c r="G774" i="5" s="1"/>
  <c r="F789" i="5"/>
  <c r="K789" i="5"/>
  <c r="G789" i="5" s="1"/>
  <c r="K792" i="5"/>
  <c r="G792" i="5" s="1"/>
  <c r="F792" i="5"/>
  <c r="J704" i="5"/>
  <c r="I623" i="7"/>
  <c r="J693" i="5"/>
  <c r="I429" i="7"/>
  <c r="J697" i="5"/>
  <c r="I444" i="7"/>
  <c r="K842" i="5"/>
  <c r="G842" i="5" s="1"/>
  <c r="F842" i="5"/>
  <c r="J719" i="5"/>
  <c r="I1025" i="7"/>
  <c r="J723" i="5"/>
  <c r="I1040" i="7"/>
  <c r="K895" i="5"/>
  <c r="G895" i="5" s="1"/>
  <c r="F895" i="5"/>
  <c r="F867" i="5"/>
  <c r="K867" i="5"/>
  <c r="G867" i="5" s="1"/>
  <c r="J746" i="5"/>
  <c r="I1278" i="7"/>
  <c r="F743" i="5"/>
  <c r="K743" i="5"/>
  <c r="G743" i="5" s="1"/>
  <c r="J832" i="5"/>
  <c r="I1675" i="7"/>
  <c r="F902" i="5"/>
  <c r="K902" i="5"/>
  <c r="G902" i="5" s="1"/>
  <c r="J976" i="5"/>
  <c r="I2740" i="7"/>
  <c r="J689" i="5"/>
  <c r="I260" i="7"/>
  <c r="J684" i="5"/>
  <c r="I240" i="7"/>
  <c r="H45" i="13"/>
  <c r="J2625" i="7"/>
  <c r="E2625" i="7"/>
  <c r="H20" i="13"/>
  <c r="K957" i="5"/>
  <c r="G957" i="5" s="1"/>
  <c r="F957" i="5"/>
  <c r="S321" i="17"/>
  <c r="S295" i="17"/>
  <c r="S269" i="17"/>
  <c r="S229" i="17"/>
  <c r="S182" i="17"/>
  <c r="S162" i="17"/>
  <c r="S149" i="17"/>
  <c r="S123" i="17"/>
  <c r="S116" i="17"/>
  <c r="S76" i="17"/>
  <c r="S56" i="17"/>
  <c r="S36" i="17"/>
  <c r="S16" i="17"/>
  <c r="I3293" i="7"/>
  <c r="E3074" i="7"/>
  <c r="Z2691" i="7"/>
  <c r="F2500" i="7"/>
  <c r="L365" i="5"/>
  <c r="M365" i="5" s="1"/>
  <c r="K1497" i="7"/>
  <c r="L1497" i="7" s="1"/>
  <c r="K537" i="7"/>
  <c r="L537" i="7" s="1"/>
  <c r="L538" i="7" s="1"/>
  <c r="H127" i="6" s="1"/>
  <c r="L130" i="5" s="1"/>
  <c r="M130" i="5" s="1"/>
  <c r="K1625" i="7"/>
  <c r="L1625" i="7" s="1"/>
  <c r="L1626" i="7" s="1"/>
  <c r="H374" i="6" s="1"/>
  <c r="F958" i="5"/>
  <c r="K958" i="5"/>
  <c r="G958" i="5" s="1"/>
  <c r="J845" i="5"/>
  <c r="I1829" i="7"/>
  <c r="J717" i="5"/>
  <c r="I1015" i="7"/>
  <c r="E2833" i="7"/>
  <c r="J2833" i="7"/>
  <c r="F2833" i="7" s="1"/>
  <c r="J678" i="5"/>
  <c r="I210" i="7"/>
  <c r="H311" i="13"/>
  <c r="K993" i="5"/>
  <c r="G993" i="5" s="1"/>
  <c r="F993" i="5"/>
  <c r="D12" i="1"/>
  <c r="Z33" i="12"/>
  <c r="H365" i="13"/>
  <c r="H357" i="13"/>
  <c r="H349" i="13"/>
  <c r="H341" i="13"/>
  <c r="H333" i="13"/>
  <c r="H325" i="13"/>
  <c r="H317" i="13"/>
  <c r="H309" i="13"/>
  <c r="H301" i="13"/>
  <c r="H293" i="13"/>
  <c r="H285" i="13"/>
  <c r="H277" i="13"/>
  <c r="H269" i="13"/>
  <c r="H261" i="13"/>
  <c r="H253" i="13"/>
  <c r="H245" i="13"/>
  <c r="H237" i="13"/>
  <c r="H229" i="13"/>
  <c r="H221" i="13"/>
  <c r="H213" i="13"/>
  <c r="H205" i="13"/>
  <c r="H197" i="13"/>
  <c r="H189" i="13"/>
  <c r="H181" i="13"/>
  <c r="H173" i="13"/>
  <c r="H165" i="13"/>
  <c r="H157" i="13"/>
  <c r="H149" i="13"/>
  <c r="H141" i="13"/>
  <c r="H133" i="13"/>
  <c r="H125" i="13"/>
  <c r="H117" i="13"/>
  <c r="H109" i="13"/>
  <c r="H101" i="13"/>
  <c r="H93" i="13"/>
  <c r="H85" i="13"/>
  <c r="H77" i="13"/>
  <c r="H69" i="13"/>
  <c r="H61" i="13"/>
  <c r="H53" i="13"/>
  <c r="F900" i="5"/>
  <c r="K900" i="5"/>
  <c r="G900" i="5" s="1"/>
  <c r="H28" i="13"/>
  <c r="F974" i="5"/>
  <c r="K974" i="5"/>
  <c r="G974" i="5" s="1"/>
  <c r="S353" i="17"/>
  <c r="S340" i="17"/>
  <c r="S314" i="17"/>
  <c r="S288" i="17"/>
  <c r="S262" i="17"/>
  <c r="S249" i="17"/>
  <c r="S242" i="17"/>
  <c r="S215" i="17"/>
  <c r="S202" i="17"/>
  <c r="S142" i="17"/>
  <c r="S109" i="17"/>
  <c r="S89" i="17"/>
  <c r="S69" i="17"/>
  <c r="S49" i="17"/>
  <c r="L3594" i="7"/>
  <c r="H760" i="6" s="1"/>
  <c r="K2825" i="7" s="1"/>
  <c r="L2825" i="7" s="1"/>
  <c r="F3019" i="7"/>
  <c r="L369" i="5"/>
  <c r="M369" i="5" s="1"/>
  <c r="K553" i="7"/>
  <c r="L553" i="7" s="1"/>
  <c r="L554" i="7" s="1"/>
  <c r="H131" i="6" s="1"/>
  <c r="L134" i="5" s="1"/>
  <c r="M134" i="5" s="1"/>
  <c r="K1645" i="7"/>
  <c r="L1645" i="7" s="1"/>
  <c r="L1646" i="7" s="1"/>
  <c r="H378" i="6" s="1"/>
  <c r="K1521" i="7"/>
  <c r="L1521" i="7" s="1"/>
  <c r="I913" i="7"/>
  <c r="F970" i="5"/>
  <c r="K970" i="5"/>
  <c r="G970" i="5" s="1"/>
  <c r="K953" i="5"/>
  <c r="G953" i="5" s="1"/>
  <c r="F953" i="5"/>
  <c r="K854" i="5"/>
  <c r="G854" i="5" s="1"/>
  <c r="F854" i="5"/>
  <c r="K775" i="5"/>
  <c r="G775" i="5" s="1"/>
  <c r="F775" i="5"/>
  <c r="J713" i="5"/>
  <c r="I668" i="7"/>
  <c r="J698" i="5"/>
  <c r="I449" i="7"/>
  <c r="J720" i="5"/>
  <c r="I1030" i="7"/>
  <c r="H287" i="13"/>
  <c r="H30" i="13"/>
  <c r="J666" i="5"/>
  <c r="I13" i="7"/>
  <c r="H36" i="13"/>
  <c r="F878" i="5"/>
  <c r="K878" i="5"/>
  <c r="G878" i="5" s="1"/>
  <c r="Y472" i="9"/>
  <c r="D15" i="1"/>
  <c r="AC684" i="5"/>
  <c r="AC708" i="5"/>
  <c r="AC732" i="5"/>
  <c r="AC756" i="5"/>
  <c r="AC780" i="5"/>
  <c r="AC804" i="5"/>
  <c r="AC828" i="5"/>
  <c r="AC852" i="5"/>
  <c r="AC876" i="5"/>
  <c r="AC900" i="5"/>
  <c r="AC924" i="5"/>
  <c r="AC948" i="5"/>
  <c r="AC972" i="5"/>
  <c r="Y470" i="9"/>
  <c r="AC674" i="5"/>
  <c r="AC727" i="5"/>
  <c r="AC741" i="5"/>
  <c r="AC787" i="5"/>
  <c r="AC826" i="5"/>
  <c r="AC833" i="5"/>
  <c r="AC840" i="5"/>
  <c r="AC879" i="5"/>
  <c r="AC893" i="5"/>
  <c r="AC925" i="5"/>
  <c r="AC939" i="5"/>
  <c r="AC992" i="5"/>
  <c r="AC676" i="5"/>
  <c r="AC716" i="5"/>
  <c r="AC738" i="5"/>
  <c r="AC749" i="5"/>
  <c r="AC760" i="5"/>
  <c r="AC771" i="5"/>
  <c r="AC789" i="5"/>
  <c r="AC811" i="5"/>
  <c r="AC822" i="5"/>
  <c r="AC855" i="5"/>
  <c r="AC866" i="5"/>
  <c r="AC891" i="5"/>
  <c r="AC913" i="5"/>
  <c r="AC931" i="5"/>
  <c r="AC964" i="5"/>
  <c r="AC989" i="5"/>
  <c r="AC683" i="5"/>
  <c r="AC698" i="5"/>
  <c r="AC713" i="5"/>
  <c r="AC743" i="5"/>
  <c r="AC781" i="5"/>
  <c r="AC792" i="5"/>
  <c r="AC807" i="5"/>
  <c r="AC882" i="5"/>
  <c r="AC889" i="5"/>
  <c r="AC908" i="5"/>
  <c r="AC934" i="5"/>
  <c r="AC953" i="5"/>
  <c r="AC668" i="5"/>
  <c r="AC707" i="5"/>
  <c r="AC726" i="5"/>
  <c r="AC815" i="5"/>
  <c r="AC842" i="5"/>
  <c r="AC965" i="5"/>
  <c r="AC973" i="5"/>
  <c r="AC984" i="5"/>
  <c r="AC672" i="5"/>
  <c r="AC704" i="5"/>
  <c r="AC823" i="5"/>
  <c r="AC843" i="5"/>
  <c r="AC851" i="5"/>
  <c r="AC859" i="5"/>
  <c r="AC867" i="5"/>
  <c r="AC910" i="5"/>
  <c r="AC914" i="5"/>
  <c r="AC922" i="5"/>
  <c r="AC941" i="5"/>
  <c r="AC945" i="5"/>
  <c r="AC949" i="5"/>
  <c r="AC961" i="5"/>
  <c r="AC981" i="5"/>
  <c r="AC699" i="5"/>
  <c r="AC719" i="5"/>
  <c r="AC723" i="5"/>
  <c r="AC769" i="5"/>
  <c r="AC679" i="5"/>
  <c r="AC751" i="5"/>
  <c r="AC755" i="5"/>
  <c r="AC797" i="5"/>
  <c r="AC810" i="5"/>
  <c r="AC844" i="5"/>
  <c r="AC848" i="5"/>
  <c r="AC881" i="5"/>
  <c r="AC671" i="5"/>
  <c r="AC667" i="5"/>
  <c r="AC739" i="5"/>
  <c r="AC757" i="5"/>
  <c r="AC779" i="5"/>
  <c r="AC831" i="5"/>
  <c r="AC874" i="5"/>
  <c r="AC878" i="5"/>
  <c r="AC894" i="5"/>
  <c r="AC932" i="5"/>
  <c r="AC936" i="5"/>
  <c r="AC940" i="5"/>
  <c r="AC990" i="5"/>
  <c r="AC696" i="5"/>
  <c r="AC748" i="5"/>
  <c r="AC796" i="5"/>
  <c r="AC809" i="5"/>
  <c r="AC907" i="5"/>
  <c r="AC920" i="5"/>
  <c r="AC970" i="5"/>
  <c r="AC974" i="5"/>
  <c r="AC982" i="5"/>
  <c r="AC986" i="5"/>
  <c r="AC722" i="5"/>
  <c r="AC731" i="5"/>
  <c r="AC744" i="5"/>
  <c r="AC753" i="5"/>
  <c r="AC788" i="5"/>
  <c r="AC801" i="5"/>
  <c r="AC818" i="5"/>
  <c r="AC827" i="5"/>
  <c r="AC836" i="5"/>
  <c r="AC853" i="5"/>
  <c r="AC857" i="5"/>
  <c r="AC688" i="5"/>
  <c r="AC701" i="5"/>
  <c r="AC714" i="5"/>
  <c r="AC718" i="5"/>
  <c r="AC784" i="5"/>
  <c r="AC814" i="5"/>
  <c r="AC849" i="5"/>
  <c r="AC670" i="5"/>
  <c r="AC710" i="5"/>
  <c r="AC740" i="5"/>
  <c r="AC832" i="5"/>
  <c r="AC665" i="5"/>
  <c r="AC758" i="5"/>
  <c r="AC762" i="5"/>
  <c r="AC845" i="5"/>
  <c r="AC883" i="5"/>
  <c r="AC675" i="5"/>
  <c r="AC680" i="5"/>
  <c r="AC697" i="5"/>
  <c r="AC706" i="5"/>
  <c r="AC736" i="5"/>
  <c r="AC793" i="5"/>
  <c r="AC862" i="5"/>
  <c r="AC875" i="5"/>
  <c r="AC693" i="5"/>
  <c r="AC745" i="5"/>
  <c r="AC767" i="5"/>
  <c r="AC776" i="5"/>
  <c r="AC802" i="5"/>
  <c r="AC806" i="5"/>
  <c r="AC819" i="5"/>
  <c r="AC689" i="5"/>
  <c r="AC754" i="5"/>
  <c r="AC772" i="5"/>
  <c r="AC785" i="5"/>
  <c r="AC837" i="5"/>
  <c r="AC841" i="5"/>
  <c r="AC685" i="5"/>
  <c r="AC702" i="5"/>
  <c r="AC728" i="5"/>
  <c r="AC854" i="5"/>
  <c r="AC864" i="5"/>
  <c r="AC884" i="5"/>
  <c r="AC911" i="5"/>
  <c r="AC933" i="5"/>
  <c r="AC694" i="5"/>
  <c r="AC717" i="5"/>
  <c r="AC729" i="5"/>
  <c r="AC783" i="5"/>
  <c r="AC800" i="5"/>
  <c r="AC902" i="5"/>
  <c r="AC929" i="5"/>
  <c r="AC677" i="5"/>
  <c r="AC700" i="5"/>
  <c r="AC712" i="5"/>
  <c r="AC778" i="5"/>
  <c r="AC870" i="5"/>
  <c r="AC880" i="5"/>
  <c r="AC898" i="5"/>
  <c r="AC938" i="5"/>
  <c r="AC978" i="5"/>
  <c r="AC991" i="5"/>
  <c r="AC735" i="5"/>
  <c r="AC766" i="5"/>
  <c r="AC790" i="5"/>
  <c r="AC960" i="5"/>
  <c r="AC695" i="5"/>
  <c r="AC724" i="5"/>
  <c r="AC742" i="5"/>
  <c r="AC773" i="5"/>
  <c r="AC813" i="5"/>
  <c r="AC860" i="5"/>
  <c r="AC865" i="5"/>
  <c r="AC903" i="5"/>
  <c r="AC921" i="5"/>
  <c r="AC943" i="5"/>
  <c r="AC885" i="5"/>
  <c r="AC912" i="5"/>
  <c r="AC952" i="5"/>
  <c r="AC956" i="5"/>
  <c r="AC983" i="5"/>
  <c r="AC987" i="5"/>
  <c r="AC730" i="5"/>
  <c r="AC871" i="5"/>
  <c r="AC930" i="5"/>
  <c r="AC966" i="5"/>
  <c r="AC678" i="5"/>
  <c r="AC690" i="5"/>
  <c r="AC808" i="5"/>
  <c r="AC825" i="5"/>
  <c r="AC899" i="5"/>
  <c r="AC917" i="5"/>
  <c r="AC926" i="5"/>
  <c r="AC761" i="5"/>
  <c r="AC791" i="5"/>
  <c r="AC838" i="5"/>
  <c r="AC850" i="5"/>
  <c r="AC979" i="5"/>
  <c r="AC666" i="5"/>
  <c r="AC768" i="5"/>
  <c r="AC820" i="5"/>
  <c r="AC890" i="5"/>
  <c r="AC895" i="5"/>
  <c r="AC935" i="5"/>
  <c r="AC957" i="5"/>
  <c r="AC975" i="5"/>
  <c r="AC692" i="5"/>
  <c r="AC737" i="5"/>
  <c r="AC775" i="5"/>
  <c r="AC856" i="5"/>
  <c r="AC877" i="5"/>
  <c r="AC896" i="5"/>
  <c r="Z210" i="7"/>
  <c r="Z250" i="7"/>
  <c r="AC752" i="5"/>
  <c r="AC798" i="5"/>
  <c r="AC812" i="5"/>
  <c r="AC834" i="5"/>
  <c r="AC946" i="5"/>
  <c r="AC686" i="5"/>
  <c r="AC746" i="5"/>
  <c r="AC909" i="5"/>
  <c r="AC976" i="5"/>
  <c r="AC988" i="5"/>
  <c r="AC971" i="5"/>
  <c r="AC709" i="5"/>
  <c r="AC805" i="5"/>
  <c r="AC872" i="5"/>
  <c r="AC897" i="5"/>
  <c r="AC904" i="5"/>
  <c r="AC928" i="5"/>
  <c r="AC959" i="5"/>
  <c r="AC770" i="5"/>
  <c r="AC777" i="5"/>
  <c r="AC835" i="5"/>
  <c r="AC916" i="5"/>
  <c r="AC947" i="5"/>
  <c r="AC763" i="5"/>
  <c r="AC858" i="5"/>
  <c r="AC886" i="5"/>
  <c r="AC954" i="5"/>
  <c r="AC681" i="5"/>
  <c r="AC747" i="5"/>
  <c r="AC799" i="5"/>
  <c r="AC687" i="5"/>
  <c r="AC703" i="5"/>
  <c r="AC725" i="5"/>
  <c r="AC829" i="5"/>
  <c r="AC892" i="5"/>
  <c r="AC977" i="5"/>
  <c r="AC733" i="5"/>
  <c r="AC786" i="5"/>
  <c r="AC821" i="5"/>
  <c r="AC923" i="5"/>
  <c r="AC782" i="5"/>
  <c r="AC901" i="5"/>
  <c r="AC711" i="5"/>
  <c r="AC720" i="5"/>
  <c r="AC764" i="5"/>
  <c r="Z33" i="7"/>
  <c r="AC774" i="5"/>
  <c r="AC950" i="5"/>
  <c r="AC980" i="5"/>
  <c r="AC817" i="5"/>
  <c r="AC846" i="5"/>
  <c r="AC863" i="5"/>
  <c r="AC942" i="5"/>
  <c r="AC765" i="5"/>
  <c r="AC958" i="5"/>
  <c r="Z28" i="7"/>
  <c r="Z245" i="7"/>
  <c r="Z53" i="7"/>
  <c r="Z220" i="7"/>
  <c r="AC721" i="5"/>
  <c r="AC919" i="5"/>
  <c r="AC927" i="5"/>
  <c r="AC750" i="5"/>
  <c r="AC794" i="5"/>
  <c r="AC803" i="5"/>
  <c r="AC888" i="5"/>
  <c r="AC944" i="5"/>
  <c r="AC951" i="5"/>
  <c r="AC967" i="5"/>
  <c r="AC830" i="5"/>
  <c r="Z48" i="7"/>
  <c r="Z643" i="7"/>
  <c r="Z1050" i="7"/>
  <c r="Z1735" i="7"/>
  <c r="AC669" i="5"/>
  <c r="AC985" i="5"/>
  <c r="Z469" i="7"/>
  <c r="Z1020" i="7"/>
  <c r="Z429" i="7"/>
  <c r="Z959" i="7"/>
  <c r="AC759" i="5"/>
  <c r="AC868" i="5"/>
  <c r="AC905" i="5"/>
  <c r="Z668" i="7"/>
  <c r="AC968" i="5"/>
  <c r="Z215" i="7"/>
  <c r="Z638" i="7"/>
  <c r="Z464" i="7"/>
  <c r="Z854" i="7"/>
  <c r="Z1015" i="7"/>
  <c r="AC691" i="5"/>
  <c r="AC839" i="5"/>
  <c r="AC887" i="5"/>
  <c r="Z23" i="7"/>
  <c r="Z260" i="7"/>
  <c r="Z663" i="7"/>
  <c r="Z13" i="7"/>
  <c r="Z58" i="7"/>
  <c r="Z424" i="7"/>
  <c r="Z1040" i="7"/>
  <c r="AC861" i="5"/>
  <c r="AC869" i="5"/>
  <c r="AC906" i="5"/>
  <c r="Z444" i="7"/>
  <c r="Z633" i="7"/>
  <c r="Z849" i="7"/>
  <c r="AC673" i="5"/>
  <c r="AC682" i="5"/>
  <c r="AC915" i="5"/>
  <c r="AC962" i="5"/>
  <c r="AC969" i="5"/>
  <c r="Z43" i="7"/>
  <c r="Z235" i="7"/>
  <c r="Z658" i="7"/>
  <c r="Z1293" i="7"/>
  <c r="Z1448" i="7"/>
  <c r="Z1756" i="7"/>
  <c r="Z2128" i="7"/>
  <c r="Z2240" i="7"/>
  <c r="Z2330" i="7"/>
  <c r="Z2422" i="7"/>
  <c r="Z1263" i="7"/>
  <c r="Z1941" i="7"/>
  <c r="Z2755" i="7"/>
  <c r="AC993" i="5"/>
  <c r="Z1010" i="7"/>
  <c r="Z1025" i="7"/>
  <c r="Z1055" i="7"/>
  <c r="AC873" i="5"/>
  <c r="Z8" i="7"/>
  <c r="Z844" i="7"/>
  <c r="Z993" i="7"/>
  <c r="Z1473" i="7"/>
  <c r="AC734" i="5"/>
  <c r="AC963" i="5"/>
  <c r="Z623" i="7"/>
  <c r="Z1288" i="7"/>
  <c r="Z1443" i="7"/>
  <c r="Z225" i="7"/>
  <c r="Z976" i="7"/>
  <c r="Z1258" i="7"/>
  <c r="AC715" i="5"/>
  <c r="Z38" i="7"/>
  <c r="AC955" i="5"/>
  <c r="Z63" i="7"/>
  <c r="Z265" i="7"/>
  <c r="Z454" i="7"/>
  <c r="Z1283" i="7"/>
  <c r="Z434" i="7"/>
  <c r="Z678" i="7"/>
  <c r="Z908" i="7"/>
  <c r="Z1468" i="7"/>
  <c r="AC705" i="5"/>
  <c r="Z1035" i="7"/>
  <c r="Z1065" i="7"/>
  <c r="Z1253" i="7"/>
  <c r="Z1438" i="7"/>
  <c r="Z1060" i="7"/>
  <c r="Z1219" i="7"/>
  <c r="Z1670" i="7"/>
  <c r="Z1720" i="7"/>
  <c r="Z2699" i="7"/>
  <c r="Z449" i="7"/>
  <c r="Z1458" i="7"/>
  <c r="Z1926" i="7"/>
  <c r="Z2220" i="7"/>
  <c r="Z2832" i="7"/>
  <c r="Z1829" i="7"/>
  <c r="Z230" i="7"/>
  <c r="Z2045" i="7"/>
  <c r="Z439" i="7"/>
  <c r="Z618" i="7"/>
  <c r="Z1685" i="7"/>
  <c r="Z1849" i="7"/>
  <c r="Z2065" i="7"/>
  <c r="Z1030" i="7"/>
  <c r="Z1433" i="7"/>
  <c r="Z1946" i="7"/>
  <c r="Z1273" i="7"/>
  <c r="Z1423" i="7"/>
  <c r="Z2016" i="7"/>
  <c r="Z2133" i="7"/>
  <c r="Z1824" i="7"/>
  <c r="Z1844" i="7"/>
  <c r="Z2060" i="7"/>
  <c r="Z414" i="7"/>
  <c r="Z839" i="7"/>
  <c r="Z1730" i="7"/>
  <c r="Z255" i="7"/>
  <c r="Z673" i="7"/>
  <c r="Z1690" i="7"/>
  <c r="Z2055" i="7"/>
  <c r="AC937" i="5"/>
  <c r="Z913" i="7"/>
  <c r="Z240" i="7"/>
  <c r="Z628" i="7"/>
  <c r="Z419" i="7"/>
  <c r="Z648" i="7"/>
  <c r="AC824" i="5"/>
  <c r="AC847" i="5"/>
  <c r="Z2315" i="7"/>
  <c r="Z2630" i="7"/>
  <c r="Z2656" i="7"/>
  <c r="Z2770" i="7"/>
  <c r="Z1695" i="7"/>
  <c r="Z1725" i="7"/>
  <c r="Z1248" i="7"/>
  <c r="Z2645" i="7"/>
  <c r="Z2698" i="7"/>
  <c r="AC816" i="5"/>
  <c r="Z1278" i="7"/>
  <c r="Z2835" i="7"/>
  <c r="Z1418" i="7"/>
  <c r="Z1766" i="7"/>
  <c r="Z1936" i="7"/>
  <c r="Z2230" i="7"/>
  <c r="Z2625" i="7"/>
  <c r="Z2692" i="7"/>
  <c r="Z2765" i="7"/>
  <c r="AC795" i="5"/>
  <c r="Z1839" i="7"/>
  <c r="Z2663" i="7"/>
  <c r="Z2123" i="7"/>
  <c r="Z2325" i="7"/>
  <c r="Z2657" i="7"/>
  <c r="Z1680" i="7"/>
  <c r="Z2412" i="7"/>
  <c r="Z2740" i="7"/>
  <c r="Z1214" i="7"/>
  <c r="Z2143" i="7"/>
  <c r="Z2620" i="7"/>
  <c r="Z2670" i="7"/>
  <c r="Z2836" i="7"/>
  <c r="Z459" i="7"/>
  <c r="Z2310" i="7"/>
  <c r="Z2640" i="7"/>
  <c r="Z2320" i="7"/>
  <c r="Z2407" i="7"/>
  <c r="S28" i="17"/>
  <c r="S53" i="17"/>
  <c r="S78" i="17"/>
  <c r="S103" i="17"/>
  <c r="S128" i="17"/>
  <c r="S147" i="17"/>
  <c r="S172" i="17"/>
  <c r="S197" i="17"/>
  <c r="S222" i="17"/>
  <c r="S247" i="17"/>
  <c r="S272" i="17"/>
  <c r="S291" i="17"/>
  <c r="S316" i="17"/>
  <c r="S341" i="17"/>
  <c r="S366" i="17"/>
  <c r="AC918" i="5"/>
  <c r="Z2050" i="7"/>
  <c r="Z2677" i="7"/>
  <c r="S22" i="17"/>
  <c r="S47" i="17"/>
  <c r="S72" i="17"/>
  <c r="S97" i="17"/>
  <c r="S122" i="17"/>
  <c r="S141" i="17"/>
  <c r="S166" i="17"/>
  <c r="S191" i="17"/>
  <c r="S216" i="17"/>
  <c r="S241" i="17"/>
  <c r="S266" i="17"/>
  <c r="S285" i="17"/>
  <c r="Z1675" i="7"/>
  <c r="Z1834" i="7"/>
  <c r="Z2685" i="7"/>
  <c r="Z2775" i="7"/>
  <c r="Z2831" i="7"/>
  <c r="Z918" i="7"/>
  <c r="Z2118" i="7"/>
  <c r="Z2417" i="7"/>
  <c r="Z2635" i="7"/>
  <c r="Z2671" i="7"/>
  <c r="Z2678" i="7"/>
  <c r="Z2837" i="7"/>
  <c r="Z2664" i="7"/>
  <c r="Z2475" i="7"/>
  <c r="Z1268" i="7"/>
  <c r="Z1463" i="7"/>
  <c r="Z1771" i="7"/>
  <c r="Z653" i="7"/>
  <c r="Z2235" i="7"/>
  <c r="Z2011" i="7"/>
  <c r="S359" i="17"/>
  <c r="S327" i="17"/>
  <c r="S301" i="17"/>
  <c r="S275" i="17"/>
  <c r="S235" i="17"/>
  <c r="S195" i="17"/>
  <c r="S188" i="17"/>
  <c r="S175" i="17"/>
  <c r="S155" i="17"/>
  <c r="S129" i="17"/>
  <c r="S102" i="17"/>
  <c r="S62" i="17"/>
  <c r="S42" i="17"/>
  <c r="S29" i="17"/>
  <c r="F3589" i="7"/>
  <c r="J3594" i="7"/>
  <c r="J3202" i="7"/>
  <c r="Z2833" i="7"/>
  <c r="H2793" i="7"/>
  <c r="F2793" i="7" s="1"/>
  <c r="E2479" i="7"/>
  <c r="Z2138" i="7"/>
  <c r="Z1761" i="7"/>
  <c r="F778" i="5"/>
  <c r="K778" i="5"/>
  <c r="G778" i="5" s="1"/>
  <c r="J835" i="5"/>
  <c r="I1690" i="7"/>
  <c r="F808" i="5"/>
  <c r="K808" i="5"/>
  <c r="G808" i="5" s="1"/>
  <c r="L401" i="5"/>
  <c r="M401" i="5" s="1"/>
  <c r="K1719" i="7"/>
  <c r="L1719" i="7" s="1"/>
  <c r="L1721" i="7" s="1"/>
  <c r="H394" i="6" s="1"/>
  <c r="L397" i="5" s="1"/>
  <c r="M397" i="5" s="1"/>
  <c r="H5" i="13"/>
  <c r="J874" i="5"/>
  <c r="I2325" i="7"/>
  <c r="F952" i="5"/>
  <c r="K952" i="5"/>
  <c r="G952" i="5" s="1"/>
  <c r="K922" i="5"/>
  <c r="G922" i="5" s="1"/>
  <c r="F922" i="5"/>
  <c r="E2011" i="7"/>
  <c r="J2011" i="7"/>
  <c r="F2011" i="7" s="1"/>
  <c r="K968" i="5"/>
  <c r="G968" i="5" s="1"/>
  <c r="F968" i="5"/>
  <c r="F807" i="5"/>
  <c r="K807" i="5"/>
  <c r="G807" i="5" s="1"/>
  <c r="F756" i="5"/>
  <c r="K756" i="5"/>
  <c r="G756" i="5" s="1"/>
  <c r="J863" i="5"/>
  <c r="I2060" i="7"/>
  <c r="K893" i="5"/>
  <c r="G893" i="5" s="1"/>
  <c r="F893" i="5"/>
  <c r="F762" i="5"/>
  <c r="K762" i="5"/>
  <c r="G762" i="5" s="1"/>
  <c r="K797" i="5"/>
  <c r="G797" i="5" s="1"/>
  <c r="F797" i="5"/>
  <c r="K799" i="5"/>
  <c r="G799" i="5" s="1"/>
  <c r="F799" i="5"/>
  <c r="J696" i="5"/>
  <c r="I439" i="7"/>
  <c r="F940" i="5"/>
  <c r="K940" i="5"/>
  <c r="G940" i="5" s="1"/>
  <c r="J727" i="5"/>
  <c r="I1060" i="7"/>
  <c r="J722" i="5"/>
  <c r="J721" i="5"/>
  <c r="I1035" i="7"/>
  <c r="J2836" i="7"/>
  <c r="F2836" i="7" s="1"/>
  <c r="E2836" i="7"/>
  <c r="J840" i="5"/>
  <c r="I1735" i="7"/>
  <c r="J741" i="5"/>
  <c r="I1268" i="7"/>
  <c r="F989" i="5"/>
  <c r="K989" i="5"/>
  <c r="G989" i="5" s="1"/>
  <c r="K985" i="5"/>
  <c r="G985" i="5" s="1"/>
  <c r="F985" i="5"/>
  <c r="K901" i="5"/>
  <c r="G901" i="5" s="1"/>
  <c r="F901" i="5"/>
  <c r="J984" i="5"/>
  <c r="I2775" i="7"/>
  <c r="J680" i="5"/>
  <c r="I220" i="7"/>
  <c r="J683" i="5"/>
  <c r="I235" i="7"/>
  <c r="H44" i="13"/>
  <c r="J2620" i="7"/>
  <c r="E2620" i="7"/>
  <c r="F973" i="5"/>
  <c r="K973" i="5"/>
  <c r="G973" i="5" s="1"/>
  <c r="S346" i="17"/>
  <c r="S333" i="17"/>
  <c r="S320" i="17"/>
  <c r="S307" i="17"/>
  <c r="S281" i="17"/>
  <c r="S255" i="17"/>
  <c r="S228" i="17"/>
  <c r="S208" i="17"/>
  <c r="S168" i="17"/>
  <c r="S135" i="17"/>
  <c r="S115" i="17"/>
  <c r="S95" i="17"/>
  <c r="S82" i="17"/>
  <c r="S15" i="17"/>
  <c r="H3589" i="7"/>
  <c r="H3594" i="7" s="1"/>
  <c r="F760" i="6" s="1"/>
  <c r="G2825" i="7" s="1"/>
  <c r="H2825" i="7" s="1"/>
  <c r="J3288" i="7"/>
  <c r="E3199" i="7"/>
  <c r="H3199" i="7"/>
  <c r="G643" i="6"/>
  <c r="J646" i="5" s="1"/>
  <c r="E2873" i="7"/>
  <c r="H2873" i="7"/>
  <c r="G629" i="6"/>
  <c r="J632" i="5" s="1"/>
  <c r="K2183" i="7"/>
  <c r="L2183" i="7" s="1"/>
  <c r="L2184" i="7" s="1"/>
  <c r="H502" i="6" s="1"/>
  <c r="L505" i="5" s="1"/>
  <c r="M505" i="5" s="1"/>
  <c r="L403" i="5"/>
  <c r="M403" i="5" s="1"/>
  <c r="K1729" i="7"/>
  <c r="L1729" i="7" s="1"/>
  <c r="L1731" i="7" s="1"/>
  <c r="H396" i="6" s="1"/>
  <c r="L399" i="5" s="1"/>
  <c r="M399" i="5" s="1"/>
  <c r="K1734" i="7"/>
  <c r="L1734" i="7" s="1"/>
  <c r="L1736" i="7" s="1"/>
  <c r="H397" i="6" s="1"/>
  <c r="L400" i="5" s="1"/>
  <c r="M400" i="5" s="1"/>
  <c r="J979" i="5"/>
  <c r="I2750" i="7"/>
  <c r="K2382" i="7"/>
  <c r="L2382" i="7" s="1"/>
  <c r="L2383" i="7" s="1"/>
  <c r="H549" i="6" s="1"/>
  <c r="L552" i="5" s="1"/>
  <c r="M552" i="5" s="1"/>
  <c r="K3435" i="7"/>
  <c r="L3435" i="7" s="1"/>
  <c r="K3129" i="7"/>
  <c r="H3130" i="7"/>
  <c r="F678" i="6" s="1"/>
  <c r="K2787" i="7"/>
  <c r="H2788" i="7"/>
  <c r="F626" i="6" s="1"/>
  <c r="H629" i="5" s="1"/>
  <c r="I629" i="5" s="1"/>
  <c r="F2665" i="7"/>
  <c r="H401" i="5"/>
  <c r="I401" i="5" s="1"/>
  <c r="G1719" i="7"/>
  <c r="H1719" i="7" s="1"/>
  <c r="H1721" i="7" s="1"/>
  <c r="F394" i="6" s="1"/>
  <c r="H397" i="5" s="1"/>
  <c r="I397" i="5" s="1"/>
  <c r="G370" i="6"/>
  <c r="F1606" i="7"/>
  <c r="E370" i="6" s="1"/>
  <c r="J667" i="5"/>
  <c r="I18" i="7"/>
  <c r="F3578" i="7"/>
  <c r="L3391" i="7"/>
  <c r="H723" i="6" s="1"/>
  <c r="J1353" i="7"/>
  <c r="F3127" i="7"/>
  <c r="E2859" i="7"/>
  <c r="H2859" i="7"/>
  <c r="H2861" i="7" s="1"/>
  <c r="F635" i="6" s="1"/>
  <c r="H638" i="5" s="1"/>
  <c r="I638" i="5" s="1"/>
  <c r="G401" i="6"/>
  <c r="F1752" i="7"/>
  <c r="E401" i="6" s="1"/>
  <c r="J1712" i="7"/>
  <c r="F1711" i="7"/>
  <c r="G360" i="6"/>
  <c r="F1556" i="7"/>
  <c r="E360" i="6" s="1"/>
  <c r="F925" i="5"/>
  <c r="K925" i="5"/>
  <c r="G925" i="5" s="1"/>
  <c r="K766" i="5"/>
  <c r="G766" i="5" s="1"/>
  <c r="F766" i="5"/>
  <c r="J869" i="5"/>
  <c r="I2240" i="7"/>
  <c r="K904" i="5"/>
  <c r="G904" i="5" s="1"/>
  <c r="F904" i="5"/>
  <c r="F967" i="5"/>
  <c r="K967" i="5"/>
  <c r="G967" i="5" s="1"/>
  <c r="J731" i="5"/>
  <c r="I849" i="7"/>
  <c r="F3480" i="7"/>
  <c r="I1791" i="7"/>
  <c r="I2175" i="7"/>
  <c r="I2442" i="7"/>
  <c r="I1974" i="7"/>
  <c r="I2268" i="7"/>
  <c r="I2085" i="7"/>
  <c r="I3297" i="7"/>
  <c r="J3094" i="7"/>
  <c r="E2815" i="7"/>
  <c r="H2815" i="7"/>
  <c r="F2815" i="7" s="1"/>
  <c r="E2786" i="7"/>
  <c r="E1711" i="7"/>
  <c r="L373" i="5"/>
  <c r="M373" i="5" s="1"/>
  <c r="K1665" i="7"/>
  <c r="L1665" i="7" s="1"/>
  <c r="L1666" i="7" s="1"/>
  <c r="H382" i="6" s="1"/>
  <c r="K565" i="7"/>
  <c r="L565" i="7" s="1"/>
  <c r="L566" i="7" s="1"/>
  <c r="H134" i="6" s="1"/>
  <c r="L137" i="5" s="1"/>
  <c r="M137" i="5" s="1"/>
  <c r="F1590" i="7"/>
  <c r="H343" i="13"/>
  <c r="H335" i="13"/>
  <c r="H327" i="13"/>
  <c r="H319" i="13"/>
  <c r="H303" i="13"/>
  <c r="H295" i="13"/>
  <c r="H279" i="13"/>
  <c r="H271" i="13"/>
  <c r="H255" i="13"/>
  <c r="H247" i="13"/>
  <c r="H239" i="13"/>
  <c r="H223" i="13"/>
  <c r="H215" i="13"/>
  <c r="H199" i="13"/>
  <c r="H183" i="13"/>
  <c r="H175" i="13"/>
  <c r="H167" i="13"/>
  <c r="H159" i="13"/>
  <c r="H151" i="13"/>
  <c r="H143" i="13"/>
  <c r="H135" i="13"/>
  <c r="H127" i="13"/>
  <c r="H119" i="13"/>
  <c r="H111" i="13"/>
  <c r="H103" i="13"/>
  <c r="H87" i="13"/>
  <c r="H71" i="13"/>
  <c r="H63" i="13"/>
  <c r="J732" i="5"/>
  <c r="I908" i="7"/>
  <c r="F891" i="5"/>
  <c r="K891" i="5"/>
  <c r="G891" i="5" s="1"/>
  <c r="F829" i="5"/>
  <c r="K829" i="5"/>
  <c r="G829" i="5" s="1"/>
  <c r="F816" i="5"/>
  <c r="K816" i="5"/>
  <c r="G816" i="5" s="1"/>
  <c r="J753" i="5"/>
  <c r="I1433" i="7"/>
  <c r="F934" i="5"/>
  <c r="K934" i="5"/>
  <c r="G934" i="5" s="1"/>
  <c r="J846" i="5"/>
  <c r="I1834" i="7"/>
  <c r="F777" i="5"/>
  <c r="K777" i="5"/>
  <c r="G777" i="5" s="1"/>
  <c r="F781" i="5"/>
  <c r="K781" i="5"/>
  <c r="G781" i="5" s="1"/>
  <c r="J701" i="5"/>
  <c r="I464" i="7"/>
  <c r="H364" i="13"/>
  <c r="H348" i="13"/>
  <c r="H340" i="13"/>
  <c r="H332" i="13"/>
  <c r="H324" i="13"/>
  <c r="H316" i="13"/>
  <c r="H308" i="13"/>
  <c r="H300" i="13"/>
  <c r="H292" i="13"/>
  <c r="H284" i="13"/>
  <c r="H276" i="13"/>
  <c r="H268" i="13"/>
  <c r="H260" i="13"/>
  <c r="H252" i="13"/>
  <c r="H244" i="13"/>
  <c r="H236" i="13"/>
  <c r="H228" i="13"/>
  <c r="H220" i="13"/>
  <c r="H212" i="13"/>
  <c r="H204" i="13"/>
  <c r="H196" i="13"/>
  <c r="H188" i="13"/>
  <c r="H180" i="13"/>
  <c r="H172" i="13"/>
  <c r="H164" i="13"/>
  <c r="H156" i="13"/>
  <c r="H140" i="13"/>
  <c r="H132" i="13"/>
  <c r="H124" i="13"/>
  <c r="H116" i="13"/>
  <c r="H108" i="13"/>
  <c r="H100" i="13"/>
  <c r="H92" i="13"/>
  <c r="H84" i="13"/>
  <c r="H76" i="13"/>
  <c r="H68" i="13"/>
  <c r="H60" i="13"/>
  <c r="H52" i="13"/>
  <c r="F884" i="5"/>
  <c r="K884" i="5"/>
  <c r="G884" i="5" s="1"/>
  <c r="S148" i="17"/>
  <c r="S75" i="17"/>
  <c r="S68" i="17"/>
  <c r="S55" i="17"/>
  <c r="S8" i="17"/>
  <c r="G357" i="7"/>
  <c r="H357" i="7" s="1"/>
  <c r="H358" i="7" s="1"/>
  <c r="F85" i="6" s="1"/>
  <c r="H88" i="5" s="1"/>
  <c r="I88" i="5" s="1"/>
  <c r="G778" i="7"/>
  <c r="H778" i="7" s="1"/>
  <c r="H779" i="7" s="1"/>
  <c r="F184" i="6" s="1"/>
  <c r="H187" i="5" s="1"/>
  <c r="I187" i="5" s="1"/>
  <c r="G353" i="7"/>
  <c r="H353" i="7" s="1"/>
  <c r="H354" i="7" s="1"/>
  <c r="F84" i="6" s="1"/>
  <c r="H87" i="5" s="1"/>
  <c r="I87" i="5" s="1"/>
  <c r="G984" i="7"/>
  <c r="H984" i="7" s="1"/>
  <c r="H985" i="7" s="1"/>
  <c r="F233" i="6" s="1"/>
  <c r="H236" i="5" s="1"/>
  <c r="I236" i="5" s="1"/>
  <c r="G3176" i="7"/>
  <c r="H3176" i="7" s="1"/>
  <c r="H3177" i="7" s="1"/>
  <c r="F686" i="6" s="1"/>
  <c r="G1161" i="7"/>
  <c r="H1161" i="7" s="1"/>
  <c r="H1162" i="7" s="1"/>
  <c r="F274" i="6" s="1"/>
  <c r="H277" i="5" s="1"/>
  <c r="I277" i="5" s="1"/>
  <c r="J2731" i="7"/>
  <c r="F2729" i="7"/>
  <c r="Z2650" i="7"/>
  <c r="K579" i="5"/>
  <c r="G579" i="5" s="1"/>
  <c r="F579" i="5"/>
  <c r="I2138" i="7"/>
  <c r="I1761" i="7"/>
  <c r="F1684" i="7"/>
  <c r="G1001" i="7"/>
  <c r="H1001" i="7" s="1"/>
  <c r="H1002" i="7" s="1"/>
  <c r="F237" i="6" s="1"/>
  <c r="H240" i="5" s="1"/>
  <c r="I240" i="5" s="1"/>
  <c r="J673" i="5"/>
  <c r="I43" i="7"/>
  <c r="S352" i="17"/>
  <c r="S339" i="17"/>
  <c r="S326" i="17"/>
  <c r="S313" i="17"/>
  <c r="S287" i="17"/>
  <c r="S261" i="17"/>
  <c r="S234" i="17"/>
  <c r="S214" i="17"/>
  <c r="S201" i="17"/>
  <c r="S194" i="17"/>
  <c r="S121" i="17"/>
  <c r="S108" i="17"/>
  <c r="S88" i="17"/>
  <c r="S48" i="17"/>
  <c r="S21" i="17"/>
  <c r="Z3592" i="7"/>
  <c r="E3447" i="7"/>
  <c r="I2220" i="7"/>
  <c r="H403" i="5"/>
  <c r="I403" i="5" s="1"/>
  <c r="G1729" i="7"/>
  <c r="H1729" i="7" s="1"/>
  <c r="H1731" i="7" s="1"/>
  <c r="F396" i="6" s="1"/>
  <c r="H399" i="5" s="1"/>
  <c r="I399" i="5" s="1"/>
  <c r="K865" i="5"/>
  <c r="G865" i="5" s="1"/>
  <c r="F865" i="5"/>
  <c r="J749" i="5"/>
  <c r="I1293" i="7"/>
  <c r="J737" i="5"/>
  <c r="I1248" i="7"/>
  <c r="J686" i="5"/>
  <c r="I245" i="7"/>
  <c r="J2493" i="7"/>
  <c r="F2492" i="7"/>
  <c r="G646" i="6"/>
  <c r="J649" i="5" s="1"/>
  <c r="F2786" i="7"/>
  <c r="K916" i="5"/>
  <c r="G916" i="5" s="1"/>
  <c r="F916" i="5"/>
  <c r="F956" i="5"/>
  <c r="K956" i="5"/>
  <c r="G956" i="5" s="1"/>
  <c r="K857" i="5"/>
  <c r="G857" i="5" s="1"/>
  <c r="F857" i="5"/>
  <c r="J751" i="5"/>
  <c r="I1423" i="7"/>
  <c r="J748" i="5"/>
  <c r="I1288" i="7"/>
  <c r="D19" i="1"/>
  <c r="H11" i="13"/>
  <c r="H19" i="13"/>
  <c r="H27" i="13"/>
  <c r="H35" i="13"/>
  <c r="H43" i="13"/>
  <c r="H51" i="13"/>
  <c r="I1357" i="7"/>
  <c r="I1369" i="7"/>
  <c r="I1373" i="7"/>
  <c r="I1365" i="7"/>
  <c r="I3310" i="7"/>
  <c r="I1361" i="7"/>
  <c r="E3127" i="7"/>
  <c r="K653" i="5"/>
  <c r="H191" i="13"/>
  <c r="H55" i="13"/>
  <c r="L3499" i="7"/>
  <c r="H742" i="6" s="1"/>
  <c r="G878" i="7"/>
  <c r="H878" i="7" s="1"/>
  <c r="H879" i="7" s="1"/>
  <c r="F208" i="6" s="1"/>
  <c r="H211" i="5" s="1"/>
  <c r="I211" i="5" s="1"/>
  <c r="G1117" i="7"/>
  <c r="H1117" i="7" s="1"/>
  <c r="H1118" i="7" s="1"/>
  <c r="F263" i="6" s="1"/>
  <c r="H266" i="5" s="1"/>
  <c r="I266" i="5" s="1"/>
  <c r="G874" i="7"/>
  <c r="H874" i="7" s="1"/>
  <c r="H875" i="7" s="1"/>
  <c r="F207" i="6" s="1"/>
  <c r="H210" i="5" s="1"/>
  <c r="I210" i="5" s="1"/>
  <c r="G3212" i="7"/>
  <c r="H3212" i="7" s="1"/>
  <c r="H3213" i="7" s="1"/>
  <c r="F692" i="6" s="1"/>
  <c r="F913" i="5"/>
  <c r="K913" i="5"/>
  <c r="G913" i="5" s="1"/>
  <c r="K930" i="5"/>
  <c r="G930" i="5" s="1"/>
  <c r="F930" i="5"/>
  <c r="F824" i="5"/>
  <c r="K824" i="5"/>
  <c r="G824" i="5" s="1"/>
  <c r="F877" i="5"/>
  <c r="K877" i="5"/>
  <c r="G877" i="5" s="1"/>
  <c r="J711" i="5"/>
  <c r="I658" i="7"/>
  <c r="H356" i="13"/>
  <c r="H148" i="13"/>
  <c r="F899" i="5"/>
  <c r="K899" i="5"/>
  <c r="G899" i="5" s="1"/>
  <c r="H10" i="13"/>
  <c r="S181" i="17"/>
  <c r="S161" i="17"/>
  <c r="S35" i="17"/>
  <c r="G3207" i="7"/>
  <c r="H3207" i="7" s="1"/>
  <c r="I9" i="12"/>
  <c r="K906" i="5"/>
  <c r="G906" i="5" s="1"/>
  <c r="F906" i="5"/>
  <c r="F951" i="5"/>
  <c r="K951" i="5"/>
  <c r="G951" i="5" s="1"/>
  <c r="F929" i="5"/>
  <c r="K929" i="5"/>
  <c r="G929" i="5" s="1"/>
  <c r="F921" i="5"/>
  <c r="K921" i="5"/>
  <c r="G921" i="5" s="1"/>
  <c r="K890" i="5"/>
  <c r="G890" i="5" s="1"/>
  <c r="F890" i="5"/>
  <c r="F856" i="5"/>
  <c r="K856" i="5"/>
  <c r="G856" i="5" s="1"/>
  <c r="K823" i="5"/>
  <c r="G823" i="5" s="1"/>
  <c r="F823" i="5"/>
  <c r="F819" i="5"/>
  <c r="K819" i="5"/>
  <c r="G819" i="5" s="1"/>
  <c r="K815" i="5"/>
  <c r="G815" i="5" s="1"/>
  <c r="F815" i="5"/>
  <c r="K800" i="5"/>
  <c r="G800" i="5" s="1"/>
  <c r="F800" i="5"/>
  <c r="E1468" i="7"/>
  <c r="J1468" i="7"/>
  <c r="F1468" i="7" s="1"/>
  <c r="J755" i="5"/>
  <c r="I1443" i="7"/>
  <c r="F933" i="5"/>
  <c r="K933" i="5"/>
  <c r="G933" i="5" s="1"/>
  <c r="I2664" i="7"/>
  <c r="I2685" i="7"/>
  <c r="I2657" i="7"/>
  <c r="I2699" i="7"/>
  <c r="I2671" i="7"/>
  <c r="I2678" i="7"/>
  <c r="J862" i="5"/>
  <c r="I2055" i="7"/>
  <c r="E1824" i="7"/>
  <c r="J1824" i="7"/>
  <c r="F1824" i="7" s="1"/>
  <c r="F959" i="5"/>
  <c r="K959" i="5"/>
  <c r="G959" i="5" s="1"/>
  <c r="F769" i="5"/>
  <c r="K769" i="5"/>
  <c r="G769" i="5" s="1"/>
  <c r="F785" i="5"/>
  <c r="K785" i="5"/>
  <c r="G785" i="5" s="1"/>
  <c r="F780" i="5"/>
  <c r="K780" i="5"/>
  <c r="G780" i="5" s="1"/>
  <c r="F796" i="5"/>
  <c r="K796" i="5"/>
  <c r="G796" i="5" s="1"/>
  <c r="F791" i="5"/>
  <c r="K791" i="5"/>
  <c r="G791" i="5" s="1"/>
  <c r="J703" i="5"/>
  <c r="I618" i="7"/>
  <c r="J692" i="5"/>
  <c r="I424" i="7"/>
  <c r="F695" i="5"/>
  <c r="K695" i="5"/>
  <c r="G695" i="5" s="1"/>
  <c r="F939" i="5"/>
  <c r="K939" i="5"/>
  <c r="G939" i="5" s="1"/>
  <c r="I1055" i="7"/>
  <c r="J726" i="5"/>
  <c r="F949" i="5"/>
  <c r="K949" i="5"/>
  <c r="G949" i="5" s="1"/>
  <c r="J839" i="5"/>
  <c r="I1730" i="7"/>
  <c r="J740" i="5"/>
  <c r="I1263" i="7"/>
  <c r="F987" i="5"/>
  <c r="K987" i="5"/>
  <c r="G987" i="5" s="1"/>
  <c r="F969" i="5"/>
  <c r="K969" i="5"/>
  <c r="G969" i="5" s="1"/>
  <c r="E2832" i="7"/>
  <c r="J2832" i="7"/>
  <c r="F2832" i="7" s="1"/>
  <c r="F975" i="5"/>
  <c r="K975" i="5"/>
  <c r="G975" i="5" s="1"/>
  <c r="J688" i="5"/>
  <c r="I255" i="7"/>
  <c r="J690" i="5"/>
  <c r="I265" i="7"/>
  <c r="F898" i="5"/>
  <c r="K898" i="5"/>
  <c r="G898" i="5" s="1"/>
  <c r="H26" i="13"/>
  <c r="F972" i="5"/>
  <c r="K972" i="5"/>
  <c r="G972" i="5" s="1"/>
  <c r="S371" i="17"/>
  <c r="S358" i="17"/>
  <c r="S332" i="17"/>
  <c r="S300" i="17"/>
  <c r="S274" i="17"/>
  <c r="S254" i="17"/>
  <c r="S187" i="17"/>
  <c r="S174" i="17"/>
  <c r="S154" i="17"/>
  <c r="S134" i="17"/>
  <c r="S101" i="17"/>
  <c r="S61" i="17"/>
  <c r="S41" i="17"/>
  <c r="S14" i="17"/>
  <c r="K3436" i="7"/>
  <c r="L3436" i="7" s="1"/>
  <c r="K1897" i="7"/>
  <c r="L1897" i="7" s="1"/>
  <c r="L1898" i="7" s="1"/>
  <c r="H435" i="6" s="1"/>
  <c r="L438" i="5" s="1"/>
  <c r="M438" i="5" s="1"/>
  <c r="K2191" i="7"/>
  <c r="L2191" i="7" s="1"/>
  <c r="L2192" i="7" s="1"/>
  <c r="H504" i="6" s="1"/>
  <c r="L507" i="5" s="1"/>
  <c r="M507" i="5" s="1"/>
  <c r="I3327" i="7"/>
  <c r="F3285" i="7"/>
  <c r="F2497" i="7"/>
  <c r="E576" i="6" s="1"/>
  <c r="G393" i="6"/>
  <c r="J396" i="5" s="1"/>
  <c r="F1694" i="7"/>
  <c r="H2717" i="7"/>
  <c r="F2717" i="7" s="1"/>
  <c r="F2697" i="7"/>
  <c r="G573" i="6"/>
  <c r="J576" i="5" s="1"/>
  <c r="F2485" i="7"/>
  <c r="E573" i="6" s="1"/>
  <c r="F1679" i="7"/>
  <c r="F1605" i="7"/>
  <c r="L2700" i="7"/>
  <c r="L2701" i="7" s="1"/>
  <c r="H610" i="6" s="1"/>
  <c r="L613" i="5" s="1"/>
  <c r="M613" i="5" s="1"/>
  <c r="E2700" i="7"/>
  <c r="J2573" i="7"/>
  <c r="H373" i="5"/>
  <c r="I373" i="5" s="1"/>
  <c r="G565" i="7"/>
  <c r="H565" i="7" s="1"/>
  <c r="H566" i="7" s="1"/>
  <c r="F134" i="6" s="1"/>
  <c r="H137" i="5" s="1"/>
  <c r="I137" i="5" s="1"/>
  <c r="G1665" i="7"/>
  <c r="H1665" i="7" s="1"/>
  <c r="H1666" i="7" s="1"/>
  <c r="F382" i="6" s="1"/>
  <c r="E2808" i="7"/>
  <c r="H2808" i="7"/>
  <c r="G2809" i="7" s="1"/>
  <c r="J2795" i="7"/>
  <c r="F2792" i="7"/>
  <c r="E2780" i="7"/>
  <c r="H2780" i="7"/>
  <c r="F2780" i="7" s="1"/>
  <c r="H2723" i="7"/>
  <c r="F2723" i="7" s="1"/>
  <c r="H2570" i="7"/>
  <c r="F2570" i="7" s="1"/>
  <c r="L363" i="5"/>
  <c r="M363" i="5" s="1"/>
  <c r="K529" i="7"/>
  <c r="L529" i="7" s="1"/>
  <c r="L530" i="7" s="1"/>
  <c r="H125" i="6" s="1"/>
  <c r="L128" i="5" s="1"/>
  <c r="M128" i="5" s="1"/>
  <c r="K643" i="5"/>
  <c r="L2875" i="7"/>
  <c r="H637" i="6" s="1"/>
  <c r="L640" i="5" s="1"/>
  <c r="M640" i="5" s="1"/>
  <c r="H2866" i="7"/>
  <c r="F2866" i="7" s="1"/>
  <c r="J1669" i="7"/>
  <c r="H1570" i="7"/>
  <c r="H1571" i="7" s="1"/>
  <c r="F363" i="6" s="1"/>
  <c r="L2861" i="7"/>
  <c r="H635" i="6" s="1"/>
  <c r="L638" i="5" s="1"/>
  <c r="M638" i="5" s="1"/>
  <c r="G611" i="6"/>
  <c r="J614" i="5" s="1"/>
  <c r="K2551" i="7"/>
  <c r="H2552" i="7"/>
  <c r="F585" i="6" s="1"/>
  <c r="G577" i="6"/>
  <c r="J580" i="5" s="1"/>
  <c r="F2484" i="7"/>
  <c r="F1743" i="7"/>
  <c r="G369" i="6"/>
  <c r="H369" i="5"/>
  <c r="I369" i="5" s="1"/>
  <c r="G1521" i="7"/>
  <c r="H1521" i="7" s="1"/>
  <c r="G1645" i="7"/>
  <c r="H1645" i="7" s="1"/>
  <c r="H1646" i="7" s="1"/>
  <c r="F378" i="6" s="1"/>
  <c r="G553" i="7"/>
  <c r="H553" i="7" s="1"/>
  <c r="H554" i="7" s="1"/>
  <c r="F131" i="6" s="1"/>
  <c r="H134" i="5" s="1"/>
  <c r="I134" i="5" s="1"/>
  <c r="H363" i="5"/>
  <c r="I363" i="5" s="1"/>
  <c r="G1615" i="7"/>
  <c r="H1615" i="7" s="1"/>
  <c r="H1616" i="7" s="1"/>
  <c r="F372" i="6" s="1"/>
  <c r="G1485" i="7"/>
  <c r="H1485" i="7" s="1"/>
  <c r="G529" i="7"/>
  <c r="H529" i="7" s="1"/>
  <c r="H530" i="7" s="1"/>
  <c r="F125" i="6" s="1"/>
  <c r="H128" i="5" s="1"/>
  <c r="I128" i="5" s="1"/>
  <c r="F2990" i="7"/>
  <c r="E654" i="6" s="1"/>
  <c r="F2549" i="7"/>
  <c r="E2484" i="7"/>
  <c r="E1743" i="7"/>
  <c r="H1743" i="7"/>
  <c r="H1744" i="7" s="1"/>
  <c r="F399" i="6" s="1"/>
  <c r="H2729" i="7"/>
  <c r="J1586" i="7"/>
  <c r="F1585" i="7"/>
  <c r="G362" i="6"/>
  <c r="F1566" i="7"/>
  <c r="E362" i="6" s="1"/>
  <c r="F657" i="5"/>
  <c r="K657" i="5"/>
  <c r="G657" i="5" s="1"/>
  <c r="J2882" i="7"/>
  <c r="F2585" i="7"/>
  <c r="J2580" i="7"/>
  <c r="F2577" i="7"/>
  <c r="J401" i="5"/>
  <c r="I1719" i="7"/>
  <c r="E3219" i="7"/>
  <c r="L3219" i="7"/>
  <c r="L3220" i="7" s="1"/>
  <c r="H693" i="6" s="1"/>
  <c r="L3076" i="7"/>
  <c r="H669" i="6" s="1"/>
  <c r="G626" i="6"/>
  <c r="J629" i="5" s="1"/>
  <c r="L2658" i="7"/>
  <c r="L2659" i="7" s="1"/>
  <c r="H604" i="6" s="1"/>
  <c r="L607" i="5" s="1"/>
  <c r="M607" i="5" s="1"/>
  <c r="E2658" i="7"/>
  <c r="H2559" i="7"/>
  <c r="F586" i="6" s="1"/>
  <c r="K2558" i="7"/>
  <c r="F2501" i="7"/>
  <c r="F1740" i="7"/>
  <c r="E398" i="6" s="1"/>
  <c r="F2989" i="7"/>
  <c r="K2579" i="7"/>
  <c r="H365" i="5"/>
  <c r="I365" i="5" s="1"/>
  <c r="G537" i="7"/>
  <c r="H537" i="7" s="1"/>
  <c r="H538" i="7" s="1"/>
  <c r="F127" i="6" s="1"/>
  <c r="H130" i="5" s="1"/>
  <c r="I130" i="5" s="1"/>
  <c r="G1625" i="7"/>
  <c r="H1625" i="7" s="1"/>
  <c r="H1626" i="7" s="1"/>
  <c r="F374" i="6" s="1"/>
  <c r="H3163" i="7"/>
  <c r="H3110" i="7"/>
  <c r="J2986" i="7"/>
  <c r="K581" i="5"/>
  <c r="E2496" i="7"/>
  <c r="J2489" i="7"/>
  <c r="F2488" i="7"/>
  <c r="L2476" i="7"/>
  <c r="H571" i="6" s="1"/>
  <c r="L574" i="5" s="1"/>
  <c r="M574" i="5" s="1"/>
  <c r="J3076" i="7"/>
  <c r="H3020" i="7"/>
  <c r="F3020" i="7" s="1"/>
  <c r="H2683" i="7"/>
  <c r="F2683" i="7" s="1"/>
  <c r="L374" i="5"/>
  <c r="M374" i="5" s="1"/>
  <c r="K569" i="7"/>
  <c r="L569" i="7" s="1"/>
  <c r="L570" i="7" s="1"/>
  <c r="H135" i="6" s="1"/>
  <c r="L138" i="5" s="1"/>
  <c r="M138" i="5" s="1"/>
  <c r="K1478" i="7"/>
  <c r="L1478" i="7" s="1"/>
  <c r="K573" i="7"/>
  <c r="L573" i="7" s="1"/>
  <c r="L574" i="7" s="1"/>
  <c r="H136" i="6" s="1"/>
  <c r="L139" i="5" s="1"/>
  <c r="M139" i="5" s="1"/>
  <c r="H3076" i="7"/>
  <c r="F669" i="6" s="1"/>
  <c r="L2810" i="7"/>
  <c r="H629" i="6" s="1"/>
  <c r="L632" i="5" s="1"/>
  <c r="M632" i="5" s="1"/>
  <c r="K2586" i="7"/>
  <c r="J2476" i="7"/>
  <c r="F1748" i="7"/>
  <c r="E400" i="6" s="1"/>
  <c r="F1739" i="7"/>
  <c r="K817" i="5"/>
  <c r="G817" i="5" s="1"/>
  <c r="F3199" i="7"/>
  <c r="F2851" i="7"/>
  <c r="E1739" i="7"/>
  <c r="F1707" i="7"/>
  <c r="J1708" i="7"/>
  <c r="L371" i="5"/>
  <c r="M371" i="5" s="1"/>
  <c r="K1655" i="7"/>
  <c r="L1655" i="7" s="1"/>
  <c r="L1656" i="7" s="1"/>
  <c r="H380" i="6" s="1"/>
  <c r="K561" i="7"/>
  <c r="L561" i="7" s="1"/>
  <c r="L562" i="7" s="1"/>
  <c r="H133" i="6" s="1"/>
  <c r="L136" i="5" s="1"/>
  <c r="M136" i="5" s="1"/>
  <c r="L368" i="5"/>
  <c r="M368" i="5" s="1"/>
  <c r="K549" i="7"/>
  <c r="L549" i="7" s="1"/>
  <c r="L550" i="7" s="1"/>
  <c r="H130" i="6" s="1"/>
  <c r="L133" i="5" s="1"/>
  <c r="M133" i="5" s="1"/>
  <c r="K1515" i="7"/>
  <c r="L1515" i="7" s="1"/>
  <c r="F1565" i="7"/>
  <c r="F3073" i="7"/>
  <c r="K648" i="5"/>
  <c r="H2851" i="7"/>
  <c r="F2728" i="7"/>
  <c r="F2676" i="7"/>
  <c r="F2584" i="7"/>
  <c r="F1595" i="7"/>
  <c r="J1596" i="7"/>
  <c r="F1580" i="7"/>
  <c r="J1581" i="7"/>
  <c r="K1533" i="7"/>
  <c r="L1533" i="7" s="1"/>
  <c r="K650" i="5"/>
  <c r="H368" i="5"/>
  <c r="I368" i="5" s="1"/>
  <c r="G549" i="7"/>
  <c r="H549" i="7" s="1"/>
  <c r="H550" i="7" s="1"/>
  <c r="F130" i="6" s="1"/>
  <c r="H133" i="5" s="1"/>
  <c r="I133" i="5" s="1"/>
  <c r="G1515" i="7"/>
  <c r="H1515" i="7" s="1"/>
  <c r="J403" i="5"/>
  <c r="I1729" i="7"/>
  <c r="E1689" i="7"/>
  <c r="J870" i="5"/>
  <c r="I2305" i="7"/>
  <c r="I918" i="7"/>
  <c r="J734" i="5"/>
  <c r="K915" i="5"/>
  <c r="G915" i="5" s="1"/>
  <c r="F915" i="5"/>
  <c r="F908" i="5"/>
  <c r="K908" i="5"/>
  <c r="G908" i="5" s="1"/>
  <c r="K932" i="5"/>
  <c r="G932" i="5" s="1"/>
  <c r="F932" i="5"/>
  <c r="F924" i="5"/>
  <c r="K924" i="5"/>
  <c r="G924" i="5" s="1"/>
  <c r="F961" i="5"/>
  <c r="K961" i="5"/>
  <c r="G961" i="5" s="1"/>
  <c r="K886" i="5"/>
  <c r="G886" i="5" s="1"/>
  <c r="F886" i="5"/>
  <c r="K826" i="5"/>
  <c r="G826" i="5" s="1"/>
  <c r="F826" i="5"/>
  <c r="K802" i="5"/>
  <c r="G802" i="5" s="1"/>
  <c r="F802" i="5"/>
  <c r="F990" i="5"/>
  <c r="K990" i="5"/>
  <c r="G990" i="5" s="1"/>
  <c r="J757" i="5"/>
  <c r="I1453" i="7"/>
  <c r="F936" i="5"/>
  <c r="K936" i="5"/>
  <c r="G936" i="5" s="1"/>
  <c r="F941" i="5"/>
  <c r="K941" i="5"/>
  <c r="G941" i="5" s="1"/>
  <c r="J860" i="5"/>
  <c r="I2045" i="7"/>
  <c r="J848" i="5"/>
  <c r="I1844" i="7"/>
  <c r="J853" i="5"/>
  <c r="I2133" i="7"/>
  <c r="F771" i="5"/>
  <c r="K771" i="5"/>
  <c r="G771" i="5" s="1"/>
  <c r="K773" i="5"/>
  <c r="G773" i="5" s="1"/>
  <c r="F773" i="5"/>
  <c r="K782" i="5"/>
  <c r="G782" i="5" s="1"/>
  <c r="F782" i="5"/>
  <c r="F798" i="5"/>
  <c r="K798" i="5"/>
  <c r="G798" i="5" s="1"/>
  <c r="K793" i="5"/>
  <c r="G793" i="5" s="1"/>
  <c r="F793" i="5"/>
  <c r="J712" i="5"/>
  <c r="I663" i="7"/>
  <c r="F707" i="5"/>
  <c r="K707" i="5"/>
  <c r="G707" i="5" s="1"/>
  <c r="E414" i="7"/>
  <c r="J414" i="7"/>
  <c r="F414" i="7" s="1"/>
  <c r="K843" i="5"/>
  <c r="G843" i="5" s="1"/>
  <c r="F843" i="5"/>
  <c r="J728" i="5"/>
  <c r="I1065" i="7"/>
  <c r="J716" i="5"/>
  <c r="I1010" i="7"/>
  <c r="K896" i="5"/>
  <c r="G896" i="5" s="1"/>
  <c r="F896" i="5"/>
  <c r="J868" i="5"/>
  <c r="I2235" i="7"/>
  <c r="J747" i="5"/>
  <c r="I1283" i="7"/>
  <c r="K744" i="5"/>
  <c r="G744" i="5" s="1"/>
  <c r="F744" i="5"/>
  <c r="J833" i="5"/>
  <c r="I1680" i="7"/>
  <c r="F903" i="5"/>
  <c r="K903" i="5"/>
  <c r="G903" i="5" s="1"/>
  <c r="F977" i="5"/>
  <c r="K977" i="5"/>
  <c r="G977" i="5" s="1"/>
  <c r="J681" i="5"/>
  <c r="I225" i="7"/>
  <c r="K685" i="5"/>
  <c r="G685" i="5" s="1"/>
  <c r="F685" i="5"/>
  <c r="J675" i="5"/>
  <c r="I53" i="7"/>
  <c r="J677" i="5"/>
  <c r="I63" i="7"/>
  <c r="E976" i="7"/>
  <c r="J976" i="7"/>
  <c r="F976" i="7" s="1"/>
  <c r="F963" i="5"/>
  <c r="K963" i="5"/>
  <c r="G963" i="5" s="1"/>
  <c r="F880" i="5"/>
  <c r="K880" i="5"/>
  <c r="G880" i="5" s="1"/>
  <c r="J730" i="5"/>
  <c r="I844" i="7"/>
  <c r="F2808" i="7"/>
  <c r="H2694" i="7"/>
  <c r="F609" i="6" s="1"/>
  <c r="H612" i="5" s="1"/>
  <c r="I612" i="5" s="1"/>
  <c r="H2680" i="7"/>
  <c r="F607" i="6" s="1"/>
  <c r="H610" i="5" s="1"/>
  <c r="I610" i="5" s="1"/>
  <c r="F1747" i="7"/>
  <c r="K1640" i="7"/>
  <c r="L1640" i="7" s="1"/>
  <c r="L1641" i="7" s="1"/>
  <c r="H377" i="6" s="1"/>
  <c r="J370" i="5"/>
  <c r="I557" i="7"/>
  <c r="I1527" i="7"/>
  <c r="I1650" i="7"/>
  <c r="H2580" i="7"/>
  <c r="F589" i="6" s="1"/>
  <c r="E1747" i="7"/>
  <c r="F1689" i="7"/>
  <c r="H370" i="5"/>
  <c r="I370" i="5" s="1"/>
  <c r="G557" i="7"/>
  <c r="H557" i="7" s="1"/>
  <c r="H558" i="7" s="1"/>
  <c r="F132" i="6" s="1"/>
  <c r="H135" i="5" s="1"/>
  <c r="I135" i="5" s="1"/>
  <c r="F1699" i="7"/>
  <c r="J1700" i="7"/>
  <c r="J1571" i="7"/>
  <c r="J402" i="5"/>
  <c r="I1724" i="7"/>
  <c r="L367" i="5"/>
  <c r="M367" i="5" s="1"/>
  <c r="K545" i="7"/>
  <c r="L545" i="7" s="1"/>
  <c r="L546" i="7" s="1"/>
  <c r="H129" i="6" s="1"/>
  <c r="L132" i="5" s="1"/>
  <c r="M132" i="5" s="1"/>
  <c r="K1509" i="7"/>
  <c r="L1509" i="7" s="1"/>
  <c r="J1576" i="7"/>
  <c r="G359" i="6"/>
  <c r="F1551" i="7"/>
  <c r="E359" i="6" s="1"/>
  <c r="F1744" i="7"/>
  <c r="E399" i="6" s="1"/>
  <c r="K1539" i="7"/>
  <c r="L1539" i="7" s="1"/>
  <c r="K1635" i="7"/>
  <c r="L1635" i="7" s="1"/>
  <c r="L1636" i="7" s="1"/>
  <c r="H376" i="6" s="1"/>
  <c r="H362" i="5"/>
  <c r="I362" i="5" s="1"/>
  <c r="G521" i="7"/>
  <c r="H521" i="7" s="1"/>
  <c r="H522" i="7" s="1"/>
  <c r="F123" i="6" s="1"/>
  <c r="H126" i="5" s="1"/>
  <c r="I126" i="5" s="1"/>
  <c r="G1539" i="7"/>
  <c r="H1539" i="7" s="1"/>
  <c r="F1008" i="5"/>
  <c r="E1600" i="7"/>
  <c r="J2552" i="7"/>
  <c r="E1707" i="7"/>
  <c r="E1679" i="7"/>
  <c r="G1610" i="7"/>
  <c r="H1610" i="7" s="1"/>
  <c r="H1611" i="7" s="1"/>
  <c r="F371" i="6" s="1"/>
  <c r="H364" i="5"/>
  <c r="I364" i="5" s="1"/>
  <c r="G533" i="7"/>
  <c r="H533" i="7" s="1"/>
  <c r="H534" i="7" s="1"/>
  <c r="F126" i="6" s="1"/>
  <c r="H129" i="5" s="1"/>
  <c r="I129" i="5" s="1"/>
  <c r="G1620" i="7"/>
  <c r="H1620" i="7" s="1"/>
  <c r="H1621" i="7" s="1"/>
  <c r="F373" i="6" s="1"/>
  <c r="J2559" i="7"/>
  <c r="L366" i="5"/>
  <c r="M366" i="5" s="1"/>
  <c r="K541" i="7"/>
  <c r="L541" i="7" s="1"/>
  <c r="L542" i="7" s="1"/>
  <c r="H128" i="6" s="1"/>
  <c r="L131" i="5" s="1"/>
  <c r="M131" i="5" s="1"/>
  <c r="L362" i="5"/>
  <c r="M362" i="5" s="1"/>
  <c r="K525" i="7"/>
  <c r="L525" i="7" s="1"/>
  <c r="L526" i="7" s="1"/>
  <c r="H124" i="6" s="1"/>
  <c r="L127" i="5" s="1"/>
  <c r="M127" i="5" s="1"/>
  <c r="L364" i="5"/>
  <c r="M364" i="5" s="1"/>
  <c r="K1620" i="7"/>
  <c r="L1620" i="7" s="1"/>
  <c r="L1621" i="7" s="1"/>
  <c r="H373" i="6" s="1"/>
  <c r="K533" i="7"/>
  <c r="L533" i="7" s="1"/>
  <c r="L534" i="7" s="1"/>
  <c r="H126" i="6" s="1"/>
  <c r="L129" i="5" s="1"/>
  <c r="M129" i="5" s="1"/>
  <c r="K521" i="7"/>
  <c r="L521" i="7" s="1"/>
  <c r="L522" i="7" s="1"/>
  <c r="H123" i="6" s="1"/>
  <c r="L126" i="5" s="1"/>
  <c r="M126" i="5" s="1"/>
  <c r="F1751" i="7"/>
  <c r="E1751" i="7"/>
  <c r="K1479" i="7"/>
  <c r="L1479" i="7" s="1"/>
  <c r="K1005" i="5"/>
  <c r="D9" i="1"/>
  <c r="K21" i="6"/>
  <c r="K46" i="6"/>
  <c r="K71" i="6"/>
  <c r="K10" i="6"/>
  <c r="K79" i="6"/>
  <c r="K100" i="6"/>
  <c r="K125" i="6"/>
  <c r="K150" i="6"/>
  <c r="K43" i="6"/>
  <c r="K61" i="6"/>
  <c r="K83" i="6"/>
  <c r="K92" i="6"/>
  <c r="K122" i="6"/>
  <c r="K135" i="6"/>
  <c r="K148" i="6"/>
  <c r="K161" i="6"/>
  <c r="K186" i="6"/>
  <c r="K190" i="6"/>
  <c r="K194" i="6"/>
  <c r="K198" i="6"/>
  <c r="K202" i="6"/>
  <c r="K206" i="6"/>
  <c r="K210" i="6"/>
  <c r="K214" i="6"/>
  <c r="K218" i="6"/>
  <c r="K222" i="6"/>
  <c r="K226" i="6"/>
  <c r="K230" i="6"/>
  <c r="K234" i="6"/>
  <c r="K238" i="6"/>
  <c r="K242" i="6"/>
  <c r="K246" i="6"/>
  <c r="K250" i="6"/>
  <c r="K254" i="6"/>
  <c r="K258" i="6"/>
  <c r="K262" i="6"/>
  <c r="K266" i="6"/>
  <c r="K270" i="6"/>
  <c r="K274" i="6"/>
  <c r="K278" i="6"/>
  <c r="K282" i="6"/>
  <c r="K286" i="6"/>
  <c r="K290" i="6"/>
  <c r="K294" i="6"/>
  <c r="K298" i="6"/>
  <c r="K302" i="6"/>
  <c r="K306" i="6"/>
  <c r="K310" i="6"/>
  <c r="K314" i="6"/>
  <c r="K318" i="6"/>
  <c r="K322" i="6"/>
  <c r="K326" i="6"/>
  <c r="K330" i="6"/>
  <c r="K334" i="6"/>
  <c r="K338" i="6"/>
  <c r="K342" i="6"/>
  <c r="K346" i="6"/>
  <c r="K350" i="6"/>
  <c r="K354" i="6"/>
  <c r="K358" i="6"/>
  <c r="K362" i="6"/>
  <c r="K366" i="6"/>
  <c r="K370" i="6"/>
  <c r="K374" i="6"/>
  <c r="K378" i="6"/>
  <c r="K382" i="6"/>
  <c r="K386" i="6"/>
  <c r="K390" i="6"/>
  <c r="K394" i="6"/>
  <c r="K398" i="6"/>
  <c r="K402" i="6"/>
  <c r="K406" i="6"/>
  <c r="K410" i="6"/>
  <c r="K414" i="6"/>
  <c r="K418" i="6"/>
  <c r="K422" i="6"/>
  <c r="K426" i="6"/>
  <c r="K430" i="6"/>
  <c r="K434" i="6"/>
  <c r="K438" i="6"/>
  <c r="K442" i="6"/>
  <c r="K446" i="6"/>
  <c r="K450" i="6"/>
  <c r="K454" i="6"/>
  <c r="K458" i="6"/>
  <c r="K462" i="6"/>
  <c r="K466" i="6"/>
  <c r="K470" i="6"/>
  <c r="K474" i="6"/>
  <c r="K478" i="6"/>
  <c r="K482" i="6"/>
  <c r="K486" i="6"/>
  <c r="K490" i="6"/>
  <c r="K494" i="6"/>
  <c r="K498" i="6"/>
  <c r="K502" i="6"/>
  <c r="K506" i="6"/>
  <c r="K510" i="6"/>
  <c r="K514" i="6"/>
  <c r="K518" i="6"/>
  <c r="K522" i="6"/>
  <c r="K526" i="6"/>
  <c r="K530" i="6"/>
  <c r="K534" i="6"/>
  <c r="K538" i="6"/>
  <c r="K542" i="6"/>
  <c r="K546" i="6"/>
  <c r="K550" i="6"/>
  <c r="K554" i="6"/>
  <c r="K558" i="6"/>
  <c r="K562" i="6"/>
  <c r="K566" i="6"/>
  <c r="K570" i="6"/>
  <c r="K574" i="6"/>
  <c r="K578" i="6"/>
  <c r="K582" i="6"/>
  <c r="K586" i="6"/>
  <c r="K590" i="6"/>
  <c r="K594" i="6"/>
  <c r="K598" i="6"/>
  <c r="K602" i="6"/>
  <c r="K606" i="6"/>
  <c r="K610" i="6"/>
  <c r="K614" i="6"/>
  <c r="K618" i="6"/>
  <c r="K622" i="6"/>
  <c r="K626" i="6"/>
  <c r="K630" i="6"/>
  <c r="K634" i="6"/>
  <c r="K638" i="6"/>
  <c r="K642" i="6"/>
  <c r="K646" i="6"/>
  <c r="K650" i="6"/>
  <c r="K654" i="6"/>
  <c r="K658" i="6"/>
  <c r="K662" i="6"/>
  <c r="K666" i="6"/>
  <c r="K670" i="6"/>
  <c r="K674" i="6"/>
  <c r="K678" i="6"/>
  <c r="K682" i="6"/>
  <c r="K686" i="6"/>
  <c r="K690" i="6"/>
  <c r="K694" i="6"/>
  <c r="K698" i="6"/>
  <c r="K702" i="6"/>
  <c r="K706" i="6"/>
  <c r="K710" i="6"/>
  <c r="K714" i="6"/>
  <c r="K718" i="6"/>
  <c r="K722" i="6"/>
  <c r="K726" i="6"/>
  <c r="K730" i="6"/>
  <c r="K734" i="6"/>
  <c r="K738" i="6"/>
  <c r="K742" i="6"/>
  <c r="K746" i="6"/>
  <c r="K750" i="6"/>
  <c r="K754" i="6"/>
  <c r="K758" i="6"/>
  <c r="K762" i="6"/>
  <c r="K19" i="6"/>
  <c r="K28" i="6"/>
  <c r="K51" i="6"/>
  <c r="K74" i="6"/>
  <c r="K97" i="6"/>
  <c r="K146" i="6"/>
  <c r="K155" i="6"/>
  <c r="K164" i="6"/>
  <c r="K177" i="6"/>
  <c r="K219" i="6"/>
  <c r="K244" i="6"/>
  <c r="K269" i="6"/>
  <c r="K315" i="6"/>
  <c r="K340" i="6"/>
  <c r="K365" i="6"/>
  <c r="K411" i="6"/>
  <c r="K436" i="6"/>
  <c r="K461" i="6"/>
  <c r="K40" i="6"/>
  <c r="K120" i="6"/>
  <c r="K134" i="6"/>
  <c r="K180" i="6"/>
  <c r="K193" i="6"/>
  <c r="K232" i="6"/>
  <c r="K301" i="6"/>
  <c r="K327" i="6"/>
  <c r="K353" i="6"/>
  <c r="K379" i="6"/>
  <c r="K409" i="6"/>
  <c r="K435" i="6"/>
  <c r="K448" i="6"/>
  <c r="K499" i="6"/>
  <c r="K524" i="6"/>
  <c r="K549" i="6"/>
  <c r="K595" i="6"/>
  <c r="K620" i="6"/>
  <c r="K4" i="6"/>
  <c r="K24" i="6"/>
  <c r="K29" i="6"/>
  <c r="K34" i="6"/>
  <c r="K39" i="6"/>
  <c r="K68" i="6"/>
  <c r="K98" i="6"/>
  <c r="K112" i="6"/>
  <c r="K141" i="6"/>
  <c r="K188" i="6"/>
  <c r="K6" i="6"/>
  <c r="K22" i="6"/>
  <c r="K27" i="6"/>
  <c r="K38" i="6"/>
  <c r="K59" i="6"/>
  <c r="K101" i="6"/>
  <c r="K175" i="6"/>
  <c r="K212" i="6"/>
  <c r="K252" i="6"/>
  <c r="K261" i="6"/>
  <c r="K292" i="6"/>
  <c r="K319" i="6"/>
  <c r="K337" i="6"/>
  <c r="K355" i="6"/>
  <c r="K431" i="6"/>
  <c r="K449" i="6"/>
  <c r="K17" i="6"/>
  <c r="K96" i="6"/>
  <c r="K156" i="6"/>
  <c r="K239" i="6"/>
  <c r="K279" i="6"/>
  <c r="K364" i="6"/>
  <c r="K391" i="6"/>
  <c r="K413" i="6"/>
  <c r="K440" i="6"/>
  <c r="K467" i="6"/>
  <c r="K49" i="6"/>
  <c r="K81" i="6"/>
  <c r="K86" i="6"/>
  <c r="K91" i="6"/>
  <c r="K131" i="6"/>
  <c r="K12" i="6"/>
  <c r="K44" i="6"/>
  <c r="K65" i="6"/>
  <c r="K76" i="6"/>
  <c r="K121" i="6"/>
  <c r="K126" i="6"/>
  <c r="K60" i="6"/>
  <c r="K102" i="6"/>
  <c r="K7" i="6"/>
  <c r="K23" i="6"/>
  <c r="K55" i="6"/>
  <c r="K18" i="6"/>
  <c r="K13" i="6"/>
  <c r="K45" i="6"/>
  <c r="K50" i="6"/>
  <c r="K127" i="6"/>
  <c r="K66" i="6"/>
  <c r="K77" i="6"/>
  <c r="K82" i="6"/>
  <c r="K87" i="6"/>
  <c r="K35" i="6"/>
  <c r="K93" i="6"/>
  <c r="K103" i="6"/>
  <c r="K70" i="6"/>
  <c r="K109" i="6"/>
  <c r="K115" i="6"/>
  <c r="K185" i="6"/>
  <c r="K305" i="6"/>
  <c r="K363" i="6"/>
  <c r="K377" i="6"/>
  <c r="K387" i="6"/>
  <c r="K425" i="6"/>
  <c r="K444" i="6"/>
  <c r="K512" i="6"/>
  <c r="K581" i="6"/>
  <c r="K607" i="6"/>
  <c r="K637" i="6"/>
  <c r="K683" i="6"/>
  <c r="K708" i="6"/>
  <c r="K733" i="6"/>
  <c r="K8" i="6"/>
  <c r="K47" i="6"/>
  <c r="K88" i="6"/>
  <c r="K95" i="6"/>
  <c r="K137" i="6"/>
  <c r="K159" i="6"/>
  <c r="K200" i="6"/>
  <c r="K224" i="6"/>
  <c r="K243" i="6"/>
  <c r="K248" i="6"/>
  <c r="K253" i="6"/>
  <c r="K320" i="6"/>
  <c r="K339" i="6"/>
  <c r="K459" i="6"/>
  <c r="K473" i="6"/>
  <c r="K525" i="6"/>
  <c r="K551" i="6"/>
  <c r="K564" i="6"/>
  <c r="K633" i="6"/>
  <c r="K679" i="6"/>
  <c r="K704" i="6"/>
  <c r="K729" i="6"/>
  <c r="K41" i="6"/>
  <c r="K72" i="6"/>
  <c r="K116" i="6"/>
  <c r="K143" i="6"/>
  <c r="K154" i="6"/>
  <c r="K170" i="6"/>
  <c r="K215" i="6"/>
  <c r="K263" i="6"/>
  <c r="K277" i="6"/>
  <c r="K296" i="6"/>
  <c r="K325" i="6"/>
  <c r="K344" i="6"/>
  <c r="K349" i="6"/>
  <c r="K368" i="6"/>
  <c r="K373" i="6"/>
  <c r="K397" i="6"/>
  <c r="K416" i="6"/>
  <c r="K445" i="6"/>
  <c r="K464" i="6"/>
  <c r="K491" i="6"/>
  <c r="K521" i="6"/>
  <c r="K547" i="6"/>
  <c r="K560" i="6"/>
  <c r="K612" i="6"/>
  <c r="K671" i="6"/>
  <c r="K696" i="6"/>
  <c r="K721" i="6"/>
  <c r="K16" i="6"/>
  <c r="K25" i="6"/>
  <c r="K32" i="6"/>
  <c r="K80" i="6"/>
  <c r="K89" i="6"/>
  <c r="K138" i="6"/>
  <c r="K176" i="6"/>
  <c r="K191" i="6"/>
  <c r="K311" i="6"/>
  <c r="K359" i="6"/>
  <c r="K383" i="6"/>
  <c r="K421" i="6"/>
  <c r="K455" i="6"/>
  <c r="K504" i="6"/>
  <c r="K517" i="6"/>
  <c r="K543" i="6"/>
  <c r="K573" i="6"/>
  <c r="K599" i="6"/>
  <c r="K625" i="6"/>
  <c r="K667" i="6"/>
  <c r="K692" i="6"/>
  <c r="K717" i="6"/>
  <c r="K9" i="6"/>
  <c r="K104" i="6"/>
  <c r="K110" i="6"/>
  <c r="K117" i="6"/>
  <c r="K149" i="6"/>
  <c r="K160" i="6"/>
  <c r="K181" i="6"/>
  <c r="K196" i="6"/>
  <c r="K220" i="6"/>
  <c r="K268" i="6"/>
  <c r="K287" i="6"/>
  <c r="K335" i="6"/>
  <c r="K388" i="6"/>
  <c r="K469" i="6"/>
  <c r="K487" i="6"/>
  <c r="K556" i="6"/>
  <c r="K569" i="6"/>
  <c r="K608" i="6"/>
  <c r="K663" i="6"/>
  <c r="K688" i="6"/>
  <c r="K713" i="6"/>
  <c r="K759" i="6"/>
  <c r="K48" i="6"/>
  <c r="K57" i="6"/>
  <c r="K64" i="6"/>
  <c r="K124" i="6"/>
  <c r="K132" i="6"/>
  <c r="K165" i="6"/>
  <c r="K249" i="6"/>
  <c r="K316" i="6"/>
  <c r="K407" i="6"/>
  <c r="K500" i="6"/>
  <c r="K513" i="6"/>
  <c r="K539" i="6"/>
  <c r="K621" i="6"/>
  <c r="K659" i="6"/>
  <c r="K684" i="6"/>
  <c r="K709" i="6"/>
  <c r="K755" i="6"/>
  <c r="K33" i="6"/>
  <c r="K144" i="6"/>
  <c r="K171" i="6"/>
  <c r="K201" i="6"/>
  <c r="K211" i="6"/>
  <c r="K225" i="6"/>
  <c r="K235" i="6"/>
  <c r="K297" i="6"/>
  <c r="K321" i="6"/>
  <c r="K345" i="6"/>
  <c r="K369" i="6"/>
  <c r="K412" i="6"/>
  <c r="K460" i="6"/>
  <c r="K483" i="6"/>
  <c r="K552" i="6"/>
  <c r="K565" i="6"/>
  <c r="K591" i="6"/>
  <c r="K604" i="6"/>
  <c r="K655" i="6"/>
  <c r="K680" i="6"/>
  <c r="K705" i="6"/>
  <c r="K751" i="6"/>
  <c r="K26" i="6"/>
  <c r="K73" i="6"/>
  <c r="K118" i="6"/>
  <c r="K259" i="6"/>
  <c r="K273" i="6"/>
  <c r="K307" i="6"/>
  <c r="K360" i="6"/>
  <c r="K393" i="6"/>
  <c r="K441" i="6"/>
  <c r="K496" i="6"/>
  <c r="K509" i="6"/>
  <c r="K535" i="6"/>
  <c r="K587" i="6"/>
  <c r="K617" i="6"/>
  <c r="K651" i="6"/>
  <c r="K676" i="6"/>
  <c r="K701" i="6"/>
  <c r="K747" i="6"/>
  <c r="K42" i="6"/>
  <c r="K111" i="6"/>
  <c r="K133" i="6"/>
  <c r="K139" i="6"/>
  <c r="K166" i="6"/>
  <c r="K216" i="6"/>
  <c r="K240" i="6"/>
  <c r="K264" i="6"/>
  <c r="K283" i="6"/>
  <c r="K331" i="6"/>
  <c r="K384" i="6"/>
  <c r="K403" i="6"/>
  <c r="K417" i="6"/>
  <c r="K427" i="6"/>
  <c r="K451" i="6"/>
  <c r="K465" i="6"/>
  <c r="K479" i="6"/>
  <c r="K492" i="6"/>
  <c r="K548" i="6"/>
  <c r="K561" i="6"/>
  <c r="K600" i="6"/>
  <c r="K613" i="6"/>
  <c r="K647" i="6"/>
  <c r="K672" i="6"/>
  <c r="K697" i="6"/>
  <c r="K743" i="6"/>
  <c r="K90" i="6"/>
  <c r="K105" i="6"/>
  <c r="K182" i="6"/>
  <c r="K187" i="6"/>
  <c r="K192" i="6"/>
  <c r="K221" i="6"/>
  <c r="K245" i="6"/>
  <c r="K288" i="6"/>
  <c r="K312" i="6"/>
  <c r="K336" i="6"/>
  <c r="K456" i="6"/>
  <c r="K505" i="6"/>
  <c r="K531" i="6"/>
  <c r="K544" i="6"/>
  <c r="K583" i="6"/>
  <c r="K643" i="6"/>
  <c r="K668" i="6"/>
  <c r="K693" i="6"/>
  <c r="K739" i="6"/>
  <c r="K529" i="6"/>
  <c r="K516" i="6"/>
  <c r="K484" i="6"/>
  <c r="K361" i="6"/>
  <c r="K309" i="6"/>
  <c r="K303" i="6"/>
  <c r="K231" i="6"/>
  <c r="K223" i="6"/>
  <c r="K217" i="6"/>
  <c r="K764" i="6"/>
  <c r="K716" i="6"/>
  <c r="K685" i="6"/>
  <c r="K640" i="6"/>
  <c r="K523" i="6"/>
  <c r="K433" i="6"/>
  <c r="K367" i="6"/>
  <c r="K179" i="6"/>
  <c r="K157" i="6"/>
  <c r="K130" i="6"/>
  <c r="K58" i="6"/>
  <c r="K15" i="6"/>
  <c r="D18" i="1"/>
  <c r="AC1010" i="5"/>
  <c r="AC1008" i="5"/>
  <c r="AC1011" i="5"/>
  <c r="AC1007" i="5"/>
  <c r="AC1009" i="5"/>
  <c r="AC1006" i="5"/>
  <c r="K753" i="6"/>
  <c r="K748" i="6"/>
  <c r="K741" i="6"/>
  <c r="K723" i="6"/>
  <c r="K665" i="6"/>
  <c r="K601" i="6"/>
  <c r="K555" i="6"/>
  <c r="K536" i="6"/>
  <c r="K419" i="6"/>
  <c r="K323" i="6"/>
  <c r="K272" i="6"/>
  <c r="K251" i="6"/>
  <c r="K140" i="6"/>
  <c r="K703" i="6"/>
  <c r="K627" i="6"/>
  <c r="K568" i="6"/>
  <c r="K489" i="6"/>
  <c r="K476" i="6"/>
  <c r="K439" i="6"/>
  <c r="K404" i="6"/>
  <c r="K396" i="6"/>
  <c r="K280" i="6"/>
  <c r="K237" i="6"/>
  <c r="K229" i="6"/>
  <c r="K172" i="6"/>
  <c r="K163" i="6"/>
  <c r="K78" i="6"/>
  <c r="K14" i="6"/>
  <c r="K645" i="6"/>
  <c r="K588" i="6"/>
  <c r="K575" i="6"/>
  <c r="K508" i="6"/>
  <c r="K495" i="6"/>
  <c r="K375" i="6"/>
  <c r="K352" i="6"/>
  <c r="K265" i="6"/>
  <c r="K257" i="6"/>
  <c r="K208" i="6"/>
  <c r="K147" i="6"/>
  <c r="K129" i="6"/>
  <c r="K56" i="6"/>
  <c r="K36" i="6"/>
  <c r="I664" i="5"/>
  <c r="K528" i="6"/>
  <c r="K515" i="6"/>
  <c r="K468" i="6"/>
  <c r="K447" i="6"/>
  <c r="K300" i="6"/>
  <c r="K119" i="6"/>
  <c r="K67" i="6"/>
  <c r="K677" i="6"/>
  <c r="K389" i="6"/>
  <c r="K381" i="6"/>
  <c r="K329" i="6"/>
  <c r="K308" i="6"/>
  <c r="K757" i="6"/>
  <c r="K715" i="6"/>
  <c r="K639" i="6"/>
  <c r="K632" i="6"/>
  <c r="K619" i="6"/>
  <c r="K593" i="6"/>
  <c r="K541" i="6"/>
  <c r="K481" i="6"/>
  <c r="K432" i="6"/>
  <c r="K395" i="6"/>
  <c r="K343" i="6"/>
  <c r="K271" i="6"/>
  <c r="K178" i="6"/>
  <c r="K169" i="6"/>
  <c r="K54" i="6"/>
  <c r="K567" i="6"/>
  <c r="K520" i="6"/>
  <c r="K501" i="6"/>
  <c r="K488" i="6"/>
  <c r="K424" i="6"/>
  <c r="K372" i="6"/>
  <c r="K285" i="6"/>
  <c r="K199" i="6"/>
  <c r="K162" i="6"/>
  <c r="K128" i="6"/>
  <c r="K108" i="6"/>
  <c r="K53" i="6"/>
  <c r="K720" i="6"/>
  <c r="K689" i="6"/>
  <c r="K644" i="6"/>
  <c r="K533" i="6"/>
  <c r="K351" i="6"/>
  <c r="K328" i="6"/>
  <c r="K136" i="6"/>
  <c r="K11" i="6"/>
  <c r="F1010" i="5"/>
  <c r="K1010" i="5"/>
  <c r="G1010" i="5" s="1"/>
  <c r="G1006" i="5"/>
  <c r="K1011" i="5"/>
  <c r="G1011" i="5" s="1"/>
  <c r="M664" i="5"/>
  <c r="F1006" i="5"/>
  <c r="D470" i="9"/>
  <c r="E470" i="9"/>
  <c r="F470" i="9"/>
  <c r="F474" i="9" s="1"/>
  <c r="D614" i="9"/>
  <c r="D616" i="9" s="1"/>
  <c r="D654" i="9" s="1"/>
  <c r="E614" i="9"/>
  <c r="F614" i="9"/>
  <c r="F616" i="9" s="1"/>
  <c r="F654" i="9" s="1"/>
  <c r="D272" i="9"/>
  <c r="E272" i="9"/>
  <c r="D419" i="9"/>
  <c r="E419" i="9"/>
  <c r="F419" i="9"/>
  <c r="F478" i="9"/>
  <c r="D478" i="9"/>
  <c r="AC83" i="9"/>
  <c r="AE83" i="9"/>
  <c r="H83" i="9" s="1"/>
  <c r="AE85" i="9"/>
  <c r="H85" i="9" s="1"/>
  <c r="AC85" i="9"/>
  <c r="E670" i="9"/>
  <c r="C670" i="9" s="1"/>
  <c r="B670" i="9" s="1"/>
  <c r="B81" i="9"/>
  <c r="D562" i="9"/>
  <c r="D565" i="9" s="1"/>
  <c r="D567" i="9" s="1"/>
  <c r="D604" i="9" s="1"/>
  <c r="E562" i="9"/>
  <c r="F562" i="9"/>
  <c r="F565" i="9" s="1"/>
  <c r="F567" i="9" s="1"/>
  <c r="F604" i="9" s="1"/>
  <c r="D319" i="9"/>
  <c r="E319" i="9"/>
  <c r="F319" i="9"/>
  <c r="D170" i="9"/>
  <c r="E170" i="9"/>
  <c r="F170" i="9"/>
  <c r="D514" i="9"/>
  <c r="D516" i="9" s="1"/>
  <c r="D554" i="9" s="1"/>
  <c r="E514" i="9"/>
  <c r="F514" i="9"/>
  <c r="F516" i="9" s="1"/>
  <c r="F554" i="9" s="1"/>
  <c r="F482" i="9"/>
  <c r="D482" i="9"/>
  <c r="E482" i="9"/>
  <c r="AH46" i="9"/>
  <c r="AC169" i="9"/>
  <c r="AE169" i="9"/>
  <c r="H169" i="9" s="1"/>
  <c r="AC170" i="9"/>
  <c r="B164" i="9"/>
  <c r="Z165" i="9"/>
  <c r="AD165" i="9"/>
  <c r="B165" i="9" s="1"/>
  <c r="E372" i="9"/>
  <c r="AC9" i="5"/>
  <c r="AC17" i="5"/>
  <c r="AC25" i="5"/>
  <c r="AC33" i="5"/>
  <c r="AC41" i="5"/>
  <c r="AC49" i="5"/>
  <c r="AC57" i="5"/>
  <c r="AC65" i="5"/>
  <c r="AC73" i="5"/>
  <c r="AC81" i="5"/>
  <c r="AC89" i="5"/>
  <c r="AC97" i="5"/>
  <c r="AC105" i="5"/>
  <c r="D8" i="1"/>
  <c r="AC13" i="5"/>
  <c r="AC132" i="5"/>
  <c r="AC146" i="5"/>
  <c r="AC171" i="5"/>
  <c r="AC85" i="5"/>
  <c r="AC95" i="5"/>
  <c r="AC126" i="5"/>
  <c r="AC158" i="5"/>
  <c r="AC198" i="5"/>
  <c r="AC42" i="5"/>
  <c r="AC52" i="5"/>
  <c r="AC62" i="5"/>
  <c r="AC129" i="5"/>
  <c r="AC135" i="5"/>
  <c r="AC161" i="5"/>
  <c r="AC187" i="5"/>
  <c r="AC201" i="5"/>
  <c r="AC226" i="5"/>
  <c r="AC251" i="5"/>
  <c r="AC265" i="5"/>
  <c r="AC290" i="5"/>
  <c r="AC315" i="5"/>
  <c r="AC329" i="5"/>
  <c r="AC354" i="5"/>
  <c r="AC379" i="5"/>
  <c r="AC393" i="5"/>
  <c r="AC8" i="5"/>
  <c r="AC22" i="5"/>
  <c r="AC40" i="5"/>
  <c r="AC58" i="5"/>
  <c r="AC125" i="5"/>
  <c r="AC141" i="5"/>
  <c r="AC163" i="5"/>
  <c r="AC182" i="5"/>
  <c r="AC221" i="5"/>
  <c r="AC250" i="5"/>
  <c r="AC282" i="5"/>
  <c r="AC311" i="5"/>
  <c r="AC340" i="5"/>
  <c r="AC343" i="5"/>
  <c r="AC372" i="5"/>
  <c r="AC398" i="5"/>
  <c r="AC401" i="5"/>
  <c r="AC421" i="5"/>
  <c r="AC446" i="5"/>
  <c r="AC471" i="5"/>
  <c r="AC485" i="5"/>
  <c r="AC510" i="5"/>
  <c r="AC535" i="5"/>
  <c r="AC549" i="5"/>
  <c r="AC574" i="5"/>
  <c r="AC599" i="5"/>
  <c r="AC613" i="5"/>
  <c r="AC638" i="5"/>
  <c r="AC80" i="5"/>
  <c r="AC91" i="5"/>
  <c r="AC102" i="5"/>
  <c r="AC119" i="5"/>
  <c r="AC176" i="5"/>
  <c r="AC227" i="5"/>
  <c r="AC37" i="5"/>
  <c r="AC55" i="5"/>
  <c r="AC59" i="5"/>
  <c r="AC21" i="5"/>
  <c r="AC48" i="5"/>
  <c r="AC77" i="5"/>
  <c r="AC99" i="5"/>
  <c r="AC213" i="5"/>
  <c r="AC63" i="5"/>
  <c r="AC70" i="5"/>
  <c r="AC88" i="5"/>
  <c r="AC92" i="5"/>
  <c r="AC26" i="5"/>
  <c r="AC110" i="5"/>
  <c r="AC145" i="5"/>
  <c r="AC29" i="5"/>
  <c r="AC56" i="5"/>
  <c r="AC86" i="5"/>
  <c r="AC185" i="5"/>
  <c r="AC192" i="5"/>
  <c r="AC199" i="5"/>
  <c r="AC216" i="5"/>
  <c r="AC318" i="5"/>
  <c r="AC441" i="5"/>
  <c r="AC470" i="5"/>
  <c r="AC502" i="5"/>
  <c r="AC531" i="5"/>
  <c r="AC560" i="5"/>
  <c r="AC563" i="5"/>
  <c r="AC592" i="5"/>
  <c r="AC621" i="5"/>
  <c r="AC653" i="5"/>
  <c r="AC46" i="5"/>
  <c r="AC82" i="5"/>
  <c r="AC101" i="5"/>
  <c r="AC114" i="5"/>
  <c r="AC152" i="5"/>
  <c r="AC189" i="5"/>
  <c r="AC196" i="5"/>
  <c r="AC206" i="5"/>
  <c r="AC233" i="5"/>
  <c r="AC279" i="5"/>
  <c r="AC615" i="5"/>
  <c r="AC612" i="5"/>
  <c r="AC609" i="5"/>
  <c r="AC606" i="5"/>
  <c r="AC603" i="5"/>
  <c r="AC600" i="5"/>
  <c r="AC597" i="5"/>
  <c r="AC594" i="5"/>
  <c r="AC503" i="5"/>
  <c r="AC500" i="5"/>
  <c r="AC497" i="5"/>
  <c r="AC494" i="5"/>
  <c r="AC491" i="5"/>
  <c r="AC488" i="5"/>
  <c r="AC409" i="5"/>
  <c r="AC371" i="5"/>
  <c r="AC349" i="5"/>
  <c r="AC333" i="5"/>
  <c r="AC288" i="5"/>
  <c r="AC255" i="5"/>
  <c r="AC238" i="5"/>
  <c r="AC231" i="5"/>
  <c r="AC209" i="5"/>
  <c r="AC194" i="5"/>
  <c r="AC183" i="5"/>
  <c r="AC150" i="5"/>
  <c r="AC142" i="5"/>
  <c r="AC121" i="5"/>
  <c r="AC54" i="5"/>
  <c r="AC38" i="5"/>
  <c r="AC154" i="5"/>
  <c r="AC108" i="5"/>
  <c r="AC71" i="5"/>
  <c r="AC43" i="5"/>
  <c r="K19" i="18"/>
  <c r="H19" i="18"/>
  <c r="N15" i="18"/>
  <c r="O15" i="18"/>
  <c r="R15" i="18"/>
  <c r="S15" i="18"/>
  <c r="T15" i="18"/>
  <c r="U15" i="18"/>
  <c r="V15" i="18"/>
  <c r="W15" i="18"/>
  <c r="X15" i="18"/>
  <c r="J15" i="18"/>
  <c r="K15" i="18"/>
  <c r="M15" i="18"/>
  <c r="P15" i="18"/>
  <c r="Q15" i="18"/>
  <c r="O19" i="18"/>
  <c r="P19" i="18"/>
  <c r="S19" i="18"/>
  <c r="X19" i="18"/>
  <c r="I19" i="18"/>
  <c r="J19" i="18"/>
  <c r="F19" i="18"/>
  <c r="B663" i="9"/>
  <c r="AC720" i="9"/>
  <c r="B713" i="9"/>
  <c r="D486" i="9"/>
  <c r="E486" i="9"/>
  <c r="E219" i="9"/>
  <c r="F219" i="9"/>
  <c r="D219" i="9"/>
  <c r="H18" i="18"/>
  <c r="I18" i="18"/>
  <c r="L18" i="18"/>
  <c r="M18" i="18"/>
  <c r="N18" i="18"/>
  <c r="O18" i="18"/>
  <c r="P18" i="18"/>
  <c r="Q18" i="18"/>
  <c r="R18" i="18"/>
  <c r="S18" i="18"/>
  <c r="F18" i="18"/>
  <c r="G18" i="18"/>
  <c r="J18" i="18"/>
  <c r="K18" i="18"/>
  <c r="AA71" i="9"/>
  <c r="AA73" i="9"/>
  <c r="AA75" i="9"/>
  <c r="AC75" i="9"/>
  <c r="H75" i="9" s="1"/>
  <c r="AD215" i="9"/>
  <c r="B215" i="9" s="1"/>
  <c r="AE220" i="9"/>
  <c r="H220" i="9" s="1"/>
  <c r="AC219" i="9"/>
  <c r="B214" i="9"/>
  <c r="AC220" i="9"/>
  <c r="D322" i="9"/>
  <c r="E322" i="9"/>
  <c r="D422" i="9"/>
  <c r="E422" i="9"/>
  <c r="B65" i="9"/>
  <c r="AE67" i="9"/>
  <c r="AA67" i="9"/>
  <c r="X17" i="18"/>
  <c r="F14" i="18"/>
  <c r="G14" i="18"/>
  <c r="I14" i="18"/>
  <c r="J14" i="18"/>
  <c r="K14" i="18"/>
  <c r="L14" i="18"/>
  <c r="N14" i="18"/>
  <c r="R14" i="18"/>
  <c r="X14" i="18"/>
  <c r="F9" i="18"/>
  <c r="G9" i="18"/>
  <c r="I9" i="18"/>
  <c r="J9" i="18"/>
  <c r="K9" i="18"/>
  <c r="AE720" i="9"/>
  <c r="H720" i="9" s="1"/>
  <c r="AA718" i="9"/>
  <c r="AE718" i="9"/>
  <c r="H718" i="9" s="1"/>
  <c r="G8" i="18"/>
  <c r="B709" i="9"/>
  <c r="D320" i="9"/>
  <c r="F320" i="9"/>
  <c r="E172" i="9"/>
  <c r="I8" i="18"/>
  <c r="J8" i="18"/>
  <c r="L8" i="18"/>
  <c r="X8" i="18"/>
  <c r="K4" i="8"/>
  <c r="B12" i="2"/>
  <c r="E17" i="18"/>
  <c r="F17" i="18"/>
  <c r="G17" i="18"/>
  <c r="I17" i="18"/>
  <c r="J17" i="18"/>
  <c r="P17" i="18"/>
  <c r="Q17" i="18"/>
  <c r="B466" i="9"/>
  <c r="AC482" i="9"/>
  <c r="D269" i="9"/>
  <c r="E269" i="9"/>
  <c r="P13" i="18"/>
  <c r="R13" i="18"/>
  <c r="F13" i="18"/>
  <c r="AC484" i="9"/>
  <c r="E320" i="9"/>
  <c r="C320" i="9" s="1"/>
  <c r="B320" i="9" s="1"/>
  <c r="F16" i="18"/>
  <c r="X7" i="18"/>
  <c r="P16" i="18"/>
  <c r="Q16" i="18"/>
  <c r="X16" i="18"/>
  <c r="O16" i="18"/>
  <c r="R16" i="18"/>
  <c r="K7" i="18"/>
  <c r="F7" i="18"/>
  <c r="G7" i="18"/>
  <c r="J7" i="18"/>
  <c r="AE668" i="9"/>
  <c r="H668" i="9" s="1"/>
  <c r="AE484" i="9"/>
  <c r="H484" i="9" s="1"/>
  <c r="Y83" i="9"/>
  <c r="Y270" i="9"/>
  <c r="Y668" i="9"/>
  <c r="Y369" i="9"/>
  <c r="Y482" i="9"/>
  <c r="Y219" i="9"/>
  <c r="AB65" i="9"/>
  <c r="K20" i="18"/>
  <c r="N11" i="18"/>
  <c r="AA482" i="9"/>
  <c r="B314" i="9"/>
  <c r="J20" i="18"/>
  <c r="L11" i="18"/>
  <c r="X6" i="18"/>
  <c r="B464" i="9"/>
  <c r="F20" i="18"/>
  <c r="K11" i="18"/>
  <c r="L6" i="18"/>
  <c r="J11" i="18"/>
  <c r="K6" i="18"/>
  <c r="AE270" i="9"/>
  <c r="H270" i="9" s="1"/>
  <c r="I11" i="18"/>
  <c r="J6" i="18"/>
  <c r="G11" i="18"/>
  <c r="I6" i="18"/>
  <c r="G6" i="18"/>
  <c r="AJ46" i="9"/>
  <c r="F6" i="18"/>
  <c r="I2819" i="7" l="1"/>
  <c r="E3270" i="7"/>
  <c r="L3270" i="7"/>
  <c r="L2694" i="7"/>
  <c r="H609" i="6" s="1"/>
  <c r="L612" i="5" s="1"/>
  <c r="M612" i="5" s="1"/>
  <c r="H2820" i="7"/>
  <c r="F630" i="6" s="1"/>
  <c r="H633" i="5" s="1"/>
  <c r="I633" i="5" s="1"/>
  <c r="C170" i="9"/>
  <c r="B170" i="9" s="1"/>
  <c r="F3417" i="7"/>
  <c r="H3419" i="7"/>
  <c r="F1715" i="7"/>
  <c r="H1716" i="7"/>
  <c r="E2735" i="7"/>
  <c r="J2735" i="7"/>
  <c r="F2735" i="7" s="1"/>
  <c r="G3423" i="7"/>
  <c r="H3423" i="7" s="1"/>
  <c r="B69" i="9"/>
  <c r="AC71" i="9"/>
  <c r="H71" i="9" s="1"/>
  <c r="L3183" i="7"/>
  <c r="G1990" i="7"/>
  <c r="H1990" i="7" s="1"/>
  <c r="H1991" i="7" s="1"/>
  <c r="F457" i="6" s="1"/>
  <c r="H460" i="5" s="1"/>
  <c r="I460" i="5" s="1"/>
  <c r="K3350" i="7"/>
  <c r="L3350" i="7" s="1"/>
  <c r="L3351" i="7" s="1"/>
  <c r="H716" i="6" s="1"/>
  <c r="K1811" i="7" s="1"/>
  <c r="L1811" i="7" s="1"/>
  <c r="L1812" i="7" s="1"/>
  <c r="H415" i="6" s="1"/>
  <c r="L418" i="5" s="1"/>
  <c r="M418" i="5" s="1"/>
  <c r="G2284" i="7"/>
  <c r="H2284" i="7" s="1"/>
  <c r="H2285" i="7" s="1"/>
  <c r="F526" i="6" s="1"/>
  <c r="H529" i="5" s="1"/>
  <c r="I529" i="5" s="1"/>
  <c r="K2446" i="7"/>
  <c r="L2446" i="7" s="1"/>
  <c r="L2447" i="7" s="1"/>
  <c r="H564" i="6" s="1"/>
  <c r="L567" i="5" s="1"/>
  <c r="M567" i="5" s="1"/>
  <c r="F3448" i="7"/>
  <c r="E733" i="6" s="1"/>
  <c r="H3533" i="7"/>
  <c r="F748" i="6" s="1"/>
  <c r="G2036" i="7"/>
  <c r="H2036" i="7" s="1"/>
  <c r="H2037" i="7" s="1"/>
  <c r="F468" i="6" s="1"/>
  <c r="H471" i="5" s="1"/>
  <c r="I471" i="5" s="1"/>
  <c r="L2679" i="7"/>
  <c r="E2679" i="7"/>
  <c r="K1885" i="7"/>
  <c r="L1885" i="7" s="1"/>
  <c r="L1886" i="7" s="1"/>
  <c r="H432" i="6" s="1"/>
  <c r="L435" i="5" s="1"/>
  <c r="M435" i="5" s="1"/>
  <c r="F3220" i="7"/>
  <c r="E693" i="6" s="1"/>
  <c r="G2195" i="7"/>
  <c r="H2195" i="7" s="1"/>
  <c r="H2196" i="7" s="1"/>
  <c r="F505" i="6" s="1"/>
  <c r="H508" i="5" s="1"/>
  <c r="I508" i="5" s="1"/>
  <c r="K3057" i="7"/>
  <c r="H3058" i="7"/>
  <c r="F666" i="6" s="1"/>
  <c r="F3109" i="7"/>
  <c r="L1480" i="7"/>
  <c r="H347" i="6" s="1"/>
  <c r="K2272" i="7"/>
  <c r="L2272" i="7" s="1"/>
  <c r="L2273" i="7" s="1"/>
  <c r="H523" i="6" s="1"/>
  <c r="L526" i="5" s="1"/>
  <c r="M526" i="5" s="1"/>
  <c r="G3441" i="7"/>
  <c r="H3441" i="7" s="1"/>
  <c r="H3442" i="7" s="1"/>
  <c r="F732" i="6" s="1"/>
  <c r="G1901" i="7"/>
  <c r="H1901" i="7" s="1"/>
  <c r="H1902" i="7" s="1"/>
  <c r="F436" i="6" s="1"/>
  <c r="H439" i="5" s="1"/>
  <c r="I439" i="5" s="1"/>
  <c r="K3147" i="7"/>
  <c r="H3148" i="7"/>
  <c r="K2089" i="7"/>
  <c r="L2089" i="7" s="1"/>
  <c r="L2090" i="7" s="1"/>
  <c r="H480" i="6" s="1"/>
  <c r="L483" i="5" s="1"/>
  <c r="M483" i="5" s="1"/>
  <c r="F3286" i="7"/>
  <c r="G2032" i="7"/>
  <c r="H2032" i="7" s="1"/>
  <c r="H2033" i="7" s="1"/>
  <c r="F467" i="6" s="1"/>
  <c r="H470" i="5" s="1"/>
  <c r="I470" i="5" s="1"/>
  <c r="L36" i="12"/>
  <c r="H8" i="11" s="1"/>
  <c r="L662" i="5" s="1"/>
  <c r="M662" i="5" s="1"/>
  <c r="AH20" i="9"/>
  <c r="AB20" i="9"/>
  <c r="B16" i="9"/>
  <c r="K3345" i="7"/>
  <c r="L3345" i="7" s="1"/>
  <c r="G3424" i="7"/>
  <c r="H3424" i="7" s="1"/>
  <c r="F3560" i="7"/>
  <c r="K2179" i="7"/>
  <c r="L2179" i="7" s="1"/>
  <c r="L2180" i="7" s="1"/>
  <c r="H501" i="6" s="1"/>
  <c r="L504" i="5" s="1"/>
  <c r="M504" i="5" s="1"/>
  <c r="G1877" i="7"/>
  <c r="H1877" i="7" s="1"/>
  <c r="H1878" i="7" s="1"/>
  <c r="F430" i="6" s="1"/>
  <c r="H433" i="5" s="1"/>
  <c r="I433" i="5" s="1"/>
  <c r="F2658" i="7"/>
  <c r="C482" i="9"/>
  <c r="B482" i="9" s="1"/>
  <c r="E638" i="7"/>
  <c r="G2264" i="7"/>
  <c r="H2264" i="7" s="1"/>
  <c r="H2265" i="7" s="1"/>
  <c r="F521" i="6" s="1"/>
  <c r="H524" i="5" s="1"/>
  <c r="I524" i="5" s="1"/>
  <c r="G2171" i="7"/>
  <c r="H2171" i="7" s="1"/>
  <c r="H2172" i="7" s="1"/>
  <c r="F499" i="6" s="1"/>
  <c r="H502" i="5" s="1"/>
  <c r="I502" i="5" s="1"/>
  <c r="K3579" i="7"/>
  <c r="G1970" i="7"/>
  <c r="H1970" i="7" s="1"/>
  <c r="H1971" i="7" s="1"/>
  <c r="F452" i="6" s="1"/>
  <c r="H455" i="5" s="1"/>
  <c r="I455" i="5" s="1"/>
  <c r="J1766" i="7"/>
  <c r="F1766" i="7" s="1"/>
  <c r="J2481" i="7"/>
  <c r="G2028" i="7"/>
  <c r="H2028" i="7" s="1"/>
  <c r="H2029" i="7" s="1"/>
  <c r="F466" i="6" s="1"/>
  <c r="H469" i="5" s="1"/>
  <c r="I469" i="5" s="1"/>
  <c r="H3562" i="7"/>
  <c r="F755" i="6" s="1"/>
  <c r="G2739" i="7" s="1"/>
  <c r="H2739" i="7" s="1"/>
  <c r="H2741" i="7" s="1"/>
  <c r="F617" i="6" s="1"/>
  <c r="H620" i="5" s="1"/>
  <c r="I620" i="5" s="1"/>
  <c r="B472" i="9"/>
  <c r="K2818" i="7"/>
  <c r="H2868" i="7"/>
  <c r="F636" i="6" s="1"/>
  <c r="H639" i="5" s="1"/>
  <c r="I639" i="5" s="1"/>
  <c r="D420" i="9"/>
  <c r="E420" i="9"/>
  <c r="F420" i="9"/>
  <c r="F3146" i="7"/>
  <c r="AH69" i="9"/>
  <c r="AG67" i="9"/>
  <c r="C4" i="18"/>
  <c r="D1" i="1" s="1"/>
  <c r="E2809" i="7"/>
  <c r="H2809" i="7"/>
  <c r="G1349" i="7"/>
  <c r="H1349" i="7" s="1"/>
  <c r="H1350" i="7" s="1"/>
  <c r="F318" i="6" s="1"/>
  <c r="H321" i="5" s="1"/>
  <c r="I321" i="5" s="1"/>
  <c r="G3276" i="7"/>
  <c r="H3276" i="7" s="1"/>
  <c r="G3280" i="7"/>
  <c r="H3280" i="7" s="1"/>
  <c r="H3281" i="7" s="1"/>
  <c r="F704" i="6" s="1"/>
  <c r="G720" i="6"/>
  <c r="F3374" i="7"/>
  <c r="E720" i="6" s="1"/>
  <c r="F849" i="5"/>
  <c r="K849" i="5"/>
  <c r="G849" i="5" s="1"/>
  <c r="E1253" i="7"/>
  <c r="J1253" i="7"/>
  <c r="F1253" i="7" s="1"/>
  <c r="C219" i="9"/>
  <c r="B219" i="9" s="1"/>
  <c r="J2060" i="7"/>
  <c r="F2060" i="7" s="1"/>
  <c r="E2060" i="7"/>
  <c r="F832" i="5"/>
  <c r="K832" i="5"/>
  <c r="G832" i="5" s="1"/>
  <c r="E1931" i="7"/>
  <c r="J1931" i="7"/>
  <c r="F1931" i="7" s="1"/>
  <c r="F863" i="5"/>
  <c r="K863" i="5"/>
  <c r="G863" i="5" s="1"/>
  <c r="L379" i="5"/>
  <c r="M379" i="5" s="1"/>
  <c r="K593" i="7"/>
  <c r="L593" i="7" s="1"/>
  <c r="L594" i="7" s="1"/>
  <c r="H141" i="6" s="1"/>
  <c r="L144" i="5" s="1"/>
  <c r="M144" i="5" s="1"/>
  <c r="K1508" i="7"/>
  <c r="L1508" i="7" s="1"/>
  <c r="L1510" i="7" s="1"/>
  <c r="H352" i="6" s="1"/>
  <c r="F681" i="5"/>
  <c r="K681" i="5"/>
  <c r="G681" i="5" s="1"/>
  <c r="J1974" i="7"/>
  <c r="E839" i="7"/>
  <c r="J839" i="7"/>
  <c r="F839" i="7" s="1"/>
  <c r="G1353" i="7"/>
  <c r="G3297" i="7"/>
  <c r="H3297" i="7" s="1"/>
  <c r="H3298" i="7" s="1"/>
  <c r="F707" i="6" s="1"/>
  <c r="G3293" i="7"/>
  <c r="H3293" i="7" s="1"/>
  <c r="F838" i="5"/>
  <c r="K838" i="5"/>
  <c r="G838" i="5" s="1"/>
  <c r="E1720" i="7"/>
  <c r="J1720" i="7"/>
  <c r="F1720" i="7" s="1"/>
  <c r="D75" i="9"/>
  <c r="E75" i="9"/>
  <c r="F75" i="9"/>
  <c r="F370" i="5"/>
  <c r="K370" i="5"/>
  <c r="G370" i="5" s="1"/>
  <c r="K751" i="5"/>
  <c r="G751" i="5" s="1"/>
  <c r="F751" i="5"/>
  <c r="K753" i="5"/>
  <c r="G753" i="5" s="1"/>
  <c r="F753" i="5"/>
  <c r="G333" i="7"/>
  <c r="H333" i="7" s="1"/>
  <c r="H334" i="7" s="1"/>
  <c r="F79" i="6" s="1"/>
  <c r="H82" i="5" s="1"/>
  <c r="I82" i="5" s="1"/>
  <c r="G1137" i="7"/>
  <c r="H1137" i="7" s="1"/>
  <c r="H1138" i="7" s="1"/>
  <c r="F268" i="6" s="1"/>
  <c r="H271" i="5" s="1"/>
  <c r="I271" i="5" s="1"/>
  <c r="G750" i="7"/>
  <c r="H750" i="7" s="1"/>
  <c r="H751" i="7" s="1"/>
  <c r="F177" i="6" s="1"/>
  <c r="H180" i="5" s="1"/>
  <c r="I180" i="5" s="1"/>
  <c r="G3086" i="7"/>
  <c r="H3086" i="7" s="1"/>
  <c r="H3087" i="7" s="1"/>
  <c r="F671" i="6" s="1"/>
  <c r="G3081" i="7"/>
  <c r="H3081" i="7" s="1"/>
  <c r="K651" i="5"/>
  <c r="G663" i="6"/>
  <c r="F576" i="5"/>
  <c r="K576" i="5"/>
  <c r="G576" i="5" s="1"/>
  <c r="E2640" i="7"/>
  <c r="J2640" i="7"/>
  <c r="C470" i="9"/>
  <c r="B470" i="9" s="1"/>
  <c r="K478" i="9"/>
  <c r="E474" i="9"/>
  <c r="J404" i="5"/>
  <c r="I1734" i="7"/>
  <c r="G2366" i="7"/>
  <c r="H2366" i="7" s="1"/>
  <c r="H2367" i="7" s="1"/>
  <c r="F545" i="6" s="1"/>
  <c r="H548" i="5" s="1"/>
  <c r="I548" i="5" s="1"/>
  <c r="G3475" i="7"/>
  <c r="H3475" i="7" s="1"/>
  <c r="H3476" i="7" s="1"/>
  <c r="F738" i="6" s="1"/>
  <c r="G3470" i="7"/>
  <c r="H3470" i="7" s="1"/>
  <c r="L350" i="5"/>
  <c r="M350" i="5" s="1"/>
  <c r="K418" i="7"/>
  <c r="L418" i="7" s="1"/>
  <c r="L420" i="7" s="1"/>
  <c r="H100" i="6" s="1"/>
  <c r="L103" i="5" s="1"/>
  <c r="M103" i="5" s="1"/>
  <c r="K413" i="7"/>
  <c r="L413" i="7" s="1"/>
  <c r="L415" i="7" s="1"/>
  <c r="H99" i="6" s="1"/>
  <c r="L102" i="5" s="1"/>
  <c r="M102" i="5" s="1"/>
  <c r="K473" i="7"/>
  <c r="L473" i="7" s="1"/>
  <c r="L474" i="7" s="1"/>
  <c r="H111" i="6" s="1"/>
  <c r="L114" i="5" s="1"/>
  <c r="M114" i="5" s="1"/>
  <c r="K477" i="7"/>
  <c r="L477" i="7" s="1"/>
  <c r="L478" i="7" s="1"/>
  <c r="H112" i="6" s="1"/>
  <c r="L115" i="5" s="1"/>
  <c r="M115" i="5" s="1"/>
  <c r="K2893" i="7"/>
  <c r="L2893" i="7" s="1"/>
  <c r="L2894" i="7" s="1"/>
  <c r="K1422" i="7"/>
  <c r="L1422" i="7" s="1"/>
  <c r="L1424" i="7" s="1"/>
  <c r="H336" i="6" s="1"/>
  <c r="L339" i="5" s="1"/>
  <c r="M339" i="5" s="1"/>
  <c r="K2886" i="7"/>
  <c r="L2886" i="7" s="1"/>
  <c r="L2887" i="7" s="1"/>
  <c r="K1417" i="7"/>
  <c r="L1417" i="7" s="1"/>
  <c r="L1419" i="7" s="1"/>
  <c r="H335" i="6" s="1"/>
  <c r="L338" i="5" s="1"/>
  <c r="M338" i="5" s="1"/>
  <c r="K2879" i="7"/>
  <c r="L2879" i="7" s="1"/>
  <c r="L2880" i="7" s="1"/>
  <c r="G739" i="6"/>
  <c r="F3482" i="7"/>
  <c r="E739" i="6" s="1"/>
  <c r="H381" i="5"/>
  <c r="I381" i="5" s="1"/>
  <c r="G601" i="7"/>
  <c r="H601" i="7" s="1"/>
  <c r="H602" i="7" s="1"/>
  <c r="F143" i="6" s="1"/>
  <c r="H146" i="5" s="1"/>
  <c r="I146" i="5" s="1"/>
  <c r="G1520" i="7"/>
  <c r="H1520" i="7" s="1"/>
  <c r="H1522" i="7" s="1"/>
  <c r="F354" i="6" s="1"/>
  <c r="F741" i="5"/>
  <c r="K741" i="5"/>
  <c r="G741" i="5" s="1"/>
  <c r="F13" i="8"/>
  <c r="G3608" i="7" s="1"/>
  <c r="H3608" i="7" s="1"/>
  <c r="H3609" i="7" s="1"/>
  <c r="F763" i="6" s="1"/>
  <c r="G2828" i="7" s="1"/>
  <c r="H2828" i="7" s="1"/>
  <c r="D555" i="9"/>
  <c r="J210" i="7"/>
  <c r="F210" i="7" s="1"/>
  <c r="E210" i="7"/>
  <c r="H367" i="5"/>
  <c r="I367" i="5" s="1"/>
  <c r="G545" i="7"/>
  <c r="H545" i="7" s="1"/>
  <c r="H546" i="7" s="1"/>
  <c r="F129" i="6" s="1"/>
  <c r="H132" i="5" s="1"/>
  <c r="I132" i="5" s="1"/>
  <c r="G1509" i="7"/>
  <c r="H1509" i="7" s="1"/>
  <c r="G1635" i="7"/>
  <c r="H1635" i="7" s="1"/>
  <c r="H1636" i="7" s="1"/>
  <c r="F376" i="6" s="1"/>
  <c r="J225" i="7"/>
  <c r="F225" i="7" s="1"/>
  <c r="E225" i="7"/>
  <c r="G121" i="7"/>
  <c r="H121" i="7" s="1"/>
  <c r="H122" i="7" s="1"/>
  <c r="F29" i="6" s="1"/>
  <c r="H32" i="5" s="1"/>
  <c r="I32" i="5" s="1"/>
  <c r="G887" i="7"/>
  <c r="H887" i="7" s="1"/>
  <c r="H888" i="7" s="1"/>
  <c r="F210" i="6" s="1"/>
  <c r="H213" i="5" s="1"/>
  <c r="I213" i="5" s="1"/>
  <c r="G1125" i="7"/>
  <c r="H1125" i="7" s="1"/>
  <c r="H1126" i="7" s="1"/>
  <c r="F265" i="6" s="1"/>
  <c r="H268" i="5" s="1"/>
  <c r="I268" i="5" s="1"/>
  <c r="G738" i="7"/>
  <c r="H738" i="7" s="1"/>
  <c r="H739" i="7" s="1"/>
  <c r="F174" i="6" s="1"/>
  <c r="H177" i="5" s="1"/>
  <c r="I177" i="5" s="1"/>
  <c r="G942" i="7"/>
  <c r="H942" i="7" s="1"/>
  <c r="H943" i="7" s="1"/>
  <c r="F223" i="6" s="1"/>
  <c r="H226" i="5" s="1"/>
  <c r="I226" i="5" s="1"/>
  <c r="G321" i="7"/>
  <c r="H321" i="7" s="1"/>
  <c r="H322" i="7" s="1"/>
  <c r="F76" i="6" s="1"/>
  <c r="H79" i="5" s="1"/>
  <c r="I79" i="5" s="1"/>
  <c r="G3027" i="7"/>
  <c r="H3027" i="7" s="1"/>
  <c r="G3032" i="7"/>
  <c r="H3032" i="7" s="1"/>
  <c r="H3033" i="7" s="1"/>
  <c r="F662" i="6" s="1"/>
  <c r="E1725" i="7"/>
  <c r="J1725" i="7"/>
  <c r="F1725" i="7" s="1"/>
  <c r="L3567" i="7"/>
  <c r="E3567" i="7"/>
  <c r="J1650" i="7"/>
  <c r="E1650" i="7"/>
  <c r="L381" i="5"/>
  <c r="M381" i="5" s="1"/>
  <c r="K1520" i="7"/>
  <c r="L1520" i="7" s="1"/>
  <c r="L1522" i="7" s="1"/>
  <c r="H354" i="6" s="1"/>
  <c r="K601" i="7"/>
  <c r="L601" i="7" s="1"/>
  <c r="L602" i="7" s="1"/>
  <c r="H143" i="6" s="1"/>
  <c r="L146" i="5" s="1"/>
  <c r="M146" i="5" s="1"/>
  <c r="G2734" i="7"/>
  <c r="H2734" i="7" s="1"/>
  <c r="H2736" i="7" s="1"/>
  <c r="F616" i="6" s="1"/>
  <c r="H619" i="5" s="1"/>
  <c r="I619" i="5" s="1"/>
  <c r="G2754" i="7"/>
  <c r="H2754" i="7" s="1"/>
  <c r="H2756" i="7" s="1"/>
  <c r="F620" i="6" s="1"/>
  <c r="H623" i="5" s="1"/>
  <c r="I623" i="5" s="1"/>
  <c r="G2749" i="7"/>
  <c r="H2749" i="7" s="1"/>
  <c r="H2751" i="7" s="1"/>
  <c r="F619" i="6" s="1"/>
  <c r="H622" i="5" s="1"/>
  <c r="I622" i="5" s="1"/>
  <c r="G2744" i="7"/>
  <c r="H2744" i="7" s="1"/>
  <c r="H2746" i="7" s="1"/>
  <c r="F618" i="6" s="1"/>
  <c r="H621" i="5" s="1"/>
  <c r="I621" i="5" s="1"/>
  <c r="D474" i="9"/>
  <c r="J1527" i="7"/>
  <c r="F1527" i="7" s="1"/>
  <c r="E1527" i="7"/>
  <c r="J1268" i="7"/>
  <c r="F1268" i="7" s="1"/>
  <c r="E1268" i="7"/>
  <c r="L3561" i="7"/>
  <c r="E3561" i="7"/>
  <c r="E2684" i="7"/>
  <c r="J2684" i="7"/>
  <c r="F169" i="9"/>
  <c r="D169" i="9"/>
  <c r="E169" i="9"/>
  <c r="J557" i="7"/>
  <c r="E557" i="7"/>
  <c r="K757" i="5"/>
  <c r="G757" i="5" s="1"/>
  <c r="F757" i="5"/>
  <c r="J1729" i="7"/>
  <c r="E1729" i="7"/>
  <c r="E2750" i="7"/>
  <c r="J2750" i="7"/>
  <c r="F2750" i="7" s="1"/>
  <c r="J2656" i="7"/>
  <c r="E2656" i="7"/>
  <c r="J663" i="7"/>
  <c r="F663" i="7" s="1"/>
  <c r="E663" i="7"/>
  <c r="F403" i="5"/>
  <c r="K403" i="5"/>
  <c r="G403" i="5" s="1"/>
  <c r="G638" i="6"/>
  <c r="J641" i="5" s="1"/>
  <c r="J2442" i="7"/>
  <c r="F979" i="5"/>
  <c r="K979" i="5"/>
  <c r="G979" i="5" s="1"/>
  <c r="E1735" i="7"/>
  <c r="J1735" i="7"/>
  <c r="F1735" i="7" s="1"/>
  <c r="J2698" i="7"/>
  <c r="E2698" i="7"/>
  <c r="K666" i="5"/>
  <c r="G666" i="5" s="1"/>
  <c r="F666" i="5"/>
  <c r="J1263" i="7"/>
  <c r="F1263" i="7" s="1"/>
  <c r="E1263" i="7"/>
  <c r="J1829" i="7"/>
  <c r="F1829" i="7" s="1"/>
  <c r="E1829" i="7"/>
  <c r="K674" i="5"/>
  <c r="G674" i="5" s="1"/>
  <c r="F674" i="5"/>
  <c r="K1986" i="7"/>
  <c r="L1986" i="7" s="1"/>
  <c r="L1987" i="7" s="1"/>
  <c r="H456" i="6" s="1"/>
  <c r="L459" i="5" s="1"/>
  <c r="M459" i="5" s="1"/>
  <c r="K2097" i="7"/>
  <c r="L2097" i="7" s="1"/>
  <c r="L2098" i="7" s="1"/>
  <c r="H482" i="6" s="1"/>
  <c r="L485" i="5" s="1"/>
  <c r="M485" i="5" s="1"/>
  <c r="K3430" i="7"/>
  <c r="L3430" i="7" s="1"/>
  <c r="K2187" i="7"/>
  <c r="L2187" i="7" s="1"/>
  <c r="L2188" i="7" s="1"/>
  <c r="H503" i="6" s="1"/>
  <c r="L506" i="5" s="1"/>
  <c r="M506" i="5" s="1"/>
  <c r="K1803" i="7"/>
  <c r="L1803" i="7" s="1"/>
  <c r="L1804" i="7" s="1"/>
  <c r="H413" i="6" s="1"/>
  <c r="L416" i="5" s="1"/>
  <c r="M416" i="5" s="1"/>
  <c r="K1893" i="7"/>
  <c r="L1893" i="7" s="1"/>
  <c r="L1894" i="7" s="1"/>
  <c r="H434" i="6" s="1"/>
  <c r="L437" i="5" s="1"/>
  <c r="M437" i="5" s="1"/>
  <c r="K2280" i="7"/>
  <c r="L2280" i="7" s="1"/>
  <c r="L2281" i="7" s="1"/>
  <c r="H525" i="6" s="1"/>
  <c r="L528" i="5" s="1"/>
  <c r="M528" i="5" s="1"/>
  <c r="K2454" i="7"/>
  <c r="L2454" i="7" s="1"/>
  <c r="L2455" i="7" s="1"/>
  <c r="H566" i="6" s="1"/>
  <c r="L569" i="5" s="1"/>
  <c r="M569" i="5" s="1"/>
  <c r="K3384" i="7"/>
  <c r="L3384" i="7" s="1"/>
  <c r="L3385" i="7" s="1"/>
  <c r="H722" i="6" s="1"/>
  <c r="K3379" i="7"/>
  <c r="L3379" i="7" s="1"/>
  <c r="F833" i="5"/>
  <c r="K833" i="5"/>
  <c r="G833" i="5" s="1"/>
  <c r="K2781" i="7"/>
  <c r="H2782" i="7"/>
  <c r="J1730" i="7"/>
  <c r="F1730" i="7" s="1"/>
  <c r="E1730" i="7"/>
  <c r="J1361" i="7"/>
  <c r="K2366" i="7"/>
  <c r="L2366" i="7" s="1"/>
  <c r="L2367" i="7" s="1"/>
  <c r="H545" i="6" s="1"/>
  <c r="L548" i="5" s="1"/>
  <c r="M548" i="5" s="1"/>
  <c r="K3475" i="7"/>
  <c r="L3475" i="7" s="1"/>
  <c r="L3476" i="7" s="1"/>
  <c r="H738" i="6" s="1"/>
  <c r="K3470" i="7"/>
  <c r="L3470" i="7" s="1"/>
  <c r="J3310" i="7"/>
  <c r="E1258" i="7"/>
  <c r="J1258" i="7"/>
  <c r="F1258" i="7" s="1"/>
  <c r="F12" i="8"/>
  <c r="G3604" i="7" s="1"/>
  <c r="H3604" i="7" s="1"/>
  <c r="H3605" i="7" s="1"/>
  <c r="F762" i="6" s="1"/>
  <c r="G2827" i="7" s="1"/>
  <c r="H2827" i="7" s="1"/>
  <c r="D505" i="9"/>
  <c r="K3287" i="7"/>
  <c r="K711" i="5"/>
  <c r="G711" i="5" s="1"/>
  <c r="F711" i="5"/>
  <c r="E215" i="7"/>
  <c r="J215" i="7"/>
  <c r="F215" i="7" s="1"/>
  <c r="G365" i="6"/>
  <c r="F1581" i="7"/>
  <c r="E365" i="6" s="1"/>
  <c r="F2620" i="7"/>
  <c r="K698" i="5"/>
  <c r="G698" i="5" s="1"/>
  <c r="F698" i="5"/>
  <c r="G699" i="6"/>
  <c r="K679" i="5"/>
  <c r="G679" i="5" s="1"/>
  <c r="F679" i="5"/>
  <c r="E1670" i="7"/>
  <c r="J1670" i="7"/>
  <c r="F1670" i="7" s="1"/>
  <c r="E2315" i="7"/>
  <c r="J2315" i="7"/>
  <c r="F2315" i="7" s="1"/>
  <c r="J250" i="7"/>
  <c r="F250" i="7" s="1"/>
  <c r="E250" i="7"/>
  <c r="F719" i="5"/>
  <c r="K719" i="5"/>
  <c r="G719" i="5" s="1"/>
  <c r="F864" i="5"/>
  <c r="K864" i="5"/>
  <c r="G864" i="5" s="1"/>
  <c r="G652" i="6"/>
  <c r="J655" i="5" s="1"/>
  <c r="J454" i="7"/>
  <c r="F454" i="7" s="1"/>
  <c r="E454" i="7"/>
  <c r="F872" i="5"/>
  <c r="K872" i="5"/>
  <c r="G872" i="5" s="1"/>
  <c r="J3487" i="7"/>
  <c r="F981" i="5"/>
  <c r="K981" i="5"/>
  <c r="G981" i="5" s="1"/>
  <c r="L422" i="9"/>
  <c r="D424" i="9"/>
  <c r="D425" i="9" s="1"/>
  <c r="D454" i="9" s="1"/>
  <c r="G586" i="6"/>
  <c r="F1571" i="7"/>
  <c r="E363" i="6" s="1"/>
  <c r="G363" i="6"/>
  <c r="J2235" i="7"/>
  <c r="F2235" i="7" s="1"/>
  <c r="E2235" i="7"/>
  <c r="G368" i="6"/>
  <c r="F1596" i="7"/>
  <c r="E368" i="6" s="1"/>
  <c r="G653" i="6"/>
  <c r="J656" i="5" s="1"/>
  <c r="H402" i="5"/>
  <c r="I402" i="5" s="1"/>
  <c r="G1724" i="7"/>
  <c r="H1724" i="7" s="1"/>
  <c r="H1726" i="7" s="1"/>
  <c r="F395" i="6" s="1"/>
  <c r="H398" i="5" s="1"/>
  <c r="I398" i="5" s="1"/>
  <c r="J1055" i="7"/>
  <c r="F1055" i="7" s="1"/>
  <c r="E1055" i="7"/>
  <c r="F862" i="5"/>
  <c r="K862" i="5"/>
  <c r="G862" i="5" s="1"/>
  <c r="J1357" i="7"/>
  <c r="G575" i="6"/>
  <c r="J578" i="5" s="1"/>
  <c r="F2493" i="7"/>
  <c r="E575" i="6" s="1"/>
  <c r="J464" i="7"/>
  <c r="F464" i="7" s="1"/>
  <c r="E464" i="7"/>
  <c r="E2240" i="7"/>
  <c r="J2240" i="7"/>
  <c r="F2240" i="7" s="1"/>
  <c r="J373" i="5"/>
  <c r="I565" i="7"/>
  <c r="I1665" i="7"/>
  <c r="I1545" i="7"/>
  <c r="K646" i="5"/>
  <c r="E235" i="7"/>
  <c r="J235" i="7"/>
  <c r="F235" i="7" s="1"/>
  <c r="K713" i="5"/>
  <c r="G713" i="5" s="1"/>
  <c r="F713" i="5"/>
  <c r="F2625" i="7"/>
  <c r="E628" i="7"/>
  <c r="J628" i="7"/>
  <c r="F628" i="7" s="1"/>
  <c r="I2378" i="7"/>
  <c r="I3521" i="7"/>
  <c r="I3526" i="7"/>
  <c r="I337" i="7"/>
  <c r="I1141" i="7"/>
  <c r="I3099" i="7"/>
  <c r="I3104" i="7"/>
  <c r="F725" i="5"/>
  <c r="K725" i="5"/>
  <c r="G725" i="5" s="1"/>
  <c r="K736" i="5"/>
  <c r="G736" i="5" s="1"/>
  <c r="F736" i="5"/>
  <c r="G651" i="6"/>
  <c r="J654" i="5" s="1"/>
  <c r="E2677" i="7"/>
  <c r="J2677" i="7"/>
  <c r="K699" i="5"/>
  <c r="G699" i="5" s="1"/>
  <c r="F699" i="5"/>
  <c r="F8" i="12"/>
  <c r="H2508" i="7"/>
  <c r="E2508" i="7"/>
  <c r="J2370" i="7"/>
  <c r="G5" i="11"/>
  <c r="K73" i="9" s="1"/>
  <c r="I73" i="9" s="1"/>
  <c r="F18" i="12"/>
  <c r="E5" i="11" s="1"/>
  <c r="L3522" i="7"/>
  <c r="H746" i="6" s="1"/>
  <c r="G1385" i="7"/>
  <c r="H1385" i="7" s="1"/>
  <c r="H1386" i="7" s="1"/>
  <c r="F327" i="6" s="1"/>
  <c r="H330" i="5" s="1"/>
  <c r="I330" i="5" s="1"/>
  <c r="G3258" i="7"/>
  <c r="H3258" i="7" s="1"/>
  <c r="H3260" i="7" s="1"/>
  <c r="F700" i="6" s="1"/>
  <c r="G589" i="6"/>
  <c r="F724" i="5"/>
  <c r="K724" i="5"/>
  <c r="G724" i="5" s="1"/>
  <c r="J2819" i="7"/>
  <c r="E2819" i="7"/>
  <c r="L3039" i="7"/>
  <c r="E3039" i="7"/>
  <c r="F980" i="5"/>
  <c r="K980" i="5"/>
  <c r="G980" i="5" s="1"/>
  <c r="F678" i="5"/>
  <c r="K678" i="5"/>
  <c r="G678" i="5" s="1"/>
  <c r="L3093" i="7"/>
  <c r="E3093" i="7"/>
  <c r="J1849" i="7"/>
  <c r="F1849" i="7" s="1"/>
  <c r="E1849" i="7"/>
  <c r="J2860" i="7"/>
  <c r="E2860" i="7"/>
  <c r="F712" i="5"/>
  <c r="K712" i="5"/>
  <c r="G712" i="5" s="1"/>
  <c r="L3111" i="7"/>
  <c r="E3111" i="7"/>
  <c r="J364" i="5"/>
  <c r="I533" i="7"/>
  <c r="I1491" i="7"/>
  <c r="I1620" i="7"/>
  <c r="K2386" i="7"/>
  <c r="L2386" i="7" s="1"/>
  <c r="L2387" i="7" s="1"/>
  <c r="H550" i="6" s="1"/>
  <c r="L553" i="5" s="1"/>
  <c r="M553" i="5" s="1"/>
  <c r="K3452" i="7"/>
  <c r="L3452" i="7" s="1"/>
  <c r="L3454" i="7" s="1"/>
  <c r="H734" i="6" s="1"/>
  <c r="L376" i="5"/>
  <c r="M376" i="5" s="1"/>
  <c r="K581" i="7"/>
  <c r="L581" i="7" s="1"/>
  <c r="L582" i="7" s="1"/>
  <c r="H138" i="6" s="1"/>
  <c r="L141" i="5" s="1"/>
  <c r="M141" i="5" s="1"/>
  <c r="K1490" i="7"/>
  <c r="L1490" i="7" s="1"/>
  <c r="L1492" i="7" s="1"/>
  <c r="H349" i="6" s="1"/>
  <c r="E1680" i="7"/>
  <c r="J1680" i="7"/>
  <c r="J908" i="7"/>
  <c r="F908" i="7" s="1"/>
  <c r="E908" i="7"/>
  <c r="E1035" i="7"/>
  <c r="J1035" i="7"/>
  <c r="F1035" i="7" s="1"/>
  <c r="F845" i="5"/>
  <c r="K845" i="5"/>
  <c r="G845" i="5" s="1"/>
  <c r="E2310" i="7"/>
  <c r="J2310" i="7"/>
  <c r="F2310" i="7" s="1"/>
  <c r="E1438" i="7"/>
  <c r="J1438" i="7"/>
  <c r="F1438" i="7" s="1"/>
  <c r="H12" i="8"/>
  <c r="K3604" i="7" s="1"/>
  <c r="L3604" i="7" s="1"/>
  <c r="L3605" i="7" s="1"/>
  <c r="H762" i="6" s="1"/>
  <c r="K2827" i="7" s="1"/>
  <c r="L2827" i="7" s="1"/>
  <c r="F505" i="9"/>
  <c r="F847" i="5"/>
  <c r="K847" i="5"/>
  <c r="G847" i="5" s="1"/>
  <c r="G756" i="6"/>
  <c r="I2759" i="7" s="1"/>
  <c r="J1724" i="7"/>
  <c r="E1724" i="7"/>
  <c r="G405" i="7"/>
  <c r="H405" i="7" s="1"/>
  <c r="H406" i="7" s="1"/>
  <c r="F97" i="6" s="1"/>
  <c r="H100" i="5" s="1"/>
  <c r="I100" i="5" s="1"/>
  <c r="G401" i="7"/>
  <c r="H401" i="7" s="1"/>
  <c r="H402" i="7" s="1"/>
  <c r="F96" i="6" s="1"/>
  <c r="H99" i="5" s="1"/>
  <c r="I99" i="5" s="1"/>
  <c r="G830" i="7"/>
  <c r="H830" i="7" s="1"/>
  <c r="H831" i="7" s="1"/>
  <c r="F197" i="6" s="1"/>
  <c r="H200" i="5" s="1"/>
  <c r="I200" i="5" s="1"/>
  <c r="G197" i="7"/>
  <c r="H197" i="7" s="1"/>
  <c r="H198" i="7" s="1"/>
  <c r="F48" i="6" s="1"/>
  <c r="H51" i="5" s="1"/>
  <c r="I51" i="5" s="1"/>
  <c r="G1005" i="7"/>
  <c r="H1005" i="7" s="1"/>
  <c r="H1006" i="7" s="1"/>
  <c r="F238" i="6" s="1"/>
  <c r="H241" i="5" s="1"/>
  <c r="I241" i="5" s="1"/>
  <c r="G988" i="7"/>
  <c r="H988" i="7" s="1"/>
  <c r="H989" i="7" s="1"/>
  <c r="F234" i="6" s="1"/>
  <c r="H237" i="5" s="1"/>
  <c r="I237" i="5" s="1"/>
  <c r="G201" i="7"/>
  <c r="H201" i="7" s="1"/>
  <c r="H202" i="7" s="1"/>
  <c r="F49" i="6" s="1"/>
  <c r="H52" i="5" s="1"/>
  <c r="I52" i="5" s="1"/>
  <c r="G1209" i="7"/>
  <c r="H1209" i="7" s="1"/>
  <c r="H1210" i="7" s="1"/>
  <c r="F286" i="6" s="1"/>
  <c r="H289" i="5" s="1"/>
  <c r="I289" i="5" s="1"/>
  <c r="G3170" i="7"/>
  <c r="H3170" i="7" s="1"/>
  <c r="H3172" i="7" s="1"/>
  <c r="F685" i="6" s="1"/>
  <c r="G696" i="6"/>
  <c r="L2551" i="7"/>
  <c r="E2551" i="7"/>
  <c r="E668" i="7"/>
  <c r="J668" i="7"/>
  <c r="F668" i="7" s="1"/>
  <c r="F708" i="5"/>
  <c r="K708" i="5"/>
  <c r="G708" i="5" s="1"/>
  <c r="H383" i="5"/>
  <c r="I383" i="5" s="1"/>
  <c r="G609" i="7"/>
  <c r="H609" i="7" s="1"/>
  <c r="H610" i="7" s="1"/>
  <c r="F145" i="6" s="1"/>
  <c r="H148" i="5" s="1"/>
  <c r="I148" i="5" s="1"/>
  <c r="G1532" i="7"/>
  <c r="H1532" i="7" s="1"/>
  <c r="H1534" i="7" s="1"/>
  <c r="F356" i="6" s="1"/>
  <c r="F3533" i="7"/>
  <c r="E748" i="6" s="1"/>
  <c r="E854" i="7"/>
  <c r="J854" i="7"/>
  <c r="F854" i="7" s="1"/>
  <c r="F2635" i="7"/>
  <c r="K687" i="5"/>
  <c r="G687" i="5" s="1"/>
  <c r="F687" i="5"/>
  <c r="AC51" i="9"/>
  <c r="H51" i="9" s="1"/>
  <c r="AA51" i="9"/>
  <c r="B46" i="9"/>
  <c r="AA49" i="9"/>
  <c r="AC49" i="9"/>
  <c r="H49" i="9" s="1"/>
  <c r="AA53" i="9"/>
  <c r="AC53" i="9"/>
  <c r="H53" i="9" s="1"/>
  <c r="H376" i="5"/>
  <c r="I376" i="5" s="1"/>
  <c r="G581" i="7"/>
  <c r="H581" i="7" s="1"/>
  <c r="H582" i="7" s="1"/>
  <c r="F138" i="6" s="1"/>
  <c r="H141" i="5" s="1"/>
  <c r="I141" i="5" s="1"/>
  <c r="G1490" i="7"/>
  <c r="H1490" i="7" s="1"/>
  <c r="H1492" i="7" s="1"/>
  <c r="F349" i="6" s="1"/>
  <c r="F1570" i="7"/>
  <c r="F868" i="5"/>
  <c r="K868" i="5"/>
  <c r="G868" i="5" s="1"/>
  <c r="F3110" i="7"/>
  <c r="H3112" i="7"/>
  <c r="K329" i="7"/>
  <c r="L329" i="7" s="1"/>
  <c r="L330" i="7" s="1"/>
  <c r="H78" i="6" s="1"/>
  <c r="L81" i="5" s="1"/>
  <c r="M81" i="5" s="1"/>
  <c r="K746" i="7"/>
  <c r="L746" i="7" s="1"/>
  <c r="L747" i="7" s="1"/>
  <c r="H176" i="6" s="1"/>
  <c r="L179" i="5" s="1"/>
  <c r="M179" i="5" s="1"/>
  <c r="K1133" i="7"/>
  <c r="L1133" i="7" s="1"/>
  <c r="L1134" i="7" s="1"/>
  <c r="H267" i="6" s="1"/>
  <c r="L270" i="5" s="1"/>
  <c r="M270" i="5" s="1"/>
  <c r="K3063" i="7"/>
  <c r="L3063" i="7" s="1"/>
  <c r="K3068" i="7"/>
  <c r="L3068" i="7" s="1"/>
  <c r="L3069" i="7" s="1"/>
  <c r="H668" i="6" s="1"/>
  <c r="K614" i="5"/>
  <c r="H385" i="5"/>
  <c r="I385" i="5" s="1"/>
  <c r="G613" i="7"/>
  <c r="H613" i="7" s="1"/>
  <c r="H614" i="7" s="1"/>
  <c r="F146" i="6" s="1"/>
  <c r="H149" i="5" s="1"/>
  <c r="I149" i="5" s="1"/>
  <c r="G1544" i="7"/>
  <c r="H1544" i="7" s="1"/>
  <c r="H1546" i="7" s="1"/>
  <c r="F358" i="6" s="1"/>
  <c r="E2678" i="7"/>
  <c r="J2678" i="7"/>
  <c r="F2678" i="7" s="1"/>
  <c r="F701" i="5"/>
  <c r="K701" i="5"/>
  <c r="G701" i="5" s="1"/>
  <c r="K869" i="5"/>
  <c r="G869" i="5" s="1"/>
  <c r="F869" i="5"/>
  <c r="H3202" i="7"/>
  <c r="F690" i="6" s="1"/>
  <c r="K3201" i="7"/>
  <c r="K683" i="5"/>
  <c r="G683" i="5" s="1"/>
  <c r="F683" i="5"/>
  <c r="J439" i="7"/>
  <c r="F439" i="7" s="1"/>
  <c r="E439" i="7"/>
  <c r="J2325" i="7"/>
  <c r="F2325" i="7" s="1"/>
  <c r="E2325" i="7"/>
  <c r="G613" i="6"/>
  <c r="J616" i="5" s="1"/>
  <c r="J1685" i="7"/>
  <c r="E1685" i="7"/>
  <c r="K705" i="5"/>
  <c r="G705" i="5" s="1"/>
  <c r="F705" i="5"/>
  <c r="E230" i="7"/>
  <c r="J230" i="7"/>
  <c r="F230" i="7" s="1"/>
  <c r="H2566" i="7"/>
  <c r="K2565" i="7"/>
  <c r="J1458" i="7"/>
  <c r="F1458" i="7" s="1"/>
  <c r="E1458" i="7"/>
  <c r="J3492" i="7"/>
  <c r="H2957" i="7"/>
  <c r="G2958" i="7"/>
  <c r="J2765" i="7"/>
  <c r="F2765" i="7" s="1"/>
  <c r="E2765" i="7"/>
  <c r="E1453" i="7"/>
  <c r="J1453" i="7"/>
  <c r="F1453" i="7" s="1"/>
  <c r="L380" i="5"/>
  <c r="M380" i="5" s="1"/>
  <c r="K1514" i="7"/>
  <c r="L1514" i="7" s="1"/>
  <c r="L1516" i="7" s="1"/>
  <c r="H353" i="6" s="1"/>
  <c r="K597" i="7"/>
  <c r="L597" i="7" s="1"/>
  <c r="L598" i="7" s="1"/>
  <c r="H142" i="6" s="1"/>
  <c r="L145" i="5" s="1"/>
  <c r="M145" i="5" s="1"/>
  <c r="F714" i="5"/>
  <c r="K714" i="5"/>
  <c r="G714" i="5" s="1"/>
  <c r="E2558" i="7"/>
  <c r="L2558" i="7"/>
  <c r="H2502" i="7"/>
  <c r="E2502" i="7"/>
  <c r="E1946" i="7"/>
  <c r="J1946" i="7"/>
  <c r="F1946" i="7" s="1"/>
  <c r="G2276" i="7"/>
  <c r="H2276" i="7" s="1"/>
  <c r="H2277" i="7" s="1"/>
  <c r="F524" i="6" s="1"/>
  <c r="H527" i="5" s="1"/>
  <c r="I527" i="5" s="1"/>
  <c r="G1889" i="7"/>
  <c r="H1889" i="7" s="1"/>
  <c r="H1890" i="7" s="1"/>
  <c r="F433" i="6" s="1"/>
  <c r="H436" i="5" s="1"/>
  <c r="I436" i="5" s="1"/>
  <c r="G1982" i="7"/>
  <c r="H1982" i="7" s="1"/>
  <c r="H1983" i="7" s="1"/>
  <c r="F455" i="6" s="1"/>
  <c r="H458" i="5" s="1"/>
  <c r="I458" i="5" s="1"/>
  <c r="G2450" i="7"/>
  <c r="H2450" i="7" s="1"/>
  <c r="H2451" i="7" s="1"/>
  <c r="F565" i="6" s="1"/>
  <c r="H568" i="5" s="1"/>
  <c r="I568" i="5" s="1"/>
  <c r="G2093" i="7"/>
  <c r="H2093" i="7" s="1"/>
  <c r="H2094" i="7" s="1"/>
  <c r="F481" i="6" s="1"/>
  <c r="H484" i="5" s="1"/>
  <c r="I484" i="5" s="1"/>
  <c r="G2183" i="7"/>
  <c r="H2183" i="7" s="1"/>
  <c r="H2184" i="7" s="1"/>
  <c r="F502" i="6" s="1"/>
  <c r="H505" i="5" s="1"/>
  <c r="I505" i="5" s="1"/>
  <c r="G3367" i="7"/>
  <c r="H3367" i="7" s="1"/>
  <c r="H3368" i="7" s="1"/>
  <c r="F719" i="6" s="1"/>
  <c r="G1799" i="7"/>
  <c r="H1799" i="7" s="1"/>
  <c r="H1800" i="7" s="1"/>
  <c r="F412" i="6" s="1"/>
  <c r="H415" i="5" s="1"/>
  <c r="I415" i="5" s="1"/>
  <c r="G3362" i="7"/>
  <c r="H3362" i="7" s="1"/>
  <c r="E844" i="7"/>
  <c r="J844" i="7"/>
  <c r="F844" i="7" s="1"/>
  <c r="F1575" i="7"/>
  <c r="H3574" i="7"/>
  <c r="F757" i="6" s="1"/>
  <c r="G2764" i="7" s="1"/>
  <c r="H2764" i="7" s="1"/>
  <c r="H2766" i="7" s="1"/>
  <c r="F622" i="6" s="1"/>
  <c r="H625" i="5" s="1"/>
  <c r="I625" i="5" s="1"/>
  <c r="F3571" i="7"/>
  <c r="K3573" i="7"/>
  <c r="E643" i="7"/>
  <c r="J643" i="7"/>
  <c r="F643" i="7" s="1"/>
  <c r="E2760" i="7"/>
  <c r="J2760" i="7"/>
  <c r="F2760" i="7" s="1"/>
  <c r="J2133" i="7"/>
  <c r="F2133" i="7" s="1"/>
  <c r="E2133" i="7"/>
  <c r="K3165" i="7"/>
  <c r="H3166" i="7"/>
  <c r="F3163" i="7"/>
  <c r="E2671" i="7"/>
  <c r="J2671" i="7"/>
  <c r="F2671" i="7" s="1"/>
  <c r="J245" i="7"/>
  <c r="F245" i="7" s="1"/>
  <c r="E245" i="7"/>
  <c r="E220" i="7"/>
  <c r="J220" i="7"/>
  <c r="F220" i="7" s="1"/>
  <c r="F696" i="5"/>
  <c r="K696" i="5"/>
  <c r="G696" i="5" s="1"/>
  <c r="F874" i="5"/>
  <c r="K874" i="5"/>
  <c r="G874" i="5" s="1"/>
  <c r="E240" i="7"/>
  <c r="J240" i="7"/>
  <c r="F240" i="7" s="1"/>
  <c r="E444" i="7"/>
  <c r="J444" i="7"/>
  <c r="F444" i="7" s="1"/>
  <c r="E2143" i="7"/>
  <c r="J2143" i="7"/>
  <c r="F2143" i="7" s="1"/>
  <c r="E2745" i="7"/>
  <c r="J2745" i="7"/>
  <c r="F2745" i="7" s="1"/>
  <c r="I317" i="7"/>
  <c r="I934" i="7"/>
  <c r="I938" i="7"/>
  <c r="I967" i="7"/>
  <c r="I734" i="7"/>
  <c r="I116" i="7"/>
  <c r="I882" i="7"/>
  <c r="I1121" i="7"/>
  <c r="I3009" i="7"/>
  <c r="I3014" i="7"/>
  <c r="E28" i="7"/>
  <c r="J28" i="7"/>
  <c r="F28" i="7" s="1"/>
  <c r="F834" i="5"/>
  <c r="K834" i="5"/>
  <c r="G834" i="5" s="1"/>
  <c r="G723" i="6"/>
  <c r="F3391" i="7"/>
  <c r="E723" i="6" s="1"/>
  <c r="F682" i="5"/>
  <c r="K682" i="5"/>
  <c r="G682" i="5" s="1"/>
  <c r="J58" i="7"/>
  <c r="F58" i="7" s="1"/>
  <c r="E58" i="7"/>
  <c r="F758" i="5"/>
  <c r="K758" i="5"/>
  <c r="G758" i="5" s="1"/>
  <c r="I1877" i="7"/>
  <c r="I2028" i="7"/>
  <c r="I3401" i="7"/>
  <c r="I2032" i="7"/>
  <c r="I2171" i="7"/>
  <c r="I1970" i="7"/>
  <c r="I3424" i="7"/>
  <c r="I2264" i="7"/>
  <c r="I3396" i="7"/>
  <c r="E633" i="7"/>
  <c r="J633" i="7"/>
  <c r="F633" i="7" s="1"/>
  <c r="K982" i="5"/>
  <c r="G982" i="5" s="1"/>
  <c r="F982" i="5"/>
  <c r="G666" i="6"/>
  <c r="F870" i="5"/>
  <c r="K870" i="5"/>
  <c r="G870" i="5" s="1"/>
  <c r="J2085" i="7"/>
  <c r="E2874" i="7"/>
  <c r="J2874" i="7"/>
  <c r="J2220" i="7"/>
  <c r="F2220" i="7" s="1"/>
  <c r="E2220" i="7"/>
  <c r="J2268" i="7"/>
  <c r="K2077" i="7"/>
  <c r="L2077" i="7" s="1"/>
  <c r="L2078" i="7" s="1"/>
  <c r="H477" i="6" s="1"/>
  <c r="L480" i="5" s="1"/>
  <c r="M480" i="5" s="1"/>
  <c r="K1865" i="7"/>
  <c r="L1865" i="7" s="1"/>
  <c r="L1866" i="7" s="1"/>
  <c r="H427" i="6" s="1"/>
  <c r="L430" i="5" s="1"/>
  <c r="M430" i="5" s="1"/>
  <c r="K1962" i="7"/>
  <c r="L1962" i="7" s="1"/>
  <c r="L1963" i="7" s="1"/>
  <c r="H450" i="6" s="1"/>
  <c r="L453" i="5" s="1"/>
  <c r="M453" i="5" s="1"/>
  <c r="K2234" i="7"/>
  <c r="L2234" i="7" s="1"/>
  <c r="L2236" i="7" s="1"/>
  <c r="H514" i="6" s="1"/>
  <c r="L517" i="5" s="1"/>
  <c r="M517" i="5" s="1"/>
  <c r="K1838" i="7"/>
  <c r="L1838" i="7" s="1"/>
  <c r="L1840" i="7" s="1"/>
  <c r="H421" i="6" s="1"/>
  <c r="L424" i="5" s="1"/>
  <c r="M424" i="5" s="1"/>
  <c r="K2054" i="7"/>
  <c r="L2054" i="7" s="1"/>
  <c r="L2056" i="7" s="1"/>
  <c r="H472" i="6" s="1"/>
  <c r="L475" i="5" s="1"/>
  <c r="M475" i="5" s="1"/>
  <c r="K1765" i="7"/>
  <c r="L1765" i="7" s="1"/>
  <c r="L1767" i="7" s="1"/>
  <c r="H404" i="6" s="1"/>
  <c r="L407" i="5" s="1"/>
  <c r="M407" i="5" s="1"/>
  <c r="K2132" i="7"/>
  <c r="L2132" i="7" s="1"/>
  <c r="L2134" i="7" s="1"/>
  <c r="H490" i="6" s="1"/>
  <c r="L493" i="5" s="1"/>
  <c r="M493" i="5" s="1"/>
  <c r="K2434" i="7"/>
  <c r="L2434" i="7" s="1"/>
  <c r="L2435" i="7" s="1"/>
  <c r="H561" i="6" s="1"/>
  <c r="L564" i="5" s="1"/>
  <c r="M564" i="5" s="1"/>
  <c r="K2256" i="7"/>
  <c r="L2256" i="7" s="1"/>
  <c r="L2257" i="7" s="1"/>
  <c r="H519" i="6" s="1"/>
  <c r="L522" i="5" s="1"/>
  <c r="M522" i="5" s="1"/>
  <c r="K1783" i="7"/>
  <c r="L1783" i="7" s="1"/>
  <c r="L1784" i="7" s="1"/>
  <c r="H408" i="6" s="1"/>
  <c r="L411" i="5" s="1"/>
  <c r="M411" i="5" s="1"/>
  <c r="K1940" i="7"/>
  <c r="L1940" i="7" s="1"/>
  <c r="L1942" i="7" s="1"/>
  <c r="H445" i="6" s="1"/>
  <c r="L448" i="5" s="1"/>
  <c r="M448" i="5" s="1"/>
  <c r="K2159" i="7"/>
  <c r="L2159" i="7" s="1"/>
  <c r="L2160" i="7" s="1"/>
  <c r="H496" i="6" s="1"/>
  <c r="L499" i="5" s="1"/>
  <c r="M499" i="5" s="1"/>
  <c r="K2416" i="7"/>
  <c r="L2416" i="7" s="1"/>
  <c r="L2418" i="7" s="1"/>
  <c r="H557" i="6" s="1"/>
  <c r="L560" i="5" s="1"/>
  <c r="M560" i="5" s="1"/>
  <c r="E653" i="7"/>
  <c r="J653" i="7"/>
  <c r="F653" i="7" s="1"/>
  <c r="J1761" i="7"/>
  <c r="F1761" i="7" s="1"/>
  <c r="E1761" i="7"/>
  <c r="E673" i="7"/>
  <c r="J673" i="7"/>
  <c r="F673" i="7" s="1"/>
  <c r="H2725" i="7"/>
  <c r="F614" i="6" s="1"/>
  <c r="H617" i="5" s="1"/>
  <c r="I617" i="5" s="1"/>
  <c r="K2724" i="7"/>
  <c r="E1030" i="7"/>
  <c r="J1030" i="7"/>
  <c r="F1030" i="7" s="1"/>
  <c r="F871" i="5"/>
  <c r="K871" i="5"/>
  <c r="G871" i="5" s="1"/>
  <c r="K858" i="5"/>
  <c r="G858" i="5" s="1"/>
  <c r="F858" i="5"/>
  <c r="E18" i="7"/>
  <c r="J18" i="7"/>
  <c r="F18" i="7" s="1"/>
  <c r="L53" i="9"/>
  <c r="I53" i="9" s="1"/>
  <c r="L30" i="9"/>
  <c r="I30" i="9" s="1"/>
  <c r="K649" i="5"/>
  <c r="K691" i="5"/>
  <c r="G691" i="5" s="1"/>
  <c r="F691" i="5"/>
  <c r="H588" i="5"/>
  <c r="I588" i="5" s="1"/>
  <c r="G2591" i="7"/>
  <c r="H2591" i="7" s="1"/>
  <c r="H2592" i="7" s="1"/>
  <c r="F591" i="6" s="1"/>
  <c r="G2514" i="7"/>
  <c r="H2514" i="7" s="1"/>
  <c r="G2520" i="7"/>
  <c r="H2520" i="7" s="1"/>
  <c r="J1373" i="7"/>
  <c r="F727" i="5"/>
  <c r="K727" i="5"/>
  <c r="G727" i="5" s="1"/>
  <c r="K730" i="5"/>
  <c r="G730" i="5" s="1"/>
  <c r="F730" i="5"/>
  <c r="K2730" i="7"/>
  <c r="H2731" i="7"/>
  <c r="F615" i="6" s="1"/>
  <c r="H618" i="5" s="1"/>
  <c r="I618" i="5" s="1"/>
  <c r="F726" i="5"/>
  <c r="K726" i="5"/>
  <c r="G726" i="5" s="1"/>
  <c r="E1050" i="7"/>
  <c r="J1050" i="7"/>
  <c r="F1050" i="7" s="1"/>
  <c r="C269" i="9"/>
  <c r="B269" i="9" s="1"/>
  <c r="F718" i="9"/>
  <c r="F722" i="9" s="1"/>
  <c r="F724" i="9" s="1"/>
  <c r="F754" i="9" s="1"/>
  <c r="D718" i="9"/>
  <c r="D722" i="9" s="1"/>
  <c r="D724" i="9" s="1"/>
  <c r="D754" i="9" s="1"/>
  <c r="E718" i="9"/>
  <c r="G389" i="6"/>
  <c r="J392" i="5" s="1"/>
  <c r="F1700" i="7"/>
  <c r="E389" i="6" s="1"/>
  <c r="F853" i="5"/>
  <c r="K853" i="5"/>
  <c r="G853" i="5" s="1"/>
  <c r="G571" i="6"/>
  <c r="J574" i="5" s="1"/>
  <c r="F2476" i="7"/>
  <c r="E571" i="6" s="1"/>
  <c r="H377" i="5"/>
  <c r="I377" i="5" s="1"/>
  <c r="G585" i="7"/>
  <c r="H585" i="7" s="1"/>
  <c r="H586" i="7" s="1"/>
  <c r="F139" i="6" s="1"/>
  <c r="H142" i="5" s="1"/>
  <c r="I142" i="5" s="1"/>
  <c r="G1496" i="7"/>
  <c r="H1496" i="7" s="1"/>
  <c r="H1498" i="7" s="1"/>
  <c r="F350" i="6" s="1"/>
  <c r="K878" i="7"/>
  <c r="L878" i="7" s="1"/>
  <c r="L879" i="7" s="1"/>
  <c r="H208" i="6" s="1"/>
  <c r="L211" i="5" s="1"/>
  <c r="M211" i="5" s="1"/>
  <c r="K874" i="7"/>
  <c r="L874" i="7" s="1"/>
  <c r="L875" i="7" s="1"/>
  <c r="H207" i="6" s="1"/>
  <c r="L210" i="5" s="1"/>
  <c r="M210" i="5" s="1"/>
  <c r="K1117" i="7"/>
  <c r="L1117" i="7" s="1"/>
  <c r="L1118" i="7" s="1"/>
  <c r="H263" i="6" s="1"/>
  <c r="L266" i="5" s="1"/>
  <c r="M266" i="5" s="1"/>
  <c r="K3212" i="7"/>
  <c r="L3212" i="7" s="1"/>
  <c r="L3213" i="7" s="1"/>
  <c r="H692" i="6" s="1"/>
  <c r="K3207" i="7"/>
  <c r="L3207" i="7" s="1"/>
  <c r="E2699" i="7"/>
  <c r="J2699" i="7"/>
  <c r="F2699" i="7" s="1"/>
  <c r="F686" i="5"/>
  <c r="K686" i="5"/>
  <c r="G686" i="5" s="1"/>
  <c r="L385" i="5"/>
  <c r="M385" i="5" s="1"/>
  <c r="K613" i="7"/>
  <c r="L613" i="7" s="1"/>
  <c r="L614" i="7" s="1"/>
  <c r="H146" i="6" s="1"/>
  <c r="L149" i="5" s="1"/>
  <c r="M149" i="5" s="1"/>
  <c r="K1544" i="7"/>
  <c r="L1544" i="7" s="1"/>
  <c r="L1546" i="7" s="1"/>
  <c r="H358" i="6" s="1"/>
  <c r="G705" i="6"/>
  <c r="K680" i="5"/>
  <c r="G680" i="5" s="1"/>
  <c r="F680" i="5"/>
  <c r="F2700" i="7"/>
  <c r="K684" i="5"/>
  <c r="G684" i="5" s="1"/>
  <c r="F684" i="5"/>
  <c r="F697" i="5"/>
  <c r="K697" i="5"/>
  <c r="G697" i="5" s="1"/>
  <c r="F855" i="5"/>
  <c r="K855" i="5"/>
  <c r="G855" i="5" s="1"/>
  <c r="F978" i="5"/>
  <c r="K978" i="5"/>
  <c r="G978" i="5" s="1"/>
  <c r="K669" i="5"/>
  <c r="G669" i="5" s="1"/>
  <c r="F669" i="5"/>
  <c r="E1273" i="7"/>
  <c r="J1273" i="7"/>
  <c r="F1273" i="7" s="1"/>
  <c r="G612" i="6"/>
  <c r="J615" i="5" s="1"/>
  <c r="H33" i="12"/>
  <c r="E33" i="12"/>
  <c r="G1361" i="7"/>
  <c r="H1361" i="7" s="1"/>
  <c r="H1362" i="7" s="1"/>
  <c r="F321" i="6" s="1"/>
  <c r="H324" i="5" s="1"/>
  <c r="I324" i="5" s="1"/>
  <c r="G1357" i="7"/>
  <c r="H1357" i="7" s="1"/>
  <c r="H1358" i="7" s="1"/>
  <c r="F320" i="6" s="1"/>
  <c r="H323" i="5" s="1"/>
  <c r="I323" i="5" s="1"/>
  <c r="G1369" i="7"/>
  <c r="H1369" i="7" s="1"/>
  <c r="H1370" i="7" s="1"/>
  <c r="F323" i="6" s="1"/>
  <c r="H326" i="5" s="1"/>
  <c r="I326" i="5" s="1"/>
  <c r="G1373" i="7"/>
  <c r="H1373" i="7" s="1"/>
  <c r="H1374" i="7" s="1"/>
  <c r="F324" i="6" s="1"/>
  <c r="H327" i="5" s="1"/>
  <c r="I327" i="5" s="1"/>
  <c r="G3310" i="7"/>
  <c r="H3310" i="7" s="1"/>
  <c r="G3314" i="7"/>
  <c r="G1365" i="7"/>
  <c r="H1365" i="7" s="1"/>
  <c r="H1366" i="7" s="1"/>
  <c r="F322" i="6" s="1"/>
  <c r="H325" i="5" s="1"/>
  <c r="I325" i="5" s="1"/>
  <c r="E23" i="7"/>
  <c r="J23" i="7"/>
  <c r="F23" i="7" s="1"/>
  <c r="K676" i="5"/>
  <c r="G676" i="5" s="1"/>
  <c r="F676" i="5"/>
  <c r="F3497" i="7"/>
  <c r="J590" i="5"/>
  <c r="I2601" i="7"/>
  <c r="K706" i="5"/>
  <c r="G706" i="5" s="1"/>
  <c r="F706" i="5"/>
  <c r="E2225" i="7"/>
  <c r="J2225" i="7"/>
  <c r="F2225" i="7" s="1"/>
  <c r="J3413" i="7"/>
  <c r="G391" i="6"/>
  <c r="J394" i="5" s="1"/>
  <c r="F1708" i="7"/>
  <c r="E391" i="6" s="1"/>
  <c r="H589" i="5"/>
  <c r="I589" i="5" s="1"/>
  <c r="G2596" i="7"/>
  <c r="H2596" i="7" s="1"/>
  <c r="H2597" i="7" s="1"/>
  <c r="F592" i="6" s="1"/>
  <c r="G2526" i="7"/>
  <c r="H2526" i="7" s="1"/>
  <c r="F740" i="5"/>
  <c r="K740" i="5"/>
  <c r="G740" i="5" s="1"/>
  <c r="J849" i="7"/>
  <c r="F849" i="7" s="1"/>
  <c r="E849" i="7"/>
  <c r="J365" i="5"/>
  <c r="I537" i="7"/>
  <c r="I1625" i="7"/>
  <c r="I1497" i="7"/>
  <c r="K396" i="5"/>
  <c r="F667" i="5"/>
  <c r="K667" i="5"/>
  <c r="G667" i="5" s="1"/>
  <c r="J1060" i="7"/>
  <c r="F1060" i="7" s="1"/>
  <c r="E1060" i="7"/>
  <c r="F723" i="5"/>
  <c r="K723" i="5"/>
  <c r="G723" i="5" s="1"/>
  <c r="K1909" i="7"/>
  <c r="L1909" i="7" s="1"/>
  <c r="L1910" i="7" s="1"/>
  <c r="H438" i="6" s="1"/>
  <c r="L441" i="5" s="1"/>
  <c r="M441" i="5" s="1"/>
  <c r="K2292" i="7"/>
  <c r="L2292" i="7" s="1"/>
  <c r="L2293" i="7" s="1"/>
  <c r="H528" i="6" s="1"/>
  <c r="L531" i="5" s="1"/>
  <c r="M531" i="5" s="1"/>
  <c r="K1998" i="7"/>
  <c r="L1998" i="7" s="1"/>
  <c r="L1999" i="7" s="1"/>
  <c r="H459" i="6" s="1"/>
  <c r="L462" i="5" s="1"/>
  <c r="M462" i="5" s="1"/>
  <c r="K2105" i="7"/>
  <c r="L2105" i="7" s="1"/>
  <c r="L2106" i="7" s="1"/>
  <c r="H484" i="6" s="1"/>
  <c r="L487" i="5" s="1"/>
  <c r="M487" i="5" s="1"/>
  <c r="K2462" i="7"/>
  <c r="L2462" i="7" s="1"/>
  <c r="L2463" i="7" s="1"/>
  <c r="H568" i="6" s="1"/>
  <c r="L571" i="5" s="1"/>
  <c r="M571" i="5" s="1"/>
  <c r="K3344" i="7"/>
  <c r="L3344" i="7" s="1"/>
  <c r="L3346" i="7" s="1"/>
  <c r="H715" i="6" s="1"/>
  <c r="K393" i="5"/>
  <c r="G393" i="5" s="1"/>
  <c r="F393" i="5"/>
  <c r="L1540" i="7"/>
  <c r="H357" i="6" s="1"/>
  <c r="J1010" i="7"/>
  <c r="F1010" i="7" s="1"/>
  <c r="E1010" i="7"/>
  <c r="J1844" i="7"/>
  <c r="F1844" i="7" s="1"/>
  <c r="E1844" i="7"/>
  <c r="H366" i="5"/>
  <c r="I366" i="5" s="1"/>
  <c r="G1630" i="7"/>
  <c r="H1630" i="7" s="1"/>
  <c r="H1631" i="7" s="1"/>
  <c r="F375" i="6" s="1"/>
  <c r="G541" i="7"/>
  <c r="H541" i="7" s="1"/>
  <c r="H542" i="7" s="1"/>
  <c r="F128" i="6" s="1"/>
  <c r="H131" i="5" s="1"/>
  <c r="I131" i="5" s="1"/>
  <c r="G1503" i="7"/>
  <c r="H1503" i="7" s="1"/>
  <c r="E2657" i="7"/>
  <c r="J2657" i="7"/>
  <c r="F2657" i="7" s="1"/>
  <c r="E1248" i="7"/>
  <c r="J1248" i="7"/>
  <c r="F1248" i="7" s="1"/>
  <c r="J2775" i="7"/>
  <c r="F2775" i="7" s="1"/>
  <c r="E2775" i="7"/>
  <c r="E260" i="7"/>
  <c r="J260" i="7"/>
  <c r="F260" i="7" s="1"/>
  <c r="J429" i="7"/>
  <c r="F429" i="7" s="1"/>
  <c r="E429" i="7"/>
  <c r="J1418" i="7"/>
  <c r="F1418" i="7" s="1"/>
  <c r="E1418" i="7"/>
  <c r="L354" i="5"/>
  <c r="M354" i="5" s="1"/>
  <c r="K493" i="7"/>
  <c r="L493" i="7" s="1"/>
  <c r="L494" i="7" s="1"/>
  <c r="H116" i="6" s="1"/>
  <c r="L119" i="5" s="1"/>
  <c r="M119" i="5" s="1"/>
  <c r="K2921" i="7"/>
  <c r="L2921" i="7" s="1"/>
  <c r="L2922" i="7" s="1"/>
  <c r="E1771" i="7"/>
  <c r="J1771" i="7"/>
  <c r="F1771" i="7" s="1"/>
  <c r="F742" i="5"/>
  <c r="K742" i="5"/>
  <c r="G742" i="5" s="1"/>
  <c r="G1341" i="7"/>
  <c r="H1341" i="7" s="1"/>
  <c r="H1342" i="7" s="1"/>
  <c r="F316" i="6" s="1"/>
  <c r="H319" i="5" s="1"/>
  <c r="I319" i="5" s="1"/>
  <c r="G3246" i="7"/>
  <c r="H3246" i="7" s="1"/>
  <c r="H3247" i="7" s="1"/>
  <c r="F698" i="6" s="1"/>
  <c r="G3242" i="7"/>
  <c r="H3242" i="7" s="1"/>
  <c r="E22" i="12"/>
  <c r="H22" i="12"/>
  <c r="K668" i="5"/>
  <c r="G668" i="5" s="1"/>
  <c r="F668" i="5"/>
  <c r="J2123" i="7"/>
  <c r="F2123" i="7" s="1"/>
  <c r="E2123" i="7"/>
  <c r="K866" i="5"/>
  <c r="G866" i="5" s="1"/>
  <c r="F866" i="5"/>
  <c r="F83" i="9"/>
  <c r="D83" i="9"/>
  <c r="E83" i="9"/>
  <c r="K3021" i="7"/>
  <c r="H3022" i="7"/>
  <c r="K2718" i="7"/>
  <c r="H2719" i="7"/>
  <c r="F613" i="6" s="1"/>
  <c r="H616" i="5" s="1"/>
  <c r="I616" i="5" s="1"/>
  <c r="K717" i="5"/>
  <c r="G717" i="5" s="1"/>
  <c r="F717" i="5"/>
  <c r="E2118" i="7"/>
  <c r="J2118" i="7"/>
  <c r="F2118" i="7" s="1"/>
  <c r="G364" i="6"/>
  <c r="F1576" i="7"/>
  <c r="E364" i="6" s="1"/>
  <c r="F754" i="5"/>
  <c r="K754" i="5"/>
  <c r="G754" i="5" s="1"/>
  <c r="H2707" i="7"/>
  <c r="K2706" i="7"/>
  <c r="J1283" i="7"/>
  <c r="F1283" i="7" s="1"/>
  <c r="E1283" i="7"/>
  <c r="J2065" i="7"/>
  <c r="F2065" i="7" s="1"/>
  <c r="E2065" i="7"/>
  <c r="F402" i="5"/>
  <c r="K402" i="5"/>
  <c r="G402" i="5" s="1"/>
  <c r="K747" i="5"/>
  <c r="G747" i="5" s="1"/>
  <c r="F747" i="5"/>
  <c r="F716" i="5"/>
  <c r="K716" i="5"/>
  <c r="G716" i="5" s="1"/>
  <c r="F848" i="5"/>
  <c r="K848" i="5"/>
  <c r="G848" i="5" s="1"/>
  <c r="H2854" i="7"/>
  <c r="F634" i="6" s="1"/>
  <c r="H637" i="5" s="1"/>
  <c r="I637" i="5" s="1"/>
  <c r="E2586" i="7"/>
  <c r="L2586" i="7"/>
  <c r="E1719" i="7"/>
  <c r="J1719" i="7"/>
  <c r="F1669" i="7"/>
  <c r="E265" i="7"/>
  <c r="J265" i="7"/>
  <c r="F265" i="7" s="1"/>
  <c r="J424" i="7"/>
  <c r="F424" i="7" s="1"/>
  <c r="E424" i="7"/>
  <c r="J2685" i="7"/>
  <c r="F2685" i="7" s="1"/>
  <c r="E2685" i="7"/>
  <c r="F737" i="5"/>
  <c r="K737" i="5"/>
  <c r="G737" i="5" s="1"/>
  <c r="L2787" i="7"/>
  <c r="E2787" i="7"/>
  <c r="F984" i="5"/>
  <c r="K984" i="5"/>
  <c r="G984" i="5" s="1"/>
  <c r="F689" i="5"/>
  <c r="K689" i="5"/>
  <c r="G689" i="5" s="1"/>
  <c r="F693" i="5"/>
  <c r="K693" i="5"/>
  <c r="G693" i="5" s="1"/>
  <c r="F750" i="5"/>
  <c r="K750" i="5"/>
  <c r="G750" i="5" s="1"/>
  <c r="F844" i="5"/>
  <c r="K844" i="5"/>
  <c r="G844" i="5" s="1"/>
  <c r="I1157" i="7"/>
  <c r="I3153" i="7"/>
  <c r="I774" i="7"/>
  <c r="I349" i="7"/>
  <c r="I3158" i="7"/>
  <c r="E3253" i="7"/>
  <c r="L3253" i="7"/>
  <c r="J2050" i="7"/>
  <c r="F2050" i="7" s="1"/>
  <c r="E2050" i="7"/>
  <c r="J1897" i="7"/>
  <c r="E3321" i="7"/>
  <c r="L3321" i="7"/>
  <c r="J3315" i="7"/>
  <c r="H2986" i="7"/>
  <c r="F653" i="6" s="1"/>
  <c r="H656" i="5" s="1"/>
  <c r="I656" i="5" s="1"/>
  <c r="F2984" i="7"/>
  <c r="G1337" i="7"/>
  <c r="H1337" i="7" s="1"/>
  <c r="H1338" i="7" s="1"/>
  <c r="F315" i="6" s="1"/>
  <c r="H318" i="5" s="1"/>
  <c r="I318" i="5" s="1"/>
  <c r="G1235" i="7"/>
  <c r="H1235" i="7" s="1"/>
  <c r="H1236" i="7" s="1"/>
  <c r="F292" i="6" s="1"/>
  <c r="H295" i="5" s="1"/>
  <c r="I295" i="5" s="1"/>
  <c r="G3225" i="7"/>
  <c r="H3225" i="7" s="1"/>
  <c r="G1231" i="7"/>
  <c r="H1231" i="7" s="1"/>
  <c r="H1232" i="7" s="1"/>
  <c r="F291" i="6" s="1"/>
  <c r="H294" i="5" s="1"/>
  <c r="I294" i="5" s="1"/>
  <c r="G3229" i="7"/>
  <c r="H3229" i="7" s="1"/>
  <c r="H3230" i="7" s="1"/>
  <c r="F695" i="6" s="1"/>
  <c r="G3509" i="7"/>
  <c r="H3509" i="7" s="1"/>
  <c r="H3510" i="7" s="1"/>
  <c r="F744" i="6" s="1"/>
  <c r="G2374" i="7"/>
  <c r="H2374" i="7" s="1"/>
  <c r="H2375" i="7" s="1"/>
  <c r="F547" i="6" s="1"/>
  <c r="H550" i="5" s="1"/>
  <c r="I550" i="5" s="1"/>
  <c r="G3504" i="7"/>
  <c r="H3504" i="7" s="1"/>
  <c r="K851" i="5"/>
  <c r="G851" i="5" s="1"/>
  <c r="F851" i="5"/>
  <c r="E648" i="7"/>
  <c r="J648" i="7"/>
  <c r="F648" i="7" s="1"/>
  <c r="G678" i="6"/>
  <c r="E1278" i="7"/>
  <c r="J1278" i="7"/>
  <c r="F1278" i="7" s="1"/>
  <c r="K837" i="5"/>
  <c r="G837" i="5" s="1"/>
  <c r="F837" i="5"/>
  <c r="E1015" i="7"/>
  <c r="J1015" i="7"/>
  <c r="F1015" i="7" s="1"/>
  <c r="J362" i="5"/>
  <c r="I525" i="7"/>
  <c r="I1610" i="7"/>
  <c r="I1479" i="7"/>
  <c r="I521" i="7"/>
  <c r="J372" i="5"/>
  <c r="I1539" i="7"/>
  <c r="I1660" i="7"/>
  <c r="K721" i="5"/>
  <c r="G721" i="5" s="1"/>
  <c r="F721" i="5"/>
  <c r="E658" i="7"/>
  <c r="J658" i="7"/>
  <c r="F658" i="7" s="1"/>
  <c r="K720" i="5"/>
  <c r="G720" i="5" s="1"/>
  <c r="F720" i="5"/>
  <c r="E1839" i="7"/>
  <c r="J1839" i="7"/>
  <c r="F1839" i="7" s="1"/>
  <c r="E2128" i="7"/>
  <c r="J2128" i="7"/>
  <c r="F2128" i="7" s="1"/>
  <c r="G3487" i="7"/>
  <c r="H3487" i="7" s="1"/>
  <c r="G3492" i="7"/>
  <c r="H3492" i="7" s="1"/>
  <c r="H3493" i="7" s="1"/>
  <c r="F741" i="6" s="1"/>
  <c r="G2370" i="7"/>
  <c r="H2370" i="7" s="1"/>
  <c r="H2371" i="7" s="1"/>
  <c r="F546" i="6" s="1"/>
  <c r="H549" i="5" s="1"/>
  <c r="I549" i="5" s="1"/>
  <c r="G2147" i="7"/>
  <c r="H2147" i="7" s="1"/>
  <c r="H2148" i="7" s="1"/>
  <c r="F493" i="6" s="1"/>
  <c r="H496" i="5" s="1"/>
  <c r="I496" i="5" s="1"/>
  <c r="G1823" i="7"/>
  <c r="H1823" i="7" s="1"/>
  <c r="H1825" i="7" s="1"/>
  <c r="F418" i="6" s="1"/>
  <c r="H421" i="5" s="1"/>
  <c r="I421" i="5" s="1"/>
  <c r="G1853" i="7"/>
  <c r="H1853" i="7" s="1"/>
  <c r="H1854" i="7" s="1"/>
  <c r="F424" i="6" s="1"/>
  <c r="H427" i="5" s="1"/>
  <c r="I427" i="5" s="1"/>
  <c r="G2117" i="7"/>
  <c r="H2117" i="7" s="1"/>
  <c r="H2119" i="7" s="1"/>
  <c r="F487" i="6" s="1"/>
  <c r="H490" i="5" s="1"/>
  <c r="I490" i="5" s="1"/>
  <c r="G1950" i="7"/>
  <c r="H1950" i="7" s="1"/>
  <c r="H1951" i="7" s="1"/>
  <c r="F447" i="6" s="1"/>
  <c r="H450" i="5" s="1"/>
  <c r="I450" i="5" s="1"/>
  <c r="G2024" i="7"/>
  <c r="H2024" i="7" s="1"/>
  <c r="H2025" i="7" s="1"/>
  <c r="F465" i="6" s="1"/>
  <c r="H468" i="5" s="1"/>
  <c r="I468" i="5" s="1"/>
  <c r="G1925" i="7"/>
  <c r="H1925" i="7" s="1"/>
  <c r="H1927" i="7" s="1"/>
  <c r="F442" i="6" s="1"/>
  <c r="H445" i="5" s="1"/>
  <c r="I445" i="5" s="1"/>
  <c r="G2244" i="7"/>
  <c r="H2244" i="7" s="1"/>
  <c r="H2245" i="7" s="1"/>
  <c r="F516" i="6" s="1"/>
  <c r="H519" i="5" s="1"/>
  <c r="I519" i="5" s="1"/>
  <c r="G2015" i="7"/>
  <c r="H2015" i="7" s="1"/>
  <c r="H2017" i="7" s="1"/>
  <c r="F463" i="6" s="1"/>
  <c r="H466" i="5" s="1"/>
  <c r="I466" i="5" s="1"/>
  <c r="G2219" i="7"/>
  <c r="H2219" i="7" s="1"/>
  <c r="H2221" i="7" s="1"/>
  <c r="F511" i="6" s="1"/>
  <c r="H514" i="5" s="1"/>
  <c r="I514" i="5" s="1"/>
  <c r="G627" i="6"/>
  <c r="J630" i="5" s="1"/>
  <c r="E424" i="9"/>
  <c r="C419" i="9"/>
  <c r="B419" i="9" s="1"/>
  <c r="K629" i="5"/>
  <c r="J1369" i="7"/>
  <c r="D274" i="9"/>
  <c r="D275" i="9" s="1"/>
  <c r="D304" i="9" s="1"/>
  <c r="L272" i="9"/>
  <c r="H374" i="5"/>
  <c r="I374" i="5" s="1"/>
  <c r="G573" i="7"/>
  <c r="H573" i="7" s="1"/>
  <c r="H574" i="7" s="1"/>
  <c r="F136" i="6" s="1"/>
  <c r="H139" i="5" s="1"/>
  <c r="I139" i="5" s="1"/>
  <c r="G569" i="7"/>
  <c r="H569" i="7" s="1"/>
  <c r="H570" i="7" s="1"/>
  <c r="F135" i="6" s="1"/>
  <c r="H138" i="5" s="1"/>
  <c r="I138" i="5" s="1"/>
  <c r="G1478" i="7"/>
  <c r="H1478" i="7" s="1"/>
  <c r="H1480" i="7" s="1"/>
  <c r="F347" i="6" s="1"/>
  <c r="D324" i="9"/>
  <c r="D325" i="9" s="1"/>
  <c r="D354" i="9" s="1"/>
  <c r="L322" i="9"/>
  <c r="F605" i="9"/>
  <c r="H14" i="8"/>
  <c r="J63" i="7"/>
  <c r="F63" i="7" s="1"/>
  <c r="E63" i="7"/>
  <c r="J1065" i="7"/>
  <c r="F1065" i="7" s="1"/>
  <c r="E1065" i="7"/>
  <c r="J2045" i="7"/>
  <c r="F2045" i="7" s="1"/>
  <c r="E2045" i="7"/>
  <c r="L2579" i="7"/>
  <c r="E2579" i="7"/>
  <c r="K401" i="5"/>
  <c r="G401" i="5" s="1"/>
  <c r="F401" i="5"/>
  <c r="G588" i="6"/>
  <c r="J3327" i="7"/>
  <c r="F690" i="5"/>
  <c r="K690" i="5"/>
  <c r="G690" i="5" s="1"/>
  <c r="K692" i="5"/>
  <c r="G692" i="5" s="1"/>
  <c r="F692" i="5"/>
  <c r="J2664" i="7"/>
  <c r="F2664" i="7" s="1"/>
  <c r="E2664" i="7"/>
  <c r="G891" i="7"/>
  <c r="H891" i="7" s="1"/>
  <c r="H892" i="7" s="1"/>
  <c r="F211" i="6" s="1"/>
  <c r="H214" i="5" s="1"/>
  <c r="I214" i="5" s="1"/>
  <c r="G1165" i="7"/>
  <c r="H1165" i="7" s="1"/>
  <c r="H1166" i="7" s="1"/>
  <c r="F275" i="6" s="1"/>
  <c r="H278" i="5" s="1"/>
  <c r="I278" i="5" s="1"/>
  <c r="G895" i="7"/>
  <c r="H895" i="7" s="1"/>
  <c r="H896" i="7" s="1"/>
  <c r="F212" i="6" s="1"/>
  <c r="H215" i="5" s="1"/>
  <c r="I215" i="5" s="1"/>
  <c r="G3206" i="7"/>
  <c r="H3206" i="7" s="1"/>
  <c r="H3208" i="7" s="1"/>
  <c r="F691" i="6" s="1"/>
  <c r="E1293" i="7"/>
  <c r="J1293" i="7"/>
  <c r="F1293" i="7" s="1"/>
  <c r="J1834" i="7"/>
  <c r="F1834" i="7" s="1"/>
  <c r="E1834" i="7"/>
  <c r="F2859" i="7"/>
  <c r="J3293" i="7"/>
  <c r="E2740" i="7"/>
  <c r="J2740" i="7"/>
  <c r="F2740" i="7" s="1"/>
  <c r="J623" i="7"/>
  <c r="F623" i="7" s="1"/>
  <c r="E623" i="7"/>
  <c r="E1473" i="7"/>
  <c r="J1473" i="7"/>
  <c r="F1473" i="7" s="1"/>
  <c r="E678" i="7"/>
  <c r="J678" i="7"/>
  <c r="F678" i="7" s="1"/>
  <c r="J2191" i="7"/>
  <c r="E1219" i="7"/>
  <c r="J1219" i="7"/>
  <c r="F1219" i="7" s="1"/>
  <c r="E3236" i="7"/>
  <c r="L3236" i="7"/>
  <c r="D370" i="9"/>
  <c r="E370" i="9"/>
  <c r="F370" i="9"/>
  <c r="G755" i="6"/>
  <c r="K2040" i="7"/>
  <c r="L2040" i="7" s="1"/>
  <c r="L2041" i="7" s="1"/>
  <c r="H469" i="6" s="1"/>
  <c r="L472" i="5" s="1"/>
  <c r="M472" i="5" s="1"/>
  <c r="K1990" i="7"/>
  <c r="L1990" i="7" s="1"/>
  <c r="L1991" i="7" s="1"/>
  <c r="H457" i="6" s="1"/>
  <c r="L460" i="5" s="1"/>
  <c r="M460" i="5" s="1"/>
  <c r="K2195" i="7"/>
  <c r="L2195" i="7" s="1"/>
  <c r="L2196" i="7" s="1"/>
  <c r="H505" i="6" s="1"/>
  <c r="L508" i="5" s="1"/>
  <c r="M508" i="5" s="1"/>
  <c r="K1901" i="7"/>
  <c r="L1901" i="7" s="1"/>
  <c r="L1902" i="7" s="1"/>
  <c r="H436" i="6" s="1"/>
  <c r="L439" i="5" s="1"/>
  <c r="M439" i="5" s="1"/>
  <c r="K2284" i="7"/>
  <c r="L2284" i="7" s="1"/>
  <c r="L2285" i="7" s="1"/>
  <c r="H526" i="6" s="1"/>
  <c r="L529" i="5" s="1"/>
  <c r="M529" i="5" s="1"/>
  <c r="K3395" i="7"/>
  <c r="L3395" i="7" s="1"/>
  <c r="L3397" i="7" s="1"/>
  <c r="H724" i="6" s="1"/>
  <c r="K2036" i="7"/>
  <c r="L2036" i="7" s="1"/>
  <c r="L2037" i="7" s="1"/>
  <c r="H468" i="6" s="1"/>
  <c r="L471" i="5" s="1"/>
  <c r="M471" i="5" s="1"/>
  <c r="K3423" i="7"/>
  <c r="L3423" i="7" s="1"/>
  <c r="L3425" i="7" s="1"/>
  <c r="H729" i="6" s="1"/>
  <c r="F709" i="5"/>
  <c r="K709" i="5"/>
  <c r="G709" i="5" s="1"/>
  <c r="E2663" i="7"/>
  <c r="J2663" i="7"/>
  <c r="K2686" i="7"/>
  <c r="H2687" i="7"/>
  <c r="F608" i="6" s="1"/>
  <c r="H611" i="5" s="1"/>
  <c r="I611" i="5" s="1"/>
  <c r="J2138" i="7"/>
  <c r="F2138" i="7" s="1"/>
  <c r="E2138" i="7"/>
  <c r="G669" i="6"/>
  <c r="F3076" i="7"/>
  <c r="E669" i="6" s="1"/>
  <c r="J1354" i="7"/>
  <c r="F841" i="5"/>
  <c r="K841" i="5"/>
  <c r="G841" i="5" s="1"/>
  <c r="F859" i="5"/>
  <c r="K859" i="5"/>
  <c r="G859" i="5" s="1"/>
  <c r="G614" i="6"/>
  <c r="J617" i="5" s="1"/>
  <c r="L2712" i="7"/>
  <c r="E2712" i="7"/>
  <c r="K722" i="5"/>
  <c r="G722" i="5" s="1"/>
  <c r="F722" i="5"/>
  <c r="K580" i="5"/>
  <c r="F3516" i="7"/>
  <c r="E745" i="6" s="1"/>
  <c r="G745" i="6"/>
  <c r="F739" i="5"/>
  <c r="K739" i="5"/>
  <c r="G739" i="5" s="1"/>
  <c r="J1025" i="7"/>
  <c r="F1025" i="7" s="1"/>
  <c r="E1025" i="7"/>
  <c r="E2055" i="7"/>
  <c r="J2055" i="7"/>
  <c r="F2055" i="7" s="1"/>
  <c r="D720" i="9"/>
  <c r="E720" i="9"/>
  <c r="F720" i="9"/>
  <c r="C319" i="9"/>
  <c r="B319" i="9" s="1"/>
  <c r="E324" i="9"/>
  <c r="D484" i="9"/>
  <c r="L486" i="9" s="1"/>
  <c r="E484" i="9"/>
  <c r="F484" i="9"/>
  <c r="C614" i="9"/>
  <c r="B614" i="9" s="1"/>
  <c r="E616" i="9"/>
  <c r="G585" i="6"/>
  <c r="K677" i="5"/>
  <c r="G677" i="5" s="1"/>
  <c r="F677" i="5"/>
  <c r="F728" i="5"/>
  <c r="K728" i="5"/>
  <c r="G728" i="5" s="1"/>
  <c r="F860" i="5"/>
  <c r="K860" i="5"/>
  <c r="G860" i="5" s="1"/>
  <c r="E255" i="7"/>
  <c r="J255" i="7"/>
  <c r="F255" i="7" s="1"/>
  <c r="E618" i="7"/>
  <c r="J618" i="7"/>
  <c r="F618" i="7" s="1"/>
  <c r="F749" i="5"/>
  <c r="K749" i="5"/>
  <c r="G749" i="5" s="1"/>
  <c r="F846" i="5"/>
  <c r="K846" i="5"/>
  <c r="G846" i="5" s="1"/>
  <c r="J363" i="5"/>
  <c r="I1615" i="7"/>
  <c r="I1485" i="7"/>
  <c r="I529" i="7"/>
  <c r="G758" i="7"/>
  <c r="H758" i="7" s="1"/>
  <c r="H759" i="7" s="1"/>
  <c r="F179" i="6" s="1"/>
  <c r="H182" i="5" s="1"/>
  <c r="I182" i="5" s="1"/>
  <c r="G754" i="7"/>
  <c r="H754" i="7" s="1"/>
  <c r="H755" i="7" s="1"/>
  <c r="F178" i="6" s="1"/>
  <c r="H181" i="5" s="1"/>
  <c r="I181" i="5" s="1"/>
  <c r="G341" i="7"/>
  <c r="H341" i="7" s="1"/>
  <c r="H342" i="7" s="1"/>
  <c r="F81" i="6" s="1"/>
  <c r="H84" i="5" s="1"/>
  <c r="I84" i="5" s="1"/>
  <c r="G1145" i="7"/>
  <c r="H1145" i="7" s="1"/>
  <c r="H1146" i="7" s="1"/>
  <c r="F270" i="6" s="1"/>
  <c r="H273" i="5" s="1"/>
  <c r="I273" i="5" s="1"/>
  <c r="G3117" i="7"/>
  <c r="H3117" i="7" s="1"/>
  <c r="G3122" i="7"/>
  <c r="H3122" i="7" s="1"/>
  <c r="H3123" i="7" s="1"/>
  <c r="F677" i="6" s="1"/>
  <c r="K976" i="5"/>
  <c r="G976" i="5" s="1"/>
  <c r="F976" i="5"/>
  <c r="F704" i="5"/>
  <c r="K704" i="5"/>
  <c r="G704" i="5" s="1"/>
  <c r="F760" i="5"/>
  <c r="K760" i="5"/>
  <c r="G760" i="5" s="1"/>
  <c r="H1540" i="7"/>
  <c r="F357" i="6" s="1"/>
  <c r="F715" i="5"/>
  <c r="K715" i="5"/>
  <c r="G715" i="5" s="1"/>
  <c r="F820" i="5"/>
  <c r="K820" i="5"/>
  <c r="G820" i="5" s="1"/>
  <c r="F2774" i="7"/>
  <c r="J2776" i="7"/>
  <c r="E1214" i="7"/>
  <c r="J1214" i="7"/>
  <c r="F1214" i="7" s="1"/>
  <c r="E469" i="7"/>
  <c r="J469" i="7"/>
  <c r="F469" i="7" s="1"/>
  <c r="G2382" i="7"/>
  <c r="H2382" i="7" s="1"/>
  <c r="H2383" i="7" s="1"/>
  <c r="F549" i="6" s="1"/>
  <c r="H552" i="5" s="1"/>
  <c r="I552" i="5" s="1"/>
  <c r="G3435" i="7"/>
  <c r="H3435" i="7" s="1"/>
  <c r="H3437" i="7" s="1"/>
  <c r="F731" i="6" s="1"/>
  <c r="E2672" i="7"/>
  <c r="L2672" i="7"/>
  <c r="I878" i="7"/>
  <c r="I874" i="7"/>
  <c r="I1117" i="7"/>
  <c r="I3212" i="7"/>
  <c r="I3207" i="7"/>
  <c r="G3526" i="7"/>
  <c r="H3526" i="7" s="1"/>
  <c r="H3527" i="7" s="1"/>
  <c r="F747" i="6" s="1"/>
  <c r="G3521" i="7"/>
  <c r="H3521" i="7" s="1"/>
  <c r="G2378" i="7"/>
  <c r="H2378" i="7" s="1"/>
  <c r="H2379" i="7" s="1"/>
  <c r="F548" i="6" s="1"/>
  <c r="H551" i="5" s="1"/>
  <c r="I551" i="5" s="1"/>
  <c r="J1791" i="7"/>
  <c r="E2691" i="7"/>
  <c r="J2691" i="7"/>
  <c r="H2573" i="7"/>
  <c r="F588" i="6" s="1"/>
  <c r="K2572" i="7"/>
  <c r="F850" i="5"/>
  <c r="K850" i="5"/>
  <c r="G850" i="5" s="1"/>
  <c r="E33" i="7"/>
  <c r="J33" i="7"/>
  <c r="F33" i="7" s="1"/>
  <c r="K752" i="5"/>
  <c r="G752" i="5" s="1"/>
  <c r="F752" i="5"/>
  <c r="F2630" i="7"/>
  <c r="G2300" i="7"/>
  <c r="H2300" i="7" s="1"/>
  <c r="H2301" i="7" s="1"/>
  <c r="F530" i="6" s="1"/>
  <c r="H533" i="5" s="1"/>
  <c r="I533" i="5" s="1"/>
  <c r="G1819" i="7"/>
  <c r="H1819" i="7" s="1"/>
  <c r="H1820" i="7" s="1"/>
  <c r="F417" i="6" s="1"/>
  <c r="H420" i="5" s="1"/>
  <c r="I420" i="5" s="1"/>
  <c r="G3378" i="7"/>
  <c r="H3378" i="7" s="1"/>
  <c r="H3380" i="7" s="1"/>
  <c r="F721" i="6" s="1"/>
  <c r="G1917" i="7"/>
  <c r="H1917" i="7" s="1"/>
  <c r="H1918" i="7" s="1"/>
  <c r="F440" i="6" s="1"/>
  <c r="H443" i="5" s="1"/>
  <c r="I443" i="5" s="1"/>
  <c r="G2006" i="7"/>
  <c r="H2006" i="7" s="1"/>
  <c r="H2007" i="7" s="1"/>
  <c r="F461" i="6" s="1"/>
  <c r="H464" i="5" s="1"/>
  <c r="I464" i="5" s="1"/>
  <c r="G2470" i="7"/>
  <c r="H2470" i="7" s="1"/>
  <c r="H2471" i="7" s="1"/>
  <c r="F570" i="6" s="1"/>
  <c r="H573" i="5" s="1"/>
  <c r="I573" i="5" s="1"/>
  <c r="G2113" i="7"/>
  <c r="H2113" i="7" s="1"/>
  <c r="H2114" i="7" s="1"/>
  <c r="F486" i="6" s="1"/>
  <c r="H489" i="5" s="1"/>
  <c r="I489" i="5" s="1"/>
  <c r="G2211" i="7"/>
  <c r="H2211" i="7" s="1"/>
  <c r="H2212" i="7" s="1"/>
  <c r="F509" i="6" s="1"/>
  <c r="H512" i="5" s="1"/>
  <c r="I512" i="5" s="1"/>
  <c r="G3429" i="7"/>
  <c r="H3429" i="7" s="1"/>
  <c r="H3431" i="7" s="1"/>
  <c r="F730" i="6" s="1"/>
  <c r="J1881" i="7"/>
  <c r="K670" i="5"/>
  <c r="G670" i="5" s="1"/>
  <c r="F670" i="5"/>
  <c r="E459" i="7"/>
  <c r="J459" i="7"/>
  <c r="F459" i="7" s="1"/>
  <c r="K671" i="5"/>
  <c r="G671" i="5" s="1"/>
  <c r="F671" i="5"/>
  <c r="H1516" i="7"/>
  <c r="F353" i="6" s="1"/>
  <c r="F2873" i="7"/>
  <c r="H2875" i="7"/>
  <c r="F637" i="6" s="1"/>
  <c r="H640" i="5" s="1"/>
  <c r="I640" i="5" s="1"/>
  <c r="G760" i="6"/>
  <c r="I2825" i="7" s="1"/>
  <c r="F3594" i="7"/>
  <c r="E760" i="6" s="1"/>
  <c r="J449" i="7"/>
  <c r="F449" i="7" s="1"/>
  <c r="E449" i="7"/>
  <c r="J3333" i="7"/>
  <c r="D605" i="9"/>
  <c r="F14" i="8"/>
  <c r="F688" i="5"/>
  <c r="K688" i="5"/>
  <c r="G688" i="5" s="1"/>
  <c r="F703" i="5"/>
  <c r="K703" i="5"/>
  <c r="G703" i="5" s="1"/>
  <c r="J2330" i="7"/>
  <c r="F2330" i="7" s="1"/>
  <c r="E2330" i="7"/>
  <c r="F811" i="5"/>
  <c r="K811" i="5"/>
  <c r="G811" i="5" s="1"/>
  <c r="E2774" i="7"/>
  <c r="E2770" i="7"/>
  <c r="J2770" i="7"/>
  <c r="F2770" i="7" s="1"/>
  <c r="F702" i="5"/>
  <c r="K702" i="5"/>
  <c r="G702" i="5" s="1"/>
  <c r="G2085" i="7"/>
  <c r="H2085" i="7" s="1"/>
  <c r="H2086" i="7" s="1"/>
  <c r="F479" i="6" s="1"/>
  <c r="H482" i="5" s="1"/>
  <c r="I482" i="5" s="1"/>
  <c r="G1791" i="7"/>
  <c r="H1791" i="7" s="1"/>
  <c r="H1792" i="7" s="1"/>
  <c r="F410" i="6" s="1"/>
  <c r="H413" i="5" s="1"/>
  <c r="I413" i="5" s="1"/>
  <c r="G1881" i="7"/>
  <c r="H1881" i="7" s="1"/>
  <c r="H1882" i="7" s="1"/>
  <c r="F431" i="6" s="1"/>
  <c r="H434" i="5" s="1"/>
  <c r="I434" i="5" s="1"/>
  <c r="G2442" i="7"/>
  <c r="H2442" i="7" s="1"/>
  <c r="H2443" i="7" s="1"/>
  <c r="F563" i="6" s="1"/>
  <c r="H566" i="5" s="1"/>
  <c r="I566" i="5" s="1"/>
  <c r="G2175" i="7"/>
  <c r="H2175" i="7" s="1"/>
  <c r="H2176" i="7" s="1"/>
  <c r="F500" i="6" s="1"/>
  <c r="H503" i="5" s="1"/>
  <c r="I503" i="5" s="1"/>
  <c r="G1974" i="7"/>
  <c r="H1974" i="7" s="1"/>
  <c r="H1975" i="7" s="1"/>
  <c r="F453" i="6" s="1"/>
  <c r="H456" i="5" s="1"/>
  <c r="I456" i="5" s="1"/>
  <c r="G2268" i="7"/>
  <c r="H2268" i="7" s="1"/>
  <c r="H2269" i="7" s="1"/>
  <c r="F522" i="6" s="1"/>
  <c r="H525" i="5" s="1"/>
  <c r="I525" i="5" s="1"/>
  <c r="G3332" i="7"/>
  <c r="G3327" i="7"/>
  <c r="H3327" i="7" s="1"/>
  <c r="F658" i="5"/>
  <c r="K658" i="5"/>
  <c r="G658" i="5" s="1"/>
  <c r="L351" i="5"/>
  <c r="M351" i="5" s="1"/>
  <c r="K481" i="7"/>
  <c r="L481" i="7" s="1"/>
  <c r="L482" i="7" s="1"/>
  <c r="H113" i="6" s="1"/>
  <c r="L116" i="5" s="1"/>
  <c r="M116" i="5" s="1"/>
  <c r="K423" i="7"/>
  <c r="L423" i="7" s="1"/>
  <c r="L425" i="7" s="1"/>
  <c r="H101" i="6" s="1"/>
  <c r="L104" i="5" s="1"/>
  <c r="M104" i="5" s="1"/>
  <c r="K1427" i="7"/>
  <c r="L1427" i="7" s="1"/>
  <c r="L1429" i="7" s="1"/>
  <c r="H337" i="6" s="1"/>
  <c r="L340" i="5" s="1"/>
  <c r="M340" i="5" s="1"/>
  <c r="K2900" i="7"/>
  <c r="L2900" i="7" s="1"/>
  <c r="L2901" i="7" s="1"/>
  <c r="I345" i="7"/>
  <c r="I762" i="7"/>
  <c r="I770" i="7"/>
  <c r="I1149" i="7"/>
  <c r="I766" i="7"/>
  <c r="I3140" i="7"/>
  <c r="I1153" i="7"/>
  <c r="I3135" i="7"/>
  <c r="E2645" i="7"/>
  <c r="J2645" i="7"/>
  <c r="F738" i="5"/>
  <c r="K738" i="5"/>
  <c r="G738" i="5" s="1"/>
  <c r="L383" i="5"/>
  <c r="M383" i="5" s="1"/>
  <c r="K1532" i="7"/>
  <c r="L1532" i="7" s="1"/>
  <c r="L1534" i="7" s="1"/>
  <c r="H356" i="6" s="1"/>
  <c r="K609" i="7"/>
  <c r="L609" i="7" s="1"/>
  <c r="L610" i="7" s="1"/>
  <c r="H145" i="6" s="1"/>
  <c r="L148" i="5" s="1"/>
  <c r="M148" i="5" s="1"/>
  <c r="K840" i="5"/>
  <c r="G840" i="5" s="1"/>
  <c r="F840" i="5"/>
  <c r="G702" i="6"/>
  <c r="J434" i="7"/>
  <c r="F434" i="7" s="1"/>
  <c r="E434" i="7"/>
  <c r="G1005" i="5"/>
  <c r="J48" i="7"/>
  <c r="F48" i="7" s="1"/>
  <c r="E48" i="7"/>
  <c r="K2398" i="7"/>
  <c r="L2398" i="7" s="1"/>
  <c r="L2399" i="7" s="1"/>
  <c r="H553" i="6" s="1"/>
  <c r="L556" i="5" s="1"/>
  <c r="M556" i="5" s="1"/>
  <c r="K3503" i="7"/>
  <c r="L3503" i="7" s="1"/>
  <c r="L3505" i="7" s="1"/>
  <c r="H743" i="6" s="1"/>
  <c r="F836" i="5"/>
  <c r="K836" i="5"/>
  <c r="G836" i="5" s="1"/>
  <c r="E1756" i="7"/>
  <c r="J1756" i="7"/>
  <c r="F1756" i="7" s="1"/>
  <c r="E1020" i="7"/>
  <c r="J1020" i="7"/>
  <c r="F1020" i="7" s="1"/>
  <c r="K718" i="5"/>
  <c r="G718" i="5" s="1"/>
  <c r="F718" i="5"/>
  <c r="J1941" i="7"/>
  <c r="F1941" i="7" s="1"/>
  <c r="E1941" i="7"/>
  <c r="K731" i="5"/>
  <c r="G731" i="5" s="1"/>
  <c r="F731" i="5"/>
  <c r="G687" i="6"/>
  <c r="J8" i="7"/>
  <c r="F8" i="7" s="1"/>
  <c r="E8" i="7"/>
  <c r="F839" i="5"/>
  <c r="K839" i="5"/>
  <c r="G839" i="5" s="1"/>
  <c r="J1040" i="7"/>
  <c r="F1040" i="7" s="1"/>
  <c r="E1040" i="7"/>
  <c r="G757" i="6"/>
  <c r="I2764" i="7" s="1"/>
  <c r="L377" i="5"/>
  <c r="M377" i="5" s="1"/>
  <c r="K585" i="7"/>
  <c r="L585" i="7" s="1"/>
  <c r="L586" i="7" s="1"/>
  <c r="H139" i="6" s="1"/>
  <c r="L142" i="5" s="1"/>
  <c r="M142" i="5" s="1"/>
  <c r="K1496" i="7"/>
  <c r="L1496" i="7" s="1"/>
  <c r="L1498" i="7" s="1"/>
  <c r="H350" i="6" s="1"/>
  <c r="F270" i="9"/>
  <c r="E270" i="9"/>
  <c r="D270" i="9"/>
  <c r="J1288" i="7"/>
  <c r="F1288" i="7" s="1"/>
  <c r="E1288" i="7"/>
  <c r="E3129" i="7"/>
  <c r="L3129" i="7"/>
  <c r="K675" i="5"/>
  <c r="G675" i="5" s="1"/>
  <c r="F675" i="5"/>
  <c r="E918" i="7"/>
  <c r="J918" i="7"/>
  <c r="F918" i="7" s="1"/>
  <c r="K2794" i="7"/>
  <c r="F748" i="5"/>
  <c r="K748" i="5"/>
  <c r="G748" i="5" s="1"/>
  <c r="G672" i="6"/>
  <c r="G392" i="6"/>
  <c r="J395" i="5" s="1"/>
  <c r="F1712" i="7"/>
  <c r="E392" i="6" s="1"/>
  <c r="L3437" i="7"/>
  <c r="H731" i="6" s="1"/>
  <c r="K835" i="5"/>
  <c r="G835" i="5" s="1"/>
  <c r="F835" i="5"/>
  <c r="E913" i="7"/>
  <c r="J913" i="7"/>
  <c r="F913" i="7" s="1"/>
  <c r="F875" i="5"/>
  <c r="K875" i="5"/>
  <c r="G875" i="5" s="1"/>
  <c r="L2818" i="7"/>
  <c r="E2818" i="7"/>
  <c r="E2867" i="7"/>
  <c r="J2867" i="7"/>
  <c r="K645" i="5"/>
  <c r="K983" i="5"/>
  <c r="G983" i="5" s="1"/>
  <c r="F983" i="5"/>
  <c r="E3339" i="7"/>
  <c r="L3339" i="7"/>
  <c r="E369" i="9"/>
  <c r="F369" i="9"/>
  <c r="D369" i="9"/>
  <c r="G628" i="6"/>
  <c r="J631" i="5" s="1"/>
  <c r="F2800" i="7"/>
  <c r="E628" i="6" s="1"/>
  <c r="I2358" i="7"/>
  <c r="I3441" i="7"/>
  <c r="I3436" i="7"/>
  <c r="G2105" i="7"/>
  <c r="H2105" i="7" s="1"/>
  <c r="H2106" i="7" s="1"/>
  <c r="F484" i="6" s="1"/>
  <c r="H487" i="5" s="1"/>
  <c r="I487" i="5" s="1"/>
  <c r="G3344" i="7"/>
  <c r="H3344" i="7" s="1"/>
  <c r="H3346" i="7" s="1"/>
  <c r="F715" i="6" s="1"/>
  <c r="G2292" i="7"/>
  <c r="H2292" i="7" s="1"/>
  <c r="H2293" i="7" s="1"/>
  <c r="F528" i="6" s="1"/>
  <c r="H531" i="5" s="1"/>
  <c r="I531" i="5" s="1"/>
  <c r="G1811" i="7"/>
  <c r="H1811" i="7" s="1"/>
  <c r="H1812" i="7" s="1"/>
  <c r="F415" i="6" s="1"/>
  <c r="H418" i="5" s="1"/>
  <c r="I418" i="5" s="1"/>
  <c r="G2203" i="7"/>
  <c r="H2203" i="7" s="1"/>
  <c r="H2204" i="7" s="1"/>
  <c r="F507" i="6" s="1"/>
  <c r="H510" i="5" s="1"/>
  <c r="I510" i="5" s="1"/>
  <c r="G1998" i="7"/>
  <c r="H1998" i="7" s="1"/>
  <c r="H1999" i="7" s="1"/>
  <c r="F459" i="6" s="1"/>
  <c r="H462" i="5" s="1"/>
  <c r="I462" i="5" s="1"/>
  <c r="G1909" i="7"/>
  <c r="H1909" i="7" s="1"/>
  <c r="H1910" i="7" s="1"/>
  <c r="F438" i="6" s="1"/>
  <c r="H441" i="5" s="1"/>
  <c r="I441" i="5" s="1"/>
  <c r="G2462" i="7"/>
  <c r="H2462" i="7" s="1"/>
  <c r="H2463" i="7" s="1"/>
  <c r="F568" i="6" s="1"/>
  <c r="H571" i="5" s="1"/>
  <c r="I571" i="5" s="1"/>
  <c r="J1463" i="7"/>
  <c r="F1463" i="7" s="1"/>
  <c r="E1463" i="7"/>
  <c r="G717" i="6"/>
  <c r="F3357" i="7"/>
  <c r="E717" i="6" s="1"/>
  <c r="K662" i="5"/>
  <c r="K729" i="5"/>
  <c r="G729" i="5" s="1"/>
  <c r="F729" i="5"/>
  <c r="F710" i="5"/>
  <c r="K710" i="5"/>
  <c r="G710" i="5" s="1"/>
  <c r="E3304" i="7"/>
  <c r="L3304" i="7"/>
  <c r="D85" i="9"/>
  <c r="E85" i="9"/>
  <c r="F85" i="9"/>
  <c r="J2175" i="7"/>
  <c r="J13" i="7"/>
  <c r="F13" i="7" s="1"/>
  <c r="E13" i="7"/>
  <c r="K746" i="5"/>
  <c r="G746" i="5" s="1"/>
  <c r="F746" i="5"/>
  <c r="J1695" i="7"/>
  <c r="E1695" i="7"/>
  <c r="G572" i="6"/>
  <c r="J575" i="5" s="1"/>
  <c r="F2481" i="7"/>
  <c r="E572" i="6" s="1"/>
  <c r="F694" i="5"/>
  <c r="K694" i="5"/>
  <c r="G694" i="5" s="1"/>
  <c r="E1428" i="7"/>
  <c r="J1428" i="7"/>
  <c r="F1428" i="7" s="1"/>
  <c r="E2670" i="7"/>
  <c r="J2670" i="7"/>
  <c r="E38" i="7"/>
  <c r="J38" i="7"/>
  <c r="F38" i="7" s="1"/>
  <c r="G6" i="11"/>
  <c r="K732" i="5"/>
  <c r="G732" i="5" s="1"/>
  <c r="F732" i="5"/>
  <c r="G690" i="6"/>
  <c r="C514" i="9"/>
  <c r="B514" i="9" s="1"/>
  <c r="E516" i="9"/>
  <c r="G574" i="6"/>
  <c r="J577" i="5" s="1"/>
  <c r="F2489" i="7"/>
  <c r="E574" i="6" s="1"/>
  <c r="G615" i="6"/>
  <c r="J618" i="5" s="1"/>
  <c r="K632" i="5"/>
  <c r="L382" i="5"/>
  <c r="M382" i="5" s="1"/>
  <c r="K1526" i="7"/>
  <c r="L1526" i="7" s="1"/>
  <c r="L1528" i="7" s="1"/>
  <c r="H355" i="6" s="1"/>
  <c r="K605" i="7"/>
  <c r="L605" i="7" s="1"/>
  <c r="L606" i="7" s="1"/>
  <c r="H144" i="6" s="1"/>
  <c r="L147" i="5" s="1"/>
  <c r="M147" i="5" s="1"/>
  <c r="E419" i="7"/>
  <c r="J419" i="7"/>
  <c r="F419" i="7" s="1"/>
  <c r="K700" i="5"/>
  <c r="G700" i="5" s="1"/>
  <c r="F700" i="5"/>
  <c r="F665" i="5"/>
  <c r="K665" i="5"/>
  <c r="G366" i="6"/>
  <c r="F1586" i="7"/>
  <c r="E366" i="6" s="1"/>
  <c r="J1365" i="7"/>
  <c r="J2771" i="7"/>
  <c r="D668" i="9"/>
  <c r="D672" i="9" s="1"/>
  <c r="D674" i="9" s="1"/>
  <c r="D704" i="9" s="1"/>
  <c r="E668" i="9"/>
  <c r="F668" i="9"/>
  <c r="F672" i="9" s="1"/>
  <c r="F674" i="9" s="1"/>
  <c r="F704" i="9" s="1"/>
  <c r="E53" i="7"/>
  <c r="J53" i="7"/>
  <c r="F53" i="7" s="1"/>
  <c r="K734" i="5"/>
  <c r="G734" i="5" s="1"/>
  <c r="F734" i="5"/>
  <c r="H2795" i="7"/>
  <c r="F627" i="6" s="1"/>
  <c r="H630" i="5" s="1"/>
  <c r="I630" i="5" s="1"/>
  <c r="E1690" i="7"/>
  <c r="J1690" i="7"/>
  <c r="D220" i="9"/>
  <c r="L222" i="9" s="1"/>
  <c r="F220" i="9"/>
  <c r="E220" i="9"/>
  <c r="F555" i="9"/>
  <c r="H13" i="8"/>
  <c r="K3608" i="7" s="1"/>
  <c r="L3608" i="7" s="1"/>
  <c r="L3609" i="7" s="1"/>
  <c r="H763" i="6" s="1"/>
  <c r="K2828" i="7" s="1"/>
  <c r="L2828" i="7" s="1"/>
  <c r="J1443" i="7"/>
  <c r="F1443" i="7" s="1"/>
  <c r="E1443" i="7"/>
  <c r="E43" i="7"/>
  <c r="J43" i="7"/>
  <c r="F43" i="7" s="1"/>
  <c r="C562" i="9"/>
  <c r="B562" i="9" s="1"/>
  <c r="E565" i="9"/>
  <c r="H592" i="5"/>
  <c r="I592" i="5" s="1"/>
  <c r="G2538" i="7"/>
  <c r="H2538" i="7" s="1"/>
  <c r="G2611" i="7"/>
  <c r="H2611" i="7" s="1"/>
  <c r="H2612" i="7" s="1"/>
  <c r="F595" i="6" s="1"/>
  <c r="J2305" i="7"/>
  <c r="F2305" i="7" s="1"/>
  <c r="E2305" i="7"/>
  <c r="G746" i="7"/>
  <c r="H746" i="7" s="1"/>
  <c r="H747" i="7" s="1"/>
  <c r="F176" i="6" s="1"/>
  <c r="H179" i="5" s="1"/>
  <c r="I179" i="5" s="1"/>
  <c r="G1133" i="7"/>
  <c r="H1133" i="7" s="1"/>
  <c r="H1134" i="7" s="1"/>
  <c r="F267" i="6" s="1"/>
  <c r="H270" i="5" s="1"/>
  <c r="I270" i="5" s="1"/>
  <c r="G329" i="7"/>
  <c r="H329" i="7" s="1"/>
  <c r="H330" i="7" s="1"/>
  <c r="F78" i="6" s="1"/>
  <c r="H81" i="5" s="1"/>
  <c r="I81" i="5" s="1"/>
  <c r="G3063" i="7"/>
  <c r="H3063" i="7" s="1"/>
  <c r="G3068" i="7"/>
  <c r="H3068" i="7" s="1"/>
  <c r="H3069" i="7" s="1"/>
  <c r="F668" i="6" s="1"/>
  <c r="H375" i="5"/>
  <c r="I375" i="5" s="1"/>
  <c r="G577" i="7"/>
  <c r="H577" i="7" s="1"/>
  <c r="H578" i="7" s="1"/>
  <c r="F137" i="6" s="1"/>
  <c r="H140" i="5" s="1"/>
  <c r="I140" i="5" s="1"/>
  <c r="G1484" i="7"/>
  <c r="H1484" i="7" s="1"/>
  <c r="H1486" i="7" s="1"/>
  <c r="F348" i="6" s="1"/>
  <c r="F755" i="5"/>
  <c r="K755" i="5"/>
  <c r="G755" i="5" s="1"/>
  <c r="J9" i="12"/>
  <c r="E9" i="12"/>
  <c r="K3492" i="7"/>
  <c r="L3492" i="7" s="1"/>
  <c r="L3493" i="7" s="1"/>
  <c r="H741" i="6" s="1"/>
  <c r="K3487" i="7"/>
  <c r="L3487" i="7" s="1"/>
  <c r="K2370" i="7"/>
  <c r="L2370" i="7" s="1"/>
  <c r="L2371" i="7" s="1"/>
  <c r="H546" i="6" s="1"/>
  <c r="L549" i="5" s="1"/>
  <c r="M549" i="5" s="1"/>
  <c r="J1423" i="7"/>
  <c r="F1423" i="7" s="1"/>
  <c r="E1423" i="7"/>
  <c r="F673" i="5"/>
  <c r="K673" i="5"/>
  <c r="G673" i="5" s="1"/>
  <c r="E1433" i="7"/>
  <c r="J1433" i="7"/>
  <c r="F1433" i="7" s="1"/>
  <c r="J3297" i="7"/>
  <c r="J1675" i="7"/>
  <c r="E1675" i="7"/>
  <c r="H599" i="5"/>
  <c r="I599" i="5" s="1"/>
  <c r="G2543" i="7"/>
  <c r="H2543" i="7" s="1"/>
  <c r="H2545" i="7" s="1"/>
  <c r="F584" i="6" s="1"/>
  <c r="H587" i="5" s="1"/>
  <c r="I587" i="5" s="1"/>
  <c r="F2829" i="7"/>
  <c r="J1045" i="7"/>
  <c r="F1045" i="7" s="1"/>
  <c r="E1045" i="7"/>
  <c r="J2853" i="7"/>
  <c r="E2853" i="7"/>
  <c r="J593" i="5"/>
  <c r="I2544" i="7"/>
  <c r="I2616" i="7"/>
  <c r="J2755" i="7"/>
  <c r="F2755" i="7" s="1"/>
  <c r="E2755" i="7"/>
  <c r="G2362" i="7"/>
  <c r="H2362" i="7" s="1"/>
  <c r="H2363" i="7" s="1"/>
  <c r="F544" i="6" s="1"/>
  <c r="H547" i="5" s="1"/>
  <c r="I547" i="5" s="1"/>
  <c r="G3458" i="7"/>
  <c r="H3458" i="7" s="1"/>
  <c r="H3459" i="7" s="1"/>
  <c r="F735" i="6" s="1"/>
  <c r="G3453" i="7"/>
  <c r="H3453" i="7" s="1"/>
  <c r="G736" i="6"/>
  <c r="F3465" i="7"/>
  <c r="E736" i="6" s="1"/>
  <c r="F759" i="5"/>
  <c r="K759" i="5"/>
  <c r="G759" i="5" s="1"/>
  <c r="C220" i="9" l="1"/>
  <c r="B220" i="9" s="1"/>
  <c r="L2680" i="7"/>
  <c r="H607" i="6" s="1"/>
  <c r="L610" i="5" s="1"/>
  <c r="M610" i="5" s="1"/>
  <c r="F2679" i="7"/>
  <c r="AC73" i="9"/>
  <c r="B67" i="9"/>
  <c r="AE73" i="9"/>
  <c r="H73" i="9" s="1"/>
  <c r="B20" i="9"/>
  <c r="AJ24" i="9"/>
  <c r="AA22" i="9"/>
  <c r="AG22" i="9"/>
  <c r="AH24" i="9"/>
  <c r="AE22" i="9"/>
  <c r="C420" i="9"/>
  <c r="B420" i="9" s="1"/>
  <c r="F3183" i="7"/>
  <c r="L3184" i="7"/>
  <c r="E71" i="9"/>
  <c r="D71" i="9"/>
  <c r="F71" i="9"/>
  <c r="F681" i="6"/>
  <c r="H3425" i="7"/>
  <c r="F729" i="6" s="1"/>
  <c r="E3147" i="7"/>
  <c r="L3147" i="7"/>
  <c r="F393" i="6"/>
  <c r="H396" i="5" s="1"/>
  <c r="F1716" i="7"/>
  <c r="E393" i="6" s="1"/>
  <c r="C720" i="9"/>
  <c r="B720" i="9" s="1"/>
  <c r="F728" i="6"/>
  <c r="F3419" i="7"/>
  <c r="E728" i="6" s="1"/>
  <c r="E3579" i="7"/>
  <c r="L3579" i="7"/>
  <c r="G325" i="7"/>
  <c r="H325" i="7" s="1"/>
  <c r="H326" i="7" s="1"/>
  <c r="F77" i="6" s="1"/>
  <c r="H80" i="5" s="1"/>
  <c r="I80" i="5" s="1"/>
  <c r="G742" i="7"/>
  <c r="H742" i="7" s="1"/>
  <c r="H743" i="7" s="1"/>
  <c r="F175" i="6" s="1"/>
  <c r="H178" i="5" s="1"/>
  <c r="I178" i="5" s="1"/>
  <c r="G3050" i="7"/>
  <c r="H3050" i="7" s="1"/>
  <c r="H3051" i="7" s="1"/>
  <c r="F665" i="6" s="1"/>
  <c r="G1129" i="7"/>
  <c r="H1129" i="7" s="1"/>
  <c r="H1130" i="7" s="1"/>
  <c r="F266" i="6" s="1"/>
  <c r="H269" i="5" s="1"/>
  <c r="I269" i="5" s="1"/>
  <c r="G3045" i="7"/>
  <c r="H3045" i="7" s="1"/>
  <c r="E3057" i="7"/>
  <c r="L3057" i="7"/>
  <c r="D488" i="9"/>
  <c r="D490" i="9" s="1"/>
  <c r="D504" i="9" s="1"/>
  <c r="L3271" i="7"/>
  <c r="F3270" i="7"/>
  <c r="K2203" i="7"/>
  <c r="L2203" i="7" s="1"/>
  <c r="L2204" i="7" s="1"/>
  <c r="H507" i="6" s="1"/>
  <c r="L510" i="5" s="1"/>
  <c r="M510" i="5" s="1"/>
  <c r="I486" i="9"/>
  <c r="F486" i="9"/>
  <c r="I222" i="9"/>
  <c r="F222" i="9"/>
  <c r="C222" i="9" s="1"/>
  <c r="F224" i="9"/>
  <c r="F225" i="9" s="1"/>
  <c r="F254" i="9" s="1"/>
  <c r="E2724" i="7"/>
  <c r="L2724" i="7"/>
  <c r="J1374" i="7"/>
  <c r="J116" i="7"/>
  <c r="J878" i="7"/>
  <c r="E878" i="7"/>
  <c r="F3039" i="7"/>
  <c r="L3040" i="7"/>
  <c r="J1362" i="7"/>
  <c r="F2819" i="7"/>
  <c r="J2820" i="7"/>
  <c r="I1341" i="7"/>
  <c r="I3242" i="7"/>
  <c r="I3246" i="7"/>
  <c r="I478" i="9"/>
  <c r="E478" i="9"/>
  <c r="H359" i="5"/>
  <c r="I359" i="5" s="1"/>
  <c r="G513" i="7"/>
  <c r="H513" i="7" s="1"/>
  <c r="H514" i="7" s="1"/>
  <c r="F121" i="6" s="1"/>
  <c r="H124" i="5" s="1"/>
  <c r="I124" i="5" s="1"/>
  <c r="G2963" i="7"/>
  <c r="H2963" i="7" s="1"/>
  <c r="G463" i="7"/>
  <c r="H463" i="7" s="1"/>
  <c r="H465" i="7" s="1"/>
  <c r="F109" i="6" s="1"/>
  <c r="H112" i="5" s="1"/>
  <c r="I112" i="5" s="1"/>
  <c r="G1467" i="7"/>
  <c r="H1467" i="7" s="1"/>
  <c r="H1469" i="7" s="1"/>
  <c r="F345" i="6" s="1"/>
  <c r="H348" i="5" s="1"/>
  <c r="I348" i="5" s="1"/>
  <c r="E224" i="9"/>
  <c r="J3099" i="7"/>
  <c r="E521" i="7"/>
  <c r="J521" i="7"/>
  <c r="E2718" i="7"/>
  <c r="L2718" i="7"/>
  <c r="J337" i="7"/>
  <c r="F3561" i="7"/>
  <c r="L3562" i="7"/>
  <c r="J1358" i="7"/>
  <c r="J368" i="5"/>
  <c r="I549" i="7"/>
  <c r="I1515" i="7"/>
  <c r="I1640" i="7"/>
  <c r="H1353" i="7"/>
  <c r="C668" i="9"/>
  <c r="B668" i="9" s="1"/>
  <c r="E672" i="9"/>
  <c r="J762" i="7"/>
  <c r="J1485" i="7"/>
  <c r="F1485" i="7" s="1"/>
  <c r="E1485" i="7"/>
  <c r="G843" i="7"/>
  <c r="H843" i="7" s="1"/>
  <c r="H845" i="7" s="1"/>
  <c r="F200" i="6" s="1"/>
  <c r="H203" i="5" s="1"/>
  <c r="I203" i="5" s="1"/>
  <c r="G838" i="7"/>
  <c r="H838" i="7" s="1"/>
  <c r="H840" i="7" s="1"/>
  <c r="F199" i="6" s="1"/>
  <c r="H202" i="5" s="1"/>
  <c r="I202" i="5" s="1"/>
  <c r="G862" i="7"/>
  <c r="H862" i="7" s="1"/>
  <c r="H863" i="7" s="1"/>
  <c r="F204" i="6" s="1"/>
  <c r="H207" i="5" s="1"/>
  <c r="I207" i="5" s="1"/>
  <c r="G1009" i="7"/>
  <c r="H1009" i="7" s="1"/>
  <c r="H1011" i="7" s="1"/>
  <c r="F239" i="6" s="1"/>
  <c r="H242" i="5" s="1"/>
  <c r="I242" i="5" s="1"/>
  <c r="G858" i="7"/>
  <c r="H858" i="7" s="1"/>
  <c r="H859" i="7" s="1"/>
  <c r="F203" i="6" s="1"/>
  <c r="H206" i="5" s="1"/>
  <c r="I206" i="5" s="1"/>
  <c r="G1069" i="7"/>
  <c r="H1069" i="7" s="1"/>
  <c r="H1070" i="7" s="1"/>
  <c r="F251" i="6" s="1"/>
  <c r="H254" i="5" s="1"/>
  <c r="I254" i="5" s="1"/>
  <c r="K2842" i="7"/>
  <c r="L2842" i="7" s="1"/>
  <c r="L2843" i="7" s="1"/>
  <c r="H632" i="6" s="1"/>
  <c r="L635" i="5" s="1"/>
  <c r="M635" i="5" s="1"/>
  <c r="K2846" i="7"/>
  <c r="L2846" i="7" s="1"/>
  <c r="L2847" i="7" s="1"/>
  <c r="H633" i="6" s="1"/>
  <c r="L636" i="5" s="1"/>
  <c r="M636" i="5" s="1"/>
  <c r="F362" i="5"/>
  <c r="K362" i="5"/>
  <c r="G362" i="5" s="1"/>
  <c r="E87" i="9"/>
  <c r="C83" i="9"/>
  <c r="B83" i="9" s="1"/>
  <c r="H352" i="5"/>
  <c r="I352" i="5" s="1"/>
  <c r="G485" i="7"/>
  <c r="H485" i="7" s="1"/>
  <c r="H486" i="7" s="1"/>
  <c r="F114" i="6" s="1"/>
  <c r="H117" i="5" s="1"/>
  <c r="I117" i="5" s="1"/>
  <c r="G1432" i="7"/>
  <c r="H1432" i="7" s="1"/>
  <c r="H1434" i="7" s="1"/>
  <c r="F338" i="6" s="1"/>
  <c r="H341" i="5" s="1"/>
  <c r="I341" i="5" s="1"/>
  <c r="G428" i="7"/>
  <c r="H428" i="7" s="1"/>
  <c r="H430" i="7" s="1"/>
  <c r="F102" i="6" s="1"/>
  <c r="H105" i="5" s="1"/>
  <c r="I105" i="5" s="1"/>
  <c r="G2907" i="7"/>
  <c r="H2907" i="7" s="1"/>
  <c r="F3111" i="7"/>
  <c r="L3112" i="7"/>
  <c r="H675" i="6" s="1"/>
  <c r="K2329" i="7"/>
  <c r="L2329" i="7" s="1"/>
  <c r="L2331" i="7" s="1"/>
  <c r="H536" i="6" s="1"/>
  <c r="L539" i="5" s="1"/>
  <c r="M539" i="5" s="1"/>
  <c r="K2354" i="7"/>
  <c r="L2354" i="7" s="1"/>
  <c r="L2355" i="7" s="1"/>
  <c r="H542" i="6" s="1"/>
  <c r="L545" i="5" s="1"/>
  <c r="M545" i="5" s="1"/>
  <c r="E2378" i="7"/>
  <c r="J2378" i="7"/>
  <c r="I2366" i="7"/>
  <c r="I3470" i="7"/>
  <c r="I3475" i="7"/>
  <c r="I1125" i="7"/>
  <c r="I121" i="7"/>
  <c r="I321" i="7"/>
  <c r="I887" i="7"/>
  <c r="I738" i="7"/>
  <c r="I942" i="7"/>
  <c r="I3032" i="7"/>
  <c r="I3027" i="7"/>
  <c r="H360" i="5"/>
  <c r="I360" i="5" s="1"/>
  <c r="G2970" i="7"/>
  <c r="H2970" i="7" s="1"/>
  <c r="G1472" i="7"/>
  <c r="H1472" i="7" s="1"/>
  <c r="H1474" i="7" s="1"/>
  <c r="F346" i="6" s="1"/>
  <c r="H349" i="5" s="1"/>
  <c r="I349" i="5" s="1"/>
  <c r="G2842" i="7"/>
  <c r="H2842" i="7" s="1"/>
  <c r="H2843" i="7" s="1"/>
  <c r="F632" i="6" s="1"/>
  <c r="H635" i="5" s="1"/>
  <c r="I635" i="5" s="1"/>
  <c r="G2846" i="7"/>
  <c r="H2846" i="7" s="1"/>
  <c r="H2847" i="7" s="1"/>
  <c r="F633" i="6" s="1"/>
  <c r="H636" i="5" s="1"/>
  <c r="I636" i="5" s="1"/>
  <c r="H378" i="5"/>
  <c r="I378" i="5" s="1"/>
  <c r="G1502" i="7"/>
  <c r="H1502" i="7" s="1"/>
  <c r="H1504" i="7" s="1"/>
  <c r="F351" i="6" s="1"/>
  <c r="G589" i="7"/>
  <c r="H589" i="7" s="1"/>
  <c r="H590" i="7" s="1"/>
  <c r="F140" i="6" s="1"/>
  <c r="H143" i="5" s="1"/>
  <c r="I143" i="5" s="1"/>
  <c r="E3424" i="7"/>
  <c r="J3424" i="7"/>
  <c r="F3424" i="7" s="1"/>
  <c r="K2390" i="7"/>
  <c r="L2390" i="7" s="1"/>
  <c r="L2391" i="7" s="1"/>
  <c r="H551" i="6" s="1"/>
  <c r="L554" i="5" s="1"/>
  <c r="M554" i="5" s="1"/>
  <c r="K3469" i="7"/>
  <c r="L3469" i="7" s="1"/>
  <c r="L3471" i="7" s="1"/>
  <c r="H737" i="6" s="1"/>
  <c r="K593" i="5"/>
  <c r="F631" i="5"/>
  <c r="K631" i="5"/>
  <c r="G631" i="5" s="1"/>
  <c r="J591" i="5"/>
  <c r="I2606" i="7"/>
  <c r="I2532" i="7"/>
  <c r="G3241" i="7"/>
  <c r="H3241" i="7" s="1"/>
  <c r="H3243" i="7" s="1"/>
  <c r="F697" i="6" s="1"/>
  <c r="G1381" i="7"/>
  <c r="H1381" i="7" s="1"/>
  <c r="H1382" i="7" s="1"/>
  <c r="F326" i="6" s="1"/>
  <c r="H329" i="5" s="1"/>
  <c r="I329" i="5" s="1"/>
  <c r="J967" i="7"/>
  <c r="L372" i="9"/>
  <c r="D374" i="9"/>
  <c r="D375" i="9" s="1"/>
  <c r="D404" i="9" s="1"/>
  <c r="F574" i="5"/>
  <c r="K574" i="5"/>
  <c r="G574" i="5" s="1"/>
  <c r="E565" i="7"/>
  <c r="J565" i="7"/>
  <c r="H3332" i="7"/>
  <c r="J367" i="5"/>
  <c r="I545" i="7"/>
  <c r="I1509" i="7"/>
  <c r="I1635" i="7"/>
  <c r="F2558" i="7"/>
  <c r="L2559" i="7"/>
  <c r="E1497" i="7"/>
  <c r="J1497" i="7"/>
  <c r="F1497" i="7" s="1"/>
  <c r="F1650" i="7"/>
  <c r="J1651" i="7"/>
  <c r="I422" i="9"/>
  <c r="F422" i="9"/>
  <c r="F2670" i="7"/>
  <c r="J2673" i="7"/>
  <c r="F2712" i="7"/>
  <c r="L2713" i="7"/>
  <c r="J2875" i="7"/>
  <c r="F2874" i="7"/>
  <c r="F705" i="9"/>
  <c r="H16" i="8"/>
  <c r="K3003" i="7" s="1"/>
  <c r="L3003" i="7" s="1"/>
  <c r="L3004" i="7" s="1"/>
  <c r="H657" i="6" s="1"/>
  <c r="L660" i="5" s="1"/>
  <c r="M660" i="5" s="1"/>
  <c r="F660" i="6"/>
  <c r="G1305" i="7"/>
  <c r="H1305" i="7" s="1"/>
  <c r="H1306" i="7" s="1"/>
  <c r="F307" i="6" s="1"/>
  <c r="H310" i="5" s="1"/>
  <c r="I310" i="5" s="1"/>
  <c r="G1257" i="7"/>
  <c r="H1257" i="7" s="1"/>
  <c r="H1259" i="7" s="1"/>
  <c r="F297" i="6" s="1"/>
  <c r="H300" i="5" s="1"/>
  <c r="I300" i="5" s="1"/>
  <c r="E525" i="7"/>
  <c r="J525" i="7"/>
  <c r="H598" i="5"/>
  <c r="I598" i="5" s="1"/>
  <c r="G2537" i="7"/>
  <c r="H2537" i="7" s="1"/>
  <c r="H2539" i="7" s="1"/>
  <c r="F583" i="6" s="1"/>
  <c r="H586" i="5" s="1"/>
  <c r="I586" i="5" s="1"/>
  <c r="K577" i="5"/>
  <c r="G577" i="5" s="1"/>
  <c r="F577" i="5"/>
  <c r="L2794" i="7"/>
  <c r="E2794" i="7"/>
  <c r="D655" i="9"/>
  <c r="F15" i="8"/>
  <c r="G2998" i="7" s="1"/>
  <c r="H2998" i="7" s="1"/>
  <c r="H2999" i="7" s="1"/>
  <c r="F656" i="6" s="1"/>
  <c r="H659" i="5" s="1"/>
  <c r="I659" i="5" s="1"/>
  <c r="C516" i="9"/>
  <c r="E554" i="9"/>
  <c r="K575" i="5"/>
  <c r="G575" i="5" s="1"/>
  <c r="F575" i="5"/>
  <c r="I1345" i="7"/>
  <c r="I3259" i="7"/>
  <c r="I3263" i="7"/>
  <c r="J345" i="7"/>
  <c r="L2572" i="7"/>
  <c r="E2572" i="7"/>
  <c r="E1615" i="7"/>
  <c r="J1615" i="7"/>
  <c r="E325" i="9"/>
  <c r="C370" i="9"/>
  <c r="B370" i="9" s="1"/>
  <c r="G710" i="6"/>
  <c r="D87" i="9"/>
  <c r="H595" i="5"/>
  <c r="I595" i="5" s="1"/>
  <c r="G2525" i="7"/>
  <c r="H2525" i="7" s="1"/>
  <c r="H2527" i="7" s="1"/>
  <c r="F581" i="6" s="1"/>
  <c r="H584" i="5" s="1"/>
  <c r="I584" i="5" s="1"/>
  <c r="L3201" i="7"/>
  <c r="E3201" i="7"/>
  <c r="K641" i="5"/>
  <c r="I1982" i="7"/>
  <c r="I1889" i="7"/>
  <c r="I2183" i="7"/>
  <c r="I2276" i="7"/>
  <c r="I2450" i="7"/>
  <c r="I3362" i="7"/>
  <c r="I2093" i="7"/>
  <c r="I3367" i="7"/>
  <c r="I1799" i="7"/>
  <c r="G2142" i="7"/>
  <c r="H2142" i="7" s="1"/>
  <c r="H2144" i="7" s="1"/>
  <c r="F492" i="6" s="1"/>
  <c r="H495" i="5" s="1"/>
  <c r="I495" i="5" s="1"/>
  <c r="G2064" i="7"/>
  <c r="H2064" i="7" s="1"/>
  <c r="H2066" i="7" s="1"/>
  <c r="F474" i="6" s="1"/>
  <c r="H477" i="5" s="1"/>
  <c r="I477" i="5" s="1"/>
  <c r="G2167" i="7"/>
  <c r="H2167" i="7" s="1"/>
  <c r="H2168" i="7" s="1"/>
  <c r="F498" i="6" s="1"/>
  <c r="H501" i="5" s="1"/>
  <c r="I501" i="5" s="1"/>
  <c r="J3009" i="7"/>
  <c r="L3094" i="7"/>
  <c r="F3093" i="7"/>
  <c r="F2663" i="7"/>
  <c r="J2666" i="7"/>
  <c r="E2358" i="7"/>
  <c r="J2358" i="7"/>
  <c r="J3158" i="7"/>
  <c r="K590" i="5"/>
  <c r="J774" i="7"/>
  <c r="J1970" i="7"/>
  <c r="E1970" i="7"/>
  <c r="L3165" i="7"/>
  <c r="E3165" i="7"/>
  <c r="F1724" i="7"/>
  <c r="J1726" i="7"/>
  <c r="J589" i="5"/>
  <c r="I2526" i="7"/>
  <c r="I2596" i="7"/>
  <c r="K404" i="5"/>
  <c r="G404" i="5" s="1"/>
  <c r="F404" i="5"/>
  <c r="E374" i="9"/>
  <c r="C369" i="9"/>
  <c r="B369" i="9" s="1"/>
  <c r="J2269" i="7"/>
  <c r="E3401" i="7"/>
  <c r="J3401" i="7"/>
  <c r="J317" i="7"/>
  <c r="E174" i="9"/>
  <c r="C169" i="9"/>
  <c r="B169" i="9" s="1"/>
  <c r="L358" i="5"/>
  <c r="M358" i="5" s="1"/>
  <c r="K509" i="7"/>
  <c r="L509" i="7" s="1"/>
  <c r="L510" i="7" s="1"/>
  <c r="H120" i="6" s="1"/>
  <c r="L123" i="5" s="1"/>
  <c r="M123" i="5" s="1"/>
  <c r="K458" i="7"/>
  <c r="L458" i="7" s="1"/>
  <c r="L460" i="7" s="1"/>
  <c r="H108" i="6" s="1"/>
  <c r="L111" i="5" s="1"/>
  <c r="M111" i="5" s="1"/>
  <c r="K1462" i="7"/>
  <c r="L1462" i="7" s="1"/>
  <c r="L1464" i="7" s="1"/>
  <c r="H344" i="6" s="1"/>
  <c r="L347" i="5" s="1"/>
  <c r="M347" i="5" s="1"/>
  <c r="K2956" i="7"/>
  <c r="L2956" i="7" s="1"/>
  <c r="L2957" i="7" s="1"/>
  <c r="E1625" i="7"/>
  <c r="J1625" i="7"/>
  <c r="F2698" i="7"/>
  <c r="J2701" i="7"/>
  <c r="J3135" i="7"/>
  <c r="F625" i="6"/>
  <c r="H628" i="5" s="1"/>
  <c r="J2764" i="7"/>
  <c r="H357" i="5"/>
  <c r="I357" i="5" s="1"/>
  <c r="G453" i="7"/>
  <c r="H453" i="7" s="1"/>
  <c r="H455" i="7" s="1"/>
  <c r="F107" i="6" s="1"/>
  <c r="H110" i="5" s="1"/>
  <c r="I110" i="5" s="1"/>
  <c r="G505" i="7"/>
  <c r="H505" i="7" s="1"/>
  <c r="H506" i="7" s="1"/>
  <c r="F119" i="6" s="1"/>
  <c r="H122" i="5" s="1"/>
  <c r="I122" i="5" s="1"/>
  <c r="G1457" i="7"/>
  <c r="H1457" i="7" s="1"/>
  <c r="H1459" i="7" s="1"/>
  <c r="F343" i="6" s="1"/>
  <c r="H346" i="5" s="1"/>
  <c r="I346" i="5" s="1"/>
  <c r="G2949" i="7"/>
  <c r="H2949" i="7" s="1"/>
  <c r="K618" i="5"/>
  <c r="F364" i="5"/>
  <c r="K364" i="5"/>
  <c r="G364" i="5" s="1"/>
  <c r="F2867" i="7"/>
  <c r="J2868" i="7"/>
  <c r="C484" i="9"/>
  <c r="B484" i="9" s="1"/>
  <c r="F2818" i="7"/>
  <c r="L2820" i="7"/>
  <c r="H630" i="6" s="1"/>
  <c r="L633" i="5" s="1"/>
  <c r="M633" i="5" s="1"/>
  <c r="H591" i="5"/>
  <c r="I591" i="5" s="1"/>
  <c r="G2606" i="7"/>
  <c r="H2606" i="7" s="1"/>
  <c r="H2607" i="7" s="1"/>
  <c r="F594" i="6" s="1"/>
  <c r="G2532" i="7"/>
  <c r="H2532" i="7" s="1"/>
  <c r="F363" i="5"/>
  <c r="K363" i="5"/>
  <c r="G363" i="5" s="1"/>
  <c r="I322" i="9"/>
  <c r="F322" i="9"/>
  <c r="F87" i="9"/>
  <c r="H36" i="12"/>
  <c r="F33" i="12"/>
  <c r="I1986" i="7"/>
  <c r="I2097" i="7"/>
  <c r="I1803" i="7"/>
  <c r="I2187" i="7"/>
  <c r="I3384" i="7"/>
  <c r="I2454" i="7"/>
  <c r="I1893" i="7"/>
  <c r="I3430" i="7"/>
  <c r="I2280" i="7"/>
  <c r="I3379" i="7"/>
  <c r="G782" i="7"/>
  <c r="H782" i="7" s="1"/>
  <c r="H783" i="7" s="1"/>
  <c r="F185" i="6" s="1"/>
  <c r="H188" i="5" s="1"/>
  <c r="I188" i="5" s="1"/>
  <c r="G3189" i="7"/>
  <c r="H3189" i="7" s="1"/>
  <c r="G361" i="7"/>
  <c r="H361" i="7" s="1"/>
  <c r="H362" i="7" s="1"/>
  <c r="F86" i="6" s="1"/>
  <c r="H89" i="5" s="1"/>
  <c r="I89" i="5" s="1"/>
  <c r="G3194" i="7"/>
  <c r="H3194" i="7" s="1"/>
  <c r="H3195" i="7" s="1"/>
  <c r="F689" i="6" s="1"/>
  <c r="L2552" i="7"/>
  <c r="F2551" i="7"/>
  <c r="J1975" i="7"/>
  <c r="G3275" i="7"/>
  <c r="H3275" i="7" s="1"/>
  <c r="H3277" i="7" s="1"/>
  <c r="F703" i="6" s="1"/>
  <c r="G1389" i="7"/>
  <c r="H1389" i="7" s="1"/>
  <c r="H1390" i="7" s="1"/>
  <c r="F328" i="6" s="1"/>
  <c r="H331" i="5" s="1"/>
  <c r="I331" i="5" s="1"/>
  <c r="J2192" i="7"/>
  <c r="I272" i="9"/>
  <c r="F272" i="9"/>
  <c r="C272" i="9" s="1"/>
  <c r="J2176" i="7"/>
  <c r="H379" i="5"/>
  <c r="I379" i="5" s="1"/>
  <c r="G593" i="7"/>
  <c r="H593" i="7" s="1"/>
  <c r="H594" i="7" s="1"/>
  <c r="F141" i="6" s="1"/>
  <c r="H144" i="5" s="1"/>
  <c r="I144" i="5" s="1"/>
  <c r="G1508" i="7"/>
  <c r="H1508" i="7" s="1"/>
  <c r="H1510" i="7" s="1"/>
  <c r="F352" i="6" s="1"/>
  <c r="F22" i="12"/>
  <c r="H25" i="12"/>
  <c r="H353" i="5"/>
  <c r="I353" i="5" s="1"/>
  <c r="G489" i="7"/>
  <c r="H489" i="7" s="1"/>
  <c r="H490" i="7" s="1"/>
  <c r="F115" i="6" s="1"/>
  <c r="H118" i="5" s="1"/>
  <c r="I118" i="5" s="1"/>
  <c r="G433" i="7"/>
  <c r="H433" i="7" s="1"/>
  <c r="H435" i="7" s="1"/>
  <c r="F103" i="6" s="1"/>
  <c r="H106" i="5" s="1"/>
  <c r="I106" i="5" s="1"/>
  <c r="G1437" i="7"/>
  <c r="H1437" i="7" s="1"/>
  <c r="H1439" i="7" s="1"/>
  <c r="F339" i="6" s="1"/>
  <c r="H342" i="5" s="1"/>
  <c r="I342" i="5" s="1"/>
  <c r="G2914" i="7"/>
  <c r="H2914" i="7" s="1"/>
  <c r="E3396" i="7"/>
  <c r="J3396" i="7"/>
  <c r="F3396" i="7" s="1"/>
  <c r="D51" i="9"/>
  <c r="F51" i="9"/>
  <c r="F2677" i="7"/>
  <c r="J2680" i="7"/>
  <c r="J2616" i="7"/>
  <c r="F611" i="6"/>
  <c r="H614" i="5" s="1"/>
  <c r="E2264" i="7"/>
  <c r="J2264" i="7"/>
  <c r="E1117" i="7"/>
  <c r="J1117" i="7"/>
  <c r="J349" i="7"/>
  <c r="J366" i="5"/>
  <c r="I541" i="7"/>
  <c r="I1503" i="7"/>
  <c r="I1630" i="7"/>
  <c r="C270" i="9"/>
  <c r="B270" i="9" s="1"/>
  <c r="H351" i="5"/>
  <c r="I351" i="5" s="1"/>
  <c r="G481" i="7"/>
  <c r="H481" i="7" s="1"/>
  <c r="H482" i="7" s="1"/>
  <c r="F113" i="6" s="1"/>
  <c r="H116" i="5" s="1"/>
  <c r="I116" i="5" s="1"/>
  <c r="G423" i="7"/>
  <c r="H423" i="7" s="1"/>
  <c r="H425" i="7" s="1"/>
  <c r="F101" i="6" s="1"/>
  <c r="H104" i="5" s="1"/>
  <c r="I104" i="5" s="1"/>
  <c r="G1427" i="7"/>
  <c r="H1427" i="7" s="1"/>
  <c r="H1429" i="7" s="1"/>
  <c r="F337" i="6" s="1"/>
  <c r="H340" i="5" s="1"/>
  <c r="I340" i="5" s="1"/>
  <c r="G2900" i="7"/>
  <c r="H2900" i="7" s="1"/>
  <c r="G2059" i="7"/>
  <c r="H2059" i="7" s="1"/>
  <c r="H2061" i="7" s="1"/>
  <c r="F473" i="6" s="1"/>
  <c r="H476" i="5" s="1"/>
  <c r="I476" i="5" s="1"/>
  <c r="G2081" i="7"/>
  <c r="H2081" i="7" s="1"/>
  <c r="H2082" i="7" s="1"/>
  <c r="F478" i="6" s="1"/>
  <c r="H481" i="5" s="1"/>
  <c r="I481" i="5" s="1"/>
  <c r="G1770" i="7"/>
  <c r="H1770" i="7" s="1"/>
  <c r="H1772" i="7" s="1"/>
  <c r="F405" i="6" s="1"/>
  <c r="H408" i="5" s="1"/>
  <c r="I408" i="5" s="1"/>
  <c r="G2163" i="7"/>
  <c r="H2163" i="7" s="1"/>
  <c r="H2164" i="7" s="1"/>
  <c r="F497" i="6" s="1"/>
  <c r="H500" i="5" s="1"/>
  <c r="I500" i="5" s="1"/>
  <c r="G1787" i="7"/>
  <c r="H1787" i="7" s="1"/>
  <c r="H1788" i="7" s="1"/>
  <c r="F409" i="6" s="1"/>
  <c r="H412" i="5" s="1"/>
  <c r="I412" i="5" s="1"/>
  <c r="G1843" i="7"/>
  <c r="H1843" i="7" s="1"/>
  <c r="H1845" i="7" s="1"/>
  <c r="F422" i="6" s="1"/>
  <c r="H425" i="5" s="1"/>
  <c r="I425" i="5" s="1"/>
  <c r="G1945" i="7"/>
  <c r="H1945" i="7" s="1"/>
  <c r="H1947" i="7" s="1"/>
  <c r="F446" i="6" s="1"/>
  <c r="H449" i="5" s="1"/>
  <c r="I449" i="5" s="1"/>
  <c r="G2239" i="7"/>
  <c r="H2239" i="7" s="1"/>
  <c r="H2241" i="7" s="1"/>
  <c r="F515" i="6" s="1"/>
  <c r="H518" i="5" s="1"/>
  <c r="I518" i="5" s="1"/>
  <c r="G2421" i="7"/>
  <c r="H2421" i="7" s="1"/>
  <c r="H2423" i="7" s="1"/>
  <c r="F558" i="6" s="1"/>
  <c r="H561" i="5" s="1"/>
  <c r="I561" i="5" s="1"/>
  <c r="G2438" i="7"/>
  <c r="H2438" i="7" s="1"/>
  <c r="H2439" i="7" s="1"/>
  <c r="F562" i="6" s="1"/>
  <c r="H565" i="5" s="1"/>
  <c r="I565" i="5" s="1"/>
  <c r="G1966" i="7"/>
  <c r="H1966" i="7" s="1"/>
  <c r="H1967" i="7" s="1"/>
  <c r="F451" i="6" s="1"/>
  <c r="H454" i="5" s="1"/>
  <c r="I454" i="5" s="1"/>
  <c r="G2260" i="7"/>
  <c r="H2260" i="7" s="1"/>
  <c r="H2261" i="7" s="1"/>
  <c r="F520" i="6" s="1"/>
  <c r="H523" i="5" s="1"/>
  <c r="I523" i="5" s="1"/>
  <c r="G2137" i="7"/>
  <c r="H2137" i="7" s="1"/>
  <c r="H2139" i="7" s="1"/>
  <c r="F491" i="6" s="1"/>
  <c r="H494" i="5" s="1"/>
  <c r="I494" i="5" s="1"/>
  <c r="G1869" i="7"/>
  <c r="H1869" i="7" s="1"/>
  <c r="H1870" i="7" s="1"/>
  <c r="F428" i="6" s="1"/>
  <c r="H431" i="5" s="1"/>
  <c r="I431" i="5" s="1"/>
  <c r="J1721" i="7"/>
  <c r="F1719" i="7"/>
  <c r="H594" i="5"/>
  <c r="I594" i="5" s="1"/>
  <c r="G2519" i="7"/>
  <c r="H2519" i="7" s="1"/>
  <c r="H2521" i="7" s="1"/>
  <c r="F580" i="6" s="1"/>
  <c r="H583" i="5" s="1"/>
  <c r="I583" i="5" s="1"/>
  <c r="G2513" i="7"/>
  <c r="H2513" i="7" s="1"/>
  <c r="H2515" i="7" s="1"/>
  <c r="F579" i="6" s="1"/>
  <c r="H582" i="5" s="1"/>
  <c r="I582" i="5" s="1"/>
  <c r="E2032" i="7"/>
  <c r="J2032" i="7"/>
  <c r="F557" i="7"/>
  <c r="J558" i="7"/>
  <c r="F1690" i="7"/>
  <c r="J1691" i="7"/>
  <c r="K2304" i="7"/>
  <c r="L2304" i="7" s="1"/>
  <c r="L2306" i="7" s="1"/>
  <c r="H531" i="6" s="1"/>
  <c r="L534" i="5" s="1"/>
  <c r="M534" i="5" s="1"/>
  <c r="K2334" i="7"/>
  <c r="L2334" i="7" s="1"/>
  <c r="L2335" i="7" s="1"/>
  <c r="H537" i="6" s="1"/>
  <c r="L540" i="5" s="1"/>
  <c r="M540" i="5" s="1"/>
  <c r="G2398" i="7"/>
  <c r="H2398" i="7" s="1"/>
  <c r="H2399" i="7" s="1"/>
  <c r="F553" i="6" s="1"/>
  <c r="H556" i="5" s="1"/>
  <c r="I556" i="5" s="1"/>
  <c r="G3503" i="7"/>
  <c r="H3503" i="7" s="1"/>
  <c r="H3505" i="7" s="1"/>
  <c r="F743" i="6" s="1"/>
  <c r="G1239" i="7"/>
  <c r="H1239" i="7" s="1"/>
  <c r="H1240" i="7" s="1"/>
  <c r="F293" i="6" s="1"/>
  <c r="H296" i="5" s="1"/>
  <c r="I296" i="5" s="1"/>
  <c r="G1377" i="7"/>
  <c r="H1377" i="7" s="1"/>
  <c r="H1378" i="7" s="1"/>
  <c r="F325" i="6" s="1"/>
  <c r="H328" i="5" s="1"/>
  <c r="I328" i="5" s="1"/>
  <c r="G1243" i="7"/>
  <c r="H1243" i="7" s="1"/>
  <c r="H1244" i="7" s="1"/>
  <c r="F294" i="6" s="1"/>
  <c r="H297" i="5" s="1"/>
  <c r="I297" i="5" s="1"/>
  <c r="G3224" i="7"/>
  <c r="H3224" i="7" s="1"/>
  <c r="H3226" i="7" s="1"/>
  <c r="F694" i="6" s="1"/>
  <c r="J2759" i="7"/>
  <c r="F395" i="5"/>
  <c r="K395" i="5"/>
  <c r="G395" i="5" s="1"/>
  <c r="J2825" i="7"/>
  <c r="E2825" i="7"/>
  <c r="J588" i="5"/>
  <c r="I2514" i="7"/>
  <c r="I2591" i="7"/>
  <c r="I2520" i="7"/>
  <c r="F372" i="5"/>
  <c r="K372" i="5"/>
  <c r="G372" i="5" s="1"/>
  <c r="E722" i="9"/>
  <c r="C718" i="9"/>
  <c r="B718" i="9" s="1"/>
  <c r="F675" i="6"/>
  <c r="F3567" i="7"/>
  <c r="L3568" i="7"/>
  <c r="G2304" i="7"/>
  <c r="H2304" i="7" s="1"/>
  <c r="H2306" i="7" s="1"/>
  <c r="F531" i="6" s="1"/>
  <c r="H534" i="5" s="1"/>
  <c r="I534" i="5" s="1"/>
  <c r="G2334" i="7"/>
  <c r="H2334" i="7" s="1"/>
  <c r="H2335" i="7" s="1"/>
  <c r="F537" i="6" s="1"/>
  <c r="H540" i="5" s="1"/>
  <c r="I540" i="5" s="1"/>
  <c r="F578" i="5"/>
  <c r="K578" i="5"/>
  <c r="G578" i="5" s="1"/>
  <c r="J1676" i="7"/>
  <c r="F1675" i="7"/>
  <c r="J2086" i="7"/>
  <c r="G1393" i="7"/>
  <c r="H1393" i="7" s="1"/>
  <c r="H1394" i="7" s="1"/>
  <c r="F329" i="6" s="1"/>
  <c r="H332" i="5" s="1"/>
  <c r="I332" i="5" s="1"/>
  <c r="G3292" i="7"/>
  <c r="H3292" i="7" s="1"/>
  <c r="H3294" i="7" s="1"/>
  <c r="F706" i="6" s="1"/>
  <c r="K2155" i="7"/>
  <c r="L2155" i="7" s="1"/>
  <c r="L2156" i="7" s="1"/>
  <c r="H495" i="6" s="1"/>
  <c r="L498" i="5" s="1"/>
  <c r="M498" i="5" s="1"/>
  <c r="K1833" i="7"/>
  <c r="L1833" i="7" s="1"/>
  <c r="L1835" i="7" s="1"/>
  <c r="H420" i="6" s="1"/>
  <c r="L423" i="5" s="1"/>
  <c r="M423" i="5" s="1"/>
  <c r="K2430" i="7"/>
  <c r="L2430" i="7" s="1"/>
  <c r="L2431" i="7" s="1"/>
  <c r="H560" i="6" s="1"/>
  <c r="L563" i="5" s="1"/>
  <c r="M563" i="5" s="1"/>
  <c r="K2073" i="7"/>
  <c r="L2073" i="7" s="1"/>
  <c r="L2074" i="7" s="1"/>
  <c r="H476" i="6" s="1"/>
  <c r="L479" i="5" s="1"/>
  <c r="M479" i="5" s="1"/>
  <c r="K2127" i="7"/>
  <c r="L2127" i="7" s="1"/>
  <c r="L2129" i="7" s="1"/>
  <c r="H489" i="6" s="1"/>
  <c r="L492" i="5" s="1"/>
  <c r="M492" i="5" s="1"/>
  <c r="K1935" i="7"/>
  <c r="L1935" i="7" s="1"/>
  <c r="L1937" i="7" s="1"/>
  <c r="H444" i="6" s="1"/>
  <c r="L447" i="5" s="1"/>
  <c r="M447" i="5" s="1"/>
  <c r="K2411" i="7"/>
  <c r="L2411" i="7" s="1"/>
  <c r="L2413" i="7" s="1"/>
  <c r="H556" i="6" s="1"/>
  <c r="L559" i="5" s="1"/>
  <c r="M559" i="5" s="1"/>
  <c r="K1779" i="7"/>
  <c r="L1779" i="7" s="1"/>
  <c r="L1780" i="7" s="1"/>
  <c r="H407" i="6" s="1"/>
  <c r="L410" i="5" s="1"/>
  <c r="M410" i="5" s="1"/>
  <c r="K1861" i="7"/>
  <c r="L1861" i="7" s="1"/>
  <c r="L1862" i="7" s="1"/>
  <c r="H426" i="6" s="1"/>
  <c r="L429" i="5" s="1"/>
  <c r="M429" i="5" s="1"/>
  <c r="K1958" i="7"/>
  <c r="L1958" i="7" s="1"/>
  <c r="L1959" i="7" s="1"/>
  <c r="H449" i="6" s="1"/>
  <c r="L452" i="5" s="1"/>
  <c r="M452" i="5" s="1"/>
  <c r="K2229" i="7"/>
  <c r="L2229" i="7" s="1"/>
  <c r="L2231" i="7" s="1"/>
  <c r="H513" i="6" s="1"/>
  <c r="L516" i="5" s="1"/>
  <c r="M516" i="5" s="1"/>
  <c r="K2049" i="7"/>
  <c r="L2049" i="7" s="1"/>
  <c r="L2051" i="7" s="1"/>
  <c r="H471" i="6" s="1"/>
  <c r="L474" i="5" s="1"/>
  <c r="M474" i="5" s="1"/>
  <c r="K2252" i="7"/>
  <c r="L2252" i="7" s="1"/>
  <c r="L2253" i="7" s="1"/>
  <c r="H518" i="6" s="1"/>
  <c r="L521" i="5" s="1"/>
  <c r="M521" i="5" s="1"/>
  <c r="K1760" i="7"/>
  <c r="L1760" i="7" s="1"/>
  <c r="L1762" i="7" s="1"/>
  <c r="H403" i="6" s="1"/>
  <c r="L406" i="5" s="1"/>
  <c r="M406" i="5" s="1"/>
  <c r="E3521" i="7"/>
  <c r="J3521" i="7"/>
  <c r="F3521" i="7" s="1"/>
  <c r="G623" i="6"/>
  <c r="J626" i="5" s="1"/>
  <c r="F1695" i="7"/>
  <c r="J1696" i="7"/>
  <c r="F2691" i="7"/>
  <c r="J2694" i="7"/>
  <c r="G624" i="6"/>
  <c r="J627" i="5" s="1"/>
  <c r="F2776" i="7"/>
  <c r="E624" i="6" s="1"/>
  <c r="G319" i="6"/>
  <c r="J322" i="5" s="1"/>
  <c r="L3237" i="7"/>
  <c r="F3236" i="7"/>
  <c r="D305" i="9"/>
  <c r="F8" i="8"/>
  <c r="G3548" i="7" s="1"/>
  <c r="H3548" i="7" s="1"/>
  <c r="H3549" i="7" s="1"/>
  <c r="F752" i="6" s="1"/>
  <c r="G2636" i="7" s="1"/>
  <c r="H2636" i="7" s="1"/>
  <c r="H2637" i="7" s="1"/>
  <c r="F600" i="6" s="1"/>
  <c r="H603" i="5" s="1"/>
  <c r="I603" i="5" s="1"/>
  <c r="F3321" i="7"/>
  <c r="L3322" i="7"/>
  <c r="F2787" i="7"/>
  <c r="L2788" i="7"/>
  <c r="H2958" i="7"/>
  <c r="E2958" i="7"/>
  <c r="E2370" i="7"/>
  <c r="K655" i="5"/>
  <c r="K2394" i="7"/>
  <c r="L2394" i="7" s="1"/>
  <c r="L2395" i="7" s="1"/>
  <c r="H552" i="6" s="1"/>
  <c r="L555" i="5" s="1"/>
  <c r="M555" i="5" s="1"/>
  <c r="K3486" i="7"/>
  <c r="L3486" i="7" s="1"/>
  <c r="L3488" i="7" s="1"/>
  <c r="H740" i="6" s="1"/>
  <c r="G2402" i="7"/>
  <c r="H2402" i="7" s="1"/>
  <c r="H2403" i="7" s="1"/>
  <c r="F554" i="6" s="1"/>
  <c r="H557" i="5" s="1"/>
  <c r="I557" i="5" s="1"/>
  <c r="G3520" i="7"/>
  <c r="H3520" i="7" s="1"/>
  <c r="H3522" i="7" s="1"/>
  <c r="F746" i="6" s="1"/>
  <c r="H361" i="5"/>
  <c r="I361" i="5" s="1"/>
  <c r="G1442" i="7"/>
  <c r="H1442" i="7" s="1"/>
  <c r="H1444" i="7" s="1"/>
  <c r="F340" i="6" s="1"/>
  <c r="H343" i="5" s="1"/>
  <c r="I343" i="5" s="1"/>
  <c r="G468" i="7"/>
  <c r="H468" i="7" s="1"/>
  <c r="H470" i="7" s="1"/>
  <c r="F110" i="6" s="1"/>
  <c r="H113" i="5" s="1"/>
  <c r="I113" i="5" s="1"/>
  <c r="G517" i="7"/>
  <c r="H517" i="7" s="1"/>
  <c r="H518" i="7" s="1"/>
  <c r="F122" i="6" s="1"/>
  <c r="H125" i="5" s="1"/>
  <c r="I125" i="5" s="1"/>
  <c r="G2977" i="7"/>
  <c r="H2977" i="7" s="1"/>
  <c r="F1680" i="7"/>
  <c r="J1681" i="7"/>
  <c r="G665" i="5"/>
  <c r="G664" i="5" s="1"/>
  <c r="K664" i="5"/>
  <c r="I754" i="7"/>
  <c r="I341" i="7"/>
  <c r="I758" i="7"/>
  <c r="I3122" i="7"/>
  <c r="I1145" i="7"/>
  <c r="I3117" i="7"/>
  <c r="F587" i="6"/>
  <c r="E3212" i="7"/>
  <c r="J3212" i="7"/>
  <c r="F684" i="6"/>
  <c r="L357" i="5"/>
  <c r="M357" i="5" s="1"/>
  <c r="K453" i="7"/>
  <c r="L453" i="7" s="1"/>
  <c r="L455" i="7" s="1"/>
  <c r="H107" i="6" s="1"/>
  <c r="L110" i="5" s="1"/>
  <c r="M110" i="5" s="1"/>
  <c r="K1457" i="7"/>
  <c r="L1457" i="7" s="1"/>
  <c r="L1459" i="7" s="1"/>
  <c r="H343" i="6" s="1"/>
  <c r="L346" i="5" s="1"/>
  <c r="M346" i="5" s="1"/>
  <c r="K505" i="7"/>
  <c r="L505" i="7" s="1"/>
  <c r="L506" i="7" s="1"/>
  <c r="H119" i="6" s="1"/>
  <c r="L122" i="5" s="1"/>
  <c r="M122" i="5" s="1"/>
  <c r="K2949" i="7"/>
  <c r="L2949" i="7" s="1"/>
  <c r="L2950" i="7" s="1"/>
  <c r="K173" i="7"/>
  <c r="L173" i="7" s="1"/>
  <c r="L174" i="7" s="1"/>
  <c r="H42" i="6" s="1"/>
  <c r="L45" i="5" s="1"/>
  <c r="M45" i="5" s="1"/>
  <c r="K1029" i="7"/>
  <c r="L1029" i="7" s="1"/>
  <c r="L1031" i="7" s="1"/>
  <c r="H243" i="6" s="1"/>
  <c r="L246" i="5" s="1"/>
  <c r="M246" i="5" s="1"/>
  <c r="K798" i="7"/>
  <c r="L798" i="7" s="1"/>
  <c r="L799" i="7" s="1"/>
  <c r="H189" i="6" s="1"/>
  <c r="L192" i="5" s="1"/>
  <c r="M192" i="5" s="1"/>
  <c r="K377" i="7"/>
  <c r="L377" i="7" s="1"/>
  <c r="L378" i="7" s="1"/>
  <c r="H90" i="6" s="1"/>
  <c r="L93" i="5" s="1"/>
  <c r="M93" i="5" s="1"/>
  <c r="K3062" i="7"/>
  <c r="L3062" i="7" s="1"/>
  <c r="L3064" i="7" s="1"/>
  <c r="H667" i="6" s="1"/>
  <c r="K1181" i="7"/>
  <c r="L1181" i="7" s="1"/>
  <c r="L1182" i="7" s="1"/>
  <c r="H279" i="6" s="1"/>
  <c r="L282" i="5" s="1"/>
  <c r="M282" i="5" s="1"/>
  <c r="E1734" i="7"/>
  <c r="J1734" i="7"/>
  <c r="J1157" i="7"/>
  <c r="C75" i="9"/>
  <c r="B75" i="9" s="1"/>
  <c r="L353" i="5"/>
  <c r="M353" i="5" s="1"/>
  <c r="K489" i="7"/>
  <c r="L489" i="7" s="1"/>
  <c r="L490" i="7" s="1"/>
  <c r="H115" i="6" s="1"/>
  <c r="L118" i="5" s="1"/>
  <c r="M118" i="5" s="1"/>
  <c r="K1437" i="7"/>
  <c r="L1437" i="7" s="1"/>
  <c r="L1439" i="7" s="1"/>
  <c r="H339" i="6" s="1"/>
  <c r="L342" i="5" s="1"/>
  <c r="M342" i="5" s="1"/>
  <c r="K2914" i="7"/>
  <c r="L2914" i="7" s="1"/>
  <c r="L2915" i="7" s="1"/>
  <c r="K433" i="7"/>
  <c r="L433" i="7" s="1"/>
  <c r="L435" i="7" s="1"/>
  <c r="H103" i="6" s="1"/>
  <c r="L106" i="5" s="1"/>
  <c r="M106" i="5" s="1"/>
  <c r="K2324" i="7"/>
  <c r="L2324" i="7" s="1"/>
  <c r="L2326" i="7" s="1"/>
  <c r="H535" i="6" s="1"/>
  <c r="L538" i="5" s="1"/>
  <c r="M538" i="5" s="1"/>
  <c r="K2350" i="7"/>
  <c r="L2350" i="7" s="1"/>
  <c r="L2351" i="7" s="1"/>
  <c r="H541" i="6" s="1"/>
  <c r="L544" i="5" s="1"/>
  <c r="M544" i="5" s="1"/>
  <c r="E1660" i="7"/>
  <c r="J1660" i="7"/>
  <c r="J1153" i="7"/>
  <c r="F2672" i="7"/>
  <c r="L2673" i="7"/>
  <c r="H606" i="6" s="1"/>
  <c r="L609" i="5" s="1"/>
  <c r="M609" i="5" s="1"/>
  <c r="E2781" i="7"/>
  <c r="L2781" i="7"/>
  <c r="C616" i="9"/>
  <c r="E654" i="9"/>
  <c r="L356" i="5"/>
  <c r="M356" i="5" s="1"/>
  <c r="K501" i="7"/>
  <c r="L501" i="7" s="1"/>
  <c r="L502" i="7" s="1"/>
  <c r="H118" i="6" s="1"/>
  <c r="L121" i="5" s="1"/>
  <c r="M121" i="5" s="1"/>
  <c r="K1452" i="7"/>
  <c r="L1452" i="7" s="1"/>
  <c r="L1454" i="7" s="1"/>
  <c r="H342" i="6" s="1"/>
  <c r="L345" i="5" s="1"/>
  <c r="M345" i="5" s="1"/>
  <c r="K2942" i="7"/>
  <c r="L2942" i="7" s="1"/>
  <c r="L2943" i="7" s="1"/>
  <c r="K448" i="7"/>
  <c r="L448" i="7" s="1"/>
  <c r="L450" i="7" s="1"/>
  <c r="H106" i="6" s="1"/>
  <c r="L109" i="5" s="1"/>
  <c r="M109" i="5" s="1"/>
  <c r="I750" i="7"/>
  <c r="I1137" i="7"/>
  <c r="I333" i="7"/>
  <c r="I3086" i="7"/>
  <c r="I3081" i="7"/>
  <c r="I1349" i="7"/>
  <c r="I3276" i="7"/>
  <c r="I3280" i="7"/>
  <c r="J1610" i="7"/>
  <c r="E1610" i="7"/>
  <c r="E3526" i="7"/>
  <c r="J3526" i="7"/>
  <c r="K2006" i="7"/>
  <c r="L2006" i="7" s="1"/>
  <c r="L2007" i="7" s="1"/>
  <c r="H461" i="6" s="1"/>
  <c r="L464" i="5" s="1"/>
  <c r="M464" i="5" s="1"/>
  <c r="K2113" i="7"/>
  <c r="L2113" i="7" s="1"/>
  <c r="L2114" i="7" s="1"/>
  <c r="H486" i="6" s="1"/>
  <c r="L489" i="5" s="1"/>
  <c r="M489" i="5" s="1"/>
  <c r="K3378" i="7"/>
  <c r="L3378" i="7" s="1"/>
  <c r="L3380" i="7" s="1"/>
  <c r="H721" i="6" s="1"/>
  <c r="K1819" i="7"/>
  <c r="L1819" i="7" s="1"/>
  <c r="L1820" i="7" s="1"/>
  <c r="H417" i="6" s="1"/>
  <c r="L420" i="5" s="1"/>
  <c r="M420" i="5" s="1"/>
  <c r="K1917" i="7"/>
  <c r="L1917" i="7" s="1"/>
  <c r="L1918" i="7" s="1"/>
  <c r="H440" i="6" s="1"/>
  <c r="L443" i="5" s="1"/>
  <c r="M443" i="5" s="1"/>
  <c r="K2300" i="7"/>
  <c r="L2300" i="7" s="1"/>
  <c r="L2301" i="7" s="1"/>
  <c r="H530" i="6" s="1"/>
  <c r="L533" i="5" s="1"/>
  <c r="M533" i="5" s="1"/>
  <c r="K2211" i="7"/>
  <c r="L2211" i="7" s="1"/>
  <c r="L2212" i="7" s="1"/>
  <c r="H509" i="6" s="1"/>
  <c r="L512" i="5" s="1"/>
  <c r="M512" i="5" s="1"/>
  <c r="K2470" i="7"/>
  <c r="L2470" i="7" s="1"/>
  <c r="L2471" i="7" s="1"/>
  <c r="H570" i="6" s="1"/>
  <c r="L573" i="5" s="1"/>
  <c r="M573" i="5" s="1"/>
  <c r="K3429" i="7"/>
  <c r="L3429" i="7" s="1"/>
  <c r="L3431" i="7" s="1"/>
  <c r="H730" i="6" s="1"/>
  <c r="I353" i="7"/>
  <c r="I778" i="7"/>
  <c r="I357" i="7"/>
  <c r="I1001" i="7"/>
  <c r="I984" i="7"/>
  <c r="I3176" i="7"/>
  <c r="I1161" i="7"/>
  <c r="I3171" i="7"/>
  <c r="H350" i="5"/>
  <c r="I350" i="5" s="1"/>
  <c r="G418" i="7"/>
  <c r="H418" i="7" s="1"/>
  <c r="H420" i="7" s="1"/>
  <c r="F100" i="6" s="1"/>
  <c r="H103" i="5" s="1"/>
  <c r="I103" i="5" s="1"/>
  <c r="G413" i="7"/>
  <c r="H413" i="7" s="1"/>
  <c r="H415" i="7" s="1"/>
  <c r="F99" i="6" s="1"/>
  <c r="H102" i="5" s="1"/>
  <c r="I102" i="5" s="1"/>
  <c r="G473" i="7"/>
  <c r="H473" i="7" s="1"/>
  <c r="H474" i="7" s="1"/>
  <c r="F111" i="6" s="1"/>
  <c r="H114" i="5" s="1"/>
  <c r="I114" i="5" s="1"/>
  <c r="G477" i="7"/>
  <c r="H477" i="7" s="1"/>
  <c r="H478" i="7" s="1"/>
  <c r="F112" i="6" s="1"/>
  <c r="H115" i="5" s="1"/>
  <c r="I115" i="5" s="1"/>
  <c r="G1422" i="7"/>
  <c r="H1422" i="7" s="1"/>
  <c r="H1424" i="7" s="1"/>
  <c r="F336" i="6" s="1"/>
  <c r="H339" i="5" s="1"/>
  <c r="I339" i="5" s="1"/>
  <c r="G1417" i="7"/>
  <c r="H1417" i="7" s="1"/>
  <c r="H1419" i="7" s="1"/>
  <c r="F335" i="6" s="1"/>
  <c r="H338" i="5" s="1"/>
  <c r="I338" i="5" s="1"/>
  <c r="G2886" i="7"/>
  <c r="H2886" i="7" s="1"/>
  <c r="G2879" i="7"/>
  <c r="H2879" i="7" s="1"/>
  <c r="G2893" i="7"/>
  <c r="H2893" i="7" s="1"/>
  <c r="F394" i="5"/>
  <c r="K394" i="5"/>
  <c r="G394" i="5" s="1"/>
  <c r="K615" i="5"/>
  <c r="G1815" i="7"/>
  <c r="H1815" i="7" s="1"/>
  <c r="H1816" i="7" s="1"/>
  <c r="F416" i="6" s="1"/>
  <c r="H419" i="5" s="1"/>
  <c r="I419" i="5" s="1"/>
  <c r="G1913" i="7"/>
  <c r="H1913" i="7" s="1"/>
  <c r="H1914" i="7" s="1"/>
  <c r="F439" i="6" s="1"/>
  <c r="H442" i="5" s="1"/>
  <c r="I442" i="5" s="1"/>
  <c r="G2002" i="7"/>
  <c r="H2002" i="7" s="1"/>
  <c r="H2003" i="7" s="1"/>
  <c r="F460" i="6" s="1"/>
  <c r="H463" i="5" s="1"/>
  <c r="I463" i="5" s="1"/>
  <c r="G2466" i="7"/>
  <c r="H2466" i="7" s="1"/>
  <c r="H2467" i="7" s="1"/>
  <c r="F569" i="6" s="1"/>
  <c r="H572" i="5" s="1"/>
  <c r="I572" i="5" s="1"/>
  <c r="G2207" i="7"/>
  <c r="H2207" i="7" s="1"/>
  <c r="H2208" i="7" s="1"/>
  <c r="F508" i="6" s="1"/>
  <c r="H511" i="5" s="1"/>
  <c r="I511" i="5" s="1"/>
  <c r="G2296" i="7"/>
  <c r="H2296" i="7" s="1"/>
  <c r="H2297" i="7" s="1"/>
  <c r="F529" i="6" s="1"/>
  <c r="H532" i="5" s="1"/>
  <c r="I532" i="5" s="1"/>
  <c r="G2109" i="7"/>
  <c r="H2109" i="7" s="1"/>
  <c r="H2110" i="7" s="1"/>
  <c r="F485" i="6" s="1"/>
  <c r="H488" i="5" s="1"/>
  <c r="I488" i="5" s="1"/>
  <c r="G3361" i="7"/>
  <c r="H3361" i="7" s="1"/>
  <c r="H3363" i="7" s="1"/>
  <c r="F718" i="6" s="1"/>
  <c r="D53" i="9"/>
  <c r="E53" i="9"/>
  <c r="F53" i="9"/>
  <c r="I1231" i="7"/>
  <c r="I1235" i="7"/>
  <c r="I1337" i="7"/>
  <c r="I3225" i="7"/>
  <c r="I3229" i="7"/>
  <c r="F2860" i="7"/>
  <c r="J2861" i="7"/>
  <c r="J2371" i="7"/>
  <c r="F2370" i="7"/>
  <c r="E3287" i="7"/>
  <c r="L3287" i="7"/>
  <c r="G381" i="7"/>
  <c r="H381" i="7" s="1"/>
  <c r="H382" i="7" s="1"/>
  <c r="F91" i="6" s="1"/>
  <c r="H94" i="5" s="1"/>
  <c r="I94" i="5" s="1"/>
  <c r="G802" i="7"/>
  <c r="H802" i="7" s="1"/>
  <c r="H803" i="7" s="1"/>
  <c r="F190" i="6" s="1"/>
  <c r="H193" i="5" s="1"/>
  <c r="I193" i="5" s="1"/>
  <c r="G177" i="7"/>
  <c r="H177" i="7" s="1"/>
  <c r="H178" i="7" s="1"/>
  <c r="F43" i="6" s="1"/>
  <c r="H46" i="5" s="1"/>
  <c r="I46" i="5" s="1"/>
  <c r="G1185" i="7"/>
  <c r="H1185" i="7" s="1"/>
  <c r="H1186" i="7" s="1"/>
  <c r="F280" i="6" s="1"/>
  <c r="H283" i="5" s="1"/>
  <c r="I283" i="5" s="1"/>
  <c r="G3080" i="7"/>
  <c r="H3080" i="7" s="1"/>
  <c r="H3082" i="7" s="1"/>
  <c r="F670" i="6" s="1"/>
  <c r="E3436" i="7"/>
  <c r="J3436" i="7"/>
  <c r="F3436" i="7" s="1"/>
  <c r="E2565" i="7"/>
  <c r="L2565" i="7"/>
  <c r="J371" i="5"/>
  <c r="I1655" i="7"/>
  <c r="I561" i="7"/>
  <c r="I1533" i="7"/>
  <c r="J3441" i="7"/>
  <c r="E3441" i="7"/>
  <c r="E3207" i="7"/>
  <c r="J3207" i="7"/>
  <c r="F3207" i="7" s="1"/>
  <c r="J882" i="7"/>
  <c r="I10" i="12"/>
  <c r="F9" i="12"/>
  <c r="J2544" i="7"/>
  <c r="E1545" i="7"/>
  <c r="J1545" i="7"/>
  <c r="F1545" i="7" s="1"/>
  <c r="E1665" i="7"/>
  <c r="J1665" i="7"/>
  <c r="E2171" i="7"/>
  <c r="J2171" i="7"/>
  <c r="J938" i="7"/>
  <c r="F2853" i="7"/>
  <c r="J2854" i="7"/>
  <c r="D405" i="9"/>
  <c r="F10" i="8"/>
  <c r="G3556" i="7" s="1"/>
  <c r="H3556" i="7" s="1"/>
  <c r="H3557" i="7" s="1"/>
  <c r="F754" i="6" s="1"/>
  <c r="K2309" i="7"/>
  <c r="L2309" i="7" s="1"/>
  <c r="L2311" i="7" s="1"/>
  <c r="H532" i="6" s="1"/>
  <c r="L535" i="5" s="1"/>
  <c r="M535" i="5" s="1"/>
  <c r="K2338" i="7"/>
  <c r="L2338" i="7" s="1"/>
  <c r="L2339" i="7" s="1"/>
  <c r="H538" i="6" s="1"/>
  <c r="L541" i="5" s="1"/>
  <c r="M541" i="5" s="1"/>
  <c r="J537" i="7"/>
  <c r="E537" i="7"/>
  <c r="J1877" i="7"/>
  <c r="E1877" i="7"/>
  <c r="K365" i="5"/>
  <c r="G365" i="5" s="1"/>
  <c r="F365" i="5"/>
  <c r="F2684" i="7"/>
  <c r="J2687" i="7"/>
  <c r="J592" i="5"/>
  <c r="I2611" i="7"/>
  <c r="I2538" i="7"/>
  <c r="J1141" i="7"/>
  <c r="E3487" i="7"/>
  <c r="E1479" i="7"/>
  <c r="J1479" i="7"/>
  <c r="F1479" i="7" s="1"/>
  <c r="J533" i="7"/>
  <c r="E533" i="7"/>
  <c r="F3487" i="7"/>
  <c r="I1978" i="7"/>
  <c r="I2089" i="7"/>
  <c r="I3350" i="7"/>
  <c r="I2179" i="7"/>
  <c r="I1795" i="7"/>
  <c r="I3345" i="7"/>
  <c r="I1885" i="7"/>
  <c r="I2446" i="7"/>
  <c r="I2272" i="7"/>
  <c r="J1149" i="7"/>
  <c r="L361" i="5"/>
  <c r="M361" i="5" s="1"/>
  <c r="K517" i="7"/>
  <c r="L517" i="7" s="1"/>
  <c r="L518" i="7" s="1"/>
  <c r="H122" i="6" s="1"/>
  <c r="L125" i="5" s="1"/>
  <c r="M125" i="5" s="1"/>
  <c r="K1442" i="7"/>
  <c r="L1442" i="7" s="1"/>
  <c r="L1444" i="7" s="1"/>
  <c r="H340" i="6" s="1"/>
  <c r="L343" i="5" s="1"/>
  <c r="M343" i="5" s="1"/>
  <c r="K468" i="7"/>
  <c r="L468" i="7" s="1"/>
  <c r="L470" i="7" s="1"/>
  <c r="H110" i="6" s="1"/>
  <c r="L113" i="5" s="1"/>
  <c r="M113" i="5" s="1"/>
  <c r="K2977" i="7"/>
  <c r="L2977" i="7" s="1"/>
  <c r="L2978" i="7" s="1"/>
  <c r="J2443" i="7"/>
  <c r="J770" i="7"/>
  <c r="J529" i="7"/>
  <c r="E529" i="7"/>
  <c r="E567" i="9"/>
  <c r="C565" i="9"/>
  <c r="I361" i="7"/>
  <c r="I3189" i="7"/>
  <c r="I782" i="7"/>
  <c r="I3194" i="7"/>
  <c r="L359" i="5"/>
  <c r="M359" i="5" s="1"/>
  <c r="K1467" i="7"/>
  <c r="L1467" i="7" s="1"/>
  <c r="L1469" i="7" s="1"/>
  <c r="H345" i="6" s="1"/>
  <c r="L348" i="5" s="1"/>
  <c r="M348" i="5" s="1"/>
  <c r="K463" i="7"/>
  <c r="L463" i="7" s="1"/>
  <c r="L465" i="7" s="1"/>
  <c r="H109" i="6" s="1"/>
  <c r="L112" i="5" s="1"/>
  <c r="M112" i="5" s="1"/>
  <c r="K2963" i="7"/>
  <c r="L2963" i="7" s="1"/>
  <c r="L2964" i="7" s="1"/>
  <c r="K513" i="7"/>
  <c r="L513" i="7" s="1"/>
  <c r="L514" i="7" s="1"/>
  <c r="H121" i="6" s="1"/>
  <c r="L124" i="5" s="1"/>
  <c r="M124" i="5" s="1"/>
  <c r="J1792" i="7"/>
  <c r="I329" i="7"/>
  <c r="I746" i="7"/>
  <c r="I1133" i="7"/>
  <c r="I3063" i="7"/>
  <c r="I3068" i="7"/>
  <c r="G3486" i="7"/>
  <c r="H3486" i="7" s="1"/>
  <c r="H3488" i="7" s="1"/>
  <c r="F740" i="6" s="1"/>
  <c r="G2394" i="7"/>
  <c r="H2394" i="7" s="1"/>
  <c r="H2395" i="7" s="1"/>
  <c r="F552" i="6" s="1"/>
  <c r="H555" i="5" s="1"/>
  <c r="I555" i="5" s="1"/>
  <c r="I325" i="7"/>
  <c r="I742" i="7"/>
  <c r="I3050" i="7"/>
  <c r="I1129" i="7"/>
  <c r="I3045" i="7"/>
  <c r="E3492" i="7"/>
  <c r="G975" i="7"/>
  <c r="H975" i="7" s="1"/>
  <c r="H977" i="7" s="1"/>
  <c r="F231" i="6" s="1"/>
  <c r="H234" i="5" s="1"/>
  <c r="I234" i="5" s="1"/>
  <c r="G259" i="7"/>
  <c r="H259" i="7" s="1"/>
  <c r="H261" i="7" s="1"/>
  <c r="F61" i="6" s="1"/>
  <c r="H64" i="5" s="1"/>
  <c r="I64" i="5" s="1"/>
  <c r="G254" i="7"/>
  <c r="H254" i="7" s="1"/>
  <c r="H256" i="7" s="1"/>
  <c r="F60" i="6" s="1"/>
  <c r="H63" i="5" s="1"/>
  <c r="I63" i="5" s="1"/>
  <c r="G726" i="7"/>
  <c r="H726" i="7" s="1"/>
  <c r="H727" i="7" s="1"/>
  <c r="F171" i="6" s="1"/>
  <c r="H174" i="5" s="1"/>
  <c r="I174" i="5" s="1"/>
  <c r="G149" i="7"/>
  <c r="H149" i="7" s="1"/>
  <c r="H150" i="7" s="1"/>
  <c r="F36" i="6" s="1"/>
  <c r="H39" i="5" s="1"/>
  <c r="I39" i="5" s="1"/>
  <c r="G103" i="7"/>
  <c r="H103" i="7" s="1"/>
  <c r="H104" i="7" s="1"/>
  <c r="F25" i="6" s="1"/>
  <c r="H28" i="5" s="1"/>
  <c r="I28" i="5" s="1"/>
  <c r="G997" i="7"/>
  <c r="H997" i="7" s="1"/>
  <c r="H998" i="7" s="1"/>
  <c r="F236" i="6" s="1"/>
  <c r="H239" i="5" s="1"/>
  <c r="I239" i="5" s="1"/>
  <c r="G52" i="7"/>
  <c r="H52" i="7" s="1"/>
  <c r="H54" i="7" s="1"/>
  <c r="F13" i="6" s="1"/>
  <c r="H16" i="5" s="1"/>
  <c r="I16" i="5" s="1"/>
  <c r="G305" i="7"/>
  <c r="H305" i="7" s="1"/>
  <c r="H306" i="7" s="1"/>
  <c r="F72" i="6" s="1"/>
  <c r="H75" i="5" s="1"/>
  <c r="I75" i="5" s="1"/>
  <c r="G153" i="7"/>
  <c r="H153" i="7" s="1"/>
  <c r="H154" i="7" s="1"/>
  <c r="F37" i="6" s="1"/>
  <c r="H40" i="5" s="1"/>
  <c r="I40" i="5" s="1"/>
  <c r="G672" i="7"/>
  <c r="H672" i="7" s="1"/>
  <c r="H674" i="7" s="1"/>
  <c r="F158" i="6" s="1"/>
  <c r="H161" i="5" s="1"/>
  <c r="I161" i="5" s="1"/>
  <c r="G309" i="7"/>
  <c r="H309" i="7" s="1"/>
  <c r="H310" i="7" s="1"/>
  <c r="F73" i="6" s="1"/>
  <c r="H76" i="5" s="1"/>
  <c r="I76" i="5" s="1"/>
  <c r="G1064" i="7"/>
  <c r="H1064" i="7" s="1"/>
  <c r="H1066" i="7" s="1"/>
  <c r="F250" i="6" s="1"/>
  <c r="H253" i="5" s="1"/>
  <c r="I253" i="5" s="1"/>
  <c r="G1113" i="7"/>
  <c r="H1113" i="7" s="1"/>
  <c r="H1114" i="7" s="1"/>
  <c r="F262" i="6" s="1"/>
  <c r="H265" i="5" s="1"/>
  <c r="I265" i="5" s="1"/>
  <c r="G980" i="7"/>
  <c r="H980" i="7" s="1"/>
  <c r="H981" i="7" s="1"/>
  <c r="F232" i="6" s="1"/>
  <c r="H235" i="5" s="1"/>
  <c r="I235" i="5" s="1"/>
  <c r="G107" i="7"/>
  <c r="H107" i="7" s="1"/>
  <c r="H108" i="7" s="1"/>
  <c r="F26" i="6" s="1"/>
  <c r="H29" i="5" s="1"/>
  <c r="I29" i="5" s="1"/>
  <c r="G57" i="7"/>
  <c r="H57" i="7" s="1"/>
  <c r="H59" i="7" s="1"/>
  <c r="F14" i="6" s="1"/>
  <c r="H17" i="5" s="1"/>
  <c r="I17" i="5" s="1"/>
  <c r="G992" i="7"/>
  <c r="H992" i="7" s="1"/>
  <c r="H994" i="7" s="1"/>
  <c r="F235" i="6" s="1"/>
  <c r="H238" i="5" s="1"/>
  <c r="I238" i="5" s="1"/>
  <c r="F7" i="8"/>
  <c r="G3544" i="7" s="1"/>
  <c r="H3544" i="7" s="1"/>
  <c r="H3545" i="7" s="1"/>
  <c r="F751" i="6" s="1"/>
  <c r="G2631" i="7" s="1"/>
  <c r="H2631" i="7" s="1"/>
  <c r="H2632" i="7" s="1"/>
  <c r="F599" i="6" s="1"/>
  <c r="H602" i="5" s="1"/>
  <c r="I602" i="5" s="1"/>
  <c r="D255" i="9"/>
  <c r="J1121" i="7"/>
  <c r="E2706" i="7"/>
  <c r="L2706" i="7"/>
  <c r="J734" i="7"/>
  <c r="G2390" i="7"/>
  <c r="H2390" i="7" s="1"/>
  <c r="H2391" i="7" s="1"/>
  <c r="F551" i="6" s="1"/>
  <c r="H554" i="5" s="1"/>
  <c r="I554" i="5" s="1"/>
  <c r="G3469" i="7"/>
  <c r="H3469" i="7" s="1"/>
  <c r="H3471" i="7" s="1"/>
  <c r="F737" i="6" s="1"/>
  <c r="K654" i="5"/>
  <c r="G713" i="6"/>
  <c r="F2502" i="7"/>
  <c r="H2503" i="7"/>
  <c r="J934" i="7"/>
  <c r="F373" i="5"/>
  <c r="K373" i="5"/>
  <c r="G373" i="5" s="1"/>
  <c r="F2586" i="7"/>
  <c r="L2587" i="7"/>
  <c r="F1685" i="7"/>
  <c r="J1686" i="7"/>
  <c r="C474" i="9"/>
  <c r="L2580" i="7"/>
  <c r="F2579" i="7"/>
  <c r="J3104" i="7"/>
  <c r="J3140" i="7"/>
  <c r="L360" i="5"/>
  <c r="M360" i="5" s="1"/>
  <c r="K2970" i="7"/>
  <c r="L2970" i="7" s="1"/>
  <c r="L2971" i="7" s="1"/>
  <c r="K1472" i="7"/>
  <c r="L1472" i="7" s="1"/>
  <c r="L1474" i="7" s="1"/>
  <c r="H346" i="6" s="1"/>
  <c r="L349" i="5" s="1"/>
  <c r="M349" i="5" s="1"/>
  <c r="J766" i="7"/>
  <c r="E274" i="9"/>
  <c r="G165" i="7"/>
  <c r="H165" i="7" s="1"/>
  <c r="H166" i="7" s="1"/>
  <c r="F40" i="6" s="1"/>
  <c r="H43" i="5" s="1"/>
  <c r="I43" i="5" s="1"/>
  <c r="G369" i="7"/>
  <c r="H369" i="7" s="1"/>
  <c r="H370" i="7" s="1"/>
  <c r="F88" i="6" s="1"/>
  <c r="H91" i="5" s="1"/>
  <c r="I91" i="5" s="1"/>
  <c r="G790" i="7"/>
  <c r="H790" i="7" s="1"/>
  <c r="H791" i="7" s="1"/>
  <c r="F187" i="6" s="1"/>
  <c r="H190" i="5" s="1"/>
  <c r="I190" i="5" s="1"/>
  <c r="G1173" i="7"/>
  <c r="H1173" i="7" s="1"/>
  <c r="H1174" i="7" s="1"/>
  <c r="F277" i="6" s="1"/>
  <c r="H280" i="5" s="1"/>
  <c r="I280" i="5" s="1"/>
  <c r="G954" i="7"/>
  <c r="H954" i="7" s="1"/>
  <c r="H955" i="7" s="1"/>
  <c r="F226" i="6" s="1"/>
  <c r="H229" i="5" s="1"/>
  <c r="I229" i="5" s="1"/>
  <c r="G903" i="7"/>
  <c r="H903" i="7" s="1"/>
  <c r="H904" i="7" s="1"/>
  <c r="F214" i="6" s="1"/>
  <c r="H217" i="5" s="1"/>
  <c r="I217" i="5" s="1"/>
  <c r="G3026" i="7"/>
  <c r="H3026" i="7" s="1"/>
  <c r="H3028" i="7" s="1"/>
  <c r="F661" i="6" s="1"/>
  <c r="J3298" i="7"/>
  <c r="I3458" i="7"/>
  <c r="I3453" i="7"/>
  <c r="I2362" i="7"/>
  <c r="D224" i="9"/>
  <c r="D225" i="9" s="1"/>
  <c r="D254" i="9" s="1"/>
  <c r="J1882" i="7"/>
  <c r="J1898" i="7"/>
  <c r="G727" i="6"/>
  <c r="K891" i="7"/>
  <c r="L891" i="7" s="1"/>
  <c r="L892" i="7" s="1"/>
  <c r="H211" i="6" s="1"/>
  <c r="L214" i="5" s="1"/>
  <c r="M214" i="5" s="1"/>
  <c r="K895" i="7"/>
  <c r="L895" i="7" s="1"/>
  <c r="L896" i="7" s="1"/>
  <c r="H212" i="6" s="1"/>
  <c r="L215" i="5" s="1"/>
  <c r="M215" i="5" s="1"/>
  <c r="K1165" i="7"/>
  <c r="L1165" i="7" s="1"/>
  <c r="L1166" i="7" s="1"/>
  <c r="H275" i="6" s="1"/>
  <c r="L278" i="5" s="1"/>
  <c r="M278" i="5" s="1"/>
  <c r="K3206" i="7"/>
  <c r="L3206" i="7" s="1"/>
  <c r="L3208" i="7" s="1"/>
  <c r="H691" i="6" s="1"/>
  <c r="E2730" i="7"/>
  <c r="L2730" i="7"/>
  <c r="J3493" i="7"/>
  <c r="F3492" i="7"/>
  <c r="E49" i="9"/>
  <c r="F49" i="9"/>
  <c r="F2508" i="7"/>
  <c r="H2509" i="7"/>
  <c r="F2986" i="7"/>
  <c r="E653" i="6" s="1"/>
  <c r="H2810" i="7"/>
  <c r="F2809" i="7"/>
  <c r="K51" i="9"/>
  <c r="I51" i="9" s="1"/>
  <c r="K28" i="9"/>
  <c r="I28" i="9" s="1"/>
  <c r="L2686" i="7"/>
  <c r="E2686" i="7"/>
  <c r="F3253" i="7"/>
  <c r="L3254" i="7"/>
  <c r="J1370" i="7"/>
  <c r="C85" i="9"/>
  <c r="B85" i="9" s="1"/>
  <c r="F2645" i="7"/>
  <c r="J2601" i="7"/>
  <c r="L352" i="5"/>
  <c r="M352" i="5" s="1"/>
  <c r="K485" i="7"/>
  <c r="L485" i="7" s="1"/>
  <c r="L486" i="7" s="1"/>
  <c r="H114" i="6" s="1"/>
  <c r="L117" i="5" s="1"/>
  <c r="M117" i="5" s="1"/>
  <c r="K1432" i="7"/>
  <c r="L1432" i="7" s="1"/>
  <c r="L1434" i="7" s="1"/>
  <c r="H338" i="6" s="1"/>
  <c r="L341" i="5" s="1"/>
  <c r="M341" i="5" s="1"/>
  <c r="K428" i="7"/>
  <c r="L428" i="7" s="1"/>
  <c r="L430" i="7" s="1"/>
  <c r="H102" i="6" s="1"/>
  <c r="L105" i="5" s="1"/>
  <c r="M105" i="5" s="1"/>
  <c r="K2907" i="7"/>
  <c r="L2907" i="7" s="1"/>
  <c r="L2908" i="7" s="1"/>
  <c r="F1729" i="7"/>
  <c r="J1731" i="7"/>
  <c r="I3509" i="7"/>
  <c r="I2374" i="7"/>
  <c r="I3504" i="7"/>
  <c r="L3305" i="7"/>
  <c r="F3304" i="7"/>
  <c r="E874" i="7"/>
  <c r="J874" i="7"/>
  <c r="J1671" i="7"/>
  <c r="K2010" i="7"/>
  <c r="L2010" i="7" s="1"/>
  <c r="L2012" i="7" s="1"/>
  <c r="H462" i="6" s="1"/>
  <c r="L465" i="5" s="1"/>
  <c r="M465" i="5" s="1"/>
  <c r="K2020" i="7"/>
  <c r="L2020" i="7" s="1"/>
  <c r="L2021" i="7" s="1"/>
  <c r="H464" i="6" s="1"/>
  <c r="L467" i="5" s="1"/>
  <c r="M467" i="5" s="1"/>
  <c r="J3153" i="7"/>
  <c r="E425" i="9"/>
  <c r="K1823" i="7"/>
  <c r="L1823" i="7" s="1"/>
  <c r="L1825" i="7" s="1"/>
  <c r="H418" i="6" s="1"/>
  <c r="L421" i="5" s="1"/>
  <c r="M421" i="5" s="1"/>
  <c r="K2024" i="7"/>
  <c r="L2024" i="7" s="1"/>
  <c r="L2025" i="7" s="1"/>
  <c r="H465" i="6" s="1"/>
  <c r="L468" i="5" s="1"/>
  <c r="M468" i="5" s="1"/>
  <c r="K2147" i="7"/>
  <c r="L2147" i="7" s="1"/>
  <c r="L2148" i="7" s="1"/>
  <c r="H493" i="6" s="1"/>
  <c r="L496" i="5" s="1"/>
  <c r="M496" i="5" s="1"/>
  <c r="K1925" i="7"/>
  <c r="L1925" i="7" s="1"/>
  <c r="L1927" i="7" s="1"/>
  <c r="H442" i="6" s="1"/>
  <c r="L445" i="5" s="1"/>
  <c r="M445" i="5" s="1"/>
  <c r="K1853" i="7"/>
  <c r="L1853" i="7" s="1"/>
  <c r="L1854" i="7" s="1"/>
  <c r="H424" i="6" s="1"/>
  <c r="L427" i="5" s="1"/>
  <c r="M427" i="5" s="1"/>
  <c r="K2244" i="7"/>
  <c r="L2244" i="7" s="1"/>
  <c r="L2245" i="7" s="1"/>
  <c r="H516" i="6" s="1"/>
  <c r="L519" i="5" s="1"/>
  <c r="M519" i="5" s="1"/>
  <c r="K1950" i="7"/>
  <c r="L1950" i="7" s="1"/>
  <c r="L1951" i="7" s="1"/>
  <c r="H447" i="6" s="1"/>
  <c r="L450" i="5" s="1"/>
  <c r="M450" i="5" s="1"/>
  <c r="K2015" i="7"/>
  <c r="L2015" i="7" s="1"/>
  <c r="L2017" i="7" s="1"/>
  <c r="H463" i="6" s="1"/>
  <c r="L466" i="5" s="1"/>
  <c r="M466" i="5" s="1"/>
  <c r="K2117" i="7"/>
  <c r="L2117" i="7" s="1"/>
  <c r="L2119" i="7" s="1"/>
  <c r="H487" i="6" s="1"/>
  <c r="L490" i="5" s="1"/>
  <c r="M490" i="5" s="1"/>
  <c r="K2219" i="7"/>
  <c r="L2219" i="7" s="1"/>
  <c r="L2221" i="7" s="1"/>
  <c r="H511" i="6" s="1"/>
  <c r="L514" i="5" s="1"/>
  <c r="M514" i="5" s="1"/>
  <c r="G173" i="7"/>
  <c r="H173" i="7" s="1"/>
  <c r="H174" i="7" s="1"/>
  <c r="F42" i="6" s="1"/>
  <c r="H45" i="5" s="1"/>
  <c r="I45" i="5" s="1"/>
  <c r="G1029" i="7"/>
  <c r="H1029" i="7" s="1"/>
  <c r="H1031" i="7" s="1"/>
  <c r="F243" i="6" s="1"/>
  <c r="H246" i="5" s="1"/>
  <c r="I246" i="5" s="1"/>
  <c r="G1181" i="7"/>
  <c r="H1181" i="7" s="1"/>
  <c r="H1182" i="7" s="1"/>
  <c r="F279" i="6" s="1"/>
  <c r="H282" i="5" s="1"/>
  <c r="I282" i="5" s="1"/>
  <c r="G377" i="7"/>
  <c r="H377" i="7" s="1"/>
  <c r="H378" i="7" s="1"/>
  <c r="F90" i="6" s="1"/>
  <c r="H93" i="5" s="1"/>
  <c r="I93" i="5" s="1"/>
  <c r="G798" i="7"/>
  <c r="H798" i="7" s="1"/>
  <c r="H799" i="7" s="1"/>
  <c r="F189" i="6" s="1"/>
  <c r="H192" i="5" s="1"/>
  <c r="I192" i="5" s="1"/>
  <c r="G3062" i="7"/>
  <c r="H3062" i="7" s="1"/>
  <c r="H3064" i="7" s="1"/>
  <c r="F667" i="6" s="1"/>
  <c r="F3339" i="7"/>
  <c r="L3340" i="7"/>
  <c r="G185" i="7"/>
  <c r="H185" i="7" s="1"/>
  <c r="H186" i="7" s="1"/>
  <c r="F45" i="6" s="1"/>
  <c r="H48" i="5" s="1"/>
  <c r="I48" i="5" s="1"/>
  <c r="G806" i="7"/>
  <c r="H806" i="7" s="1"/>
  <c r="H807" i="7" s="1"/>
  <c r="F191" i="6" s="1"/>
  <c r="H194" i="5" s="1"/>
  <c r="I194" i="5" s="1"/>
  <c r="G389" i="7"/>
  <c r="H389" i="7" s="1"/>
  <c r="H390" i="7" s="1"/>
  <c r="F93" i="6" s="1"/>
  <c r="H96" i="5" s="1"/>
  <c r="I96" i="5" s="1"/>
  <c r="G3116" i="7"/>
  <c r="H3116" i="7" s="1"/>
  <c r="H3118" i="7" s="1"/>
  <c r="F676" i="6" s="1"/>
  <c r="G1193" i="7"/>
  <c r="H1193" i="7" s="1"/>
  <c r="H1194" i="7" s="1"/>
  <c r="F282" i="6" s="1"/>
  <c r="H285" i="5" s="1"/>
  <c r="I285" i="5" s="1"/>
  <c r="G810" i="7"/>
  <c r="H810" i="7" s="1"/>
  <c r="H811" i="7" s="1"/>
  <c r="F192" i="6" s="1"/>
  <c r="H195" i="5" s="1"/>
  <c r="I195" i="5" s="1"/>
  <c r="K630" i="5"/>
  <c r="E2028" i="7"/>
  <c r="J2028" i="7"/>
  <c r="L172" i="9"/>
  <c r="D174" i="9"/>
  <c r="D175" i="9" s="1"/>
  <c r="D204" i="9" s="1"/>
  <c r="E1539" i="7"/>
  <c r="J1539" i="7"/>
  <c r="F1539" i="7" s="1"/>
  <c r="K392" i="5"/>
  <c r="G392" i="5" s="1"/>
  <c r="F392" i="5"/>
  <c r="K616" i="5"/>
  <c r="H3314" i="7"/>
  <c r="E1620" i="7"/>
  <c r="J1620" i="7"/>
  <c r="F2640" i="7"/>
  <c r="D705" i="9"/>
  <c r="F16" i="8"/>
  <c r="G3003" i="7" s="1"/>
  <c r="H3003" i="7" s="1"/>
  <c r="H3004" i="7" s="1"/>
  <c r="F657" i="6" s="1"/>
  <c r="H660" i="5" s="1"/>
  <c r="I660" i="5" s="1"/>
  <c r="E3573" i="7"/>
  <c r="L3573" i="7"/>
  <c r="E1491" i="7"/>
  <c r="J1491" i="7"/>
  <c r="F1491" i="7" s="1"/>
  <c r="K617" i="5"/>
  <c r="H15" i="8"/>
  <c r="K2998" i="7" s="1"/>
  <c r="L2998" i="7" s="1"/>
  <c r="L2999" i="7" s="1"/>
  <c r="H656" i="6" s="1"/>
  <c r="L659" i="5" s="1"/>
  <c r="M659" i="5" s="1"/>
  <c r="F655" i="9"/>
  <c r="H356" i="5"/>
  <c r="I356" i="5" s="1"/>
  <c r="G1452" i="7"/>
  <c r="H1452" i="7" s="1"/>
  <c r="H1454" i="7" s="1"/>
  <c r="F342" i="6" s="1"/>
  <c r="H345" i="5" s="1"/>
  <c r="I345" i="5" s="1"/>
  <c r="G448" i="7"/>
  <c r="H448" i="7" s="1"/>
  <c r="H450" i="7" s="1"/>
  <c r="F106" i="6" s="1"/>
  <c r="H109" i="5" s="1"/>
  <c r="I109" i="5" s="1"/>
  <c r="G501" i="7"/>
  <c r="H501" i="7" s="1"/>
  <c r="H502" i="7" s="1"/>
  <c r="F118" i="6" s="1"/>
  <c r="H121" i="5" s="1"/>
  <c r="I121" i="5" s="1"/>
  <c r="G2942" i="7"/>
  <c r="H2942" i="7" s="1"/>
  <c r="I2734" i="7"/>
  <c r="I2739" i="7"/>
  <c r="I2754" i="7"/>
  <c r="I2744" i="7"/>
  <c r="I2749" i="7"/>
  <c r="L3021" i="7"/>
  <c r="E3021" i="7"/>
  <c r="J1366" i="7"/>
  <c r="G3452" i="7"/>
  <c r="H3452" i="7" s="1"/>
  <c r="H3454" i="7" s="1"/>
  <c r="F734" i="6" s="1"/>
  <c r="G2386" i="7"/>
  <c r="H2386" i="7" s="1"/>
  <c r="H2387" i="7" s="1"/>
  <c r="F550" i="6" s="1"/>
  <c r="H553" i="5" s="1"/>
  <c r="I553" i="5" s="1"/>
  <c r="J369" i="5"/>
  <c r="I1645" i="7"/>
  <c r="I553" i="7"/>
  <c r="I1521" i="7"/>
  <c r="G2049" i="7"/>
  <c r="H2049" i="7" s="1"/>
  <c r="H2051" i="7" s="1"/>
  <c r="F471" i="6" s="1"/>
  <c r="H474" i="5" s="1"/>
  <c r="I474" i="5" s="1"/>
  <c r="G2411" i="7"/>
  <c r="H2411" i="7" s="1"/>
  <c r="H2413" i="7" s="1"/>
  <c r="F556" i="6" s="1"/>
  <c r="H559" i="5" s="1"/>
  <c r="I559" i="5" s="1"/>
  <c r="G1935" i="7"/>
  <c r="H1935" i="7" s="1"/>
  <c r="H1937" i="7" s="1"/>
  <c r="F444" i="6" s="1"/>
  <c r="H447" i="5" s="1"/>
  <c r="I447" i="5" s="1"/>
  <c r="G2155" i="7"/>
  <c r="H2155" i="7" s="1"/>
  <c r="H2156" i="7" s="1"/>
  <c r="F495" i="6" s="1"/>
  <c r="H498" i="5" s="1"/>
  <c r="I498" i="5" s="1"/>
  <c r="G2229" i="7"/>
  <c r="H2229" i="7" s="1"/>
  <c r="H2231" i="7" s="1"/>
  <c r="F513" i="6" s="1"/>
  <c r="H516" i="5" s="1"/>
  <c r="I516" i="5" s="1"/>
  <c r="G1779" i="7"/>
  <c r="H1779" i="7" s="1"/>
  <c r="H1780" i="7" s="1"/>
  <c r="F407" i="6" s="1"/>
  <c r="H410" i="5" s="1"/>
  <c r="I410" i="5" s="1"/>
  <c r="G1861" i="7"/>
  <c r="H1861" i="7" s="1"/>
  <c r="H1862" i="7" s="1"/>
  <c r="F426" i="6" s="1"/>
  <c r="H429" i="5" s="1"/>
  <c r="I429" i="5" s="1"/>
  <c r="G1958" i="7"/>
  <c r="H1958" i="7" s="1"/>
  <c r="H1959" i="7" s="1"/>
  <c r="F449" i="6" s="1"/>
  <c r="H452" i="5" s="1"/>
  <c r="I452" i="5" s="1"/>
  <c r="G1760" i="7"/>
  <c r="H1760" i="7" s="1"/>
  <c r="H1762" i="7" s="1"/>
  <c r="F403" i="6" s="1"/>
  <c r="H406" i="5" s="1"/>
  <c r="I406" i="5" s="1"/>
  <c r="G2430" i="7"/>
  <c r="H2430" i="7" s="1"/>
  <c r="H2431" i="7" s="1"/>
  <c r="F560" i="6" s="1"/>
  <c r="H563" i="5" s="1"/>
  <c r="I563" i="5" s="1"/>
  <c r="G1833" i="7"/>
  <c r="H1833" i="7" s="1"/>
  <c r="H1835" i="7" s="1"/>
  <c r="F420" i="6" s="1"/>
  <c r="H423" i="5" s="1"/>
  <c r="I423" i="5" s="1"/>
  <c r="G2127" i="7"/>
  <c r="H2127" i="7" s="1"/>
  <c r="H2129" i="7" s="1"/>
  <c r="F489" i="6" s="1"/>
  <c r="H492" i="5" s="1"/>
  <c r="I492" i="5" s="1"/>
  <c r="G2073" i="7"/>
  <c r="H2073" i="7" s="1"/>
  <c r="H2074" i="7" s="1"/>
  <c r="F476" i="6" s="1"/>
  <c r="H479" i="5" s="1"/>
  <c r="I479" i="5" s="1"/>
  <c r="G2252" i="7"/>
  <c r="H2252" i="7" s="1"/>
  <c r="H2253" i="7" s="1"/>
  <c r="F518" i="6" s="1"/>
  <c r="H521" i="5" s="1"/>
  <c r="I521" i="5" s="1"/>
  <c r="F3129" i="7"/>
  <c r="L3130" i="7"/>
  <c r="J3014" i="7"/>
  <c r="F656" i="5"/>
  <c r="K656" i="5"/>
  <c r="G656" i="5" s="1"/>
  <c r="F2656" i="7"/>
  <c r="J2659" i="7"/>
  <c r="L355" i="5"/>
  <c r="M355" i="5" s="1"/>
  <c r="K443" i="7"/>
  <c r="L443" i="7" s="1"/>
  <c r="L445" i="7" s="1"/>
  <c r="H105" i="6" s="1"/>
  <c r="L108" i="5" s="1"/>
  <c r="M108" i="5" s="1"/>
  <c r="K438" i="7"/>
  <c r="L438" i="7" s="1"/>
  <c r="L440" i="7" s="1"/>
  <c r="H104" i="6" s="1"/>
  <c r="L107" i="5" s="1"/>
  <c r="M107" i="5" s="1"/>
  <c r="K497" i="7"/>
  <c r="L497" i="7" s="1"/>
  <c r="L498" i="7" s="1"/>
  <c r="H117" i="6" s="1"/>
  <c r="L120" i="5" s="1"/>
  <c r="M120" i="5" s="1"/>
  <c r="K1447" i="7"/>
  <c r="L1447" i="7" s="1"/>
  <c r="L1449" i="7" s="1"/>
  <c r="H341" i="6" s="1"/>
  <c r="L344" i="5" s="1"/>
  <c r="M344" i="5" s="1"/>
  <c r="K2935" i="7"/>
  <c r="L2935" i="7" s="1"/>
  <c r="L2936" i="7" s="1"/>
  <c r="K2928" i="7"/>
  <c r="L2928" i="7" s="1"/>
  <c r="L2929" i="7" s="1"/>
  <c r="L3148" i="7" l="1"/>
  <c r="F3147" i="7"/>
  <c r="G2020" i="7"/>
  <c r="H2020" i="7" s="1"/>
  <c r="H2021" i="7" s="1"/>
  <c r="F464" i="6" s="1"/>
  <c r="H467" i="5" s="1"/>
  <c r="I467" i="5" s="1"/>
  <c r="G2010" i="7"/>
  <c r="H2010" i="7" s="1"/>
  <c r="H2012" i="7" s="1"/>
  <c r="F462" i="6" s="1"/>
  <c r="H465" i="5" s="1"/>
  <c r="I465" i="5" s="1"/>
  <c r="G3140" i="7"/>
  <c r="G762" i="7"/>
  <c r="G3135" i="7"/>
  <c r="G1153" i="7"/>
  <c r="G345" i="7"/>
  <c r="G770" i="7"/>
  <c r="G1149" i="7"/>
  <c r="G766" i="7"/>
  <c r="C71" i="9"/>
  <c r="B71" i="9" s="1"/>
  <c r="H702" i="6"/>
  <c r="F3271" i="7"/>
  <c r="E702" i="6" s="1"/>
  <c r="H687" i="6"/>
  <c r="F3184" i="7"/>
  <c r="E687" i="6" s="1"/>
  <c r="L3058" i="7"/>
  <c r="F3057" i="7"/>
  <c r="G373" i="7"/>
  <c r="H373" i="7" s="1"/>
  <c r="H374" i="7" s="1"/>
  <c r="F89" i="6" s="1"/>
  <c r="H92" i="5" s="1"/>
  <c r="I92" i="5" s="1"/>
  <c r="G1177" i="7"/>
  <c r="H1177" i="7" s="1"/>
  <c r="H1178" i="7" s="1"/>
  <c r="F278" i="6" s="1"/>
  <c r="H281" i="5" s="1"/>
  <c r="I281" i="5" s="1"/>
  <c r="G3044" i="7"/>
  <c r="H3044" i="7" s="1"/>
  <c r="H3046" i="7" s="1"/>
  <c r="F664" i="6" s="1"/>
  <c r="G794" i="7"/>
  <c r="H794" i="7" s="1"/>
  <c r="H795" i="7" s="1"/>
  <c r="F188" i="6" s="1"/>
  <c r="H191" i="5" s="1"/>
  <c r="I191" i="5" s="1"/>
  <c r="G169" i="7"/>
  <c r="H169" i="7" s="1"/>
  <c r="H170" i="7" s="1"/>
  <c r="F41" i="6" s="1"/>
  <c r="H44" i="5" s="1"/>
  <c r="I44" i="5" s="1"/>
  <c r="B22" i="9"/>
  <c r="AC28" i="9"/>
  <c r="AA26" i="9"/>
  <c r="B24" i="9"/>
  <c r="AA30" i="9"/>
  <c r="AA28" i="9"/>
  <c r="AE28" i="9"/>
  <c r="H28" i="9" s="1"/>
  <c r="AC26" i="9"/>
  <c r="H26" i="9" s="1"/>
  <c r="AC30" i="9"/>
  <c r="H30" i="9" s="1"/>
  <c r="F3112" i="7"/>
  <c r="E675" i="6" s="1"/>
  <c r="L3580" i="7"/>
  <c r="F3579" i="7"/>
  <c r="E73" i="9"/>
  <c r="F73" i="9"/>
  <c r="F77" i="9" s="1"/>
  <c r="D73" i="9"/>
  <c r="D77" i="9" s="1"/>
  <c r="G1897" i="7"/>
  <c r="G2191" i="7"/>
  <c r="G3412" i="7"/>
  <c r="C87" i="9"/>
  <c r="I396" i="5"/>
  <c r="G396" i="5" s="1"/>
  <c r="F396" i="5"/>
  <c r="H696" i="6"/>
  <c r="F3237" i="7"/>
  <c r="E696" i="6" s="1"/>
  <c r="J2514" i="7"/>
  <c r="E1503" i="7"/>
  <c r="J1503" i="7"/>
  <c r="F1503" i="7" s="1"/>
  <c r="H2959" i="7"/>
  <c r="F2958" i="7"/>
  <c r="H2908" i="7"/>
  <c r="G2909" i="7"/>
  <c r="J3345" i="7"/>
  <c r="F3345" i="7" s="1"/>
  <c r="E3345" i="7"/>
  <c r="J1137" i="7"/>
  <c r="K322" i="5"/>
  <c r="E3367" i="7"/>
  <c r="J3367" i="7"/>
  <c r="D155" i="9"/>
  <c r="F5" i="8"/>
  <c r="G3536" i="7" s="1"/>
  <c r="H3536" i="7" s="1"/>
  <c r="H3537" i="7" s="1"/>
  <c r="F749" i="6" s="1"/>
  <c r="G2621" i="7" s="1"/>
  <c r="H2621" i="7" s="1"/>
  <c r="H2622" i="7" s="1"/>
  <c r="F597" i="6" s="1"/>
  <c r="H600" i="5" s="1"/>
  <c r="I600" i="5" s="1"/>
  <c r="F2825" i="7"/>
  <c r="J2280" i="7"/>
  <c r="E2280" i="7"/>
  <c r="J1971" i="7"/>
  <c r="F1970" i="7"/>
  <c r="E2093" i="7"/>
  <c r="J2093" i="7"/>
  <c r="E2179" i="7"/>
  <c r="J2179" i="7"/>
  <c r="G1267" i="7"/>
  <c r="H1267" i="7" s="1"/>
  <c r="H1269" i="7" s="1"/>
  <c r="F299" i="6" s="1"/>
  <c r="H302" i="5" s="1"/>
  <c r="I302" i="5" s="1"/>
  <c r="G1313" i="7"/>
  <c r="H1313" i="7" s="1"/>
  <c r="H1314" i="7" s="1"/>
  <c r="F309" i="6" s="1"/>
  <c r="H312" i="5" s="1"/>
  <c r="I312" i="5" s="1"/>
  <c r="G609" i="6"/>
  <c r="J612" i="5" s="1"/>
  <c r="F2694" i="7"/>
  <c r="E609" i="6" s="1"/>
  <c r="E1893" i="7"/>
  <c r="J1893" i="7"/>
  <c r="H612" i="6"/>
  <c r="L615" i="5" s="1"/>
  <c r="F2713" i="7"/>
  <c r="E612" i="6" s="1"/>
  <c r="J1122" i="7"/>
  <c r="G1297" i="7"/>
  <c r="H1297" i="7" s="1"/>
  <c r="H1298" i="7" s="1"/>
  <c r="F305" i="6" s="1"/>
  <c r="H308" i="5" s="1"/>
  <c r="I308" i="5" s="1"/>
  <c r="G1213" i="7"/>
  <c r="H1213" i="7" s="1"/>
  <c r="H1215" i="7" s="1"/>
  <c r="F287" i="6" s="1"/>
  <c r="H290" i="5" s="1"/>
  <c r="I290" i="5" s="1"/>
  <c r="G1227" i="7"/>
  <c r="H1227" i="7" s="1"/>
  <c r="H1228" i="7" s="1"/>
  <c r="F290" i="6" s="1"/>
  <c r="H293" i="5" s="1"/>
  <c r="I293" i="5" s="1"/>
  <c r="G1223" i="7"/>
  <c r="H1223" i="7" s="1"/>
  <c r="H1224" i="7" s="1"/>
  <c r="F289" i="6" s="1"/>
  <c r="H292" i="5" s="1"/>
  <c r="I292" i="5" s="1"/>
  <c r="G1247" i="7"/>
  <c r="H1247" i="7" s="1"/>
  <c r="H1249" i="7" s="1"/>
  <c r="F295" i="6" s="1"/>
  <c r="H298" i="5" s="1"/>
  <c r="I298" i="5" s="1"/>
  <c r="G1218" i="7"/>
  <c r="H1218" i="7" s="1"/>
  <c r="H1220" i="7" s="1"/>
  <c r="F288" i="6" s="1"/>
  <c r="H291" i="5" s="1"/>
  <c r="I291" i="5" s="1"/>
  <c r="H755" i="6"/>
  <c r="F3562" i="7"/>
  <c r="E755" i="6" s="1"/>
  <c r="H589" i="6"/>
  <c r="F2580" i="7"/>
  <c r="E589" i="6" s="1"/>
  <c r="J1655" i="7"/>
  <c r="E1655" i="7"/>
  <c r="J3176" i="7"/>
  <c r="K626" i="5"/>
  <c r="J968" i="7"/>
  <c r="G37" i="7"/>
  <c r="H37" i="7" s="1"/>
  <c r="H39" i="7" s="1"/>
  <c r="F10" i="6" s="1"/>
  <c r="H13" i="5" s="1"/>
  <c r="I13" i="5" s="1"/>
  <c r="G239" i="7"/>
  <c r="H239" i="7" s="1"/>
  <c r="H241" i="7" s="1"/>
  <c r="F57" i="6" s="1"/>
  <c r="H60" i="5" s="1"/>
  <c r="I60" i="5" s="1"/>
  <c r="G293" i="7"/>
  <c r="H293" i="7" s="1"/>
  <c r="H294" i="7" s="1"/>
  <c r="F69" i="6" s="1"/>
  <c r="H72" i="5" s="1"/>
  <c r="I72" i="5" s="1"/>
  <c r="G642" i="7"/>
  <c r="H642" i="7" s="1"/>
  <c r="H644" i="7" s="1"/>
  <c r="F152" i="6" s="1"/>
  <c r="H155" i="5" s="1"/>
  <c r="I155" i="5" s="1"/>
  <c r="G647" i="7"/>
  <c r="H647" i="7" s="1"/>
  <c r="H649" i="7" s="1"/>
  <c r="F153" i="6" s="1"/>
  <c r="H156" i="5" s="1"/>
  <c r="I156" i="5" s="1"/>
  <c r="G706" i="7"/>
  <c r="H706" i="7" s="1"/>
  <c r="H707" i="7" s="1"/>
  <c r="F166" i="6" s="1"/>
  <c r="H169" i="5" s="1"/>
  <c r="I169" i="5" s="1"/>
  <c r="G702" i="7"/>
  <c r="H702" i="7" s="1"/>
  <c r="H703" i="7" s="1"/>
  <c r="F165" i="6" s="1"/>
  <c r="H168" i="5" s="1"/>
  <c r="I168" i="5" s="1"/>
  <c r="G1044" i="7"/>
  <c r="H1044" i="7" s="1"/>
  <c r="H1046" i="7" s="1"/>
  <c r="F246" i="6" s="1"/>
  <c r="H249" i="5" s="1"/>
  <c r="I249" i="5" s="1"/>
  <c r="G137" i="7"/>
  <c r="H137" i="7" s="1"/>
  <c r="H138" i="7" s="1"/>
  <c r="F33" i="6" s="1"/>
  <c r="H36" i="5" s="1"/>
  <c r="I36" i="5" s="1"/>
  <c r="G91" i="7"/>
  <c r="H91" i="7" s="1"/>
  <c r="H92" i="7" s="1"/>
  <c r="F22" i="6" s="1"/>
  <c r="H25" i="5" s="1"/>
  <c r="I25" i="5" s="1"/>
  <c r="G1097" i="7"/>
  <c r="H1097" i="7" s="1"/>
  <c r="H1098" i="7" s="1"/>
  <c r="F258" i="6" s="1"/>
  <c r="H261" i="5" s="1"/>
  <c r="I261" i="5" s="1"/>
  <c r="E1986" i="7"/>
  <c r="J1986" i="7"/>
  <c r="J1001" i="7"/>
  <c r="G2350" i="7"/>
  <c r="H2350" i="7" s="1"/>
  <c r="H2351" i="7" s="1"/>
  <c r="F541" i="6" s="1"/>
  <c r="H544" i="5" s="1"/>
  <c r="I544" i="5" s="1"/>
  <c r="G2324" i="7"/>
  <c r="H2324" i="7" s="1"/>
  <c r="H2326" i="7" s="1"/>
  <c r="F535" i="6" s="1"/>
  <c r="H538" i="5" s="1"/>
  <c r="I538" i="5" s="1"/>
  <c r="J3015" i="7"/>
  <c r="G870" i="7"/>
  <c r="H870" i="7" s="1"/>
  <c r="H871" i="7" s="1"/>
  <c r="F206" i="6" s="1"/>
  <c r="H209" i="5" s="1"/>
  <c r="I209" i="5" s="1"/>
  <c r="G1019" i="7"/>
  <c r="H1019" i="7" s="1"/>
  <c r="H1021" i="7" s="1"/>
  <c r="F241" i="6" s="1"/>
  <c r="H244" i="5" s="1"/>
  <c r="I244" i="5" s="1"/>
  <c r="G273" i="7"/>
  <c r="H273" i="7" s="1"/>
  <c r="H274" i="7" s="1"/>
  <c r="F64" i="6" s="1"/>
  <c r="H67" i="5" s="1"/>
  <c r="I67" i="5" s="1"/>
  <c r="G12" i="7"/>
  <c r="H12" i="7" s="1"/>
  <c r="H14" i="7" s="1"/>
  <c r="F5" i="6" s="1"/>
  <c r="H8" i="5" s="1"/>
  <c r="I8" i="5" s="1"/>
  <c r="G214" i="7"/>
  <c r="H214" i="7" s="1"/>
  <c r="H216" i="7" s="1"/>
  <c r="F52" i="6" s="1"/>
  <c r="H55" i="5" s="1"/>
  <c r="I55" i="5" s="1"/>
  <c r="G622" i="7"/>
  <c r="H622" i="7" s="1"/>
  <c r="H624" i="7" s="1"/>
  <c r="F148" i="6" s="1"/>
  <c r="H151" i="5" s="1"/>
  <c r="I151" i="5" s="1"/>
  <c r="G71" i="7"/>
  <c r="H71" i="7" s="1"/>
  <c r="H72" i="7" s="1"/>
  <c r="F17" i="6" s="1"/>
  <c r="H20" i="5" s="1"/>
  <c r="I20" i="5" s="1"/>
  <c r="G853" i="7"/>
  <c r="H853" i="7" s="1"/>
  <c r="H855" i="7" s="1"/>
  <c r="F202" i="6" s="1"/>
  <c r="H205" i="5" s="1"/>
  <c r="I205" i="5" s="1"/>
  <c r="G917" i="7"/>
  <c r="H917" i="7" s="1"/>
  <c r="H919" i="7" s="1"/>
  <c r="F217" i="6" s="1"/>
  <c r="H220" i="5" s="1"/>
  <c r="I220" i="5" s="1"/>
  <c r="G686" i="7"/>
  <c r="H686" i="7" s="1"/>
  <c r="H687" i="7" s="1"/>
  <c r="F161" i="6" s="1"/>
  <c r="H164" i="5" s="1"/>
  <c r="I164" i="5" s="1"/>
  <c r="G1077" i="7"/>
  <c r="H1077" i="7" s="1"/>
  <c r="H1078" i="7" s="1"/>
  <c r="F253" i="6" s="1"/>
  <c r="H256" i="5" s="1"/>
  <c r="I256" i="5" s="1"/>
  <c r="G930" i="7"/>
  <c r="H930" i="7" s="1"/>
  <c r="H931" i="7" s="1"/>
  <c r="F220" i="6" s="1"/>
  <c r="H223" i="5" s="1"/>
  <c r="I223" i="5" s="1"/>
  <c r="F8" i="11"/>
  <c r="H662" i="5" s="1"/>
  <c r="F36" i="12"/>
  <c r="E8" i="11" s="1"/>
  <c r="J117" i="7"/>
  <c r="H756" i="6"/>
  <c r="K2759" i="7" s="1"/>
  <c r="F3568" i="7"/>
  <c r="E756" i="6" s="1"/>
  <c r="G504" i="6"/>
  <c r="J507" i="5" s="1"/>
  <c r="L3202" i="7"/>
  <c r="F3201" i="7"/>
  <c r="J121" i="7"/>
  <c r="G323" i="6"/>
  <c r="J326" i="5" s="1"/>
  <c r="K591" i="5"/>
  <c r="J1125" i="7"/>
  <c r="J522" i="7"/>
  <c r="F521" i="7"/>
  <c r="E3063" i="7"/>
  <c r="J3063" i="7"/>
  <c r="F3063" i="7" s="1"/>
  <c r="J2538" i="7"/>
  <c r="F1665" i="7"/>
  <c r="J1666" i="7"/>
  <c r="F3526" i="7"/>
  <c r="J3527" i="7"/>
  <c r="G387" i="6"/>
  <c r="J390" i="5" s="1"/>
  <c r="F1691" i="7"/>
  <c r="E387" i="6" s="1"/>
  <c r="G607" i="6"/>
  <c r="J610" i="5" s="1"/>
  <c r="F2680" i="7"/>
  <c r="E607" i="6" s="1"/>
  <c r="G1262" i="7"/>
  <c r="H1262" i="7" s="1"/>
  <c r="H1264" i="7" s="1"/>
  <c r="F298" i="6" s="1"/>
  <c r="H301" i="5" s="1"/>
  <c r="I301" i="5" s="1"/>
  <c r="G1309" i="7"/>
  <c r="H1309" i="7" s="1"/>
  <c r="H1310" i="7" s="1"/>
  <c r="F308" i="6" s="1"/>
  <c r="H311" i="5" s="1"/>
  <c r="I311" i="5" s="1"/>
  <c r="G605" i="6"/>
  <c r="J608" i="5" s="1"/>
  <c r="F2666" i="7"/>
  <c r="E605" i="6" s="1"/>
  <c r="E3475" i="7"/>
  <c r="J3475" i="7"/>
  <c r="J3122" i="7"/>
  <c r="F366" i="5"/>
  <c r="K366" i="5"/>
  <c r="G366" i="5" s="1"/>
  <c r="F565" i="7"/>
  <c r="J566" i="7"/>
  <c r="J3141" i="7"/>
  <c r="I172" i="9"/>
  <c r="F172" i="9"/>
  <c r="J350" i="7"/>
  <c r="J3430" i="7"/>
  <c r="F3430" i="7" s="1"/>
  <c r="E3430" i="7"/>
  <c r="J549" i="7"/>
  <c r="E549" i="7"/>
  <c r="F537" i="7"/>
  <c r="J538" i="7"/>
  <c r="J1235" i="7"/>
  <c r="J754" i="7"/>
  <c r="J3263" i="7"/>
  <c r="K368" i="5"/>
  <c r="G368" i="5" s="1"/>
  <c r="F368" i="5"/>
  <c r="H2971" i="7"/>
  <c r="G2972" i="7"/>
  <c r="K2142" i="7"/>
  <c r="L2142" i="7" s="1"/>
  <c r="L2144" i="7" s="1"/>
  <c r="H492" i="6" s="1"/>
  <c r="L495" i="5" s="1"/>
  <c r="M495" i="5" s="1"/>
  <c r="K2064" i="7"/>
  <c r="L2064" i="7" s="1"/>
  <c r="L2066" i="7" s="1"/>
  <c r="H474" i="6" s="1"/>
  <c r="L477" i="5" s="1"/>
  <c r="M477" i="5" s="1"/>
  <c r="K2167" i="7"/>
  <c r="L2167" i="7" s="1"/>
  <c r="L2168" i="7" s="1"/>
  <c r="H498" i="6" s="1"/>
  <c r="L501" i="5" s="1"/>
  <c r="M501" i="5" s="1"/>
  <c r="J2183" i="7"/>
  <c r="E2183" i="7"/>
  <c r="G2651" i="7"/>
  <c r="H2651" i="7" s="1"/>
  <c r="H2652" i="7" s="1"/>
  <c r="F603" i="6" s="1"/>
  <c r="H606" i="5" s="1"/>
  <c r="I606" i="5" s="1"/>
  <c r="G2646" i="7"/>
  <c r="H2646" i="7" s="1"/>
  <c r="H2647" i="7" s="1"/>
  <c r="F602" i="6" s="1"/>
  <c r="H605" i="5" s="1"/>
  <c r="I605" i="5" s="1"/>
  <c r="C53" i="9"/>
  <c r="B53" i="9" s="1"/>
  <c r="J3171" i="7"/>
  <c r="J318" i="7"/>
  <c r="J3027" i="7"/>
  <c r="J1521" i="7"/>
  <c r="F1521" i="7" s="1"/>
  <c r="E1521" i="7"/>
  <c r="E604" i="9"/>
  <c r="C567" i="9"/>
  <c r="J1161" i="7"/>
  <c r="J3032" i="7"/>
  <c r="F578" i="6"/>
  <c r="H581" i="5" s="1"/>
  <c r="F2509" i="7"/>
  <c r="E578" i="6" s="1"/>
  <c r="J738" i="7"/>
  <c r="F55" i="9"/>
  <c r="J325" i="7"/>
  <c r="J887" i="7"/>
  <c r="I614" i="5"/>
  <c r="H590" i="6"/>
  <c r="F2587" i="7"/>
  <c r="E590" i="6" s="1"/>
  <c r="H663" i="6"/>
  <c r="F3040" i="7"/>
  <c r="E663" i="6" s="1"/>
  <c r="J353" i="7"/>
  <c r="J1154" i="7"/>
  <c r="F324" i="9"/>
  <c r="C322" i="9"/>
  <c r="B322" i="9" s="1"/>
  <c r="F2794" i="7"/>
  <c r="L2795" i="7"/>
  <c r="G324" i="6"/>
  <c r="J327" i="5" s="1"/>
  <c r="G741" i="6"/>
  <c r="F3493" i="7"/>
  <c r="E741" i="6" s="1"/>
  <c r="H678" i="6"/>
  <c r="F3130" i="7"/>
  <c r="E678" i="6" s="1"/>
  <c r="J1621" i="7"/>
  <c r="F1620" i="7"/>
  <c r="G22" i="7"/>
  <c r="H22" i="7" s="1"/>
  <c r="H24" i="7" s="1"/>
  <c r="F7" i="6" s="1"/>
  <c r="H10" i="5" s="1"/>
  <c r="I10" i="5" s="1"/>
  <c r="G79" i="7"/>
  <c r="H79" i="7" s="1"/>
  <c r="H80" i="7" s="1"/>
  <c r="F19" i="6" s="1"/>
  <c r="H22" i="5" s="1"/>
  <c r="I22" i="5" s="1"/>
  <c r="G632" i="7"/>
  <c r="H632" i="7" s="1"/>
  <c r="H634" i="7" s="1"/>
  <c r="F150" i="6" s="1"/>
  <c r="H153" i="5" s="1"/>
  <c r="I153" i="5" s="1"/>
  <c r="G224" i="7"/>
  <c r="H224" i="7" s="1"/>
  <c r="H226" i="7" s="1"/>
  <c r="F54" i="6" s="1"/>
  <c r="H57" i="5" s="1"/>
  <c r="I57" i="5" s="1"/>
  <c r="G281" i="7"/>
  <c r="H281" i="7" s="1"/>
  <c r="H282" i="7" s="1"/>
  <c r="F66" i="6" s="1"/>
  <c r="H69" i="5" s="1"/>
  <c r="I69" i="5" s="1"/>
  <c r="G1085" i="7"/>
  <c r="H1085" i="7" s="1"/>
  <c r="H1086" i="7" s="1"/>
  <c r="F255" i="6" s="1"/>
  <c r="H258" i="5" s="1"/>
  <c r="I258" i="5" s="1"/>
  <c r="G694" i="7"/>
  <c r="H694" i="7" s="1"/>
  <c r="H695" i="7" s="1"/>
  <c r="F163" i="6" s="1"/>
  <c r="H166" i="5" s="1"/>
  <c r="I166" i="5" s="1"/>
  <c r="J875" i="7"/>
  <c r="F874" i="7"/>
  <c r="F2730" i="7"/>
  <c r="L2731" i="7"/>
  <c r="E1133" i="7"/>
  <c r="J1133" i="7"/>
  <c r="J2611" i="7"/>
  <c r="F1660" i="7"/>
  <c r="J1661" i="7"/>
  <c r="K2346" i="7"/>
  <c r="L2346" i="7" s="1"/>
  <c r="L2347" i="7" s="1"/>
  <c r="H540" i="6" s="1"/>
  <c r="L543" i="5" s="1"/>
  <c r="M543" i="5" s="1"/>
  <c r="K2319" i="7"/>
  <c r="L2319" i="7" s="1"/>
  <c r="L2321" i="7" s="1"/>
  <c r="H534" i="6" s="1"/>
  <c r="L537" i="5" s="1"/>
  <c r="M537" i="5" s="1"/>
  <c r="H626" i="6"/>
  <c r="L629" i="5" s="1"/>
  <c r="F2788" i="7"/>
  <c r="E626" i="6" s="1"/>
  <c r="G1141" i="7"/>
  <c r="G337" i="7"/>
  <c r="G3104" i="7"/>
  <c r="G3099" i="7"/>
  <c r="H2901" i="7"/>
  <c r="G2902" i="7"/>
  <c r="G453" i="6"/>
  <c r="J456" i="5" s="1"/>
  <c r="I628" i="5"/>
  <c r="H586" i="6"/>
  <c r="F2559" i="7"/>
  <c r="E586" i="6" s="1"/>
  <c r="E3470" i="7"/>
  <c r="J3470" i="7"/>
  <c r="F3470" i="7" s="1"/>
  <c r="F878" i="7"/>
  <c r="J879" i="7"/>
  <c r="L2725" i="7"/>
  <c r="F2724" i="7"/>
  <c r="G396" i="6"/>
  <c r="J399" i="5" s="1"/>
  <c r="F1731" i="7"/>
  <c r="E396" i="6" s="1"/>
  <c r="I1921" i="7"/>
  <c r="I1873" i="7"/>
  <c r="I2215" i="7"/>
  <c r="I1848" i="7"/>
  <c r="H1354" i="7"/>
  <c r="G2342" i="7"/>
  <c r="H2342" i="7" s="1"/>
  <c r="H2343" i="7" s="1"/>
  <c r="F539" i="6" s="1"/>
  <c r="H542" i="5" s="1"/>
  <c r="I542" i="5" s="1"/>
  <c r="G2314" i="7"/>
  <c r="H2314" i="7" s="1"/>
  <c r="H2316" i="7" s="1"/>
  <c r="F533" i="6" s="1"/>
  <c r="H536" i="5" s="1"/>
  <c r="I536" i="5" s="1"/>
  <c r="J3229" i="7"/>
  <c r="G636" i="6"/>
  <c r="J639" i="5" s="1"/>
  <c r="F2868" i="7"/>
  <c r="E636" i="6" s="1"/>
  <c r="J1736" i="7"/>
  <c r="F1734" i="7"/>
  <c r="J3189" i="7"/>
  <c r="J2089" i="7"/>
  <c r="E2089" i="7"/>
  <c r="F3441" i="7"/>
  <c r="J3442" i="7"/>
  <c r="E2276" i="7"/>
  <c r="J2276" i="7"/>
  <c r="E175" i="9"/>
  <c r="G630" i="6"/>
  <c r="J633" i="5" s="1"/>
  <c r="F2820" i="7"/>
  <c r="E630" i="6" s="1"/>
  <c r="J534" i="7"/>
  <c r="F533" i="7"/>
  <c r="K371" i="5"/>
  <c r="G371" i="5" s="1"/>
  <c r="F371" i="5"/>
  <c r="F2264" i="7"/>
  <c r="J2265" i="7"/>
  <c r="B272" i="9"/>
  <c r="G522" i="6"/>
  <c r="J525" i="5" s="1"/>
  <c r="K2081" i="7"/>
  <c r="L2081" i="7" s="1"/>
  <c r="L2082" i="7" s="1"/>
  <c r="H478" i="6" s="1"/>
  <c r="L481" i="5" s="1"/>
  <c r="M481" i="5" s="1"/>
  <c r="K1770" i="7"/>
  <c r="L1770" i="7" s="1"/>
  <c r="L1772" i="7" s="1"/>
  <c r="H405" i="6" s="1"/>
  <c r="L408" i="5" s="1"/>
  <c r="M408" i="5" s="1"/>
  <c r="K2163" i="7"/>
  <c r="L2163" i="7" s="1"/>
  <c r="L2164" i="7" s="1"/>
  <c r="H497" i="6" s="1"/>
  <c r="L500" i="5" s="1"/>
  <c r="M500" i="5" s="1"/>
  <c r="K1966" i="7"/>
  <c r="L1966" i="7" s="1"/>
  <c r="L1967" i="7" s="1"/>
  <c r="H451" i="6" s="1"/>
  <c r="L454" i="5" s="1"/>
  <c r="M454" i="5" s="1"/>
  <c r="K1945" i="7"/>
  <c r="L1945" i="7" s="1"/>
  <c r="L1947" i="7" s="1"/>
  <c r="H446" i="6" s="1"/>
  <c r="L449" i="5" s="1"/>
  <c r="M449" i="5" s="1"/>
  <c r="K2239" i="7"/>
  <c r="L2239" i="7" s="1"/>
  <c r="L2241" i="7" s="1"/>
  <c r="H515" i="6" s="1"/>
  <c r="L518" i="5" s="1"/>
  <c r="M518" i="5" s="1"/>
  <c r="K1869" i="7"/>
  <c r="L1869" i="7" s="1"/>
  <c r="L1870" i="7" s="1"/>
  <c r="H428" i="6" s="1"/>
  <c r="L431" i="5" s="1"/>
  <c r="M431" i="5" s="1"/>
  <c r="K1787" i="7"/>
  <c r="L1787" i="7" s="1"/>
  <c r="L1788" i="7" s="1"/>
  <c r="H409" i="6" s="1"/>
  <c r="L412" i="5" s="1"/>
  <c r="M412" i="5" s="1"/>
  <c r="K2137" i="7"/>
  <c r="L2137" i="7" s="1"/>
  <c r="L2139" i="7" s="1"/>
  <c r="H491" i="6" s="1"/>
  <c r="L494" i="5" s="1"/>
  <c r="M494" i="5" s="1"/>
  <c r="K2260" i="7"/>
  <c r="L2260" i="7" s="1"/>
  <c r="L2261" i="7" s="1"/>
  <c r="H520" i="6" s="1"/>
  <c r="L523" i="5" s="1"/>
  <c r="M523" i="5" s="1"/>
  <c r="K2421" i="7"/>
  <c r="L2421" i="7" s="1"/>
  <c r="L2423" i="7" s="1"/>
  <c r="H558" i="6" s="1"/>
  <c r="L561" i="5" s="1"/>
  <c r="M561" i="5" s="1"/>
  <c r="K2059" i="7"/>
  <c r="L2059" i="7" s="1"/>
  <c r="L2061" i="7" s="1"/>
  <c r="H473" i="6" s="1"/>
  <c r="L476" i="5" s="1"/>
  <c r="M476" i="5" s="1"/>
  <c r="K2438" i="7"/>
  <c r="L2438" i="7" s="1"/>
  <c r="L2439" i="7" s="1"/>
  <c r="H562" i="6" s="1"/>
  <c r="L565" i="5" s="1"/>
  <c r="M565" i="5" s="1"/>
  <c r="K1843" i="7"/>
  <c r="L1843" i="7" s="1"/>
  <c r="L1845" i="7" s="1"/>
  <c r="H422" i="6" s="1"/>
  <c r="L425" i="5" s="1"/>
  <c r="M425" i="5" s="1"/>
  <c r="J2606" i="7"/>
  <c r="E3068" i="7"/>
  <c r="J3068" i="7"/>
  <c r="E375" i="9"/>
  <c r="H699" i="6"/>
  <c r="F3254" i="7"/>
  <c r="E699" i="6" s="1"/>
  <c r="L3022" i="7"/>
  <c r="F3021" i="7"/>
  <c r="E746" i="7"/>
  <c r="J746" i="7"/>
  <c r="K592" i="5"/>
  <c r="G132" i="6"/>
  <c r="J135" i="5" s="1"/>
  <c r="F558" i="7"/>
  <c r="E132" i="6" s="1"/>
  <c r="E51" i="9"/>
  <c r="C51" i="9" s="1"/>
  <c r="J2596" i="7"/>
  <c r="E2366" i="7"/>
  <c r="J2366" i="7"/>
  <c r="F274" i="9"/>
  <c r="F275" i="9" s="1"/>
  <c r="F304" i="9" s="1"/>
  <c r="H2943" i="7"/>
  <c r="G2944" i="7"/>
  <c r="G2888" i="7"/>
  <c r="H2887" i="7"/>
  <c r="G435" i="6"/>
  <c r="J438" i="5" s="1"/>
  <c r="J884" i="7"/>
  <c r="H3333" i="7"/>
  <c r="J341" i="7"/>
  <c r="J3105" i="7"/>
  <c r="J2761" i="7"/>
  <c r="J1978" i="7"/>
  <c r="E1978" i="7"/>
  <c r="G388" i="6"/>
  <c r="J391" i="5" s="1"/>
  <c r="F1696" i="7"/>
  <c r="E388" i="6" s="1"/>
  <c r="J3384" i="7"/>
  <c r="E3384" i="7"/>
  <c r="E1803" i="7"/>
  <c r="J1803" i="7"/>
  <c r="J3159" i="7"/>
  <c r="J1982" i="7"/>
  <c r="E1982" i="7"/>
  <c r="E553" i="7"/>
  <c r="J553" i="7"/>
  <c r="G500" i="6"/>
  <c r="J503" i="5" s="1"/>
  <c r="F3401" i="7"/>
  <c r="J3402" i="7"/>
  <c r="J942" i="7"/>
  <c r="F3573" i="7"/>
  <c r="L3574" i="7"/>
  <c r="F1686" i="7"/>
  <c r="E386" i="6" s="1"/>
  <c r="G386" i="6"/>
  <c r="J389" i="5" s="1"/>
  <c r="F2171" i="7"/>
  <c r="J2172" i="7"/>
  <c r="G129" i="7"/>
  <c r="H129" i="7" s="1"/>
  <c r="H130" i="7" s="1"/>
  <c r="F31" i="6" s="1"/>
  <c r="H34" i="5" s="1"/>
  <c r="I34" i="5" s="1"/>
  <c r="G83" i="7"/>
  <c r="H83" i="7" s="1"/>
  <c r="H84" i="7" s="1"/>
  <c r="F20" i="6" s="1"/>
  <c r="H23" i="5" s="1"/>
  <c r="I23" i="5" s="1"/>
  <c r="G229" i="7"/>
  <c r="H229" i="7" s="1"/>
  <c r="H231" i="7" s="1"/>
  <c r="F55" i="6" s="1"/>
  <c r="H58" i="5" s="1"/>
  <c r="I58" i="5" s="1"/>
  <c r="G1034" i="7"/>
  <c r="H1034" i="7" s="1"/>
  <c r="H1036" i="7" s="1"/>
  <c r="F244" i="6" s="1"/>
  <c r="H247" i="5" s="1"/>
  <c r="I247" i="5" s="1"/>
  <c r="G698" i="7"/>
  <c r="H698" i="7" s="1"/>
  <c r="H699" i="7" s="1"/>
  <c r="F164" i="6" s="1"/>
  <c r="H167" i="5" s="1"/>
  <c r="I167" i="5" s="1"/>
  <c r="G27" i="7"/>
  <c r="H27" i="7" s="1"/>
  <c r="H29" i="7" s="1"/>
  <c r="F8" i="6" s="1"/>
  <c r="H11" i="5" s="1"/>
  <c r="I11" i="5" s="1"/>
  <c r="G1089" i="7"/>
  <c r="H1089" i="7" s="1"/>
  <c r="H1090" i="7" s="1"/>
  <c r="F256" i="6" s="1"/>
  <c r="H259" i="5" s="1"/>
  <c r="I259" i="5" s="1"/>
  <c r="G637" i="7"/>
  <c r="H637" i="7" s="1"/>
  <c r="H639" i="7" s="1"/>
  <c r="F151" i="6" s="1"/>
  <c r="H154" i="5" s="1"/>
  <c r="I154" i="5" s="1"/>
  <c r="G285" i="7"/>
  <c r="H285" i="7" s="1"/>
  <c r="H286" i="7" s="1"/>
  <c r="F67" i="6" s="1"/>
  <c r="H70" i="5" s="1"/>
  <c r="I70" i="5" s="1"/>
  <c r="J2749" i="7"/>
  <c r="L2687" i="7"/>
  <c r="H608" i="6" s="1"/>
  <c r="L611" i="5" s="1"/>
  <c r="M611" i="5" s="1"/>
  <c r="F2686" i="7"/>
  <c r="K862" i="7"/>
  <c r="L862" i="7" s="1"/>
  <c r="L863" i="7" s="1"/>
  <c r="H204" i="6" s="1"/>
  <c r="L207" i="5" s="1"/>
  <c r="M207" i="5" s="1"/>
  <c r="K1009" i="7"/>
  <c r="L1009" i="7" s="1"/>
  <c r="L1011" i="7" s="1"/>
  <c r="H239" i="6" s="1"/>
  <c r="L242" i="5" s="1"/>
  <c r="M242" i="5" s="1"/>
  <c r="K843" i="7"/>
  <c r="L843" i="7" s="1"/>
  <c r="L845" i="7" s="1"/>
  <c r="H200" i="6" s="1"/>
  <c r="L203" i="5" s="1"/>
  <c r="M203" i="5" s="1"/>
  <c r="K838" i="7"/>
  <c r="L838" i="7" s="1"/>
  <c r="L840" i="7" s="1"/>
  <c r="H199" i="6" s="1"/>
  <c r="L202" i="5" s="1"/>
  <c r="M202" i="5" s="1"/>
  <c r="K858" i="7"/>
  <c r="L858" i="7" s="1"/>
  <c r="L859" i="7" s="1"/>
  <c r="H203" i="6" s="1"/>
  <c r="L206" i="5" s="1"/>
  <c r="M206" i="5" s="1"/>
  <c r="K1069" i="7"/>
  <c r="L1069" i="7" s="1"/>
  <c r="L1070" i="7" s="1"/>
  <c r="H251" i="6" s="1"/>
  <c r="L254" i="5" s="1"/>
  <c r="M254" i="5" s="1"/>
  <c r="J935" i="7"/>
  <c r="E329" i="7"/>
  <c r="J329" i="7"/>
  <c r="J1611" i="7"/>
  <c r="F1610" i="7"/>
  <c r="G1157" i="7"/>
  <c r="G349" i="7"/>
  <c r="G774" i="7"/>
  <c r="G3153" i="7"/>
  <c r="G3158" i="7"/>
  <c r="H711" i="6"/>
  <c r="F3322" i="7"/>
  <c r="E711" i="6" s="1"/>
  <c r="E724" i="9"/>
  <c r="C722" i="9"/>
  <c r="J2526" i="7"/>
  <c r="H672" i="6"/>
  <c r="F3094" i="7"/>
  <c r="E672" i="6" s="1"/>
  <c r="I1405" i="7"/>
  <c r="I1277" i="7"/>
  <c r="I1409" i="7"/>
  <c r="I1401" i="7"/>
  <c r="I1397" i="7"/>
  <c r="I3309" i="7"/>
  <c r="I1413" i="7"/>
  <c r="E1635" i="7"/>
  <c r="J1635" i="7"/>
  <c r="J2379" i="7"/>
  <c r="F2378" i="7"/>
  <c r="F205" i="9"/>
  <c r="H6" i="8"/>
  <c r="K3540" i="7" s="1"/>
  <c r="L3540" i="7" s="1"/>
  <c r="L3541" i="7" s="1"/>
  <c r="H750" i="6" s="1"/>
  <c r="K2626" i="7" s="1"/>
  <c r="L2626" i="7" s="1"/>
  <c r="L2627" i="7" s="1"/>
  <c r="H598" i="6" s="1"/>
  <c r="L601" i="5" s="1"/>
  <c r="M601" i="5" s="1"/>
  <c r="J3086" i="7"/>
  <c r="E1885" i="7"/>
  <c r="J1885" i="7"/>
  <c r="J333" i="7"/>
  <c r="K588" i="5"/>
  <c r="F2572" i="7"/>
  <c r="L2573" i="7"/>
  <c r="E1640" i="7"/>
  <c r="J1640" i="7"/>
  <c r="J750" i="7"/>
  <c r="J758" i="7"/>
  <c r="J346" i="7"/>
  <c r="B51" i="9"/>
  <c r="J1345" i="7"/>
  <c r="E454" i="9"/>
  <c r="J3050" i="7"/>
  <c r="E505" i="9"/>
  <c r="C554" i="9"/>
  <c r="G12" i="8"/>
  <c r="I3604" i="7" s="1"/>
  <c r="J338" i="7"/>
  <c r="L2566" i="7"/>
  <c r="F2565" i="7"/>
  <c r="C422" i="9"/>
  <c r="F424" i="9"/>
  <c r="J771" i="7"/>
  <c r="J2532" i="7"/>
  <c r="G2346" i="7"/>
  <c r="H2346" i="7" s="1"/>
  <c r="H2347" i="7" s="1"/>
  <c r="F540" i="6" s="1"/>
  <c r="H543" i="5" s="1"/>
  <c r="I543" i="5" s="1"/>
  <c r="G2319" i="7"/>
  <c r="H2319" i="7" s="1"/>
  <c r="H2321" i="7" s="1"/>
  <c r="F534" i="6" s="1"/>
  <c r="H537" i="5" s="1"/>
  <c r="I537" i="5" s="1"/>
  <c r="J1142" i="7"/>
  <c r="J778" i="7"/>
  <c r="H714" i="6"/>
  <c r="F3340" i="7"/>
  <c r="E714" i="6" s="1"/>
  <c r="G563" i="6"/>
  <c r="J566" i="5" s="1"/>
  <c r="J2617" i="7"/>
  <c r="E275" i="9"/>
  <c r="F577" i="6"/>
  <c r="H580" i="5" s="1"/>
  <c r="F2503" i="7"/>
  <c r="E577" i="6" s="1"/>
  <c r="G608" i="6"/>
  <c r="J611" i="5" s="1"/>
  <c r="L3288" i="7"/>
  <c r="F3287" i="7"/>
  <c r="J3280" i="7"/>
  <c r="F3212" i="7"/>
  <c r="J3213" i="7"/>
  <c r="F11" i="8"/>
  <c r="G3599" i="7" s="1"/>
  <c r="H3599" i="7" s="1"/>
  <c r="H3600" i="7" s="1"/>
  <c r="F761" i="6" s="1"/>
  <c r="G2826" i="7" s="1"/>
  <c r="H2826" i="7" s="1"/>
  <c r="H2839" i="7" s="1"/>
  <c r="F631" i="6" s="1"/>
  <c r="H634" i="5" s="1"/>
  <c r="I634" i="5" s="1"/>
  <c r="D455" i="9"/>
  <c r="F2032" i="7"/>
  <c r="J2033" i="7"/>
  <c r="H597" i="5"/>
  <c r="I597" i="5" s="1"/>
  <c r="G2531" i="7"/>
  <c r="H2531" i="7" s="1"/>
  <c r="H2533" i="7" s="1"/>
  <c r="F582" i="6" s="1"/>
  <c r="H585" i="5" s="1"/>
  <c r="I585" i="5" s="1"/>
  <c r="G610" i="6"/>
  <c r="J613" i="5" s="1"/>
  <c r="F2701" i="7"/>
  <c r="E610" i="6" s="1"/>
  <c r="K589" i="5"/>
  <c r="J526" i="7"/>
  <c r="F525" i="7"/>
  <c r="J1509" i="7"/>
  <c r="F1509" i="7" s="1"/>
  <c r="E1509" i="7"/>
  <c r="K2314" i="7"/>
  <c r="L2314" i="7" s="1"/>
  <c r="L2316" i="7" s="1"/>
  <c r="H533" i="6" s="1"/>
  <c r="L536" i="5" s="1"/>
  <c r="M536" i="5" s="1"/>
  <c r="K2342" i="7"/>
  <c r="L2342" i="7" s="1"/>
  <c r="L2343" i="7" s="1"/>
  <c r="H539" i="6" s="1"/>
  <c r="L542" i="5" s="1"/>
  <c r="M542" i="5" s="1"/>
  <c r="C224" i="9"/>
  <c r="E225" i="9"/>
  <c r="G635" i="6"/>
  <c r="J638" i="5" s="1"/>
  <c r="F2861" i="7"/>
  <c r="E635" i="6" s="1"/>
  <c r="J3117" i="7"/>
  <c r="J541" i="7"/>
  <c r="E541" i="7"/>
  <c r="E1795" i="7"/>
  <c r="J1795" i="7"/>
  <c r="F6" i="11"/>
  <c r="F25" i="12"/>
  <c r="E6" i="11" s="1"/>
  <c r="F2028" i="7"/>
  <c r="J2029" i="7"/>
  <c r="E3350" i="7"/>
  <c r="J3350" i="7"/>
  <c r="J3242" i="7"/>
  <c r="E2454" i="7"/>
  <c r="J2454" i="7"/>
  <c r="J3259" i="7"/>
  <c r="J1341" i="7"/>
  <c r="J2602" i="7"/>
  <c r="J2362" i="7"/>
  <c r="E2362" i="7"/>
  <c r="J361" i="7"/>
  <c r="J1533" i="7"/>
  <c r="F1533" i="7" s="1"/>
  <c r="E1533" i="7"/>
  <c r="G479" i="6"/>
  <c r="J482" i="5" s="1"/>
  <c r="I372" i="9"/>
  <c r="F372" i="9"/>
  <c r="G604" i="6"/>
  <c r="J607" i="5" s="1"/>
  <c r="F2659" i="7"/>
  <c r="E604" i="6" s="1"/>
  <c r="J3453" i="7"/>
  <c r="F3453" i="7" s="1"/>
  <c r="E3453" i="7"/>
  <c r="K79" i="7"/>
  <c r="L79" i="7" s="1"/>
  <c r="L80" i="7" s="1"/>
  <c r="H19" i="6" s="1"/>
  <c r="L22" i="5" s="1"/>
  <c r="M22" i="5" s="1"/>
  <c r="K632" i="7"/>
  <c r="L632" i="7" s="1"/>
  <c r="L634" i="7" s="1"/>
  <c r="H150" i="6" s="1"/>
  <c r="L153" i="5" s="1"/>
  <c r="M153" i="5" s="1"/>
  <c r="K22" i="7"/>
  <c r="L22" i="7" s="1"/>
  <c r="L24" i="7" s="1"/>
  <c r="H7" i="6" s="1"/>
  <c r="L10" i="5" s="1"/>
  <c r="M10" i="5" s="1"/>
  <c r="K224" i="7"/>
  <c r="L224" i="7" s="1"/>
  <c r="L226" i="7" s="1"/>
  <c r="H54" i="6" s="1"/>
  <c r="L57" i="5" s="1"/>
  <c r="M57" i="5" s="1"/>
  <c r="K281" i="7"/>
  <c r="L281" i="7" s="1"/>
  <c r="L282" i="7" s="1"/>
  <c r="H66" i="6" s="1"/>
  <c r="L69" i="5" s="1"/>
  <c r="M69" i="5" s="1"/>
  <c r="K694" i="7"/>
  <c r="L694" i="7" s="1"/>
  <c r="L695" i="7" s="1"/>
  <c r="H163" i="6" s="1"/>
  <c r="L166" i="5" s="1"/>
  <c r="M166" i="5" s="1"/>
  <c r="K1085" i="7"/>
  <c r="L1085" i="7" s="1"/>
  <c r="L1086" i="7" s="1"/>
  <c r="H255" i="6" s="1"/>
  <c r="L258" i="5" s="1"/>
  <c r="M258" i="5" s="1"/>
  <c r="G384" i="6"/>
  <c r="J387" i="5" s="1"/>
  <c r="F1676" i="7"/>
  <c r="E384" i="6" s="1"/>
  <c r="G634" i="6"/>
  <c r="J637" i="5" s="1"/>
  <c r="F2854" i="7"/>
  <c r="E634" i="6" s="1"/>
  <c r="E2097" i="7"/>
  <c r="J2097" i="7"/>
  <c r="G321" i="6"/>
  <c r="J324" i="5" s="1"/>
  <c r="E1645" i="7"/>
  <c r="J1645" i="7"/>
  <c r="G1301" i="7"/>
  <c r="H1301" i="7" s="1"/>
  <c r="H1302" i="7" s="1"/>
  <c r="F306" i="6" s="1"/>
  <c r="H309" i="5" s="1"/>
  <c r="I309" i="5" s="1"/>
  <c r="G1252" i="7"/>
  <c r="H1252" i="7" s="1"/>
  <c r="H1254" i="7" s="1"/>
  <c r="F296" i="6" s="1"/>
  <c r="H299" i="5" s="1"/>
  <c r="I299" i="5" s="1"/>
  <c r="J321" i="7"/>
  <c r="G322" i="6"/>
  <c r="J325" i="5" s="1"/>
  <c r="J2744" i="7"/>
  <c r="H3315" i="7"/>
  <c r="H708" i="6"/>
  <c r="F3305" i="7"/>
  <c r="E708" i="6" s="1"/>
  <c r="J2754" i="7"/>
  <c r="E3504" i="7"/>
  <c r="J3504" i="7"/>
  <c r="F3504" i="7" s="1"/>
  <c r="J767" i="7"/>
  <c r="G410" i="6"/>
  <c r="J413" i="5" s="1"/>
  <c r="J1150" i="7"/>
  <c r="J3276" i="7"/>
  <c r="H585" i="6"/>
  <c r="F2552" i="7"/>
  <c r="E585" i="6" s="1"/>
  <c r="G395" i="6"/>
  <c r="J398" i="5" s="1"/>
  <c r="F1726" i="7"/>
  <c r="E395" i="6" s="1"/>
  <c r="E354" i="9"/>
  <c r="J545" i="7"/>
  <c r="E545" i="7"/>
  <c r="J763" i="7"/>
  <c r="B222" i="9"/>
  <c r="E2446" i="7"/>
  <c r="J2446" i="7"/>
  <c r="F3165" i="7"/>
  <c r="L3166" i="7"/>
  <c r="E1799" i="7"/>
  <c r="J1799" i="7"/>
  <c r="G394" i="6"/>
  <c r="J397" i="5" s="1"/>
  <c r="F1721" i="7"/>
  <c r="E394" i="6" s="1"/>
  <c r="G116" i="7"/>
  <c r="G317" i="7"/>
  <c r="G734" i="7"/>
  <c r="G967" i="7"/>
  <c r="G938" i="7"/>
  <c r="G934" i="7"/>
  <c r="G882" i="7"/>
  <c r="G3009" i="7"/>
  <c r="G1121" i="7"/>
  <c r="G3014" i="7"/>
  <c r="F1877" i="7"/>
  <c r="J1878" i="7"/>
  <c r="J1158" i="7"/>
  <c r="G431" i="6"/>
  <c r="J434" i="5" s="1"/>
  <c r="J1337" i="7"/>
  <c r="F627" i="5"/>
  <c r="K627" i="5"/>
  <c r="G627" i="5" s="1"/>
  <c r="J775" i="7"/>
  <c r="J3362" i="7"/>
  <c r="F3362" i="7" s="1"/>
  <c r="E3362" i="7"/>
  <c r="J3246" i="7"/>
  <c r="J782" i="7"/>
  <c r="F1117" i="7"/>
  <c r="J1118" i="7"/>
  <c r="E2450" i="7"/>
  <c r="J2450" i="7"/>
  <c r="F2706" i="7"/>
  <c r="L2707" i="7"/>
  <c r="J1231" i="7"/>
  <c r="F9" i="8"/>
  <c r="G3552" i="7" s="1"/>
  <c r="H3552" i="7" s="1"/>
  <c r="H3553" i="7" s="1"/>
  <c r="F753" i="6" s="1"/>
  <c r="G2641" i="7" s="1"/>
  <c r="H2641" i="7" s="1"/>
  <c r="H2642" i="7" s="1"/>
  <c r="F601" i="6" s="1"/>
  <c r="H604" i="5" s="1"/>
  <c r="I604" i="5" s="1"/>
  <c r="D355" i="9"/>
  <c r="F629" i="6"/>
  <c r="H632" i="5" s="1"/>
  <c r="F2810" i="7"/>
  <c r="E629" i="6" s="1"/>
  <c r="J3045" i="7"/>
  <c r="J561" i="7"/>
  <c r="E561" i="7"/>
  <c r="F1681" i="7"/>
  <c r="E385" i="6" s="1"/>
  <c r="G385" i="6"/>
  <c r="J388" i="5" s="1"/>
  <c r="E2187" i="7"/>
  <c r="J2187" i="7"/>
  <c r="J3458" i="7"/>
  <c r="E3458" i="7"/>
  <c r="G606" i="6"/>
  <c r="J609" i="5" s="1"/>
  <c r="F2673" i="7"/>
  <c r="E606" i="6" s="1"/>
  <c r="H2978" i="7"/>
  <c r="G2979" i="7"/>
  <c r="J530" i="7"/>
  <c r="F529" i="7"/>
  <c r="J984" i="7"/>
  <c r="J2359" i="7"/>
  <c r="F2358" i="7"/>
  <c r="E28" i="9"/>
  <c r="G379" i="6"/>
  <c r="F1651" i="7"/>
  <c r="E379" i="6" s="1"/>
  <c r="G383" i="6"/>
  <c r="J386" i="5" s="1"/>
  <c r="F1671" i="7"/>
  <c r="E383" i="6" s="1"/>
  <c r="G2354" i="7"/>
  <c r="H2354" i="7" s="1"/>
  <c r="H2355" i="7" s="1"/>
  <c r="F542" i="6" s="1"/>
  <c r="H545" i="5" s="1"/>
  <c r="I545" i="5" s="1"/>
  <c r="G2329" i="7"/>
  <c r="H2329" i="7" s="1"/>
  <c r="H2331" i="7" s="1"/>
  <c r="F536" i="6" s="1"/>
  <c r="H539" i="5" s="1"/>
  <c r="I539" i="5" s="1"/>
  <c r="J2739" i="7"/>
  <c r="J2374" i="7"/>
  <c r="E2374" i="7"/>
  <c r="H2894" i="7"/>
  <c r="G2895" i="7"/>
  <c r="J1349" i="7"/>
  <c r="J2520" i="7"/>
  <c r="G205" i="7"/>
  <c r="H205" i="7" s="1"/>
  <c r="H206" i="7" s="1"/>
  <c r="F50" i="6" s="1"/>
  <c r="H53" i="5" s="1"/>
  <c r="I53" i="5" s="1"/>
  <c r="G409" i="7"/>
  <c r="H409" i="7" s="1"/>
  <c r="H410" i="7" s="1"/>
  <c r="F98" i="6" s="1"/>
  <c r="H101" i="5" s="1"/>
  <c r="I101" i="5" s="1"/>
  <c r="G834" i="7"/>
  <c r="H834" i="7" s="1"/>
  <c r="H835" i="7" s="1"/>
  <c r="F198" i="6" s="1"/>
  <c r="H201" i="5" s="1"/>
  <c r="I201" i="5" s="1"/>
  <c r="G3188" i="7"/>
  <c r="H3188" i="7" s="1"/>
  <c r="H3190" i="7" s="1"/>
  <c r="F688" i="6" s="1"/>
  <c r="F1625" i="7"/>
  <c r="J1626" i="7"/>
  <c r="F367" i="5"/>
  <c r="K367" i="5"/>
  <c r="G367" i="5" s="1"/>
  <c r="E674" i="9"/>
  <c r="C672" i="9"/>
  <c r="F488" i="9"/>
  <c r="F490" i="9" s="1"/>
  <c r="F504" i="9" s="1"/>
  <c r="C486" i="9"/>
  <c r="B486" i="9" s="1"/>
  <c r="J10" i="12"/>
  <c r="E10" i="12"/>
  <c r="J1145" i="7"/>
  <c r="H354" i="5"/>
  <c r="I354" i="5" s="1"/>
  <c r="G493" i="7"/>
  <c r="H493" i="7" s="1"/>
  <c r="H494" i="7" s="1"/>
  <c r="F116" i="6" s="1"/>
  <c r="H119" i="5" s="1"/>
  <c r="I119" i="5" s="1"/>
  <c r="G2921" i="7"/>
  <c r="H2921" i="7" s="1"/>
  <c r="E3379" i="7"/>
  <c r="J3379" i="7"/>
  <c r="F3379" i="7" s="1"/>
  <c r="C478" i="9"/>
  <c r="B478" i="9" s="1"/>
  <c r="E488" i="9"/>
  <c r="J3225" i="7"/>
  <c r="E1515" i="7"/>
  <c r="J1515" i="7"/>
  <c r="F1515" i="7" s="1"/>
  <c r="J735" i="7"/>
  <c r="J3194" i="7"/>
  <c r="F6" i="8"/>
  <c r="G3540" i="7" s="1"/>
  <c r="H3540" i="7" s="1"/>
  <c r="H3541" i="7" s="1"/>
  <c r="F750" i="6" s="1"/>
  <c r="G2626" i="7" s="1"/>
  <c r="H2626" i="7" s="1"/>
  <c r="H2627" i="7" s="1"/>
  <c r="F598" i="6" s="1"/>
  <c r="H601" i="5" s="1"/>
  <c r="I601" i="5" s="1"/>
  <c r="D205" i="9"/>
  <c r="H355" i="5"/>
  <c r="I355" i="5" s="1"/>
  <c r="G438" i="7"/>
  <c r="H438" i="7" s="1"/>
  <c r="H440" i="7" s="1"/>
  <c r="F104" i="6" s="1"/>
  <c r="H107" i="5" s="1"/>
  <c r="I107" i="5" s="1"/>
  <c r="G497" i="7"/>
  <c r="H497" i="7" s="1"/>
  <c r="H498" i="7" s="1"/>
  <c r="F117" i="6" s="1"/>
  <c r="H120" i="5" s="1"/>
  <c r="I120" i="5" s="1"/>
  <c r="G443" i="7"/>
  <c r="H443" i="7" s="1"/>
  <c r="H445" i="7" s="1"/>
  <c r="F105" i="6" s="1"/>
  <c r="H108" i="5" s="1"/>
  <c r="I108" i="5" s="1"/>
  <c r="G1447" i="7"/>
  <c r="H1447" i="7" s="1"/>
  <c r="H1449" i="7" s="1"/>
  <c r="F341" i="6" s="1"/>
  <c r="H344" i="5" s="1"/>
  <c r="I344" i="5" s="1"/>
  <c r="G2935" i="7"/>
  <c r="H2935" i="7" s="1"/>
  <c r="G2928" i="7"/>
  <c r="H2928" i="7" s="1"/>
  <c r="G637" i="6"/>
  <c r="J640" i="5" s="1"/>
  <c r="F2875" i="7"/>
  <c r="E637" i="6" s="1"/>
  <c r="G320" i="6"/>
  <c r="J323" i="5" s="1"/>
  <c r="G2951" i="7"/>
  <c r="H2950" i="7"/>
  <c r="J1889" i="7"/>
  <c r="E1889" i="7"/>
  <c r="J1129" i="7"/>
  <c r="C654" i="9"/>
  <c r="E605" i="9"/>
  <c r="G14" i="8"/>
  <c r="G1962" i="7"/>
  <c r="H1962" i="7" s="1"/>
  <c r="H1963" i="7" s="1"/>
  <c r="F450" i="6" s="1"/>
  <c r="H453" i="5" s="1"/>
  <c r="I453" i="5" s="1"/>
  <c r="G2054" i="7"/>
  <c r="H2054" i="7" s="1"/>
  <c r="H2056" i="7" s="1"/>
  <c r="F472" i="6" s="1"/>
  <c r="H475" i="5" s="1"/>
  <c r="I475" i="5" s="1"/>
  <c r="G1865" i="7"/>
  <c r="H1865" i="7" s="1"/>
  <c r="H1866" i="7" s="1"/>
  <c r="F427" i="6" s="1"/>
  <c r="H430" i="5" s="1"/>
  <c r="I430" i="5" s="1"/>
  <c r="G2256" i="7"/>
  <c r="H2256" i="7" s="1"/>
  <c r="H2257" i="7" s="1"/>
  <c r="F519" i="6" s="1"/>
  <c r="H522" i="5" s="1"/>
  <c r="I522" i="5" s="1"/>
  <c r="G1838" i="7"/>
  <c r="H1838" i="7" s="1"/>
  <c r="H1840" i="7" s="1"/>
  <c r="F421" i="6" s="1"/>
  <c r="H424" i="5" s="1"/>
  <c r="I424" i="5" s="1"/>
  <c r="G1765" i="7"/>
  <c r="H1765" i="7" s="1"/>
  <c r="H1767" i="7" s="1"/>
  <c r="F404" i="6" s="1"/>
  <c r="H407" i="5" s="1"/>
  <c r="I407" i="5" s="1"/>
  <c r="G2077" i="7"/>
  <c r="H2077" i="7" s="1"/>
  <c r="H2078" i="7" s="1"/>
  <c r="F477" i="6" s="1"/>
  <c r="H480" i="5" s="1"/>
  <c r="I480" i="5" s="1"/>
  <c r="G2132" i="7"/>
  <c r="H2132" i="7" s="1"/>
  <c r="H2134" i="7" s="1"/>
  <c r="F490" i="6" s="1"/>
  <c r="H493" i="5" s="1"/>
  <c r="I493" i="5" s="1"/>
  <c r="G2434" i="7"/>
  <c r="H2434" i="7" s="1"/>
  <c r="H2435" i="7" s="1"/>
  <c r="F561" i="6" s="1"/>
  <c r="H564" i="5" s="1"/>
  <c r="I564" i="5" s="1"/>
  <c r="G1783" i="7"/>
  <c r="H1783" i="7" s="1"/>
  <c r="H1784" i="7" s="1"/>
  <c r="F408" i="6" s="1"/>
  <c r="H411" i="5" s="1"/>
  <c r="I411" i="5" s="1"/>
  <c r="G2234" i="7"/>
  <c r="H2234" i="7" s="1"/>
  <c r="H2236" i="7" s="1"/>
  <c r="F514" i="6" s="1"/>
  <c r="H517" i="5" s="1"/>
  <c r="I517" i="5" s="1"/>
  <c r="G1940" i="7"/>
  <c r="H1940" i="7" s="1"/>
  <c r="H1942" i="7" s="1"/>
  <c r="F445" i="6" s="1"/>
  <c r="H448" i="5" s="1"/>
  <c r="I448" i="5" s="1"/>
  <c r="G2416" i="7"/>
  <c r="H2416" i="7" s="1"/>
  <c r="H2418" i="7" s="1"/>
  <c r="F557" i="6" s="1"/>
  <c r="H560" i="5" s="1"/>
  <c r="I560" i="5" s="1"/>
  <c r="G2159" i="7"/>
  <c r="H2159" i="7" s="1"/>
  <c r="H2160" i="7" s="1"/>
  <c r="F496" i="6" s="1"/>
  <c r="H499" i="5" s="1"/>
  <c r="I499" i="5" s="1"/>
  <c r="G707" i="6"/>
  <c r="J742" i="7"/>
  <c r="L2782" i="7"/>
  <c r="F2781" i="7"/>
  <c r="F369" i="5"/>
  <c r="K369" i="5"/>
  <c r="G369" i="5" s="1"/>
  <c r="B422" i="9"/>
  <c r="J939" i="7"/>
  <c r="J357" i="7"/>
  <c r="L2719" i="7"/>
  <c r="F2718" i="7"/>
  <c r="G2338" i="7"/>
  <c r="H2338" i="7" s="1"/>
  <c r="H2339" i="7" s="1"/>
  <c r="F538" i="6" s="1"/>
  <c r="H541" i="5" s="1"/>
  <c r="I541" i="5" s="1"/>
  <c r="G2309" i="7"/>
  <c r="H2309" i="7" s="1"/>
  <c r="H2311" i="7" s="1"/>
  <c r="F532" i="6" s="1"/>
  <c r="H535" i="5" s="1"/>
  <c r="I535" i="5" s="1"/>
  <c r="J2766" i="7"/>
  <c r="J2734" i="7"/>
  <c r="J3509" i="7"/>
  <c r="E3509" i="7"/>
  <c r="I1994" i="7"/>
  <c r="I2101" i="7"/>
  <c r="I2458" i="7"/>
  <c r="I3326" i="7"/>
  <c r="I1807" i="7"/>
  <c r="I1905" i="7"/>
  <c r="I2288" i="7"/>
  <c r="I2199" i="7"/>
  <c r="E2272" i="7"/>
  <c r="J2272" i="7"/>
  <c r="G546" i="6"/>
  <c r="J549" i="5" s="1"/>
  <c r="F2371" i="7"/>
  <c r="E546" i="6" s="1"/>
  <c r="G2881" i="7"/>
  <c r="H2880" i="7"/>
  <c r="J3081" i="7"/>
  <c r="H590" i="5"/>
  <c r="G2601" i="7"/>
  <c r="J2591" i="7"/>
  <c r="E1630" i="7"/>
  <c r="J1630" i="7"/>
  <c r="H2915" i="7"/>
  <c r="G2916" i="7"/>
  <c r="F1615" i="7"/>
  <c r="J1616" i="7"/>
  <c r="K337" i="7"/>
  <c r="L337" i="7" s="1"/>
  <c r="L338" i="7" s="1"/>
  <c r="H80" i="6" s="1"/>
  <c r="L83" i="5" s="1"/>
  <c r="M83" i="5" s="1"/>
  <c r="K1141" i="7"/>
  <c r="L1141" i="7" s="1"/>
  <c r="L1142" i="7" s="1"/>
  <c r="H269" i="6" s="1"/>
  <c r="L272" i="5" s="1"/>
  <c r="M272" i="5" s="1"/>
  <c r="K3099" i="7"/>
  <c r="L3099" i="7" s="1"/>
  <c r="K3104" i="7"/>
  <c r="L3104" i="7" s="1"/>
  <c r="L3105" i="7" s="1"/>
  <c r="H674" i="6" s="1"/>
  <c r="H2964" i="7"/>
  <c r="G2965" i="7"/>
  <c r="C274" i="9" l="1"/>
  <c r="G17" i="7"/>
  <c r="H17" i="7" s="1"/>
  <c r="H19" i="7" s="1"/>
  <c r="F6" i="6" s="1"/>
  <c r="H9" i="5" s="1"/>
  <c r="I9" i="5" s="1"/>
  <c r="G75" i="7"/>
  <c r="H75" i="7" s="1"/>
  <c r="H76" i="7" s="1"/>
  <c r="F18" i="6" s="1"/>
  <c r="H21" i="5" s="1"/>
  <c r="I21" i="5" s="1"/>
  <c r="G690" i="7"/>
  <c r="H690" i="7" s="1"/>
  <c r="H691" i="7" s="1"/>
  <c r="F162" i="6" s="1"/>
  <c r="H165" i="5" s="1"/>
  <c r="I165" i="5" s="1"/>
  <c r="G277" i="7"/>
  <c r="H277" i="7" s="1"/>
  <c r="H278" i="7" s="1"/>
  <c r="F65" i="6" s="1"/>
  <c r="H68" i="5" s="1"/>
  <c r="I68" i="5" s="1"/>
  <c r="G1081" i="7"/>
  <c r="H1081" i="7" s="1"/>
  <c r="H1082" i="7" s="1"/>
  <c r="F254" i="6" s="1"/>
  <c r="H257" i="5" s="1"/>
  <c r="I257" i="5" s="1"/>
  <c r="G219" i="7"/>
  <c r="H219" i="7" s="1"/>
  <c r="H221" i="7" s="1"/>
  <c r="F53" i="6" s="1"/>
  <c r="H56" i="5" s="1"/>
  <c r="I56" i="5" s="1"/>
  <c r="G125" i="7"/>
  <c r="H125" i="7" s="1"/>
  <c r="H126" i="7" s="1"/>
  <c r="F30" i="6" s="1"/>
  <c r="H33" i="5" s="1"/>
  <c r="I33" i="5" s="1"/>
  <c r="G1024" i="7"/>
  <c r="H1024" i="7" s="1"/>
  <c r="H1026" i="7" s="1"/>
  <c r="F242" i="6" s="1"/>
  <c r="H245" i="5" s="1"/>
  <c r="I245" i="5" s="1"/>
  <c r="G627" i="7"/>
  <c r="H627" i="7" s="1"/>
  <c r="H629" i="7" s="1"/>
  <c r="F149" i="6" s="1"/>
  <c r="H152" i="5" s="1"/>
  <c r="I152" i="5" s="1"/>
  <c r="H3412" i="7"/>
  <c r="E3412" i="7"/>
  <c r="H666" i="6"/>
  <c r="F3058" i="7"/>
  <c r="E666" i="6" s="1"/>
  <c r="H2191" i="7"/>
  <c r="E2191" i="7"/>
  <c r="H1897" i="7"/>
  <c r="E1897" i="7"/>
  <c r="K3176" i="7"/>
  <c r="K3171" i="7"/>
  <c r="K357" i="7"/>
  <c r="K353" i="7"/>
  <c r="K778" i="7"/>
  <c r="K984" i="7"/>
  <c r="K1001" i="7"/>
  <c r="K1161" i="7"/>
  <c r="K3259" i="7"/>
  <c r="K3263" i="7"/>
  <c r="K1345" i="7"/>
  <c r="C73" i="9"/>
  <c r="B73" i="9" s="1"/>
  <c r="E77" i="9"/>
  <c r="C77" i="9" s="1"/>
  <c r="H1149" i="7"/>
  <c r="F30" i="9"/>
  <c r="D30" i="9"/>
  <c r="E30" i="9"/>
  <c r="H770" i="7"/>
  <c r="C28" i="9"/>
  <c r="B28" i="9" s="1"/>
  <c r="H766" i="7"/>
  <c r="H3140" i="7"/>
  <c r="H758" i="6"/>
  <c r="K2769" i="7" s="1"/>
  <c r="F3580" i="7"/>
  <c r="E758" i="6" s="1"/>
  <c r="H345" i="7"/>
  <c r="D28" i="9"/>
  <c r="F28" i="9"/>
  <c r="E55" i="9"/>
  <c r="E26" i="9"/>
  <c r="F26" i="9"/>
  <c r="H1153" i="7"/>
  <c r="H762" i="7"/>
  <c r="H3135" i="7"/>
  <c r="H681" i="6"/>
  <c r="F3148" i="7"/>
  <c r="E681" i="6" s="1"/>
  <c r="J2741" i="7"/>
  <c r="J1338" i="7"/>
  <c r="I580" i="5"/>
  <c r="G580" i="5" s="1"/>
  <c r="F580" i="5"/>
  <c r="F713" i="6"/>
  <c r="G747" i="6"/>
  <c r="F3527" i="7"/>
  <c r="E747" i="6" s="1"/>
  <c r="G593" i="6"/>
  <c r="J596" i="5" s="1"/>
  <c r="E754" i="9"/>
  <c r="C724" i="9"/>
  <c r="J3230" i="7"/>
  <c r="E12" i="8"/>
  <c r="C505" i="9"/>
  <c r="E2881" i="7"/>
  <c r="H2881" i="7"/>
  <c r="I632" i="5"/>
  <c r="G632" i="5" s="1"/>
  <c r="F632" i="5"/>
  <c r="G124" i="6"/>
  <c r="J127" i="5" s="1"/>
  <c r="F526" i="7"/>
  <c r="E124" i="6" s="1"/>
  <c r="K1361" i="7"/>
  <c r="K1369" i="7"/>
  <c r="K1373" i="7"/>
  <c r="K1365" i="7"/>
  <c r="K3310" i="7"/>
  <c r="K3314" i="7"/>
  <c r="K1357" i="7"/>
  <c r="G222" i="6"/>
  <c r="J225" i="5" s="1"/>
  <c r="H3153" i="7"/>
  <c r="F319" i="6"/>
  <c r="H322" i="5" s="1"/>
  <c r="H1141" i="7"/>
  <c r="E1141" i="7"/>
  <c r="G680" i="6"/>
  <c r="I2842" i="7"/>
  <c r="I2846" i="7"/>
  <c r="F545" i="7"/>
  <c r="J546" i="7"/>
  <c r="J2746" i="7"/>
  <c r="G173" i="6"/>
  <c r="J176" i="5" s="1"/>
  <c r="H1157" i="7"/>
  <c r="I3486" i="7"/>
  <c r="I2394" i="7"/>
  <c r="F522" i="7"/>
  <c r="E123" i="6" s="1"/>
  <c r="G123" i="6"/>
  <c r="J126" i="5" s="1"/>
  <c r="G499" i="6"/>
  <c r="J502" i="5" s="1"/>
  <c r="F2172" i="7"/>
  <c r="E499" i="6" s="1"/>
  <c r="H882" i="7"/>
  <c r="J759" i="7"/>
  <c r="J1413" i="7"/>
  <c r="J2597" i="7"/>
  <c r="J2101" i="7"/>
  <c r="J783" i="7"/>
  <c r="H967" i="7"/>
  <c r="F607" i="5"/>
  <c r="K607" i="5"/>
  <c r="G607" i="5" s="1"/>
  <c r="G466" i="6"/>
  <c r="J469" i="5" s="1"/>
  <c r="F2029" i="7"/>
  <c r="E466" i="6" s="1"/>
  <c r="G692" i="6"/>
  <c r="F3213" i="7"/>
  <c r="E692" i="6" s="1"/>
  <c r="J3309" i="7"/>
  <c r="F389" i="5"/>
  <c r="K389" i="5"/>
  <c r="G389" i="5" s="1"/>
  <c r="F1978" i="7"/>
  <c r="J1979" i="7"/>
  <c r="G732" i="6"/>
  <c r="F3442" i="7"/>
  <c r="E732" i="6" s="1"/>
  <c r="G208" i="6"/>
  <c r="J211" i="5" s="1"/>
  <c r="F879" i="7"/>
  <c r="E208" i="6" s="1"/>
  <c r="F1133" i="7"/>
  <c r="J1134" i="7"/>
  <c r="F325" i="9"/>
  <c r="C324" i="9"/>
  <c r="J562" i="7"/>
  <c r="F561" i="7"/>
  <c r="K503" i="5"/>
  <c r="L2759" i="7"/>
  <c r="E2759" i="7"/>
  <c r="F1885" i="7"/>
  <c r="J1886" i="7"/>
  <c r="K1341" i="7"/>
  <c r="K3242" i="7"/>
  <c r="K3246" i="7"/>
  <c r="G83" i="6"/>
  <c r="J86" i="5" s="1"/>
  <c r="K434" i="5"/>
  <c r="C172" i="9"/>
  <c r="B172" i="9" s="1"/>
  <c r="F174" i="9"/>
  <c r="G180" i="6"/>
  <c r="J183" i="5" s="1"/>
  <c r="J3087" i="7"/>
  <c r="J3195" i="7"/>
  <c r="F710" i="6"/>
  <c r="K566" i="5"/>
  <c r="H774" i="7"/>
  <c r="J739" i="7"/>
  <c r="H349" i="7"/>
  <c r="E2944" i="7"/>
  <c r="H2944" i="7"/>
  <c r="M629" i="5"/>
  <c r="G629" i="5" s="1"/>
  <c r="F629" i="5"/>
  <c r="E14" i="8"/>
  <c r="C605" i="9"/>
  <c r="J1894" i="7"/>
  <c r="F1893" i="7"/>
  <c r="G125" i="6"/>
  <c r="J128" i="5" s="1"/>
  <c r="F530" i="7"/>
  <c r="E125" i="6" s="1"/>
  <c r="F1635" i="7"/>
  <c r="J1636" i="7"/>
  <c r="J3123" i="7"/>
  <c r="G263" i="6"/>
  <c r="J266" i="5" s="1"/>
  <c r="F1118" i="7"/>
  <c r="E263" i="6" s="1"/>
  <c r="J3351" i="7"/>
  <c r="F3350" i="7"/>
  <c r="F391" i="5"/>
  <c r="K391" i="5"/>
  <c r="G391" i="5" s="1"/>
  <c r="J2612" i="7"/>
  <c r="E2909" i="7"/>
  <c r="H2909" i="7"/>
  <c r="C488" i="9"/>
  <c r="E490" i="9"/>
  <c r="E2951" i="7"/>
  <c r="H2951" i="7"/>
  <c r="J1994" i="7"/>
  <c r="J1350" i="7"/>
  <c r="K609" i="5"/>
  <c r="G609" i="5" s="1"/>
  <c r="F609" i="5"/>
  <c r="H734" i="7"/>
  <c r="C372" i="9"/>
  <c r="F374" i="9"/>
  <c r="F541" i="7"/>
  <c r="J542" i="7"/>
  <c r="J751" i="7"/>
  <c r="J1397" i="7"/>
  <c r="G272" i="6"/>
  <c r="J275" i="5" s="1"/>
  <c r="E555" i="9"/>
  <c r="G13" i="8"/>
  <c r="I3608" i="7" s="1"/>
  <c r="C604" i="9"/>
  <c r="J755" i="7"/>
  <c r="K326" i="5"/>
  <c r="J3177" i="7"/>
  <c r="F2179" i="7"/>
  <c r="J2180" i="7"/>
  <c r="F649" i="6"/>
  <c r="H652" i="5" s="1"/>
  <c r="F2959" i="7"/>
  <c r="E649" i="6" s="1"/>
  <c r="H2601" i="7"/>
  <c r="L593" i="5"/>
  <c r="K2544" i="7"/>
  <c r="K2616" i="7"/>
  <c r="G80" i="6"/>
  <c r="J83" i="5" s="1"/>
  <c r="J2751" i="7"/>
  <c r="F455" i="9"/>
  <c r="H11" i="8"/>
  <c r="K3599" i="7" s="1"/>
  <c r="L3599" i="7" s="1"/>
  <c r="L3600" i="7" s="1"/>
  <c r="H761" i="6" s="1"/>
  <c r="K2826" i="7" s="1"/>
  <c r="L2826" i="7" s="1"/>
  <c r="L2839" i="7" s="1"/>
  <c r="H631" i="6" s="1"/>
  <c r="L634" i="5" s="1"/>
  <c r="M634" i="5" s="1"/>
  <c r="E304" i="9"/>
  <c r="C275" i="9"/>
  <c r="E704" i="9"/>
  <c r="C674" i="9"/>
  <c r="J1983" i="7"/>
  <c r="F1982" i="7"/>
  <c r="E404" i="9"/>
  <c r="J382" i="5"/>
  <c r="I605" i="7"/>
  <c r="I1526" i="7"/>
  <c r="F1803" i="7"/>
  <c r="J1804" i="7"/>
  <c r="G543" i="6"/>
  <c r="J546" i="5" s="1"/>
  <c r="F2359" i="7"/>
  <c r="E543" i="6" s="1"/>
  <c r="J2607" i="7"/>
  <c r="G134" i="6"/>
  <c r="J137" i="5" s="1"/>
  <c r="F566" i="7"/>
  <c r="E134" i="6" s="1"/>
  <c r="J985" i="7"/>
  <c r="K633" i="5"/>
  <c r="G633" i="5" s="1"/>
  <c r="F633" i="5"/>
  <c r="I581" i="5"/>
  <c r="G581" i="5" s="1"/>
  <c r="F581" i="5"/>
  <c r="J1130" i="7"/>
  <c r="H627" i="6"/>
  <c r="L630" i="5" s="1"/>
  <c r="F2795" i="7"/>
  <c r="E627" i="6" s="1"/>
  <c r="J3326" i="7"/>
  <c r="J322" i="7"/>
  <c r="G221" i="6"/>
  <c r="J224" i="5" s="1"/>
  <c r="G372" i="6"/>
  <c r="F1616" i="7"/>
  <c r="E372" i="6" s="1"/>
  <c r="I1393" i="7"/>
  <c r="I3292" i="7"/>
  <c r="E2916" i="7"/>
  <c r="H2916" i="7"/>
  <c r="H317" i="7"/>
  <c r="G271" i="6"/>
  <c r="J274" i="5" s="1"/>
  <c r="J1646" i="7"/>
  <c r="F1645" i="7"/>
  <c r="B372" i="9"/>
  <c r="J1401" i="7"/>
  <c r="H757" i="6"/>
  <c r="K2764" i="7" s="1"/>
  <c r="F3574" i="7"/>
  <c r="E757" i="6" s="1"/>
  <c r="H615" i="6"/>
  <c r="L618" i="5" s="1"/>
  <c r="F2731" i="7"/>
  <c r="E615" i="6" s="1"/>
  <c r="F608" i="5"/>
  <c r="K608" i="5"/>
  <c r="G608" i="5" s="1"/>
  <c r="J122" i="7"/>
  <c r="G659" i="6"/>
  <c r="F1986" i="7"/>
  <c r="J1987" i="7"/>
  <c r="F639" i="5"/>
  <c r="K639" i="5"/>
  <c r="G639" i="5" s="1"/>
  <c r="F386" i="5"/>
  <c r="K386" i="5"/>
  <c r="G386" i="5" s="1"/>
  <c r="I662" i="5"/>
  <c r="G662" i="5" s="1"/>
  <c r="F662" i="5"/>
  <c r="K1353" i="7"/>
  <c r="K3297" i="7"/>
  <c r="K3293" i="7"/>
  <c r="K549" i="5"/>
  <c r="G549" i="5" s="1"/>
  <c r="F549" i="5"/>
  <c r="G374" i="6"/>
  <c r="F1626" i="7"/>
  <c r="E374" i="6" s="1"/>
  <c r="J1232" i="7"/>
  <c r="J1921" i="7"/>
  <c r="K325" i="5"/>
  <c r="F398" i="5"/>
  <c r="K398" i="5"/>
  <c r="G398" i="5" s="1"/>
  <c r="G269" i="6"/>
  <c r="J272" i="5" s="1"/>
  <c r="F1795" i="7"/>
  <c r="J1796" i="7"/>
  <c r="G229" i="6"/>
  <c r="J232" i="5" s="1"/>
  <c r="H614" i="6"/>
  <c r="L617" i="5" s="1"/>
  <c r="F2725" i="7"/>
  <c r="E614" i="6" s="1"/>
  <c r="J1162" i="7"/>
  <c r="J3264" i="7"/>
  <c r="J3476" i="7"/>
  <c r="F3475" i="7"/>
  <c r="F3509" i="7"/>
  <c r="J3510" i="7"/>
  <c r="K323" i="5"/>
  <c r="H2922" i="7"/>
  <c r="G2923" i="7"/>
  <c r="H2895" i="7"/>
  <c r="E2895" i="7"/>
  <c r="J3459" i="7"/>
  <c r="F3458" i="7"/>
  <c r="J3247" i="7"/>
  <c r="H116" i="7"/>
  <c r="J3281" i="7"/>
  <c r="G182" i="6"/>
  <c r="J185" i="5" s="1"/>
  <c r="J1641" i="7"/>
  <c r="F1640" i="7"/>
  <c r="J1409" i="7"/>
  <c r="G621" i="6"/>
  <c r="J624" i="5" s="1"/>
  <c r="K135" i="5"/>
  <c r="G135" i="5" s="1"/>
  <c r="F135" i="5"/>
  <c r="J2090" i="7"/>
  <c r="F2089" i="7"/>
  <c r="J354" i="7"/>
  <c r="J1236" i="7"/>
  <c r="J342" i="7"/>
  <c r="F549" i="7"/>
  <c r="J550" i="7"/>
  <c r="F2280" i="7"/>
  <c r="J2281" i="7"/>
  <c r="J2363" i="7"/>
  <c r="F2362" i="7"/>
  <c r="J554" i="7"/>
  <c r="F553" i="7"/>
  <c r="K525" i="5"/>
  <c r="E2902" i="7"/>
  <c r="H2902" i="7"/>
  <c r="J358" i="7"/>
  <c r="G373" i="6"/>
  <c r="F1621" i="7"/>
  <c r="E373" i="6" s="1"/>
  <c r="J2184" i="7"/>
  <c r="F2183" i="7"/>
  <c r="J3368" i="7"/>
  <c r="F3367" i="7"/>
  <c r="G273" i="6"/>
  <c r="J276" i="5" s="1"/>
  <c r="G683" i="6"/>
  <c r="J1848" i="7"/>
  <c r="K1145" i="7"/>
  <c r="K754" i="7"/>
  <c r="K341" i="7"/>
  <c r="K758" i="7"/>
  <c r="K3122" i="7"/>
  <c r="K3117" i="7"/>
  <c r="F613" i="5"/>
  <c r="K613" i="5"/>
  <c r="G613" i="5" s="1"/>
  <c r="G126" i="6"/>
  <c r="J129" i="5" s="1"/>
  <c r="F534" i="7"/>
  <c r="E126" i="6" s="1"/>
  <c r="J2215" i="7"/>
  <c r="G730" i="7"/>
  <c r="H730" i="7" s="1"/>
  <c r="H731" i="7" s="1"/>
  <c r="F172" i="6" s="1"/>
  <c r="H175" i="5" s="1"/>
  <c r="I175" i="5" s="1"/>
  <c r="G111" i="7"/>
  <c r="H111" i="7" s="1"/>
  <c r="H112" i="7" s="1"/>
  <c r="F27" i="6" s="1"/>
  <c r="H30" i="5" s="1"/>
  <c r="I30" i="5" s="1"/>
  <c r="G157" i="7"/>
  <c r="H157" i="7" s="1"/>
  <c r="H158" i="7" s="1"/>
  <c r="F38" i="6" s="1"/>
  <c r="H41" i="5" s="1"/>
  <c r="I41" i="5" s="1"/>
  <c r="G62" i="7"/>
  <c r="H62" i="7" s="1"/>
  <c r="H64" i="7" s="1"/>
  <c r="F15" i="6" s="1"/>
  <c r="H18" i="5" s="1"/>
  <c r="I18" i="5" s="1"/>
  <c r="G313" i="7"/>
  <c r="H313" i="7" s="1"/>
  <c r="H314" i="7" s="1"/>
  <c r="F74" i="6" s="1"/>
  <c r="H77" i="5" s="1"/>
  <c r="I77" i="5" s="1"/>
  <c r="G677" i="7"/>
  <c r="H677" i="7" s="1"/>
  <c r="H679" i="7" s="1"/>
  <c r="F159" i="6" s="1"/>
  <c r="H162" i="5" s="1"/>
  <c r="I162" i="5" s="1"/>
  <c r="G264" i="7"/>
  <c r="H264" i="7" s="1"/>
  <c r="H266" i="7" s="1"/>
  <c r="F62" i="6" s="1"/>
  <c r="H65" i="5" s="1"/>
  <c r="I65" i="5" s="1"/>
  <c r="H3014" i="7"/>
  <c r="F2454" i="7"/>
  <c r="J2455" i="7"/>
  <c r="F255" i="9"/>
  <c r="H7" i="8"/>
  <c r="K3544" i="7" s="1"/>
  <c r="L3544" i="7" s="1"/>
  <c r="L3545" i="7" s="1"/>
  <c r="H751" i="6" s="1"/>
  <c r="K2631" i="7" s="1"/>
  <c r="L2631" i="7" s="1"/>
  <c r="L2632" i="7" s="1"/>
  <c r="H599" i="6" s="1"/>
  <c r="L602" i="5" s="1"/>
  <c r="M602" i="5" s="1"/>
  <c r="G381" i="6"/>
  <c r="F1661" i="7"/>
  <c r="E381" i="6" s="1"/>
  <c r="G82" i="6"/>
  <c r="J85" i="5" s="1"/>
  <c r="L588" i="5"/>
  <c r="K2520" i="7"/>
  <c r="K2514" i="7"/>
  <c r="K2591" i="7"/>
  <c r="F1630" i="7"/>
  <c r="J1631" i="7"/>
  <c r="J2736" i="7"/>
  <c r="F2187" i="7"/>
  <c r="J2188" i="7"/>
  <c r="K482" i="5"/>
  <c r="J1277" i="7"/>
  <c r="J943" i="7"/>
  <c r="G674" i="6"/>
  <c r="J1656" i="7"/>
  <c r="F1655" i="7"/>
  <c r="F2093" i="7"/>
  <c r="J2094" i="7"/>
  <c r="K2739" i="7"/>
  <c r="K2734" i="7"/>
  <c r="K2754" i="7"/>
  <c r="K2749" i="7"/>
  <c r="K2744" i="7"/>
  <c r="I590" i="5"/>
  <c r="K637" i="5"/>
  <c r="G637" i="5" s="1"/>
  <c r="F637" i="5"/>
  <c r="K456" i="5"/>
  <c r="H660" i="6"/>
  <c r="F3022" i="7"/>
  <c r="E660" i="6" s="1"/>
  <c r="E3604" i="7"/>
  <c r="J3604" i="7"/>
  <c r="G382" i="6"/>
  <c r="F1666" i="7"/>
  <c r="E382" i="6" s="1"/>
  <c r="J1342" i="7"/>
  <c r="H3104" i="7"/>
  <c r="E3104" i="7"/>
  <c r="J326" i="7"/>
  <c r="H337" i="7"/>
  <c r="E337" i="7"/>
  <c r="E305" i="9"/>
  <c r="G8" i="8"/>
  <c r="I3548" i="7" s="1"/>
  <c r="K2268" i="7"/>
  <c r="K1881" i="7"/>
  <c r="K1791" i="7"/>
  <c r="K3332" i="7"/>
  <c r="K2175" i="7"/>
  <c r="K2442" i="7"/>
  <c r="K1974" i="7"/>
  <c r="K3327" i="7"/>
  <c r="K2085" i="7"/>
  <c r="H1121" i="7"/>
  <c r="J779" i="7"/>
  <c r="E2972" i="7"/>
  <c r="H2972" i="7"/>
  <c r="K385" i="7"/>
  <c r="L385" i="7" s="1"/>
  <c r="L386" i="7" s="1"/>
  <c r="H92" i="6" s="1"/>
  <c r="L95" i="5" s="1"/>
  <c r="M95" i="5" s="1"/>
  <c r="K181" i="7"/>
  <c r="L181" i="7" s="1"/>
  <c r="L182" i="7" s="1"/>
  <c r="H44" i="6" s="1"/>
  <c r="L47" i="5" s="1"/>
  <c r="M47" i="5" s="1"/>
  <c r="K3098" i="7"/>
  <c r="L3098" i="7" s="1"/>
  <c r="L3100" i="7" s="1"/>
  <c r="H673" i="6" s="1"/>
  <c r="K1189" i="7"/>
  <c r="L1189" i="7" s="1"/>
  <c r="L1190" i="7" s="1"/>
  <c r="H281" i="6" s="1"/>
  <c r="L284" i="5" s="1"/>
  <c r="M284" i="5" s="1"/>
  <c r="J1905" i="7"/>
  <c r="J2451" i="7"/>
  <c r="F2450" i="7"/>
  <c r="J1126" i="7"/>
  <c r="J49" i="9"/>
  <c r="J26" i="9"/>
  <c r="E204" i="9"/>
  <c r="E2979" i="7"/>
  <c r="H2979" i="7"/>
  <c r="J2277" i="7"/>
  <c r="F2276" i="7"/>
  <c r="K612" i="5"/>
  <c r="G612" i="5" s="1"/>
  <c r="F612" i="5"/>
  <c r="J2458" i="7"/>
  <c r="H938" i="7"/>
  <c r="F640" i="5"/>
  <c r="K640" i="5"/>
  <c r="G640" i="5" s="1"/>
  <c r="K397" i="5"/>
  <c r="G397" i="5" s="1"/>
  <c r="F397" i="5"/>
  <c r="K413" i="5"/>
  <c r="K324" i="5"/>
  <c r="F638" i="5"/>
  <c r="K638" i="5"/>
  <c r="G638" i="5" s="1"/>
  <c r="H705" i="6"/>
  <c r="F3288" i="7"/>
  <c r="E705" i="6" s="1"/>
  <c r="F425" i="9"/>
  <c r="C424" i="9"/>
  <c r="H588" i="6"/>
  <c r="F2573" i="7"/>
  <c r="E588" i="6" s="1"/>
  <c r="J1405" i="7"/>
  <c r="L589" i="5"/>
  <c r="K2526" i="7"/>
  <c r="K2596" i="7"/>
  <c r="G207" i="6"/>
  <c r="J210" i="5" s="1"/>
  <c r="F875" i="7"/>
  <c r="E207" i="6" s="1"/>
  <c r="G127" i="6"/>
  <c r="J130" i="5" s="1"/>
  <c r="F538" i="7"/>
  <c r="E127" i="6" s="1"/>
  <c r="H690" i="6"/>
  <c r="F3202" i="7"/>
  <c r="E690" i="6" s="1"/>
  <c r="H587" i="6"/>
  <c r="F2566" i="7"/>
  <c r="E587" i="6" s="1"/>
  <c r="F390" i="5"/>
  <c r="K390" i="5"/>
  <c r="G390" i="5" s="1"/>
  <c r="F2446" i="7"/>
  <c r="J2447" i="7"/>
  <c r="J334" i="7"/>
  <c r="H613" i="6"/>
  <c r="L616" i="5" s="1"/>
  <c r="F2719" i="7"/>
  <c r="E613" i="6" s="1"/>
  <c r="K387" i="5"/>
  <c r="G387" i="5" s="1"/>
  <c r="F387" i="5"/>
  <c r="G521" i="6"/>
  <c r="J524" i="5" s="1"/>
  <c r="F2265" i="7"/>
  <c r="E521" i="6" s="1"/>
  <c r="H3099" i="7"/>
  <c r="F3099" i="7" s="1"/>
  <c r="E3099" i="7"/>
  <c r="J888" i="7"/>
  <c r="G596" i="6"/>
  <c r="K438" i="5"/>
  <c r="F2272" i="7"/>
  <c r="J2273" i="7"/>
  <c r="G430" i="6"/>
  <c r="J433" i="5" s="1"/>
  <c r="F1878" i="7"/>
  <c r="E430" i="6" s="1"/>
  <c r="E405" i="9"/>
  <c r="G10" i="8"/>
  <c r="I3556" i="7" s="1"/>
  <c r="H2888" i="7"/>
  <c r="E2888" i="7"/>
  <c r="G264" i="6"/>
  <c r="J267" i="5" s="1"/>
  <c r="J2199" i="7"/>
  <c r="H611" i="6"/>
  <c r="L614" i="5" s="1"/>
  <c r="F2707" i="7"/>
  <c r="E611" i="6" s="1"/>
  <c r="J1346" i="7"/>
  <c r="J1873" i="7"/>
  <c r="J1138" i="7"/>
  <c r="H625" i="6"/>
  <c r="L628" i="5" s="1"/>
  <c r="F2782" i="7"/>
  <c r="E625" i="6" s="1"/>
  <c r="G467" i="6"/>
  <c r="J470" i="5" s="1"/>
  <c r="F2033" i="7"/>
  <c r="E467" i="6" s="1"/>
  <c r="G548" i="6"/>
  <c r="J551" i="5" s="1"/>
  <c r="F2379" i="7"/>
  <c r="E548" i="6" s="1"/>
  <c r="J3385" i="7"/>
  <c r="F3384" i="7"/>
  <c r="H934" i="7"/>
  <c r="G725" i="6"/>
  <c r="F3402" i="7"/>
  <c r="E725" i="6" s="1"/>
  <c r="K321" i="7"/>
  <c r="K121" i="7"/>
  <c r="K887" i="7"/>
  <c r="K1125" i="7"/>
  <c r="K3027" i="7"/>
  <c r="K738" i="7"/>
  <c r="K942" i="7"/>
  <c r="K3032" i="7"/>
  <c r="G75" i="6"/>
  <c r="J78" i="5" s="1"/>
  <c r="J1002" i="7"/>
  <c r="L592" i="5"/>
  <c r="K2611" i="7"/>
  <c r="K2538" i="7"/>
  <c r="H684" i="6"/>
  <c r="F3166" i="7"/>
  <c r="E684" i="6" s="1"/>
  <c r="J362" i="7"/>
  <c r="F611" i="5"/>
  <c r="K611" i="5"/>
  <c r="G611" i="5" s="1"/>
  <c r="F10" i="12"/>
  <c r="J11" i="12"/>
  <c r="G28" i="6"/>
  <c r="J31" i="5" s="1"/>
  <c r="J2756" i="7"/>
  <c r="G209" i="6"/>
  <c r="J212" i="5" s="1"/>
  <c r="J3051" i="7"/>
  <c r="H3158" i="7"/>
  <c r="J3069" i="7"/>
  <c r="F3068" i="7"/>
  <c r="E2965" i="7"/>
  <c r="H2965" i="7"/>
  <c r="M615" i="5"/>
  <c r="G615" i="5" s="1"/>
  <c r="F615" i="5"/>
  <c r="J2288" i="7"/>
  <c r="H3009" i="7"/>
  <c r="G371" i="6"/>
  <c r="F1611" i="7"/>
  <c r="E371" i="6" s="1"/>
  <c r="F2366" i="7"/>
  <c r="J2367" i="7"/>
  <c r="K327" i="5"/>
  <c r="J1807" i="7"/>
  <c r="J743" i="7"/>
  <c r="J330" i="7"/>
  <c r="F329" i="7"/>
  <c r="K399" i="5"/>
  <c r="G399" i="5" s="1"/>
  <c r="F399" i="5"/>
  <c r="J3033" i="7"/>
  <c r="J1890" i="7"/>
  <c r="F1889" i="7"/>
  <c r="J2592" i="7"/>
  <c r="G2930" i="7"/>
  <c r="H2929" i="7"/>
  <c r="F2374" i="7"/>
  <c r="J2375" i="7"/>
  <c r="F388" i="5"/>
  <c r="K388" i="5"/>
  <c r="G388" i="5" s="1"/>
  <c r="J1800" i="7"/>
  <c r="F1799" i="7"/>
  <c r="G181" i="6"/>
  <c r="J184" i="5" s="1"/>
  <c r="F2097" i="7"/>
  <c r="J2098" i="7"/>
  <c r="C225" i="9"/>
  <c r="E254" i="9"/>
  <c r="G622" i="6"/>
  <c r="J625" i="5" s="1"/>
  <c r="G2937" i="7"/>
  <c r="H2936" i="7"/>
  <c r="J1146" i="7"/>
  <c r="G183" i="6"/>
  <c r="J186" i="5" s="1"/>
  <c r="F2687" i="7"/>
  <c r="E608" i="6" s="1"/>
  <c r="K333" i="7"/>
  <c r="K750" i="7"/>
  <c r="K1137" i="7"/>
  <c r="K3086" i="7"/>
  <c r="K3081" i="7"/>
  <c r="J747" i="7"/>
  <c r="F746" i="7"/>
  <c r="G397" i="6"/>
  <c r="J400" i="5" s="1"/>
  <c r="F1736" i="7"/>
  <c r="E397" i="6" s="1"/>
  <c r="K610" i="5"/>
  <c r="G610" i="5" s="1"/>
  <c r="F610" i="5"/>
  <c r="K507" i="5"/>
  <c r="G452" i="6"/>
  <c r="J455" i="5" s="1"/>
  <c r="F1971" i="7"/>
  <c r="E452" i="6" s="1"/>
  <c r="K1231" i="7"/>
  <c r="K3229" i="7"/>
  <c r="K1235" i="7"/>
  <c r="K1337" i="7"/>
  <c r="K3225" i="7"/>
  <c r="L778" i="7" l="1"/>
  <c r="E778" i="7"/>
  <c r="H346" i="7"/>
  <c r="L353" i="7"/>
  <c r="E353" i="7"/>
  <c r="L357" i="7"/>
  <c r="E357" i="7"/>
  <c r="L2769" i="7"/>
  <c r="E2769" i="7"/>
  <c r="L3176" i="7"/>
  <c r="E3176" i="7"/>
  <c r="L3171" i="7"/>
  <c r="F3171" i="7" s="1"/>
  <c r="E3171" i="7"/>
  <c r="H767" i="7"/>
  <c r="H3141" i="7"/>
  <c r="H1898" i="7"/>
  <c r="F1897" i="7"/>
  <c r="K3140" i="7"/>
  <c r="K770" i="7"/>
  <c r="K762" i="7"/>
  <c r="K766" i="7"/>
  <c r="K1153" i="7"/>
  <c r="K3135" i="7"/>
  <c r="K345" i="7"/>
  <c r="K1149" i="7"/>
  <c r="H771" i="7"/>
  <c r="H2192" i="7"/>
  <c r="F2191" i="7"/>
  <c r="C30" i="9"/>
  <c r="B30" i="9" s="1"/>
  <c r="K3045" i="7"/>
  <c r="K1129" i="7"/>
  <c r="K325" i="7"/>
  <c r="K742" i="7"/>
  <c r="K3050" i="7"/>
  <c r="H763" i="7"/>
  <c r="E32" i="9"/>
  <c r="E88" i="9" s="1"/>
  <c r="E154" i="9" s="1"/>
  <c r="L3263" i="7"/>
  <c r="E3263" i="7"/>
  <c r="H3413" i="7"/>
  <c r="F3412" i="7"/>
  <c r="L1161" i="7"/>
  <c r="E1161" i="7"/>
  <c r="H1150" i="7"/>
  <c r="L1001" i="7"/>
  <c r="E1001" i="7"/>
  <c r="H1154" i="7"/>
  <c r="F32" i="9"/>
  <c r="F88" i="9" s="1"/>
  <c r="F154" i="9" s="1"/>
  <c r="L1345" i="7"/>
  <c r="E1345" i="7"/>
  <c r="L3259" i="7"/>
  <c r="F3259" i="7" s="1"/>
  <c r="E3259" i="7"/>
  <c r="L984" i="7"/>
  <c r="E984" i="7"/>
  <c r="L2085" i="7"/>
  <c r="E2085" i="7"/>
  <c r="G1277" i="7"/>
  <c r="G1405" i="7"/>
  <c r="G1413" i="7"/>
  <c r="G1401" i="7"/>
  <c r="G1409" i="7"/>
  <c r="G1397" i="7"/>
  <c r="G3309" i="7"/>
  <c r="I365" i="7"/>
  <c r="I161" i="7"/>
  <c r="I786" i="7"/>
  <c r="I899" i="7"/>
  <c r="I950" i="7"/>
  <c r="I3008" i="7"/>
  <c r="I971" i="7"/>
  <c r="I1169" i="7"/>
  <c r="I946" i="7"/>
  <c r="G292" i="6"/>
  <c r="J295" i="5" s="1"/>
  <c r="G185" i="6"/>
  <c r="J188" i="5" s="1"/>
  <c r="G503" i="6"/>
  <c r="J506" i="5" s="1"/>
  <c r="F2188" i="7"/>
  <c r="E503" i="6" s="1"/>
  <c r="G176" i="6"/>
  <c r="J179" i="5" s="1"/>
  <c r="F747" i="7"/>
  <c r="E176" i="6" s="1"/>
  <c r="I26" i="9"/>
  <c r="D26" i="9"/>
  <c r="G318" i="6"/>
  <c r="J321" i="5" s="1"/>
  <c r="K183" i="5"/>
  <c r="G265" i="6"/>
  <c r="J268" i="5" s="1"/>
  <c r="J377" i="5"/>
  <c r="I585" i="7"/>
  <c r="I1496" i="7"/>
  <c r="F211" i="5"/>
  <c r="K211" i="5"/>
  <c r="G211" i="5" s="1"/>
  <c r="L2764" i="7"/>
  <c r="E2764" i="7"/>
  <c r="H2952" i="7"/>
  <c r="F2951" i="7"/>
  <c r="G738" i="6"/>
  <c r="F3476" i="7"/>
  <c r="E738" i="6" s="1"/>
  <c r="C754" i="9"/>
  <c r="E705" i="9"/>
  <c r="G16" i="8"/>
  <c r="I3003" i="7" s="1"/>
  <c r="L2538" i="7"/>
  <c r="F2538" i="7" s="1"/>
  <c r="E2538" i="7"/>
  <c r="L2754" i="7"/>
  <c r="E2754" i="7"/>
  <c r="E3608" i="7"/>
  <c r="J3608" i="7"/>
  <c r="L2611" i="7"/>
  <c r="E2611" i="7"/>
  <c r="E255" i="9"/>
  <c r="C304" i="9"/>
  <c r="G7" i="8"/>
  <c r="I3544" i="7" s="1"/>
  <c r="K186" i="5"/>
  <c r="K130" i="5"/>
  <c r="G130" i="5" s="1"/>
  <c r="F130" i="5"/>
  <c r="K85" i="5"/>
  <c r="G619" i="6"/>
  <c r="J622" i="5" s="1"/>
  <c r="L1235" i="7"/>
  <c r="E1235" i="7"/>
  <c r="J1874" i="7"/>
  <c r="L758" i="7"/>
  <c r="E758" i="7"/>
  <c r="K185" i="5"/>
  <c r="M617" i="5"/>
  <c r="G617" i="5" s="1"/>
  <c r="F617" i="5"/>
  <c r="G233" i="6"/>
  <c r="J236" i="5" s="1"/>
  <c r="J1398" i="7"/>
  <c r="G595" i="6"/>
  <c r="H350" i="7"/>
  <c r="L3242" i="7"/>
  <c r="F3242" i="7" s="1"/>
  <c r="E3242" i="7"/>
  <c r="J3311" i="7"/>
  <c r="L1357" i="7"/>
  <c r="E1357" i="7"/>
  <c r="G1905" i="7"/>
  <c r="G2458" i="7"/>
  <c r="G2199" i="7"/>
  <c r="G1994" i="7"/>
  <c r="G2101" i="7"/>
  <c r="G1807" i="7"/>
  <c r="G2288" i="7"/>
  <c r="G3326" i="7"/>
  <c r="G735" i="6"/>
  <c r="F3459" i="7"/>
  <c r="E735" i="6" s="1"/>
  <c r="G618" i="6"/>
  <c r="J621" i="5" s="1"/>
  <c r="L321" i="7"/>
  <c r="E321" i="7"/>
  <c r="L591" i="5"/>
  <c r="K2532" i="7"/>
  <c r="K2606" i="7"/>
  <c r="J375" i="5"/>
  <c r="I577" i="7"/>
  <c r="I1484" i="7"/>
  <c r="L1974" i="7"/>
  <c r="E1974" i="7"/>
  <c r="G689" i="6"/>
  <c r="F454" i="9"/>
  <c r="C425" i="9"/>
  <c r="F354" i="9"/>
  <c r="C325" i="9"/>
  <c r="G502" i="6"/>
  <c r="J505" i="5" s="1"/>
  <c r="F2184" i="7"/>
  <c r="E502" i="6" s="1"/>
  <c r="L3081" i="7"/>
  <c r="F3081" i="7" s="1"/>
  <c r="E3081" i="7"/>
  <c r="G375" i="6"/>
  <c r="F1631" i="7"/>
  <c r="E375" i="6" s="1"/>
  <c r="J2289" i="7"/>
  <c r="J1995" i="7"/>
  <c r="G523" i="6"/>
  <c r="J526" i="5" s="1"/>
  <c r="F2273" i="7"/>
  <c r="E523" i="6" s="1"/>
  <c r="G179" i="6"/>
  <c r="J182" i="5" s="1"/>
  <c r="F2902" i="7"/>
  <c r="H2903" i="7"/>
  <c r="K470" i="5"/>
  <c r="G470" i="5" s="1"/>
  <c r="F470" i="5"/>
  <c r="L3293" i="7"/>
  <c r="F3293" i="7" s="1"/>
  <c r="E3293" i="7"/>
  <c r="L3225" i="7"/>
  <c r="F3225" i="7" s="1"/>
  <c r="E3225" i="7"/>
  <c r="F1641" i="7"/>
  <c r="E377" i="6" s="1"/>
  <c r="G377" i="6"/>
  <c r="K502" i="5"/>
  <c r="G502" i="5" s="1"/>
  <c r="F502" i="5"/>
  <c r="G668" i="6"/>
  <c r="F3069" i="7"/>
  <c r="E668" i="6" s="1"/>
  <c r="G131" i="6"/>
  <c r="J134" i="5" s="1"/>
  <c r="F554" i="7"/>
  <c r="E131" i="6" s="1"/>
  <c r="L3246" i="7"/>
  <c r="E3246" i="7"/>
  <c r="H939" i="7"/>
  <c r="H3105" i="7"/>
  <c r="F3104" i="7"/>
  <c r="G380" i="6"/>
  <c r="F1656" i="7"/>
  <c r="E380" i="6" s="1"/>
  <c r="J384" i="5"/>
  <c r="I1538" i="7"/>
  <c r="L341" i="7"/>
  <c r="E341" i="7"/>
  <c r="G544" i="6"/>
  <c r="J547" i="5" s="1"/>
  <c r="F2363" i="7"/>
  <c r="E544" i="6" s="1"/>
  <c r="K274" i="5"/>
  <c r="G177" i="6"/>
  <c r="J180" i="5" s="1"/>
  <c r="L1341" i="7"/>
  <c r="E1341" i="7"/>
  <c r="E2394" i="7"/>
  <c r="J2394" i="7"/>
  <c r="L3314" i="7"/>
  <c r="E3314" i="7"/>
  <c r="K31" i="5"/>
  <c r="H2980" i="7"/>
  <c r="F2979" i="7"/>
  <c r="I652" i="5"/>
  <c r="G652" i="5" s="1"/>
  <c r="F652" i="5"/>
  <c r="F2367" i="7"/>
  <c r="E545" i="6" s="1"/>
  <c r="G545" i="6"/>
  <c r="J548" i="5" s="1"/>
  <c r="H735" i="7"/>
  <c r="L2175" i="7"/>
  <c r="E2175" i="7"/>
  <c r="G616" i="6"/>
  <c r="J619" i="5" s="1"/>
  <c r="G76" i="6"/>
  <c r="J79" i="5" s="1"/>
  <c r="L1791" i="7"/>
  <c r="E1791" i="7"/>
  <c r="I814" i="7"/>
  <c r="I822" i="7"/>
  <c r="I393" i="7"/>
  <c r="I1197" i="7"/>
  <c r="I1201" i="7"/>
  <c r="I818" i="7"/>
  <c r="I189" i="7"/>
  <c r="I3134" i="7"/>
  <c r="L3086" i="7"/>
  <c r="E3086" i="7"/>
  <c r="G86" i="6"/>
  <c r="J89" i="5" s="1"/>
  <c r="G85" i="6"/>
  <c r="J88" i="5" s="1"/>
  <c r="G591" i="6"/>
  <c r="L2749" i="7"/>
  <c r="E2749" i="7"/>
  <c r="F129" i="5"/>
  <c r="K129" i="5"/>
  <c r="G129" i="5" s="1"/>
  <c r="I2382" i="7"/>
  <c r="I3435" i="7"/>
  <c r="G701" i="6"/>
  <c r="M592" i="5"/>
  <c r="G592" i="5" s="1"/>
  <c r="F592" i="5"/>
  <c r="L2739" i="7"/>
  <c r="E2739" i="7"/>
  <c r="K225" i="5"/>
  <c r="G237" i="6"/>
  <c r="J240" i="5" s="1"/>
  <c r="L3122" i="7"/>
  <c r="E3122" i="7"/>
  <c r="K126" i="5"/>
  <c r="G126" i="5" s="1"/>
  <c r="F126" i="5"/>
  <c r="H3159" i="7"/>
  <c r="G316" i="6"/>
  <c r="J319" i="5" s="1"/>
  <c r="L754" i="7"/>
  <c r="E754" i="7"/>
  <c r="G525" i="6"/>
  <c r="J528" i="5" s="1"/>
  <c r="F2281" i="7"/>
  <c r="E525" i="6" s="1"/>
  <c r="G704" i="6"/>
  <c r="K232" i="5"/>
  <c r="K83" i="5"/>
  <c r="G174" i="6"/>
  <c r="J177" i="5" s="1"/>
  <c r="G432" i="6"/>
  <c r="J435" i="5" s="1"/>
  <c r="F1886" i="7"/>
  <c r="E432" i="6" s="1"/>
  <c r="I891" i="7"/>
  <c r="I895" i="7"/>
  <c r="I1165" i="7"/>
  <c r="I3206" i="7"/>
  <c r="J3486" i="7"/>
  <c r="E3486" i="7"/>
  <c r="L3310" i="7"/>
  <c r="F3310" i="7" s="1"/>
  <c r="E3310" i="7"/>
  <c r="K184" i="5"/>
  <c r="L121" i="7"/>
  <c r="E121" i="7"/>
  <c r="G413" i="6"/>
  <c r="J416" i="5" s="1"/>
  <c r="F1804" i="7"/>
  <c r="E413" i="6" s="1"/>
  <c r="G129" i="6"/>
  <c r="J132" i="5" s="1"/>
  <c r="F546" i="7"/>
  <c r="E129" i="6" s="1"/>
  <c r="E1526" i="7"/>
  <c r="J1526" i="7"/>
  <c r="F400" i="5"/>
  <c r="K400" i="5"/>
  <c r="G400" i="5" s="1"/>
  <c r="I2284" i="7"/>
  <c r="I2040" i="7"/>
  <c r="I1990" i="7"/>
  <c r="I1901" i="7"/>
  <c r="I3395" i="7"/>
  <c r="I2195" i="7"/>
  <c r="I2036" i="7"/>
  <c r="I3423" i="7"/>
  <c r="E2923" i="7"/>
  <c r="H2923" i="7"/>
  <c r="K382" i="5"/>
  <c r="G382" i="5" s="1"/>
  <c r="F382" i="5"/>
  <c r="J374" i="5"/>
  <c r="I569" i="7"/>
  <c r="I573" i="7"/>
  <c r="I1478" i="7"/>
  <c r="G547" i="6"/>
  <c r="J550" i="5" s="1"/>
  <c r="F2375" i="7"/>
  <c r="E547" i="6" s="1"/>
  <c r="G744" i="6"/>
  <c r="F3510" i="7"/>
  <c r="E744" i="6" s="1"/>
  <c r="F433" i="5"/>
  <c r="K433" i="5"/>
  <c r="G433" i="5" s="1"/>
  <c r="J2216" i="7"/>
  <c r="G434" i="6"/>
  <c r="J437" i="5" s="1"/>
  <c r="F1894" i="7"/>
  <c r="E434" i="6" s="1"/>
  <c r="E2930" i="7"/>
  <c r="H2930" i="7"/>
  <c r="G178" i="6"/>
  <c r="J181" i="5" s="1"/>
  <c r="C555" i="9"/>
  <c r="E13" i="8"/>
  <c r="K3189" i="7"/>
  <c r="K3194" i="7"/>
  <c r="K361" i="7"/>
  <c r="K782" i="7"/>
  <c r="C490" i="9"/>
  <c r="E504" i="9"/>
  <c r="K596" i="5"/>
  <c r="M628" i="5"/>
  <c r="G628" i="5" s="1"/>
  <c r="F628" i="5"/>
  <c r="L1353" i="7"/>
  <c r="E1353" i="7"/>
  <c r="K86" i="5"/>
  <c r="K234" i="7"/>
  <c r="L234" i="7" s="1"/>
  <c r="L236" i="7" s="1"/>
  <c r="H56" i="6" s="1"/>
  <c r="L59" i="5" s="1"/>
  <c r="M59" i="5" s="1"/>
  <c r="K289" i="7"/>
  <c r="L289" i="7" s="1"/>
  <c r="L290" i="7" s="1"/>
  <c r="H68" i="6" s="1"/>
  <c r="L71" i="5" s="1"/>
  <c r="M71" i="5" s="1"/>
  <c r="K87" i="7"/>
  <c r="L87" i="7" s="1"/>
  <c r="L88" i="7" s="1"/>
  <c r="H21" i="6" s="1"/>
  <c r="L24" i="5" s="1"/>
  <c r="M24" i="5" s="1"/>
  <c r="K133" i="7"/>
  <c r="L133" i="7" s="1"/>
  <c r="L134" i="7" s="1"/>
  <c r="H32" i="6" s="1"/>
  <c r="L35" i="5" s="1"/>
  <c r="M35" i="5" s="1"/>
  <c r="K1039" i="7"/>
  <c r="L1039" i="7" s="1"/>
  <c r="L1041" i="7" s="1"/>
  <c r="H245" i="6" s="1"/>
  <c r="L248" i="5" s="1"/>
  <c r="M248" i="5" s="1"/>
  <c r="K32" i="7"/>
  <c r="L32" i="7" s="1"/>
  <c r="L34" i="7" s="1"/>
  <c r="H9" i="6" s="1"/>
  <c r="L12" i="5" s="1"/>
  <c r="M12" i="5" s="1"/>
  <c r="K1093" i="7"/>
  <c r="L1093" i="7" s="1"/>
  <c r="L1094" i="7" s="1"/>
  <c r="H257" i="6" s="1"/>
  <c r="L260" i="5" s="1"/>
  <c r="M260" i="5" s="1"/>
  <c r="G378" i="6"/>
  <c r="F1646" i="7"/>
  <c r="E378" i="6" s="1"/>
  <c r="G210" i="6"/>
  <c r="J213" i="5" s="1"/>
  <c r="K625" i="5"/>
  <c r="G78" i="6"/>
  <c r="J81" i="5" s="1"/>
  <c r="F330" i="7"/>
  <c r="E78" i="6" s="1"/>
  <c r="G665" i="6"/>
  <c r="L942" i="7"/>
  <c r="E942" i="7"/>
  <c r="G317" i="6"/>
  <c r="J320" i="5" s="1"/>
  <c r="L2526" i="7"/>
  <c r="F2526" i="7" s="1"/>
  <c r="E2526" i="7"/>
  <c r="J2459" i="7"/>
  <c r="L1145" i="7"/>
  <c r="E1145" i="7"/>
  <c r="G411" i="6"/>
  <c r="J414" i="5" s="1"/>
  <c r="F1796" i="7"/>
  <c r="E411" i="6" s="1"/>
  <c r="H318" i="7"/>
  <c r="K137" i="5"/>
  <c r="G137" i="5" s="1"/>
  <c r="F137" i="5"/>
  <c r="L2616" i="7"/>
  <c r="E2616" i="7"/>
  <c r="L1365" i="7"/>
  <c r="E1365" i="7"/>
  <c r="M616" i="5"/>
  <c r="G616" i="5" s="1"/>
  <c r="F616" i="5"/>
  <c r="K276" i="5"/>
  <c r="G376" i="6"/>
  <c r="F1636" i="7"/>
  <c r="E376" i="6" s="1"/>
  <c r="E155" i="9"/>
  <c r="G5" i="8"/>
  <c r="I3536" i="7" s="1"/>
  <c r="G29" i="6"/>
  <c r="J32" i="5" s="1"/>
  <c r="H2882" i="7"/>
  <c r="F2881" i="7"/>
  <c r="K1349" i="7"/>
  <c r="K3280" i="7"/>
  <c r="K3276" i="7"/>
  <c r="G291" i="6"/>
  <c r="J294" i="5" s="1"/>
  <c r="F128" i="5"/>
  <c r="K128" i="5"/>
  <c r="G128" i="5" s="1"/>
  <c r="G722" i="6"/>
  <c r="F3385" i="7"/>
  <c r="E722" i="6" s="1"/>
  <c r="M630" i="5"/>
  <c r="G630" i="5" s="1"/>
  <c r="F630" i="5"/>
  <c r="L333" i="7"/>
  <c r="E333" i="7"/>
  <c r="K624" i="5"/>
  <c r="J1402" i="7"/>
  <c r="L2514" i="7"/>
  <c r="F2514" i="7" s="1"/>
  <c r="E2514" i="7"/>
  <c r="J1410" i="7"/>
  <c r="G77" i="6"/>
  <c r="J80" i="5" s="1"/>
  <c r="G274" i="6"/>
  <c r="J277" i="5" s="1"/>
  <c r="H2910" i="7"/>
  <c r="F2909" i="7"/>
  <c r="G662" i="6"/>
  <c r="J599" i="5"/>
  <c r="I2543" i="7"/>
  <c r="L3229" i="7"/>
  <c r="E3229" i="7"/>
  <c r="K78" i="5"/>
  <c r="L1231" i="7"/>
  <c r="E1231" i="7"/>
  <c r="H2973" i="7"/>
  <c r="F2972" i="7"/>
  <c r="K455" i="5"/>
  <c r="G455" i="5" s="1"/>
  <c r="F455" i="5"/>
  <c r="G175" i="6"/>
  <c r="J178" i="5" s="1"/>
  <c r="L738" i="7"/>
  <c r="E738" i="7"/>
  <c r="M589" i="5"/>
  <c r="G589" i="5" s="1"/>
  <c r="F589" i="5"/>
  <c r="G184" i="6"/>
  <c r="J187" i="5" s="1"/>
  <c r="I385" i="7"/>
  <c r="I181" i="7"/>
  <c r="I1189" i="7"/>
  <c r="I3098" i="7"/>
  <c r="G566" i="6"/>
  <c r="J569" i="5" s="1"/>
  <c r="F2455" i="7"/>
  <c r="E566" i="6" s="1"/>
  <c r="F550" i="7"/>
  <c r="E130" i="6" s="1"/>
  <c r="G130" i="6"/>
  <c r="J133" i="5" s="1"/>
  <c r="H117" i="7"/>
  <c r="H2917" i="7"/>
  <c r="F2916" i="7"/>
  <c r="G594" i="6"/>
  <c r="L2544" i="7"/>
  <c r="F2544" i="7" s="1"/>
  <c r="E2544" i="7"/>
  <c r="G128" i="6"/>
  <c r="J131" i="5" s="1"/>
  <c r="F542" i="7"/>
  <c r="E128" i="6" s="1"/>
  <c r="H775" i="7"/>
  <c r="F469" i="5"/>
  <c r="K469" i="5"/>
  <c r="G469" i="5" s="1"/>
  <c r="H1158" i="7"/>
  <c r="L1373" i="7"/>
  <c r="E1373" i="7"/>
  <c r="G315" i="6"/>
  <c r="J318" i="5" s="1"/>
  <c r="H968" i="7"/>
  <c r="K967" i="7"/>
  <c r="K734" i="7"/>
  <c r="K116" i="7"/>
  <c r="K938" i="7"/>
  <c r="K317" i="7"/>
  <c r="K3014" i="7"/>
  <c r="K934" i="7"/>
  <c r="K882" i="7"/>
  <c r="K1121" i="7"/>
  <c r="K3009" i="7"/>
  <c r="G133" i="6"/>
  <c r="J136" i="5" s="1"/>
  <c r="F562" i="7"/>
  <c r="E133" i="6" s="1"/>
  <c r="G412" i="6"/>
  <c r="J415" i="5" s="1"/>
  <c r="F1800" i="7"/>
  <c r="E412" i="6" s="1"/>
  <c r="F2888" i="7"/>
  <c r="H2889" i="7"/>
  <c r="L2442" i="7"/>
  <c r="E2442" i="7"/>
  <c r="G84" i="6"/>
  <c r="J87" i="5" s="1"/>
  <c r="J605" i="7"/>
  <c r="E605" i="7"/>
  <c r="J2102" i="7"/>
  <c r="G564" i="6"/>
  <c r="J567" i="5" s="1"/>
  <c r="F2447" i="7"/>
  <c r="E564" i="6" s="1"/>
  <c r="G671" i="6"/>
  <c r="G592" i="6"/>
  <c r="G695" i="6"/>
  <c r="L590" i="5"/>
  <c r="K2601" i="7"/>
  <c r="L2744" i="7"/>
  <c r="E2744" i="7"/>
  <c r="L2591" i="7"/>
  <c r="E2591" i="7"/>
  <c r="G565" i="6"/>
  <c r="J568" i="5" s="1"/>
  <c r="F2451" i="7"/>
  <c r="E565" i="6" s="1"/>
  <c r="G266" i="6"/>
  <c r="J269" i="5" s="1"/>
  <c r="L2734" i="7"/>
  <c r="E2734" i="7"/>
  <c r="L3297" i="7"/>
  <c r="E3297" i="7"/>
  <c r="G481" i="6"/>
  <c r="J484" i="5" s="1"/>
  <c r="F2094" i="7"/>
  <c r="E481" i="6" s="1"/>
  <c r="I3520" i="7"/>
  <c r="I2402" i="7"/>
  <c r="L1337" i="7"/>
  <c r="E1337" i="7"/>
  <c r="G268" i="6"/>
  <c r="J271" i="5" s="1"/>
  <c r="H2937" i="7"/>
  <c r="E2937" i="7"/>
  <c r="K210" i="5"/>
  <c r="G210" i="5" s="1"/>
  <c r="F210" i="5"/>
  <c r="L3032" i="7"/>
  <c r="E3032" i="7"/>
  <c r="L2596" i="7"/>
  <c r="E2596" i="7"/>
  <c r="E205" i="9"/>
  <c r="G6" i="8"/>
  <c r="I3540" i="7" s="1"/>
  <c r="C254" i="9"/>
  <c r="L3027" i="7"/>
  <c r="F3027" i="7" s="1"/>
  <c r="E3027" i="7"/>
  <c r="M614" i="5"/>
  <c r="G614" i="5" s="1"/>
  <c r="F614" i="5"/>
  <c r="K524" i="5"/>
  <c r="G524" i="5" s="1"/>
  <c r="F524" i="5"/>
  <c r="J385" i="5"/>
  <c r="I613" i="7"/>
  <c r="I1544" i="7"/>
  <c r="G223" i="6"/>
  <c r="J226" i="5" s="1"/>
  <c r="J1850" i="7"/>
  <c r="M593" i="5"/>
  <c r="G593" i="5" s="1"/>
  <c r="F593" i="5"/>
  <c r="G716" i="6"/>
  <c r="F3351" i="7"/>
  <c r="E716" i="6" s="1"/>
  <c r="L1369" i="7"/>
  <c r="E1369" i="7"/>
  <c r="G677" i="6"/>
  <c r="G501" i="6"/>
  <c r="J504" i="5" s="1"/>
  <c r="F2180" i="7"/>
  <c r="E501" i="6" s="1"/>
  <c r="G4" i="11"/>
  <c r="J663" i="5" s="1"/>
  <c r="F11" i="12"/>
  <c r="E4" i="11" s="1"/>
  <c r="K224" i="5"/>
  <c r="E2846" i="7"/>
  <c r="J2846" i="7"/>
  <c r="G686" i="6"/>
  <c r="E2842" i="7"/>
  <c r="J2842" i="7"/>
  <c r="J3556" i="7"/>
  <c r="L3332" i="7"/>
  <c r="E3332" i="7"/>
  <c r="G267" i="6"/>
  <c r="J270" i="5" s="1"/>
  <c r="F1134" i="7"/>
  <c r="E267" i="6" s="1"/>
  <c r="I49" i="9"/>
  <c r="D49" i="9"/>
  <c r="G480" i="6"/>
  <c r="J483" i="5" s="1"/>
  <c r="F2090" i="7"/>
  <c r="E480" i="6" s="1"/>
  <c r="J3328" i="7"/>
  <c r="J376" i="5"/>
  <c r="I581" i="7"/>
  <c r="I1490" i="7"/>
  <c r="M618" i="5"/>
  <c r="G618" i="5" s="1"/>
  <c r="F618" i="5"/>
  <c r="L1137" i="7"/>
  <c r="E1137" i="7"/>
  <c r="L2268" i="7"/>
  <c r="E2268" i="7"/>
  <c r="G455" i="6"/>
  <c r="J458" i="5" s="1"/>
  <c r="F1983" i="7"/>
  <c r="E455" i="6" s="1"/>
  <c r="L750" i="7"/>
  <c r="E750" i="7"/>
  <c r="J3548" i="7"/>
  <c r="F175" i="9"/>
  <c r="C174" i="9"/>
  <c r="G454" i="6"/>
  <c r="J457" i="5" s="1"/>
  <c r="F1979" i="7"/>
  <c r="E454" i="6" s="1"/>
  <c r="K883" i="7"/>
  <c r="H884" i="7"/>
  <c r="H338" i="7"/>
  <c r="F337" i="7"/>
  <c r="K275" i="5"/>
  <c r="G482" i="6"/>
  <c r="J485" i="5" s="1"/>
  <c r="F2098" i="7"/>
  <c r="E482" i="6" s="1"/>
  <c r="J1808" i="7"/>
  <c r="J2200" i="7"/>
  <c r="F375" i="9"/>
  <c r="C374" i="9"/>
  <c r="L2761" i="7"/>
  <c r="F2759" i="7"/>
  <c r="K176" i="5"/>
  <c r="L1361" i="7"/>
  <c r="E1361" i="7"/>
  <c r="J1279" i="7"/>
  <c r="F127" i="5"/>
  <c r="K127" i="5"/>
  <c r="G127" i="5" s="1"/>
  <c r="K267" i="5"/>
  <c r="L3327" i="7"/>
  <c r="F3327" i="7" s="1"/>
  <c r="E3327" i="7"/>
  <c r="H2896" i="7"/>
  <c r="F2895" i="7"/>
  <c r="G79" i="6"/>
  <c r="J82" i="5" s="1"/>
  <c r="G719" i="6"/>
  <c r="F3368" i="7"/>
  <c r="E719" i="6" s="1"/>
  <c r="J1922" i="7"/>
  <c r="H935" i="7"/>
  <c r="E355" i="9"/>
  <c r="G9" i="8"/>
  <c r="I3552" i="7" s="1"/>
  <c r="L1881" i="7"/>
  <c r="E1881" i="7"/>
  <c r="J1414" i="7"/>
  <c r="H1142" i="7"/>
  <c r="F1141" i="7"/>
  <c r="F551" i="5"/>
  <c r="K551" i="5"/>
  <c r="G551" i="5" s="1"/>
  <c r="K349" i="7"/>
  <c r="K774" i="7"/>
  <c r="K1157" i="7"/>
  <c r="K3153" i="7"/>
  <c r="K3158" i="7"/>
  <c r="G15" i="8"/>
  <c r="I2998" i="7" s="1"/>
  <c r="E655" i="9"/>
  <c r="C704" i="9"/>
  <c r="I322" i="5"/>
  <c r="H2966" i="7"/>
  <c r="F2965" i="7"/>
  <c r="J1906" i="7"/>
  <c r="L2520" i="7"/>
  <c r="F2520" i="7" s="1"/>
  <c r="E2520" i="7"/>
  <c r="G433" i="6"/>
  <c r="J436" i="5" s="1"/>
  <c r="F1890" i="7"/>
  <c r="E433" i="6" s="1"/>
  <c r="M588" i="5"/>
  <c r="G588" i="5" s="1"/>
  <c r="F588" i="5"/>
  <c r="H2945" i="7"/>
  <c r="F2944" i="7"/>
  <c r="G270" i="6"/>
  <c r="J273" i="5" s="1"/>
  <c r="L3117" i="7"/>
  <c r="F3117" i="7" s="1"/>
  <c r="E3117" i="7"/>
  <c r="K212" i="5"/>
  <c r="L1125" i="7"/>
  <c r="E1125" i="7"/>
  <c r="F3604" i="7"/>
  <c r="J3605" i="7"/>
  <c r="G698" i="6"/>
  <c r="K272" i="5"/>
  <c r="G456" i="6"/>
  <c r="J459" i="5" s="1"/>
  <c r="F1987" i="7"/>
  <c r="E456" i="6" s="1"/>
  <c r="J3292" i="7"/>
  <c r="G620" i="6"/>
  <c r="J623" i="5" s="1"/>
  <c r="L887" i="7"/>
  <c r="E887" i="7"/>
  <c r="J1406" i="7"/>
  <c r="G524" i="6"/>
  <c r="J527" i="5" s="1"/>
  <c r="F2277" i="7"/>
  <c r="E524" i="6" s="1"/>
  <c r="H1122" i="7"/>
  <c r="H3015" i="7"/>
  <c r="I193" i="7"/>
  <c r="I397" i="7"/>
  <c r="I826" i="7"/>
  <c r="I1205" i="7"/>
  <c r="I3152" i="7"/>
  <c r="G81" i="6"/>
  <c r="J84" i="5" s="1"/>
  <c r="J1393" i="7"/>
  <c r="F546" i="5"/>
  <c r="K546" i="5"/>
  <c r="G546" i="5" s="1"/>
  <c r="H2602" i="7"/>
  <c r="F266" i="5"/>
  <c r="K266" i="5"/>
  <c r="G266" i="5" s="1"/>
  <c r="G617" i="6"/>
  <c r="J620" i="5" s="1"/>
  <c r="L770" i="7" l="1"/>
  <c r="E770" i="7"/>
  <c r="F727" i="6"/>
  <c r="F3413" i="7"/>
  <c r="E727" i="6" s="1"/>
  <c r="L3140" i="7"/>
  <c r="E3140" i="7"/>
  <c r="L3264" i="7"/>
  <c r="F3263" i="7"/>
  <c r="F435" i="6"/>
  <c r="H438" i="5" s="1"/>
  <c r="F1898" i="7"/>
  <c r="E435" i="6" s="1"/>
  <c r="F680" i="6"/>
  <c r="F181" i="6"/>
  <c r="H184" i="5" s="1"/>
  <c r="L985" i="7"/>
  <c r="F984" i="7"/>
  <c r="L325" i="7"/>
  <c r="E325" i="7"/>
  <c r="L3050" i="7"/>
  <c r="E3050" i="7"/>
  <c r="L742" i="7"/>
  <c r="E742" i="7"/>
  <c r="L1129" i="7"/>
  <c r="E1129" i="7"/>
  <c r="L3045" i="7"/>
  <c r="F3045" i="7" s="1"/>
  <c r="E3045" i="7"/>
  <c r="L2771" i="7"/>
  <c r="F2769" i="7"/>
  <c r="F272" i="6"/>
  <c r="H275" i="5" s="1"/>
  <c r="F182" i="6"/>
  <c r="H185" i="5" s="1"/>
  <c r="F5" i="9"/>
  <c r="H4" i="8"/>
  <c r="L661" i="5" s="1"/>
  <c r="M661" i="5" s="1"/>
  <c r="L358" i="7"/>
  <c r="F357" i="7"/>
  <c r="L1149" i="7"/>
  <c r="E1149" i="7"/>
  <c r="L354" i="7"/>
  <c r="F353" i="7"/>
  <c r="L1346" i="7"/>
  <c r="F1345" i="7"/>
  <c r="F504" i="6"/>
  <c r="H507" i="5" s="1"/>
  <c r="F2192" i="7"/>
  <c r="E504" i="6" s="1"/>
  <c r="F82" i="6"/>
  <c r="H85" i="5" s="1"/>
  <c r="F271" i="6"/>
  <c r="H274" i="5" s="1"/>
  <c r="L1153" i="7"/>
  <c r="E1153" i="7"/>
  <c r="L3177" i="7"/>
  <c r="F3176" i="7"/>
  <c r="L345" i="7"/>
  <c r="E345" i="7"/>
  <c r="L766" i="7"/>
  <c r="E766" i="7"/>
  <c r="L779" i="7"/>
  <c r="F778" i="7"/>
  <c r="F180" i="6"/>
  <c r="H183" i="5" s="1"/>
  <c r="L1002" i="7"/>
  <c r="F1001" i="7"/>
  <c r="L3135" i="7"/>
  <c r="F3135" i="7" s="1"/>
  <c r="E3135" i="7"/>
  <c r="L1162" i="7"/>
  <c r="F1161" i="7"/>
  <c r="L762" i="7"/>
  <c r="E762" i="7"/>
  <c r="F28" i="6"/>
  <c r="H31" i="5" s="1"/>
  <c r="K374" i="5"/>
  <c r="G374" i="5" s="1"/>
  <c r="F374" i="5"/>
  <c r="L2751" i="7"/>
  <c r="F2749" i="7"/>
  <c r="F133" i="5"/>
  <c r="K133" i="5"/>
  <c r="G133" i="5" s="1"/>
  <c r="L782" i="7"/>
  <c r="E782" i="7"/>
  <c r="G441" i="6"/>
  <c r="J444" i="5" s="1"/>
  <c r="L3230" i="7"/>
  <c r="F3229" i="7"/>
  <c r="F641" i="6"/>
  <c r="H644" i="5" s="1"/>
  <c r="F2903" i="7"/>
  <c r="E641" i="6" s="1"/>
  <c r="F648" i="6"/>
  <c r="H651" i="5" s="1"/>
  <c r="F2952" i="7"/>
  <c r="E648" i="6" s="1"/>
  <c r="E15" i="8"/>
  <c r="C655" i="9"/>
  <c r="L1138" i="7"/>
  <c r="F1137" i="7"/>
  <c r="L2617" i="7"/>
  <c r="F2616" i="7"/>
  <c r="J2195" i="7"/>
  <c r="E2195" i="7"/>
  <c r="J971" i="7"/>
  <c r="L2443" i="7"/>
  <c r="F2442" i="7"/>
  <c r="J3395" i="7"/>
  <c r="E3395" i="7"/>
  <c r="M591" i="5"/>
  <c r="G591" i="5" s="1"/>
  <c r="F591" i="5"/>
  <c r="F652" i="6"/>
  <c r="H655" i="5" s="1"/>
  <c r="F2980" i="7"/>
  <c r="E652" i="6" s="1"/>
  <c r="F264" i="6"/>
  <c r="H267" i="5" s="1"/>
  <c r="L322" i="7"/>
  <c r="F321" i="7"/>
  <c r="F80" i="6"/>
  <c r="H83" i="5" s="1"/>
  <c r="F338" i="7"/>
  <c r="E80" i="6" s="1"/>
  <c r="L2592" i="7"/>
  <c r="F2591" i="7"/>
  <c r="G527" i="6"/>
  <c r="J530" i="5" s="1"/>
  <c r="K273" i="5"/>
  <c r="J2284" i="7"/>
  <c r="E2284" i="7"/>
  <c r="J1201" i="7"/>
  <c r="J161" i="7"/>
  <c r="L1370" i="7"/>
  <c r="F1369" i="7"/>
  <c r="L739" i="7"/>
  <c r="F738" i="7"/>
  <c r="L3315" i="7"/>
  <c r="F3314" i="7"/>
  <c r="D55" i="9"/>
  <c r="C55" i="9" s="1"/>
  <c r="C49" i="9"/>
  <c r="B49" i="9" s="1"/>
  <c r="K136" i="5"/>
  <c r="G136" i="5" s="1"/>
  <c r="F136" i="5"/>
  <c r="K32" i="5"/>
  <c r="J393" i="7"/>
  <c r="J378" i="5"/>
  <c r="I589" i="7"/>
  <c r="I1502" i="7"/>
  <c r="I2386" i="7"/>
  <c r="I3452" i="7"/>
  <c r="L2612" i="7"/>
  <c r="F2611" i="7"/>
  <c r="H3309" i="7"/>
  <c r="K620" i="5"/>
  <c r="F269" i="6"/>
  <c r="H272" i="5" s="1"/>
  <c r="F1142" i="7"/>
  <c r="E269" i="6" s="1"/>
  <c r="G301" i="6"/>
  <c r="J304" i="5" s="1"/>
  <c r="I2105" i="7"/>
  <c r="I2292" i="7"/>
  <c r="I1811" i="7"/>
  <c r="I1998" i="7"/>
  <c r="I1909" i="7"/>
  <c r="I2462" i="7"/>
  <c r="I2203" i="7"/>
  <c r="I3344" i="7"/>
  <c r="M590" i="5"/>
  <c r="G590" i="5" s="1"/>
  <c r="F590" i="5"/>
  <c r="L3009" i="7"/>
  <c r="F3009" i="7" s="1"/>
  <c r="E3009" i="7"/>
  <c r="F131" i="5"/>
  <c r="K131" i="5"/>
  <c r="G131" i="5" s="1"/>
  <c r="K178" i="5"/>
  <c r="J3536" i="7"/>
  <c r="J1528" i="7"/>
  <c r="F1526" i="7"/>
  <c r="J822" i="7"/>
  <c r="I377" i="7"/>
  <c r="I798" i="7"/>
  <c r="I173" i="7"/>
  <c r="I1181" i="7"/>
  <c r="I1029" i="7"/>
  <c r="I3062" i="7"/>
  <c r="H3326" i="7"/>
  <c r="F3608" i="7"/>
  <c r="J3609" i="7"/>
  <c r="H1397" i="7"/>
  <c r="F458" i="5"/>
  <c r="K458" i="5"/>
  <c r="G458" i="5" s="1"/>
  <c r="L967" i="7"/>
  <c r="E967" i="7"/>
  <c r="L1358" i="7"/>
  <c r="F1357" i="7"/>
  <c r="K484" i="5"/>
  <c r="G484" i="5" s="1"/>
  <c r="F484" i="5"/>
  <c r="L361" i="7"/>
  <c r="E361" i="7"/>
  <c r="F173" i="6"/>
  <c r="H176" i="5" s="1"/>
  <c r="K188" i="5"/>
  <c r="J1205" i="7"/>
  <c r="F569" i="5"/>
  <c r="K569" i="5"/>
  <c r="G569" i="5" s="1"/>
  <c r="J826" i="7"/>
  <c r="K213" i="5"/>
  <c r="K294" i="5"/>
  <c r="E6" i="8"/>
  <c r="C205" i="9"/>
  <c r="F674" i="6"/>
  <c r="F3105" i="7"/>
  <c r="E674" i="6" s="1"/>
  <c r="L3153" i="7"/>
  <c r="F3153" i="7" s="1"/>
  <c r="E3153" i="7"/>
  <c r="L3276" i="7"/>
  <c r="F3276" i="7" s="1"/>
  <c r="E3276" i="7"/>
  <c r="L1157" i="7"/>
  <c r="E1157" i="7"/>
  <c r="F639" i="6"/>
  <c r="H642" i="5" s="1"/>
  <c r="F2889" i="7"/>
  <c r="E639" i="6" s="1"/>
  <c r="G458" i="6"/>
  <c r="J461" i="5" s="1"/>
  <c r="G712" i="6"/>
  <c r="K621" i="5"/>
  <c r="F209" i="6"/>
  <c r="H212" i="5" s="1"/>
  <c r="L3033" i="7"/>
  <c r="F3032" i="7"/>
  <c r="L1121" i="7"/>
  <c r="E1121" i="7"/>
  <c r="J814" i="7"/>
  <c r="H2288" i="7"/>
  <c r="K321" i="5"/>
  <c r="H1409" i="7"/>
  <c r="L734" i="7"/>
  <c r="E734" i="7"/>
  <c r="L755" i="7"/>
  <c r="F754" i="7"/>
  <c r="H2924" i="7"/>
  <c r="F2923" i="7"/>
  <c r="K599" i="5"/>
  <c r="K548" i="5"/>
  <c r="G548" i="5" s="1"/>
  <c r="F548" i="5"/>
  <c r="J397" i="7"/>
  <c r="J383" i="5"/>
  <c r="I609" i="7"/>
  <c r="I1532" i="7"/>
  <c r="K82" i="5"/>
  <c r="J181" i="7"/>
  <c r="J3206" i="7"/>
  <c r="E3206" i="7"/>
  <c r="K485" i="5"/>
  <c r="G485" i="5" s="1"/>
  <c r="F485" i="5"/>
  <c r="L1374" i="7"/>
  <c r="F1373" i="7"/>
  <c r="K181" i="5"/>
  <c r="L3123" i="7"/>
  <c r="F3122" i="7"/>
  <c r="J3134" i="7"/>
  <c r="J950" i="7"/>
  <c r="G330" i="6"/>
  <c r="J333" i="5" s="1"/>
  <c r="F435" i="5"/>
  <c r="K435" i="5"/>
  <c r="G435" i="5" s="1"/>
  <c r="L3247" i="7"/>
  <c r="F3246" i="7"/>
  <c r="F638" i="6"/>
  <c r="H641" i="5" s="1"/>
  <c r="F2882" i="7"/>
  <c r="E638" i="6" s="1"/>
  <c r="L2746" i="7"/>
  <c r="F2744" i="7"/>
  <c r="F134" i="5"/>
  <c r="K134" i="5"/>
  <c r="G134" i="5" s="1"/>
  <c r="F647" i="6"/>
  <c r="H650" i="5" s="1"/>
  <c r="F2945" i="7"/>
  <c r="E647" i="6" s="1"/>
  <c r="F457" i="5"/>
  <c r="K457" i="5"/>
  <c r="G457" i="5" s="1"/>
  <c r="F270" i="5"/>
  <c r="K270" i="5"/>
  <c r="G270" i="5" s="1"/>
  <c r="H2938" i="7"/>
  <c r="F2937" i="7"/>
  <c r="I1377" i="7"/>
  <c r="I1243" i="7"/>
  <c r="I3224" i="7"/>
  <c r="I1239" i="7"/>
  <c r="L882" i="7"/>
  <c r="E882" i="7"/>
  <c r="L1354" i="7"/>
  <c r="F1353" i="7"/>
  <c r="I3503" i="7"/>
  <c r="I2398" i="7"/>
  <c r="I1385" i="7"/>
  <c r="I3258" i="7"/>
  <c r="L1342" i="7"/>
  <c r="F1341" i="7"/>
  <c r="H1807" i="7"/>
  <c r="H1401" i="7"/>
  <c r="J3520" i="7"/>
  <c r="E3520" i="7"/>
  <c r="C705" i="9"/>
  <c r="E16" i="8"/>
  <c r="L1236" i="7"/>
  <c r="F1235" i="7"/>
  <c r="K319" i="5"/>
  <c r="L2269" i="7"/>
  <c r="F2268" i="7"/>
  <c r="J2543" i="7"/>
  <c r="K622" i="5"/>
  <c r="L3298" i="7"/>
  <c r="F3297" i="7"/>
  <c r="I1917" i="7"/>
  <c r="I2113" i="7"/>
  <c r="I2300" i="7"/>
  <c r="I1819" i="7"/>
  <c r="I2006" i="7"/>
  <c r="I2211" i="7"/>
  <c r="I3378" i="7"/>
  <c r="I2470" i="7"/>
  <c r="I3429" i="7"/>
  <c r="L3189" i="7"/>
  <c r="F3189" i="7" s="1"/>
  <c r="E3189" i="7"/>
  <c r="F605" i="7"/>
  <c r="J606" i="7"/>
  <c r="E577" i="7"/>
  <c r="J577" i="7"/>
  <c r="L2766" i="7"/>
  <c r="F2764" i="7"/>
  <c r="J193" i="7"/>
  <c r="K87" i="5"/>
  <c r="K89" i="5"/>
  <c r="K269" i="5"/>
  <c r="J385" i="7"/>
  <c r="E1165" i="7"/>
  <c r="J1165" i="7"/>
  <c r="E3540" i="7"/>
  <c r="J3540" i="7"/>
  <c r="J598" i="5"/>
  <c r="I2537" i="7"/>
  <c r="F568" i="5"/>
  <c r="K568" i="5"/>
  <c r="G568" i="5" s="1"/>
  <c r="F222" i="6"/>
  <c r="H225" i="5" s="1"/>
  <c r="J899" i="7"/>
  <c r="K80" i="5"/>
  <c r="J818" i="7"/>
  <c r="K268" i="5"/>
  <c r="F183" i="6"/>
  <c r="H186" i="5" s="1"/>
  <c r="G334" i="6"/>
  <c r="J337" i="5" s="1"/>
  <c r="K623" i="5"/>
  <c r="F436" i="5"/>
  <c r="K436" i="5"/>
  <c r="G436" i="5" s="1"/>
  <c r="L1362" i="7"/>
  <c r="F1361" i="7"/>
  <c r="F204" i="9"/>
  <c r="C175" i="9"/>
  <c r="K271" i="5"/>
  <c r="L934" i="7"/>
  <c r="E934" i="7"/>
  <c r="G331" i="6"/>
  <c r="J334" i="5" s="1"/>
  <c r="K320" i="5"/>
  <c r="F132" i="5"/>
  <c r="K132" i="5"/>
  <c r="G132" i="5" s="1"/>
  <c r="J3435" i="7"/>
  <c r="E3435" i="7"/>
  <c r="L1792" i="7"/>
  <c r="F1791" i="7"/>
  <c r="J380" i="5"/>
  <c r="I1514" i="7"/>
  <c r="I597" i="7"/>
  <c r="K505" i="5"/>
  <c r="G505" i="5" s="1"/>
  <c r="F505" i="5"/>
  <c r="H2101" i="7"/>
  <c r="L2756" i="7"/>
  <c r="F2754" i="7"/>
  <c r="H1413" i="7"/>
  <c r="F650" i="6"/>
  <c r="H653" i="5" s="1"/>
  <c r="F2966" i="7"/>
  <c r="E650" i="6" s="1"/>
  <c r="K385" i="5"/>
  <c r="G385" i="5" s="1"/>
  <c r="F385" i="5"/>
  <c r="F404" i="9"/>
  <c r="C375" i="9"/>
  <c r="I2390" i="7"/>
  <c r="I3469" i="7"/>
  <c r="I1381" i="7"/>
  <c r="I3241" i="7"/>
  <c r="J2847" i="7"/>
  <c r="F2846" i="7"/>
  <c r="K384" i="5"/>
  <c r="G384" i="5" s="1"/>
  <c r="F384" i="5"/>
  <c r="I2296" i="7"/>
  <c r="I1913" i="7"/>
  <c r="I2002" i="7"/>
  <c r="I2466" i="7"/>
  <c r="I2207" i="7"/>
  <c r="I2109" i="7"/>
  <c r="I1815" i="7"/>
  <c r="I3361" i="7"/>
  <c r="G414" i="6"/>
  <c r="J417" i="5" s="1"/>
  <c r="K318" i="5"/>
  <c r="J1189" i="7"/>
  <c r="F3486" i="7"/>
  <c r="J3488" i="7"/>
  <c r="J946" i="7"/>
  <c r="L1126" i="7"/>
  <c r="F1125" i="7"/>
  <c r="L2606" i="7"/>
  <c r="E2606" i="7"/>
  <c r="E1490" i="7"/>
  <c r="J1490" i="7"/>
  <c r="K526" i="5"/>
  <c r="G526" i="5" s="1"/>
  <c r="F526" i="5"/>
  <c r="F376" i="5"/>
  <c r="K376" i="5"/>
  <c r="G376" i="5" s="1"/>
  <c r="L3280" i="7"/>
  <c r="E3280" i="7"/>
  <c r="K240" i="5"/>
  <c r="L774" i="7"/>
  <c r="E774" i="7"/>
  <c r="K550" i="5"/>
  <c r="G550" i="5" s="1"/>
  <c r="F550" i="5"/>
  <c r="I1389" i="7"/>
  <c r="I3275" i="7"/>
  <c r="E2382" i="7"/>
  <c r="J2382" i="7"/>
  <c r="K180" i="5"/>
  <c r="H1994" i="7"/>
  <c r="D32" i="9"/>
  <c r="C26" i="9"/>
  <c r="B26" i="9" s="1"/>
  <c r="H1405" i="7"/>
  <c r="E613" i="7"/>
  <c r="J613" i="7"/>
  <c r="L334" i="7"/>
  <c r="F333" i="7"/>
  <c r="F81" i="5"/>
  <c r="K81" i="5"/>
  <c r="G81" i="5" s="1"/>
  <c r="L2176" i="7"/>
  <c r="F2175" i="7"/>
  <c r="F506" i="5"/>
  <c r="K506" i="5"/>
  <c r="G506" i="5" s="1"/>
  <c r="J594" i="5"/>
  <c r="I2519" i="7"/>
  <c r="I2513" i="7"/>
  <c r="J3152" i="7"/>
  <c r="L1366" i="7"/>
  <c r="F1365" i="7"/>
  <c r="K88" i="5"/>
  <c r="L1975" i="7"/>
  <c r="F1974" i="7"/>
  <c r="E1484" i="7"/>
  <c r="J1484" i="7"/>
  <c r="E2036" i="7"/>
  <c r="J2036" i="7"/>
  <c r="J1169" i="7"/>
  <c r="F642" i="6"/>
  <c r="H645" i="5" s="1"/>
  <c r="F2910" i="7"/>
  <c r="E642" i="6" s="1"/>
  <c r="J895" i="7"/>
  <c r="E895" i="7"/>
  <c r="J3008" i="7"/>
  <c r="F273" i="6"/>
  <c r="H276" i="5" s="1"/>
  <c r="J891" i="7"/>
  <c r="E891" i="7"/>
  <c r="J189" i="7"/>
  <c r="E3544" i="7"/>
  <c r="J3544" i="7"/>
  <c r="I185" i="7"/>
  <c r="I389" i="7"/>
  <c r="I806" i="7"/>
  <c r="I810" i="7"/>
  <c r="I3116" i="7"/>
  <c r="I1193" i="7"/>
  <c r="F437" i="5"/>
  <c r="K437" i="5"/>
  <c r="G437" i="5" s="1"/>
  <c r="E7" i="8"/>
  <c r="C255" i="9"/>
  <c r="F415" i="5"/>
  <c r="K415" i="5"/>
  <c r="G415" i="5" s="1"/>
  <c r="E5" i="9"/>
  <c r="G4" i="8"/>
  <c r="J661" i="5" s="1"/>
  <c r="G332" i="6"/>
  <c r="J335" i="5" s="1"/>
  <c r="L2601" i="7"/>
  <c r="E2601" i="7"/>
  <c r="L888" i="7"/>
  <c r="F887" i="7"/>
  <c r="G423" i="6"/>
  <c r="J426" i="5" s="1"/>
  <c r="J3552" i="7"/>
  <c r="J3557" i="7"/>
  <c r="J595" i="5"/>
  <c r="I2525" i="7"/>
  <c r="L317" i="7"/>
  <c r="E317" i="7"/>
  <c r="L943" i="7"/>
  <c r="F942" i="7"/>
  <c r="E1478" i="7"/>
  <c r="J1478" i="7"/>
  <c r="K79" i="5"/>
  <c r="F305" i="9"/>
  <c r="H8" i="8"/>
  <c r="K3548" i="7" s="1"/>
  <c r="C354" i="9"/>
  <c r="H2199" i="7"/>
  <c r="L759" i="7"/>
  <c r="F758" i="7"/>
  <c r="H1277" i="7"/>
  <c r="L122" i="7"/>
  <c r="F121" i="7"/>
  <c r="K567" i="5"/>
  <c r="G567" i="5" s="1"/>
  <c r="F567" i="5"/>
  <c r="I205" i="7"/>
  <c r="I409" i="7"/>
  <c r="I834" i="7"/>
  <c r="I3188" i="7"/>
  <c r="K84" i="5"/>
  <c r="L342" i="7"/>
  <c r="F341" i="7"/>
  <c r="G506" i="6"/>
  <c r="J509" i="5" s="1"/>
  <c r="E1538" i="7"/>
  <c r="J1538" i="7"/>
  <c r="G762" i="6"/>
  <c r="I2827" i="7" s="1"/>
  <c r="F3605" i="7"/>
  <c r="E762" i="6" s="1"/>
  <c r="K295" i="5"/>
  <c r="L2736" i="7"/>
  <c r="F2734" i="7"/>
  <c r="I903" i="7"/>
  <c r="I1173" i="7"/>
  <c r="I165" i="7"/>
  <c r="I954" i="7"/>
  <c r="I369" i="7"/>
  <c r="I790" i="7"/>
  <c r="I3026" i="7"/>
  <c r="E3423" i="7"/>
  <c r="J3423" i="7"/>
  <c r="K182" i="5"/>
  <c r="J381" i="5"/>
  <c r="I601" i="7"/>
  <c r="I1520" i="7"/>
  <c r="L3158" i="7"/>
  <c r="E3158" i="7"/>
  <c r="F663" i="5"/>
  <c r="K663" i="5"/>
  <c r="G663" i="5" s="1"/>
  <c r="L2532" i="7"/>
  <c r="F2532" i="7" s="1"/>
  <c r="E2532" i="7"/>
  <c r="F640" i="6"/>
  <c r="H643" i="5" s="1"/>
  <c r="F2896" i="7"/>
  <c r="E640" i="6" s="1"/>
  <c r="E581" i="7"/>
  <c r="J581" i="7"/>
  <c r="E1496" i="7"/>
  <c r="J1496" i="7"/>
  <c r="F504" i="5"/>
  <c r="K504" i="5"/>
  <c r="G504" i="5" s="1"/>
  <c r="K277" i="5"/>
  <c r="E1901" i="7"/>
  <c r="J1901" i="7"/>
  <c r="F414" i="5"/>
  <c r="K414" i="5"/>
  <c r="G414" i="5" s="1"/>
  <c r="K377" i="5"/>
  <c r="G377" i="5" s="1"/>
  <c r="F377" i="5"/>
  <c r="L349" i="7"/>
  <c r="E349" i="7"/>
  <c r="L2597" i="7"/>
  <c r="F2596" i="7"/>
  <c r="K236" i="5"/>
  <c r="K527" i="5"/>
  <c r="G527" i="5" s="1"/>
  <c r="F527" i="5"/>
  <c r="K177" i="5"/>
  <c r="J1197" i="7"/>
  <c r="J365" i="7"/>
  <c r="E883" i="7"/>
  <c r="L883" i="7"/>
  <c r="F883" i="7" s="1"/>
  <c r="F2394" i="7"/>
  <c r="J2395" i="7"/>
  <c r="J3294" i="7"/>
  <c r="L1882" i="7"/>
  <c r="F1881" i="7"/>
  <c r="F651" i="6"/>
  <c r="H654" i="5" s="1"/>
  <c r="F2973" i="7"/>
  <c r="E651" i="6" s="1"/>
  <c r="G437" i="6"/>
  <c r="J440" i="5" s="1"/>
  <c r="K226" i="5"/>
  <c r="L1338" i="7"/>
  <c r="F1337" i="7"/>
  <c r="L938" i="7"/>
  <c r="E938" i="7"/>
  <c r="F643" i="6"/>
  <c r="H646" i="5" s="1"/>
  <c r="F2917" i="7"/>
  <c r="E643" i="6" s="1"/>
  <c r="L1232" i="7"/>
  <c r="F1231" i="7"/>
  <c r="E573" i="7"/>
  <c r="J573" i="7"/>
  <c r="F416" i="5"/>
  <c r="K416" i="5"/>
  <c r="G416" i="5" s="1"/>
  <c r="F528" i="5"/>
  <c r="K528" i="5"/>
  <c r="G528" i="5" s="1"/>
  <c r="H2458" i="7"/>
  <c r="G429" i="6"/>
  <c r="J432" i="5" s="1"/>
  <c r="J3003" i="7"/>
  <c r="E3003" i="7"/>
  <c r="F547" i="5"/>
  <c r="K547" i="5"/>
  <c r="G547" i="5" s="1"/>
  <c r="F221" i="6"/>
  <c r="H224" i="5" s="1"/>
  <c r="I201" i="7"/>
  <c r="I401" i="7"/>
  <c r="I830" i="7"/>
  <c r="I197" i="7"/>
  <c r="I1005" i="7"/>
  <c r="I988" i="7"/>
  <c r="I1209" i="7"/>
  <c r="I405" i="7"/>
  <c r="I3170" i="7"/>
  <c r="G483" i="6"/>
  <c r="J486" i="5" s="1"/>
  <c r="L3194" i="7"/>
  <c r="E3194" i="7"/>
  <c r="G709" i="6"/>
  <c r="F229" i="6"/>
  <c r="H232" i="5" s="1"/>
  <c r="F683" i="6"/>
  <c r="J3098" i="7"/>
  <c r="F375" i="5"/>
  <c r="K375" i="5"/>
  <c r="G375" i="5" s="1"/>
  <c r="E2998" i="7"/>
  <c r="J2998" i="7"/>
  <c r="F83" i="6"/>
  <c r="H86" i="5" s="1"/>
  <c r="F659" i="6"/>
  <c r="F75" i="6"/>
  <c r="H78" i="5" s="1"/>
  <c r="H2931" i="7"/>
  <c r="F2930" i="7"/>
  <c r="L3087" i="7"/>
  <c r="F3086" i="7"/>
  <c r="K187" i="5"/>
  <c r="J585" i="7"/>
  <c r="E585" i="7"/>
  <c r="L1349" i="7"/>
  <c r="E1349" i="7"/>
  <c r="E1990" i="7"/>
  <c r="J1990" i="7"/>
  <c r="J2040" i="7"/>
  <c r="E2040" i="7"/>
  <c r="J786" i="7"/>
  <c r="L1146" i="7"/>
  <c r="F1145" i="7"/>
  <c r="F483" i="5"/>
  <c r="K483" i="5"/>
  <c r="G483" i="5" s="1"/>
  <c r="G333" i="6"/>
  <c r="J336" i="5" s="1"/>
  <c r="G510" i="6"/>
  <c r="J513" i="5" s="1"/>
  <c r="L2741" i="7"/>
  <c r="F2739" i="7"/>
  <c r="G567" i="6"/>
  <c r="J570" i="5" s="1"/>
  <c r="F593" i="6"/>
  <c r="H596" i="5" s="1"/>
  <c r="J3549" i="7"/>
  <c r="L3333" i="7"/>
  <c r="F3332" i="7"/>
  <c r="L3014" i="7"/>
  <c r="E3014" i="7"/>
  <c r="J597" i="5"/>
  <c r="I2531" i="7"/>
  <c r="J379" i="5"/>
  <c r="I1508" i="7"/>
  <c r="I593" i="7"/>
  <c r="J1394" i="7"/>
  <c r="F459" i="5"/>
  <c r="K459" i="5"/>
  <c r="G459" i="5" s="1"/>
  <c r="H621" i="6"/>
  <c r="L624" i="5" s="1"/>
  <c r="F2761" i="7"/>
  <c r="E621" i="6" s="1"/>
  <c r="L751" i="7"/>
  <c r="F750" i="7"/>
  <c r="F2842" i="7"/>
  <c r="J2843" i="7"/>
  <c r="E1544" i="7"/>
  <c r="J1544" i="7"/>
  <c r="E2402" i="7"/>
  <c r="J2402" i="7"/>
  <c r="I802" i="7"/>
  <c r="I1185" i="7"/>
  <c r="I177" i="7"/>
  <c r="I381" i="7"/>
  <c r="I3080" i="7"/>
  <c r="L116" i="7"/>
  <c r="E116" i="7"/>
  <c r="I373" i="7"/>
  <c r="I794" i="7"/>
  <c r="I169" i="7"/>
  <c r="I1177" i="7"/>
  <c r="I3044" i="7"/>
  <c r="E455" i="9"/>
  <c r="G11" i="8"/>
  <c r="I3599" i="7" s="1"/>
  <c r="C504" i="9"/>
  <c r="J569" i="7"/>
  <c r="E569" i="7"/>
  <c r="K619" i="5"/>
  <c r="H10" i="8"/>
  <c r="K3556" i="7" s="1"/>
  <c r="F405" i="9"/>
  <c r="C454" i="9"/>
  <c r="H1905" i="7"/>
  <c r="F179" i="5"/>
  <c r="K179" i="5"/>
  <c r="G179" i="5" s="1"/>
  <c r="L2086" i="7"/>
  <c r="F2085" i="7"/>
  <c r="H84" i="6" l="1"/>
  <c r="L87" i="5" s="1"/>
  <c r="F354" i="7"/>
  <c r="E84" i="6" s="1"/>
  <c r="H274" i="6"/>
  <c r="L277" i="5" s="1"/>
  <c r="F1162" i="7"/>
  <c r="E274" i="6" s="1"/>
  <c r="I183" i="5"/>
  <c r="L1150" i="7"/>
  <c r="F1149" i="7"/>
  <c r="H233" i="6"/>
  <c r="L236" i="5" s="1"/>
  <c r="F985" i="7"/>
  <c r="E233" i="6" s="1"/>
  <c r="L3051" i="7"/>
  <c r="F3050" i="7"/>
  <c r="I184" i="5"/>
  <c r="I507" i="5"/>
  <c r="G507" i="5" s="1"/>
  <c r="F507" i="5"/>
  <c r="L346" i="7"/>
  <c r="F345" i="7"/>
  <c r="I185" i="5"/>
  <c r="I438" i="5"/>
  <c r="G438" i="5" s="1"/>
  <c r="F438" i="5"/>
  <c r="H317" i="6"/>
  <c r="L320" i="5" s="1"/>
  <c r="F1346" i="7"/>
  <c r="E317" i="6" s="1"/>
  <c r="L326" i="7"/>
  <c r="F325" i="7"/>
  <c r="H184" i="6"/>
  <c r="L187" i="5" s="1"/>
  <c r="F779" i="7"/>
  <c r="E184" i="6" s="1"/>
  <c r="H85" i="6"/>
  <c r="L88" i="5" s="1"/>
  <c r="F358" i="7"/>
  <c r="E85" i="6" s="1"/>
  <c r="I275" i="5"/>
  <c r="L1154" i="7"/>
  <c r="F1153" i="7"/>
  <c r="H623" i="6"/>
  <c r="L626" i="5" s="1"/>
  <c r="F2771" i="7"/>
  <c r="E623" i="6" s="1"/>
  <c r="L3141" i="7"/>
  <c r="F3140" i="7"/>
  <c r="H701" i="6"/>
  <c r="F3264" i="7"/>
  <c r="E701" i="6" s="1"/>
  <c r="I274" i="5"/>
  <c r="G1873" i="7"/>
  <c r="G2215" i="7"/>
  <c r="G1848" i="7"/>
  <c r="G1921" i="7"/>
  <c r="L743" i="7"/>
  <c r="F742" i="7"/>
  <c r="H237" i="6"/>
  <c r="L240" i="5" s="1"/>
  <c r="F1002" i="7"/>
  <c r="E237" i="6" s="1"/>
  <c r="G1201" i="7"/>
  <c r="G393" i="7"/>
  <c r="G1197" i="7"/>
  <c r="G822" i="7"/>
  <c r="G818" i="7"/>
  <c r="G814" i="7"/>
  <c r="G3134" i="7"/>
  <c r="G189" i="7"/>
  <c r="L767" i="7"/>
  <c r="F766" i="7"/>
  <c r="H686" i="6"/>
  <c r="F3177" i="7"/>
  <c r="E686" i="6" s="1"/>
  <c r="L763" i="7"/>
  <c r="F762" i="7"/>
  <c r="I85" i="5"/>
  <c r="L1130" i="7"/>
  <c r="F1129" i="7"/>
  <c r="L771" i="7"/>
  <c r="F770" i="7"/>
  <c r="J1381" i="7"/>
  <c r="J988" i="7"/>
  <c r="H662" i="6"/>
  <c r="F3033" i="7"/>
  <c r="E662" i="6" s="1"/>
  <c r="K336" i="5"/>
  <c r="J194" i="7"/>
  <c r="J2513" i="7"/>
  <c r="J398" i="7"/>
  <c r="J2519" i="7"/>
  <c r="J401" i="7"/>
  <c r="H522" i="6"/>
  <c r="L525" i="5" s="1"/>
  <c r="F2269" i="7"/>
  <c r="E522" i="6" s="1"/>
  <c r="H270" i="6"/>
  <c r="L273" i="5" s="1"/>
  <c r="F1146" i="7"/>
  <c r="E270" i="6" s="1"/>
  <c r="I276" i="5"/>
  <c r="H592" i="6"/>
  <c r="F2597" i="7"/>
  <c r="E592" i="6" s="1"/>
  <c r="K417" i="5"/>
  <c r="J3080" i="7"/>
  <c r="E601" i="7"/>
  <c r="J601" i="7"/>
  <c r="F646" i="6"/>
  <c r="H649" i="5" s="1"/>
  <c r="F2938" i="7"/>
  <c r="E646" i="6" s="1"/>
  <c r="J377" i="7"/>
  <c r="E377" i="7"/>
  <c r="J381" i="7"/>
  <c r="H710" i="6"/>
  <c r="F3315" i="7"/>
  <c r="E710" i="6" s="1"/>
  <c r="J1170" i="7"/>
  <c r="H431" i="6"/>
  <c r="L434" i="5" s="1"/>
  <c r="F1882" i="7"/>
  <c r="E431" i="6" s="1"/>
  <c r="J2207" i="7"/>
  <c r="E2207" i="7"/>
  <c r="J2403" i="7"/>
  <c r="F2402" i="7"/>
  <c r="F2036" i="7"/>
  <c r="J2037" i="7"/>
  <c r="H2102" i="7"/>
  <c r="E2211" i="7"/>
  <c r="J2211" i="7"/>
  <c r="G706" i="6"/>
  <c r="J3026" i="7"/>
  <c r="J205" i="7"/>
  <c r="J2002" i="7"/>
  <c r="E2002" i="7"/>
  <c r="F1165" i="7"/>
  <c r="J1166" i="7"/>
  <c r="J2006" i="7"/>
  <c r="E2006" i="7"/>
  <c r="I650" i="5"/>
  <c r="G650" i="5" s="1"/>
  <c r="F650" i="5"/>
  <c r="H323" i="6"/>
  <c r="L326" i="5" s="1"/>
  <c r="F1370" i="7"/>
  <c r="E323" i="6" s="1"/>
  <c r="F3395" i="7"/>
  <c r="J3397" i="7"/>
  <c r="H179" i="6"/>
  <c r="L182" i="5" s="1"/>
  <c r="F759" i="7"/>
  <c r="E179" i="6" s="1"/>
  <c r="J3044" i="7"/>
  <c r="G740" i="6"/>
  <c r="F3488" i="7"/>
  <c r="E740" i="6" s="1"/>
  <c r="H9" i="8"/>
  <c r="K3552" i="7" s="1"/>
  <c r="F355" i="9"/>
  <c r="C404" i="9"/>
  <c r="E1909" i="7"/>
  <c r="J1909" i="7"/>
  <c r="H315" i="6"/>
  <c r="L318" i="5" s="1"/>
  <c r="F1338" i="7"/>
  <c r="E315" i="6" s="1"/>
  <c r="J900" i="7"/>
  <c r="J2531" i="7"/>
  <c r="L3159" i="7"/>
  <c r="F3158" i="7"/>
  <c r="G144" i="6"/>
  <c r="J147" i="5" s="1"/>
  <c r="F606" i="7"/>
  <c r="E144" i="6" s="1"/>
  <c r="E173" i="7"/>
  <c r="J173" i="7"/>
  <c r="H292" i="6"/>
  <c r="L295" i="5" s="1"/>
  <c r="F1236" i="7"/>
  <c r="E292" i="6" s="1"/>
  <c r="J2105" i="7"/>
  <c r="E2105" i="7"/>
  <c r="H178" i="6"/>
  <c r="L181" i="5" s="1"/>
  <c r="F755" i="7"/>
  <c r="E178" i="6" s="1"/>
  <c r="F1990" i="7"/>
  <c r="J1991" i="7"/>
  <c r="K304" i="5"/>
  <c r="H223" i="6"/>
  <c r="L226" i="5" s="1"/>
  <c r="F943" i="7"/>
  <c r="E223" i="6" s="1"/>
  <c r="E2470" i="7"/>
  <c r="J2470" i="7"/>
  <c r="K432" i="5"/>
  <c r="J3378" i="7"/>
  <c r="E3378" i="7"/>
  <c r="L1158" i="7"/>
  <c r="F1157" i="7"/>
  <c r="I232" i="5"/>
  <c r="H1402" i="7"/>
  <c r="H1410" i="7"/>
  <c r="L783" i="7"/>
  <c r="F782" i="7"/>
  <c r="E10" i="8"/>
  <c r="C405" i="9"/>
  <c r="H2459" i="7"/>
  <c r="F1544" i="7"/>
  <c r="J1546" i="7"/>
  <c r="F585" i="7"/>
  <c r="J586" i="7"/>
  <c r="I1325" i="7"/>
  <c r="I1272" i="7"/>
  <c r="I1333" i="7"/>
  <c r="I1282" i="7"/>
  <c r="I1292" i="7"/>
  <c r="I1329" i="7"/>
  <c r="I1287" i="7"/>
  <c r="I1321" i="7"/>
  <c r="I1317" i="7"/>
  <c r="G552" i="6"/>
  <c r="J555" i="5" s="1"/>
  <c r="F2395" i="7"/>
  <c r="E552" i="6" s="1"/>
  <c r="J790" i="7"/>
  <c r="L318" i="7"/>
  <c r="F317" i="7"/>
  <c r="J1193" i="7"/>
  <c r="J1486" i="7"/>
  <c r="F1484" i="7"/>
  <c r="J1913" i="7"/>
  <c r="E1913" i="7"/>
  <c r="E1819" i="7"/>
  <c r="J1819" i="7"/>
  <c r="H1808" i="7"/>
  <c r="J3537" i="7"/>
  <c r="J162" i="7"/>
  <c r="H291" i="6"/>
  <c r="L294" i="5" s="1"/>
  <c r="F1232" i="7"/>
  <c r="E291" i="6" s="1"/>
  <c r="H1398" i="7"/>
  <c r="I78" i="5"/>
  <c r="F2382" i="7"/>
  <c r="J2383" i="7"/>
  <c r="J1005" i="7"/>
  <c r="J819" i="7"/>
  <c r="G329" i="6"/>
  <c r="J332" i="5" s="1"/>
  <c r="E2203" i="7"/>
  <c r="J2203" i="7"/>
  <c r="C305" i="9"/>
  <c r="E8" i="8"/>
  <c r="L884" i="7"/>
  <c r="F882" i="7"/>
  <c r="J2462" i="7"/>
  <c r="E2462" i="7"/>
  <c r="E1811" i="7"/>
  <c r="J1811" i="7"/>
  <c r="I224" i="5"/>
  <c r="H500" i="6"/>
  <c r="L503" i="5" s="1"/>
  <c r="F2176" i="7"/>
  <c r="E500" i="6" s="1"/>
  <c r="H695" i="6"/>
  <c r="F3230" i="7"/>
  <c r="E695" i="6" s="1"/>
  <c r="F3003" i="7"/>
  <c r="J3004" i="7"/>
  <c r="J1815" i="7"/>
  <c r="E1815" i="7"/>
  <c r="I655" i="5"/>
  <c r="G655" i="5" s="1"/>
  <c r="F655" i="5"/>
  <c r="G193" i="7"/>
  <c r="G826" i="7"/>
  <c r="G397" i="7"/>
  <c r="G1205" i="7"/>
  <c r="G3152" i="7"/>
  <c r="J3188" i="7"/>
  <c r="L3281" i="7"/>
  <c r="F3280" i="7"/>
  <c r="J3522" i="7"/>
  <c r="F3520" i="7"/>
  <c r="J802" i="7"/>
  <c r="H321" i="6"/>
  <c r="L324" i="5" s="1"/>
  <c r="F1362" i="7"/>
  <c r="E321" i="6" s="1"/>
  <c r="I272" i="5"/>
  <c r="G272" i="5" s="1"/>
  <c r="F272" i="5"/>
  <c r="L1350" i="7"/>
  <c r="F1349" i="7"/>
  <c r="J409" i="7"/>
  <c r="E2466" i="7"/>
  <c r="J2466" i="7"/>
  <c r="L3556" i="7"/>
  <c r="E3556" i="7"/>
  <c r="I596" i="5"/>
  <c r="J369" i="7"/>
  <c r="J2525" i="7"/>
  <c r="J3116" i="7"/>
  <c r="H1406" i="7"/>
  <c r="F1490" i="7"/>
  <c r="J1492" i="7"/>
  <c r="J2296" i="7"/>
  <c r="E2296" i="7"/>
  <c r="E597" i="7"/>
  <c r="J597" i="7"/>
  <c r="J386" i="7"/>
  <c r="E2300" i="7"/>
  <c r="J2300" i="7"/>
  <c r="F3206" i="7"/>
  <c r="J3208" i="7"/>
  <c r="H320" i="6"/>
  <c r="L323" i="5" s="1"/>
  <c r="F1358" i="7"/>
  <c r="E320" i="6" s="1"/>
  <c r="H3311" i="7"/>
  <c r="H563" i="6"/>
  <c r="L566" i="5" s="1"/>
  <c r="F2443" i="7"/>
  <c r="E563" i="6" s="1"/>
  <c r="K513" i="5"/>
  <c r="J3503" i="7"/>
  <c r="E3503" i="7"/>
  <c r="F383" i="5"/>
  <c r="K383" i="5"/>
  <c r="G383" i="5" s="1"/>
  <c r="I646" i="5"/>
  <c r="G646" i="5" s="1"/>
  <c r="F646" i="5"/>
  <c r="H319" i="6"/>
  <c r="L322" i="5" s="1"/>
  <c r="F1354" i="7"/>
  <c r="E319" i="6" s="1"/>
  <c r="H210" i="6"/>
  <c r="L213" i="5" s="1"/>
  <c r="F888" i="7"/>
  <c r="E210" i="6" s="1"/>
  <c r="I212" i="5"/>
  <c r="E2827" i="7"/>
  <c r="J2827" i="7"/>
  <c r="F2827" i="7" s="1"/>
  <c r="H591" i="6"/>
  <c r="F2592" i="7"/>
  <c r="E591" i="6" s="1"/>
  <c r="E593" i="7"/>
  <c r="J593" i="7"/>
  <c r="L3548" i="7"/>
  <c r="E3548" i="7"/>
  <c r="L2602" i="7"/>
  <c r="F2601" i="7"/>
  <c r="J1190" i="7"/>
  <c r="J1239" i="7"/>
  <c r="J2999" i="7"/>
  <c r="F2998" i="7"/>
  <c r="K334" i="5"/>
  <c r="J1029" i="7"/>
  <c r="E1029" i="7"/>
  <c r="K335" i="5"/>
  <c r="J1243" i="7"/>
  <c r="J1206" i="7"/>
  <c r="K509" i="5"/>
  <c r="J1377" i="7"/>
  <c r="J2292" i="7"/>
  <c r="E2292" i="7"/>
  <c r="L775" i="7"/>
  <c r="F774" i="7"/>
  <c r="K461" i="5"/>
  <c r="J2537" i="7"/>
  <c r="F155" i="9"/>
  <c r="H5" i="8"/>
  <c r="K3536" i="7" s="1"/>
  <c r="C204" i="9"/>
  <c r="E3429" i="7"/>
  <c r="J3429" i="7"/>
  <c r="H713" i="6"/>
  <c r="F3333" i="7"/>
  <c r="E713" i="6" s="1"/>
  <c r="H620" i="6"/>
  <c r="L623" i="5" s="1"/>
  <c r="F2756" i="7"/>
  <c r="E620" i="6" s="1"/>
  <c r="F3423" i="7"/>
  <c r="J3425" i="7"/>
  <c r="H174" i="6"/>
  <c r="L177" i="5" s="1"/>
  <c r="F739" i="7"/>
  <c r="E174" i="6" s="1"/>
  <c r="F613" i="7"/>
  <c r="J614" i="7"/>
  <c r="J954" i="7"/>
  <c r="K595" i="5"/>
  <c r="J810" i="7"/>
  <c r="J1514" i="7"/>
  <c r="E1514" i="7"/>
  <c r="K337" i="5"/>
  <c r="E2113" i="7"/>
  <c r="J2113" i="7"/>
  <c r="H316" i="6"/>
  <c r="L319" i="5" s="1"/>
  <c r="F1342" i="7"/>
  <c r="E316" i="6" s="1"/>
  <c r="J182" i="7"/>
  <c r="H2289" i="7"/>
  <c r="J1202" i="7"/>
  <c r="J972" i="7"/>
  <c r="H619" i="6"/>
  <c r="L622" i="5" s="1"/>
  <c r="F2751" i="7"/>
  <c r="E619" i="6" s="1"/>
  <c r="H322" i="6"/>
  <c r="L325" i="5" s="1"/>
  <c r="F1366" i="7"/>
  <c r="E322" i="6" s="1"/>
  <c r="E589" i="7"/>
  <c r="J589" i="7"/>
  <c r="J190" i="7"/>
  <c r="E3469" i="7"/>
  <c r="J3469" i="7"/>
  <c r="I643" i="5"/>
  <c r="G643" i="5" s="1"/>
  <c r="F643" i="5"/>
  <c r="J3154" i="7"/>
  <c r="E2390" i="7"/>
  <c r="J2390" i="7"/>
  <c r="J2545" i="7"/>
  <c r="E3344" i="7"/>
  <c r="J3344" i="7"/>
  <c r="J197" i="7"/>
  <c r="J3275" i="7"/>
  <c r="J1389" i="7"/>
  <c r="K333" i="5"/>
  <c r="J794" i="7"/>
  <c r="J3224" i="7"/>
  <c r="I651" i="5"/>
  <c r="G651" i="5" s="1"/>
  <c r="F651" i="5"/>
  <c r="J3010" i="7"/>
  <c r="L935" i="7"/>
  <c r="F934" i="7"/>
  <c r="I2248" i="7"/>
  <c r="I1857" i="7"/>
  <c r="I1954" i="7"/>
  <c r="I2122" i="7"/>
  <c r="I1755" i="7"/>
  <c r="I1828" i="7"/>
  <c r="I2044" i="7"/>
  <c r="I2426" i="7"/>
  <c r="I2224" i="7"/>
  <c r="I2406" i="7"/>
  <c r="I1930" i="7"/>
  <c r="I2151" i="7"/>
  <c r="I2069" i="7"/>
  <c r="I1775" i="7"/>
  <c r="K440" i="5"/>
  <c r="H677" i="6"/>
  <c r="F3123" i="7"/>
  <c r="E677" i="6" s="1"/>
  <c r="K381" i="5"/>
  <c r="G381" i="5" s="1"/>
  <c r="F381" i="5"/>
  <c r="I654" i="5"/>
  <c r="G654" i="5" s="1"/>
  <c r="F654" i="5"/>
  <c r="J1185" i="7"/>
  <c r="J3541" i="7"/>
  <c r="F3540" i="7"/>
  <c r="H79" i="6"/>
  <c r="L82" i="5" s="1"/>
  <c r="F334" i="7"/>
  <c r="E79" i="6" s="1"/>
  <c r="F1901" i="7"/>
  <c r="J1902" i="7"/>
  <c r="G355" i="6"/>
  <c r="F1528" i="7"/>
  <c r="E355" i="6" s="1"/>
  <c r="G632" i="6"/>
  <c r="J635" i="5" s="1"/>
  <c r="F2843" i="7"/>
  <c r="E632" i="6" s="1"/>
  <c r="K570" i="5"/>
  <c r="J165" i="7"/>
  <c r="H29" i="6"/>
  <c r="L32" i="5" s="1"/>
  <c r="F122" i="7"/>
  <c r="E29" i="6" s="1"/>
  <c r="G754" i="6"/>
  <c r="J806" i="7"/>
  <c r="H453" i="6"/>
  <c r="L456" i="5" s="1"/>
  <c r="F1975" i="7"/>
  <c r="E453" i="6" s="1"/>
  <c r="D88" i="9"/>
  <c r="C32" i="9"/>
  <c r="F380" i="5"/>
  <c r="K380" i="5"/>
  <c r="G380" i="5" s="1"/>
  <c r="E1917" i="7"/>
  <c r="J1917" i="7"/>
  <c r="J3258" i="7"/>
  <c r="H618" i="6"/>
  <c r="L621" i="5" s="1"/>
  <c r="F2746" i="7"/>
  <c r="E618" i="6" s="1"/>
  <c r="J815" i="7"/>
  <c r="G181" i="7"/>
  <c r="G1189" i="7"/>
  <c r="G385" i="7"/>
  <c r="G3098" i="7"/>
  <c r="L968" i="7"/>
  <c r="F967" i="7"/>
  <c r="H595" i="6"/>
  <c r="F2612" i="7"/>
  <c r="E595" i="6" s="1"/>
  <c r="J3599" i="7"/>
  <c r="E3599" i="7"/>
  <c r="H698" i="6"/>
  <c r="F3247" i="7"/>
  <c r="E698" i="6" s="1"/>
  <c r="K378" i="5"/>
  <c r="G378" i="5" s="1"/>
  <c r="F378" i="5"/>
  <c r="K530" i="5"/>
  <c r="J1177" i="7"/>
  <c r="H2200" i="7"/>
  <c r="H268" i="6"/>
  <c r="L271" i="5" s="1"/>
  <c r="F1138" i="7"/>
  <c r="E268" i="6" s="1"/>
  <c r="J169" i="7"/>
  <c r="J830" i="7"/>
  <c r="K594" i="5"/>
  <c r="J951" i="7"/>
  <c r="J1508" i="7"/>
  <c r="E1508" i="7"/>
  <c r="J201" i="7"/>
  <c r="J578" i="7"/>
  <c r="F577" i="7"/>
  <c r="J787" i="7"/>
  <c r="I653" i="5"/>
  <c r="G653" i="5" s="1"/>
  <c r="F653" i="5"/>
  <c r="L117" i="7"/>
  <c r="F116" i="7"/>
  <c r="E798" i="7"/>
  <c r="J798" i="7"/>
  <c r="J896" i="7"/>
  <c r="F895" i="7"/>
  <c r="I267" i="5"/>
  <c r="H479" i="6"/>
  <c r="L482" i="5" s="1"/>
  <c r="F2086" i="7"/>
  <c r="E479" i="6" s="1"/>
  <c r="I176" i="5"/>
  <c r="L735" i="7"/>
  <c r="F734" i="7"/>
  <c r="G752" i="6"/>
  <c r="I2636" i="7" s="1"/>
  <c r="J834" i="7"/>
  <c r="H324" i="6"/>
  <c r="L327" i="5" s="1"/>
  <c r="F1374" i="7"/>
  <c r="E324" i="6" s="1"/>
  <c r="L362" i="7"/>
  <c r="F361" i="7"/>
  <c r="L3195" i="7"/>
  <c r="F3194" i="7"/>
  <c r="H671" i="6"/>
  <c r="F3087" i="7"/>
  <c r="E671" i="6" s="1"/>
  <c r="K486" i="5"/>
  <c r="F573" i="7"/>
  <c r="J574" i="7"/>
  <c r="F1496" i="7"/>
  <c r="J1498" i="7"/>
  <c r="J1173" i="7"/>
  <c r="J389" i="7"/>
  <c r="J1385" i="7"/>
  <c r="J3452" i="7"/>
  <c r="E3452" i="7"/>
  <c r="M624" i="5"/>
  <c r="G624" i="5" s="1"/>
  <c r="F624" i="5"/>
  <c r="J1209" i="7"/>
  <c r="H265" i="6"/>
  <c r="L268" i="5" s="1"/>
  <c r="F1126" i="7"/>
  <c r="E265" i="6" s="1"/>
  <c r="F3435" i="7"/>
  <c r="J3437" i="7"/>
  <c r="G763" i="6"/>
  <c r="I2828" i="7" s="1"/>
  <c r="F3609" i="7"/>
  <c r="E763" i="6" s="1"/>
  <c r="G365" i="7"/>
  <c r="G946" i="7"/>
  <c r="G161" i="7"/>
  <c r="G786" i="7"/>
  <c r="G899" i="7"/>
  <c r="G950" i="7"/>
  <c r="G971" i="7"/>
  <c r="G1169" i="7"/>
  <c r="G3008" i="7"/>
  <c r="J827" i="7"/>
  <c r="L939" i="7"/>
  <c r="F938" i="7"/>
  <c r="H3328" i="7"/>
  <c r="I86" i="5"/>
  <c r="F1538" i="7"/>
  <c r="J1540" i="7"/>
  <c r="J3062" i="7"/>
  <c r="E3062" i="7"/>
  <c r="I83" i="5"/>
  <c r="G83" i="5" s="1"/>
  <c r="F83" i="5"/>
  <c r="F379" i="5"/>
  <c r="K379" i="5"/>
  <c r="G379" i="5" s="1"/>
  <c r="E1181" i="7"/>
  <c r="J1181" i="7"/>
  <c r="K661" i="5"/>
  <c r="H76" i="6"/>
  <c r="L79" i="5" s="1"/>
  <c r="F322" i="7"/>
  <c r="E76" i="6" s="1"/>
  <c r="J1520" i="7"/>
  <c r="E1520" i="7"/>
  <c r="F644" i="6"/>
  <c r="H647" i="5" s="1"/>
  <c r="F2924" i="7"/>
  <c r="E644" i="6" s="1"/>
  <c r="H81" i="6"/>
  <c r="L84" i="5" s="1"/>
  <c r="F342" i="7"/>
  <c r="E81" i="6" s="1"/>
  <c r="L3015" i="7"/>
  <c r="F3014" i="7"/>
  <c r="H1414" i="7"/>
  <c r="J177" i="7"/>
  <c r="I645" i="5"/>
  <c r="G645" i="5" s="1"/>
  <c r="F645" i="5"/>
  <c r="J823" i="7"/>
  <c r="E2109" i="7"/>
  <c r="J2109" i="7"/>
  <c r="H177" i="6"/>
  <c r="L180" i="5" s="1"/>
  <c r="F751" i="7"/>
  <c r="E177" i="6" s="1"/>
  <c r="H1279" i="7"/>
  <c r="L2607" i="7"/>
  <c r="F2606" i="7"/>
  <c r="I186" i="5"/>
  <c r="H707" i="6"/>
  <c r="F3298" i="7"/>
  <c r="E707" i="6" s="1"/>
  <c r="I641" i="5"/>
  <c r="G641" i="5" s="1"/>
  <c r="F641" i="5"/>
  <c r="J2386" i="7"/>
  <c r="E2386" i="7"/>
  <c r="F2284" i="7"/>
  <c r="J2285" i="7"/>
  <c r="F2195" i="7"/>
  <c r="J2196" i="7"/>
  <c r="H616" i="6"/>
  <c r="L619" i="5" s="1"/>
  <c r="F2736" i="7"/>
  <c r="E616" i="6" s="1"/>
  <c r="E609" i="7"/>
  <c r="J609" i="7"/>
  <c r="K426" i="5"/>
  <c r="H596" i="6"/>
  <c r="F2617" i="7"/>
  <c r="E596" i="6" s="1"/>
  <c r="J947" i="7"/>
  <c r="J394" i="7"/>
  <c r="F891" i="7"/>
  <c r="J892" i="7"/>
  <c r="H622" i="6"/>
  <c r="L625" i="5" s="1"/>
  <c r="F2766" i="7"/>
  <c r="E622" i="6" s="1"/>
  <c r="J373" i="7"/>
  <c r="E1998" i="7"/>
  <c r="J1998" i="7"/>
  <c r="J3136" i="7"/>
  <c r="I225" i="5"/>
  <c r="K597" i="5"/>
  <c r="J1480" i="7"/>
  <c r="F1478" i="7"/>
  <c r="I644" i="5"/>
  <c r="G644" i="5" s="1"/>
  <c r="F644" i="5"/>
  <c r="J3100" i="7"/>
  <c r="L350" i="7"/>
  <c r="F349" i="7"/>
  <c r="F2040" i="7"/>
  <c r="J2041" i="7"/>
  <c r="J3361" i="7"/>
  <c r="E3361" i="7"/>
  <c r="K598" i="5"/>
  <c r="I642" i="5"/>
  <c r="G642" i="5" s="1"/>
  <c r="F642" i="5"/>
  <c r="K444" i="5"/>
  <c r="H1906" i="7"/>
  <c r="J570" i="7"/>
  <c r="F569" i="7"/>
  <c r="H617" i="6"/>
  <c r="L620" i="5" s="1"/>
  <c r="F2741" i="7"/>
  <c r="E617" i="6" s="1"/>
  <c r="J3170" i="7"/>
  <c r="J366" i="7"/>
  <c r="J903" i="7"/>
  <c r="J3553" i="7"/>
  <c r="J185" i="7"/>
  <c r="H1995" i="7"/>
  <c r="G633" i="6"/>
  <c r="J636" i="5" s="1"/>
  <c r="F2847" i="7"/>
  <c r="E633" i="6" s="1"/>
  <c r="H410" i="6"/>
  <c r="L413" i="5" s="1"/>
  <c r="F1792" i="7"/>
  <c r="E410" i="6" s="1"/>
  <c r="E11" i="8"/>
  <c r="C455" i="9"/>
  <c r="F645" i="6"/>
  <c r="H648" i="5" s="1"/>
  <c r="F2931" i="7"/>
  <c r="E645" i="6" s="1"/>
  <c r="J405" i="7"/>
  <c r="J1198" i="7"/>
  <c r="F581" i="7"/>
  <c r="J582" i="7"/>
  <c r="F3544" i="7"/>
  <c r="J3545" i="7"/>
  <c r="J3241" i="7"/>
  <c r="E2398" i="7"/>
  <c r="J2398" i="7"/>
  <c r="E1532" i="7"/>
  <c r="J1532" i="7"/>
  <c r="L1122" i="7"/>
  <c r="F1121" i="7"/>
  <c r="E1502" i="7"/>
  <c r="J1502" i="7"/>
  <c r="I31" i="5"/>
  <c r="M320" i="5" l="1"/>
  <c r="G320" i="5" s="1"/>
  <c r="F320" i="5"/>
  <c r="K1005" i="7"/>
  <c r="K405" i="7"/>
  <c r="K201" i="7"/>
  <c r="K988" i="7"/>
  <c r="K401" i="7"/>
  <c r="K830" i="7"/>
  <c r="K1209" i="7"/>
  <c r="K197" i="7"/>
  <c r="K3170" i="7"/>
  <c r="H181" i="6"/>
  <c r="L184" i="5" s="1"/>
  <c r="F767" i="7"/>
  <c r="E181" i="6" s="1"/>
  <c r="K1385" i="7"/>
  <c r="K3258" i="7"/>
  <c r="H189" i="7"/>
  <c r="H680" i="6"/>
  <c r="F3141" i="7"/>
  <c r="E680" i="6" s="1"/>
  <c r="H82" i="6"/>
  <c r="L85" i="5" s="1"/>
  <c r="F346" i="7"/>
  <c r="E82" i="6" s="1"/>
  <c r="H3134" i="7"/>
  <c r="H814" i="7"/>
  <c r="M626" i="5"/>
  <c r="G626" i="5" s="1"/>
  <c r="F626" i="5"/>
  <c r="H818" i="7"/>
  <c r="H822" i="7"/>
  <c r="H272" i="6"/>
  <c r="L275" i="5" s="1"/>
  <c r="F1154" i="7"/>
  <c r="E272" i="6" s="1"/>
  <c r="H393" i="7"/>
  <c r="H665" i="6"/>
  <c r="F3051" i="7"/>
  <c r="E665" i="6" s="1"/>
  <c r="H1201" i="7"/>
  <c r="H1197" i="7"/>
  <c r="M240" i="5"/>
  <c r="G240" i="5" s="1"/>
  <c r="F240" i="5"/>
  <c r="M88" i="5"/>
  <c r="G88" i="5" s="1"/>
  <c r="F88" i="5"/>
  <c r="H182" i="6"/>
  <c r="L185" i="5" s="1"/>
  <c r="F771" i="7"/>
  <c r="E182" i="6" s="1"/>
  <c r="H271" i="6"/>
  <c r="L274" i="5" s="1"/>
  <c r="F1150" i="7"/>
  <c r="E271" i="6" s="1"/>
  <c r="H175" i="6"/>
  <c r="L178" i="5" s="1"/>
  <c r="F743" i="7"/>
  <c r="E175" i="6" s="1"/>
  <c r="M187" i="5"/>
  <c r="G187" i="5" s="1"/>
  <c r="F187" i="5"/>
  <c r="H266" i="6"/>
  <c r="L269" i="5" s="1"/>
  <c r="F1130" i="7"/>
  <c r="E266" i="6" s="1"/>
  <c r="H1921" i="7"/>
  <c r="E1921" i="7"/>
  <c r="H1848" i="7"/>
  <c r="E1848" i="7"/>
  <c r="H2215" i="7"/>
  <c r="E2215" i="7"/>
  <c r="H77" i="6"/>
  <c r="L80" i="5" s="1"/>
  <c r="F326" i="7"/>
  <c r="E77" i="6" s="1"/>
  <c r="M277" i="5"/>
  <c r="G277" i="5" s="1"/>
  <c r="F277" i="5"/>
  <c r="H1873" i="7"/>
  <c r="E1873" i="7"/>
  <c r="M236" i="5"/>
  <c r="G236" i="5" s="1"/>
  <c r="F236" i="5"/>
  <c r="H180" i="6"/>
  <c r="L183" i="5" s="1"/>
  <c r="F763" i="7"/>
  <c r="E180" i="6" s="1"/>
  <c r="M87" i="5"/>
  <c r="G87" i="5" s="1"/>
  <c r="F87" i="5"/>
  <c r="G658" i="6"/>
  <c r="H273" i="6"/>
  <c r="L276" i="5" s="1"/>
  <c r="F1158" i="7"/>
  <c r="E273" i="6" s="1"/>
  <c r="J1522" i="7"/>
  <c r="F1520" i="7"/>
  <c r="G656" i="6"/>
  <c r="J659" i="5" s="1"/>
  <c r="F2999" i="7"/>
  <c r="E656" i="6" s="1"/>
  <c r="G224" i="6"/>
  <c r="J227" i="5" s="1"/>
  <c r="J1510" i="7"/>
  <c r="F1508" i="7"/>
  <c r="I2651" i="7"/>
  <c r="I2646" i="7"/>
  <c r="F3503" i="7"/>
  <c r="J3505" i="7"/>
  <c r="G276" i="6"/>
  <c r="J279" i="5" s="1"/>
  <c r="J1174" i="7"/>
  <c r="G275" i="6"/>
  <c r="J278" i="5" s="1"/>
  <c r="F1166" i="7"/>
  <c r="E275" i="6" s="1"/>
  <c r="J590" i="7"/>
  <c r="F589" i="7"/>
  <c r="J3190" i="7"/>
  <c r="H3098" i="7"/>
  <c r="E3098" i="7"/>
  <c r="G136" i="6"/>
  <c r="J139" i="5" s="1"/>
  <c r="F574" i="7"/>
  <c r="E136" i="6" s="1"/>
  <c r="J2069" i="7"/>
  <c r="H181" i="7"/>
  <c r="E181" i="7"/>
  <c r="J1930" i="7"/>
  <c r="F570" i="7"/>
  <c r="E135" i="6" s="1"/>
  <c r="G135" i="6"/>
  <c r="J138" i="5" s="1"/>
  <c r="F635" i="5"/>
  <c r="K635" i="5"/>
  <c r="G635" i="5" s="1"/>
  <c r="J2406" i="7"/>
  <c r="L3557" i="7"/>
  <c r="F3556" i="7"/>
  <c r="J3277" i="7"/>
  <c r="I649" i="5"/>
  <c r="G649" i="5" s="1"/>
  <c r="F649" i="5"/>
  <c r="M621" i="5"/>
  <c r="G621" i="5" s="1"/>
  <c r="F621" i="5"/>
  <c r="J2044" i="7"/>
  <c r="G47" i="6"/>
  <c r="J50" i="5" s="1"/>
  <c r="J1999" i="7"/>
  <c r="F1998" i="7"/>
  <c r="J3346" i="7"/>
  <c r="F3344" i="7"/>
  <c r="J410" i="7"/>
  <c r="F1502" i="7"/>
  <c r="J1504" i="7"/>
  <c r="J2387" i="7"/>
  <c r="F2386" i="7"/>
  <c r="F334" i="6"/>
  <c r="H337" i="5" s="1"/>
  <c r="M268" i="5"/>
  <c r="G268" i="5" s="1"/>
  <c r="F268" i="5"/>
  <c r="J1178" i="7"/>
  <c r="F1917" i="7"/>
  <c r="J1918" i="7"/>
  <c r="J1755" i="7"/>
  <c r="J1244" i="7"/>
  <c r="G92" i="6"/>
  <c r="J95" i="5" s="1"/>
  <c r="G549" i="6"/>
  <c r="J552" i="5" s="1"/>
  <c r="F2383" i="7"/>
  <c r="E549" i="6" s="1"/>
  <c r="H185" i="6"/>
  <c r="L188" i="5" s="1"/>
  <c r="F783" i="7"/>
  <c r="E185" i="6" s="1"/>
  <c r="J2106" i="7"/>
  <c r="F2105" i="7"/>
  <c r="J807" i="7"/>
  <c r="H683" i="6"/>
  <c r="F3159" i="7"/>
  <c r="E683" i="6" s="1"/>
  <c r="J3243" i="7"/>
  <c r="F3599" i="7"/>
  <c r="J3600" i="7"/>
  <c r="J2533" i="7"/>
  <c r="M273" i="5"/>
  <c r="G273" i="5" s="1"/>
  <c r="F273" i="5"/>
  <c r="H971" i="7"/>
  <c r="F1514" i="7"/>
  <c r="J1516" i="7"/>
  <c r="J1240" i="7"/>
  <c r="J3118" i="7"/>
  <c r="J2463" i="7"/>
  <c r="F2462" i="7"/>
  <c r="J2007" i="7"/>
  <c r="F2006" i="7"/>
  <c r="L599" i="5"/>
  <c r="K2543" i="7"/>
  <c r="H950" i="7"/>
  <c r="K185" i="7"/>
  <c r="K1193" i="7"/>
  <c r="K389" i="7"/>
  <c r="K806" i="7"/>
  <c r="K810" i="7"/>
  <c r="K3116" i="7"/>
  <c r="J2527" i="7"/>
  <c r="H229" i="6"/>
  <c r="L232" i="5" s="1"/>
  <c r="F968" i="7"/>
  <c r="E229" i="6" s="1"/>
  <c r="J2471" i="7"/>
  <c r="F2470" i="7"/>
  <c r="J3172" i="7"/>
  <c r="H183" i="6"/>
  <c r="L186" i="5" s="1"/>
  <c r="F775" i="7"/>
  <c r="E183" i="6" s="1"/>
  <c r="J1325" i="7"/>
  <c r="M482" i="5"/>
  <c r="G482" i="5" s="1"/>
  <c r="F482" i="5"/>
  <c r="F1819" i="7"/>
  <c r="J1820" i="7"/>
  <c r="G195" i="6"/>
  <c r="J198" i="5" s="1"/>
  <c r="J2204" i="7"/>
  <c r="F2203" i="7"/>
  <c r="J206" i="7"/>
  <c r="M619" i="5"/>
  <c r="G619" i="5" s="1"/>
  <c r="F619" i="5"/>
  <c r="H193" i="7"/>
  <c r="G505" i="6"/>
  <c r="J508" i="5" s="1"/>
  <c r="F2196" i="7"/>
  <c r="E505" i="6" s="1"/>
  <c r="L3552" i="7"/>
  <c r="E3552" i="7"/>
  <c r="G230" i="6"/>
  <c r="J233" i="5" s="1"/>
  <c r="G194" i="6"/>
  <c r="J197" i="5" s="1"/>
  <c r="J3260" i="7"/>
  <c r="J3046" i="7"/>
  <c r="F506" i="6"/>
  <c r="H509" i="5" s="1"/>
  <c r="J1828" i="7"/>
  <c r="J1194" i="7"/>
  <c r="J3082" i="7"/>
  <c r="M413" i="5"/>
  <c r="G413" i="5" s="1"/>
  <c r="F413" i="5"/>
  <c r="J374" i="7"/>
  <c r="M82" i="5"/>
  <c r="G82" i="5" s="1"/>
  <c r="F82" i="5"/>
  <c r="J2122" i="7"/>
  <c r="G584" i="6"/>
  <c r="J587" i="5" s="1"/>
  <c r="F527" i="6"/>
  <c r="H530" i="5" s="1"/>
  <c r="M623" i="5"/>
  <c r="G623" i="5" s="1"/>
  <c r="F623" i="5"/>
  <c r="H318" i="6"/>
  <c r="L321" i="5" s="1"/>
  <c r="F1350" i="7"/>
  <c r="E318" i="6" s="1"/>
  <c r="H75" i="6"/>
  <c r="L78" i="5" s="1"/>
  <c r="F318" i="7"/>
  <c r="E75" i="6" s="1"/>
  <c r="F483" i="6"/>
  <c r="H486" i="5" s="1"/>
  <c r="H594" i="6"/>
  <c r="F2607" i="7"/>
  <c r="E594" i="6" s="1"/>
  <c r="G746" i="6"/>
  <c r="F3522" i="7"/>
  <c r="E746" i="6" s="1"/>
  <c r="M434" i="5"/>
  <c r="G434" i="5" s="1"/>
  <c r="F434" i="5"/>
  <c r="H1169" i="7"/>
  <c r="J2539" i="7"/>
  <c r="G213" i="6"/>
  <c r="J216" i="5" s="1"/>
  <c r="J811" i="7"/>
  <c r="M525" i="5"/>
  <c r="G525" i="5" s="1"/>
  <c r="F525" i="5"/>
  <c r="G350" i="6"/>
  <c r="F1498" i="7"/>
  <c r="E350" i="6" s="1"/>
  <c r="G347" i="6"/>
  <c r="F1480" i="7"/>
  <c r="E347" i="6" s="1"/>
  <c r="H161" i="7"/>
  <c r="H385" i="7"/>
  <c r="E385" i="7"/>
  <c r="H593" i="6"/>
  <c r="L596" i="5" s="1"/>
  <c r="F2602" i="7"/>
  <c r="E593" i="6" s="1"/>
  <c r="J370" i="7"/>
  <c r="J2521" i="7"/>
  <c r="J831" i="7"/>
  <c r="M620" i="5"/>
  <c r="G620" i="5" s="1"/>
  <c r="F620" i="5"/>
  <c r="F709" i="6"/>
  <c r="H826" i="7"/>
  <c r="G193" i="6"/>
  <c r="J196" i="5" s="1"/>
  <c r="F1913" i="7"/>
  <c r="J1914" i="7"/>
  <c r="F567" i="6"/>
  <c r="H570" i="5" s="1"/>
  <c r="G679" i="6"/>
  <c r="J1006" i="7"/>
  <c r="G657" i="6"/>
  <c r="J660" i="5" s="1"/>
  <c r="F3004" i="7"/>
  <c r="E657" i="6" s="1"/>
  <c r="H659" i="6"/>
  <c r="F3015" i="7"/>
  <c r="E659" i="6" s="1"/>
  <c r="J1210" i="7"/>
  <c r="G186" i="6"/>
  <c r="J189" i="5" s="1"/>
  <c r="J1954" i="7"/>
  <c r="G44" i="6"/>
  <c r="J47" i="5" s="1"/>
  <c r="J598" i="7"/>
  <c r="F597" i="7"/>
  <c r="K1243" i="7"/>
  <c r="K1377" i="7"/>
  <c r="K1239" i="7"/>
  <c r="K3224" i="7"/>
  <c r="J791" i="7"/>
  <c r="F333" i="6"/>
  <c r="H336" i="5" s="1"/>
  <c r="M295" i="5"/>
  <c r="G295" i="5" s="1"/>
  <c r="F295" i="5"/>
  <c r="M182" i="5"/>
  <c r="G182" i="5" s="1"/>
  <c r="F182" i="5"/>
  <c r="G468" i="6"/>
  <c r="J471" i="5" s="1"/>
  <c r="F2037" i="7"/>
  <c r="E468" i="6" s="1"/>
  <c r="K954" i="7"/>
  <c r="K165" i="7"/>
  <c r="K369" i="7"/>
  <c r="K790" i="7"/>
  <c r="K903" i="7"/>
  <c r="K3026" i="7"/>
  <c r="K1173" i="7"/>
  <c r="H3008" i="7"/>
  <c r="J1292" i="7"/>
  <c r="G673" i="6"/>
  <c r="L598" i="5"/>
  <c r="K2537" i="7"/>
  <c r="J1282" i="7"/>
  <c r="G751" i="6"/>
  <c r="I2631" i="7" s="1"/>
  <c r="F3545" i="7"/>
  <c r="E751" i="6" s="1"/>
  <c r="M32" i="5"/>
  <c r="G32" i="5" s="1"/>
  <c r="F32" i="5"/>
  <c r="H786" i="7"/>
  <c r="F414" i="6"/>
  <c r="H417" i="5" s="1"/>
  <c r="F609" i="7"/>
  <c r="J610" i="7"/>
  <c r="G283" i="6"/>
  <c r="J286" i="5" s="1"/>
  <c r="H946" i="7"/>
  <c r="J1390" i="7"/>
  <c r="G358" i="6"/>
  <c r="F1546" i="7"/>
  <c r="E358" i="6" s="1"/>
  <c r="J1378" i="7"/>
  <c r="F593" i="7"/>
  <c r="J594" i="7"/>
  <c r="J406" i="7"/>
  <c r="J170" i="7"/>
  <c r="K332" i="5"/>
  <c r="J2515" i="7"/>
  <c r="J799" i="7"/>
  <c r="F798" i="7"/>
  <c r="G526" i="6"/>
  <c r="J529" i="5" s="1"/>
  <c r="F2285" i="7"/>
  <c r="E526" i="6" s="1"/>
  <c r="L594" i="5"/>
  <c r="K2513" i="7"/>
  <c r="K2519" i="7"/>
  <c r="F601" i="7"/>
  <c r="J602" i="7"/>
  <c r="M181" i="5"/>
  <c r="G181" i="5" s="1"/>
  <c r="F181" i="5"/>
  <c r="H28" i="6"/>
  <c r="L31" i="5" s="1"/>
  <c r="F117" i="7"/>
  <c r="E28" i="6" s="1"/>
  <c r="H264" i="6"/>
  <c r="L267" i="5" s="1"/>
  <c r="F1122" i="7"/>
  <c r="E264" i="6" s="1"/>
  <c r="F636" i="5"/>
  <c r="K636" i="5"/>
  <c r="G636" i="5" s="1"/>
  <c r="H86" i="6"/>
  <c r="L89" i="5" s="1"/>
  <c r="F362" i="7"/>
  <c r="E86" i="6" s="1"/>
  <c r="G750" i="6"/>
  <c r="I2626" i="7" s="1"/>
  <c r="F3541" i="7"/>
  <c r="E750" i="6" s="1"/>
  <c r="J1857" i="7"/>
  <c r="F2390" i="7"/>
  <c r="J2391" i="7"/>
  <c r="K1807" i="7"/>
  <c r="K1905" i="7"/>
  <c r="K1994" i="7"/>
  <c r="K2101" i="7"/>
  <c r="K2458" i="7"/>
  <c r="K2288" i="7"/>
  <c r="K2199" i="7"/>
  <c r="K3326" i="7"/>
  <c r="M213" i="5"/>
  <c r="G213" i="5" s="1"/>
  <c r="F213" i="5"/>
  <c r="F173" i="7"/>
  <c r="J174" i="7"/>
  <c r="G724" i="6"/>
  <c r="F3397" i="7"/>
  <c r="E724" i="6" s="1"/>
  <c r="J989" i="7"/>
  <c r="J1386" i="7"/>
  <c r="J1329" i="7"/>
  <c r="F3378" i="7"/>
  <c r="J3380" i="7"/>
  <c r="H173" i="6"/>
  <c r="L176" i="5" s="1"/>
  <c r="F735" i="7"/>
  <c r="E173" i="6" s="1"/>
  <c r="G87" i="6"/>
  <c r="J90" i="5" s="1"/>
  <c r="J3226" i="7"/>
  <c r="G281" i="6"/>
  <c r="J284" i="5" s="1"/>
  <c r="G138" i="6"/>
  <c r="J141" i="5" s="1"/>
  <c r="F582" i="7"/>
  <c r="E138" i="6" s="1"/>
  <c r="G139" i="6"/>
  <c r="J142" i="5" s="1"/>
  <c r="F586" i="7"/>
  <c r="E139" i="6" s="1"/>
  <c r="M226" i="5"/>
  <c r="G226" i="5" s="1"/>
  <c r="F226" i="5"/>
  <c r="C355" i="9"/>
  <c r="E9" i="8"/>
  <c r="G95" i="6"/>
  <c r="J98" i="5" s="1"/>
  <c r="M622" i="5"/>
  <c r="G622" i="5" s="1"/>
  <c r="F622" i="5"/>
  <c r="M323" i="5"/>
  <c r="G323" i="5" s="1"/>
  <c r="F323" i="5"/>
  <c r="G731" i="6"/>
  <c r="F3437" i="7"/>
  <c r="E731" i="6" s="1"/>
  <c r="G348" i="6"/>
  <c r="F1486" i="7"/>
  <c r="E348" i="6" s="1"/>
  <c r="G284" i="6"/>
  <c r="J287" i="5" s="1"/>
  <c r="G357" i="6"/>
  <c r="F1540" i="7"/>
  <c r="E357" i="6" s="1"/>
  <c r="F1532" i="7"/>
  <c r="J1534" i="7"/>
  <c r="M625" i="5"/>
  <c r="G625" i="5" s="1"/>
  <c r="F625" i="5"/>
  <c r="K1393" i="7"/>
  <c r="K3292" i="7"/>
  <c r="F712" i="6"/>
  <c r="J2248" i="7"/>
  <c r="J3431" i="7"/>
  <c r="F3429" i="7"/>
  <c r="M503" i="5"/>
  <c r="G503" i="5" s="1"/>
  <c r="F503" i="5"/>
  <c r="F331" i="6"/>
  <c r="H334" i="5" s="1"/>
  <c r="L595" i="5"/>
  <c r="K2525" i="7"/>
  <c r="M294" i="5"/>
  <c r="G294" i="5" s="1"/>
  <c r="F294" i="5"/>
  <c r="J3471" i="7"/>
  <c r="F3469" i="7"/>
  <c r="J904" i="7"/>
  <c r="G39" i="6"/>
  <c r="J42" i="5" s="1"/>
  <c r="G46" i="6"/>
  <c r="J49" i="5" s="1"/>
  <c r="J795" i="7"/>
  <c r="K1397" i="7"/>
  <c r="K1277" i="7"/>
  <c r="K1413" i="7"/>
  <c r="K1401" i="7"/>
  <c r="K3309" i="7"/>
  <c r="K1405" i="7"/>
  <c r="K1409" i="7"/>
  <c r="H3152" i="7"/>
  <c r="M566" i="5"/>
  <c r="G566" i="5" s="1"/>
  <c r="F566" i="5"/>
  <c r="H1205" i="7"/>
  <c r="H1189" i="7"/>
  <c r="E1189" i="7"/>
  <c r="J382" i="7"/>
  <c r="L3549" i="7"/>
  <c r="F3548" i="7"/>
  <c r="J378" i="7"/>
  <c r="F377" i="7"/>
  <c r="J2828" i="7"/>
  <c r="F2828" i="7" s="1"/>
  <c r="E2828" i="7"/>
  <c r="J3028" i="7"/>
  <c r="J2224" i="7"/>
  <c r="F2466" i="7"/>
  <c r="J2467" i="7"/>
  <c r="I648" i="5"/>
  <c r="G648" i="5" s="1"/>
  <c r="F648" i="5"/>
  <c r="M271" i="5"/>
  <c r="G271" i="5" s="1"/>
  <c r="F271" i="5"/>
  <c r="J2426" i="7"/>
  <c r="J198" i="7"/>
  <c r="F3062" i="7"/>
  <c r="J3064" i="7"/>
  <c r="G729" i="6"/>
  <c r="F3425" i="7"/>
  <c r="E729" i="6" s="1"/>
  <c r="F458" i="6"/>
  <c r="H461" i="5" s="1"/>
  <c r="G211" i="6"/>
  <c r="J214" i="5" s="1"/>
  <c r="F892" i="7"/>
  <c r="E211" i="6" s="1"/>
  <c r="M84" i="5"/>
  <c r="G84" i="5" s="1"/>
  <c r="F84" i="5"/>
  <c r="M327" i="5"/>
  <c r="G327" i="5" s="1"/>
  <c r="F327" i="5"/>
  <c r="D154" i="9"/>
  <c r="C88" i="9"/>
  <c r="J1186" i="7"/>
  <c r="M319" i="5"/>
  <c r="G319" i="5" s="1"/>
  <c r="F319" i="5"/>
  <c r="F1029" i="7"/>
  <c r="J1031" i="7"/>
  <c r="M322" i="5"/>
  <c r="G322" i="5" s="1"/>
  <c r="F322" i="5"/>
  <c r="F2296" i="7"/>
  <c r="J2297" i="7"/>
  <c r="M324" i="5"/>
  <c r="G324" i="5" s="1"/>
  <c r="F324" i="5"/>
  <c r="K555" i="5"/>
  <c r="G555" i="5" s="1"/>
  <c r="F555" i="5"/>
  <c r="G554" i="6"/>
  <c r="J557" i="5" s="1"/>
  <c r="F2403" i="7"/>
  <c r="E554" i="6" s="1"/>
  <c r="G753" i="6"/>
  <c r="I2641" i="7" s="1"/>
  <c r="J1812" i="7"/>
  <c r="F1811" i="7"/>
  <c r="H83" i="6"/>
  <c r="L86" i="5" s="1"/>
  <c r="F350" i="7"/>
  <c r="E83" i="6" s="1"/>
  <c r="F301" i="6"/>
  <c r="H304" i="5" s="1"/>
  <c r="J390" i="7"/>
  <c r="G749" i="6"/>
  <c r="I2621" i="7" s="1"/>
  <c r="M180" i="5"/>
  <c r="G180" i="5" s="1"/>
  <c r="F180" i="5"/>
  <c r="H209" i="6"/>
  <c r="L212" i="5" s="1"/>
  <c r="F884" i="7"/>
  <c r="E209" i="6" s="1"/>
  <c r="F1181" i="7"/>
  <c r="J1182" i="7"/>
  <c r="J166" i="7"/>
  <c r="M318" i="5"/>
  <c r="G318" i="5" s="1"/>
  <c r="F318" i="5"/>
  <c r="F2002" i="7"/>
  <c r="J2003" i="7"/>
  <c r="J955" i="7"/>
  <c r="F2292" i="7"/>
  <c r="J2293" i="7"/>
  <c r="H397" i="7"/>
  <c r="H365" i="7"/>
  <c r="M325" i="5"/>
  <c r="G325" i="5" s="1"/>
  <c r="F325" i="5"/>
  <c r="G146" i="6"/>
  <c r="J149" i="5" s="1"/>
  <c r="F614" i="7"/>
  <c r="E146" i="6" s="1"/>
  <c r="G457" i="6"/>
  <c r="J460" i="5" s="1"/>
  <c r="F1991" i="7"/>
  <c r="E457" i="6" s="1"/>
  <c r="G691" i="6"/>
  <c r="F3208" i="7"/>
  <c r="E691" i="6" s="1"/>
  <c r="J178" i="7"/>
  <c r="M177" i="5"/>
  <c r="G177" i="5" s="1"/>
  <c r="F177" i="5"/>
  <c r="I2319" i="7"/>
  <c r="I2346" i="7"/>
  <c r="G285" i="6"/>
  <c r="J288" i="5" s="1"/>
  <c r="F2300" i="7"/>
  <c r="J2301" i="7"/>
  <c r="J1816" i="7"/>
  <c r="F1815" i="7"/>
  <c r="J2212" i="7"/>
  <c r="F2211" i="7"/>
  <c r="J3363" i="7"/>
  <c r="F3361" i="7"/>
  <c r="J2399" i="7"/>
  <c r="F2398" i="7"/>
  <c r="G469" i="6"/>
  <c r="J472" i="5" s="1"/>
  <c r="F2041" i="7"/>
  <c r="E469" i="6" s="1"/>
  <c r="H222" i="6"/>
  <c r="L225" i="5" s="1"/>
  <c r="F939" i="7"/>
  <c r="E222" i="6" s="1"/>
  <c r="J3454" i="7"/>
  <c r="F3452" i="7"/>
  <c r="G137" i="6"/>
  <c r="J140" i="5" s="1"/>
  <c r="F578" i="7"/>
  <c r="E137" i="6" s="1"/>
  <c r="H221" i="6"/>
  <c r="L224" i="5" s="1"/>
  <c r="F935" i="7"/>
  <c r="E221" i="6" s="1"/>
  <c r="G682" i="6"/>
  <c r="F2113" i="7"/>
  <c r="J2114" i="7"/>
  <c r="C155" i="9"/>
  <c r="E5" i="8"/>
  <c r="G349" i="6"/>
  <c r="F1492" i="7"/>
  <c r="E349" i="6" s="1"/>
  <c r="J803" i="7"/>
  <c r="F330" i="6"/>
  <c r="H333" i="5" s="1"/>
  <c r="J1317" i="7"/>
  <c r="K147" i="5"/>
  <c r="G147" i="5" s="1"/>
  <c r="F147" i="5"/>
  <c r="M326" i="5"/>
  <c r="G326" i="5" s="1"/>
  <c r="F326" i="5"/>
  <c r="J1382" i="7"/>
  <c r="J1287" i="7"/>
  <c r="J2636" i="7"/>
  <c r="F332" i="6"/>
  <c r="H335" i="5" s="1"/>
  <c r="M79" i="5"/>
  <c r="G79" i="5" s="1"/>
  <c r="F79" i="5"/>
  <c r="H704" i="6"/>
  <c r="F3281" i="7"/>
  <c r="E704" i="6" s="1"/>
  <c r="G225" i="6"/>
  <c r="J228" i="5" s="1"/>
  <c r="J1333" i="7"/>
  <c r="H899" i="7"/>
  <c r="J1272" i="7"/>
  <c r="J2110" i="7"/>
  <c r="F2109" i="7"/>
  <c r="J402" i="7"/>
  <c r="J1775" i="7"/>
  <c r="F1909" i="7"/>
  <c r="J1910" i="7"/>
  <c r="J2151" i="7"/>
  <c r="G212" i="6"/>
  <c r="J215" i="5" s="1"/>
  <c r="F896" i="7"/>
  <c r="E212" i="6" s="1"/>
  <c r="F437" i="6"/>
  <c r="H440" i="5" s="1"/>
  <c r="K177" i="7"/>
  <c r="K381" i="7"/>
  <c r="K1185" i="7"/>
  <c r="K802" i="7"/>
  <c r="K3080" i="7"/>
  <c r="J358" i="5"/>
  <c r="I509" i="7"/>
  <c r="I458" i="7"/>
  <c r="I1462" i="7"/>
  <c r="I2956" i="7"/>
  <c r="I1267" i="7"/>
  <c r="I1313" i="7"/>
  <c r="G436" i="6"/>
  <c r="J439" i="5" s="1"/>
  <c r="F1902" i="7"/>
  <c r="E436" i="6" s="1"/>
  <c r="H689" i="6"/>
  <c r="F3195" i="7"/>
  <c r="E689" i="6" s="1"/>
  <c r="J186" i="7"/>
  <c r="G94" i="6"/>
  <c r="J97" i="5" s="1"/>
  <c r="I647" i="5"/>
  <c r="G647" i="5" s="1"/>
  <c r="F647" i="5"/>
  <c r="G196" i="6"/>
  <c r="J199" i="5" s="1"/>
  <c r="J835" i="7"/>
  <c r="J202" i="7"/>
  <c r="K1381" i="7"/>
  <c r="K3241" i="7"/>
  <c r="M456" i="5"/>
  <c r="G456" i="5" s="1"/>
  <c r="F456" i="5"/>
  <c r="L3536" i="7"/>
  <c r="E3536" i="7"/>
  <c r="J1321" i="7"/>
  <c r="J2208" i="7"/>
  <c r="F2207" i="7"/>
  <c r="H3136" i="7" l="1"/>
  <c r="M80" i="5"/>
  <c r="G80" i="5" s="1"/>
  <c r="F80" i="5"/>
  <c r="M85" i="5"/>
  <c r="G85" i="5" s="1"/>
  <c r="F85" i="5"/>
  <c r="H1198" i="7"/>
  <c r="H2216" i="7"/>
  <c r="F2215" i="7"/>
  <c r="K1197" i="7"/>
  <c r="K3134" i="7"/>
  <c r="K814" i="7"/>
  <c r="K818" i="7"/>
  <c r="K822" i="7"/>
  <c r="K393" i="7"/>
  <c r="K1201" i="7"/>
  <c r="K189" i="7"/>
  <c r="H1202" i="7"/>
  <c r="H190" i="7"/>
  <c r="H1850" i="7"/>
  <c r="F1848" i="7"/>
  <c r="K169" i="7"/>
  <c r="K373" i="7"/>
  <c r="K794" i="7"/>
  <c r="K3044" i="7"/>
  <c r="K1177" i="7"/>
  <c r="L3258" i="7"/>
  <c r="E3258" i="7"/>
  <c r="H1922" i="7"/>
  <c r="F1921" i="7"/>
  <c r="H394" i="7"/>
  <c r="L1385" i="7"/>
  <c r="E1385" i="7"/>
  <c r="M184" i="5"/>
  <c r="G184" i="5" s="1"/>
  <c r="F184" i="5"/>
  <c r="M269" i="5"/>
  <c r="G269" i="5" s="1"/>
  <c r="F269" i="5"/>
  <c r="L3170" i="7"/>
  <c r="E3170" i="7"/>
  <c r="M275" i="5"/>
  <c r="G275" i="5" s="1"/>
  <c r="F275" i="5"/>
  <c r="L197" i="7"/>
  <c r="E197" i="7"/>
  <c r="L1209" i="7"/>
  <c r="E1209" i="7"/>
  <c r="M178" i="5"/>
  <c r="G178" i="5" s="1"/>
  <c r="F178" i="5"/>
  <c r="L988" i="7"/>
  <c r="E988" i="7"/>
  <c r="H819" i="7"/>
  <c r="L201" i="7"/>
  <c r="E201" i="7"/>
  <c r="H823" i="7"/>
  <c r="M183" i="5"/>
  <c r="G183" i="5" s="1"/>
  <c r="F183" i="5"/>
  <c r="L401" i="7"/>
  <c r="E401" i="7"/>
  <c r="M274" i="5"/>
  <c r="G274" i="5" s="1"/>
  <c r="F274" i="5"/>
  <c r="L405" i="7"/>
  <c r="E405" i="7"/>
  <c r="L1005" i="7"/>
  <c r="E1005" i="7"/>
  <c r="H1874" i="7"/>
  <c r="F1873" i="7"/>
  <c r="M185" i="5"/>
  <c r="G185" i="5" s="1"/>
  <c r="F185" i="5"/>
  <c r="H815" i="7"/>
  <c r="L830" i="7"/>
  <c r="E830" i="7"/>
  <c r="F557" i="5"/>
  <c r="K557" i="5"/>
  <c r="G557" i="5" s="1"/>
  <c r="G325" i="6"/>
  <c r="J328" i="5" s="1"/>
  <c r="L3224" i="7"/>
  <c r="E3224" i="7"/>
  <c r="J2637" i="7"/>
  <c r="M224" i="5"/>
  <c r="G224" i="5" s="1"/>
  <c r="F224" i="5"/>
  <c r="K42" i="5"/>
  <c r="J350" i="5"/>
  <c r="I418" i="7"/>
  <c r="I473" i="7"/>
  <c r="I413" i="7"/>
  <c r="I1417" i="7"/>
  <c r="I1422" i="7"/>
  <c r="I477" i="7"/>
  <c r="I2893" i="7"/>
  <c r="I2886" i="7"/>
  <c r="I2879" i="7"/>
  <c r="G356" i="6"/>
  <c r="F1534" i="7"/>
  <c r="E356" i="6" s="1"/>
  <c r="K397" i="7"/>
  <c r="K193" i="7"/>
  <c r="K826" i="7"/>
  <c r="K1205" i="7"/>
  <c r="K3152" i="7"/>
  <c r="J1322" i="7"/>
  <c r="G214" i="6"/>
  <c r="J217" i="5" s="1"/>
  <c r="G351" i="6"/>
  <c r="F1504" i="7"/>
  <c r="E351" i="6" s="1"/>
  <c r="J1313" i="7"/>
  <c r="F2110" i="7"/>
  <c r="E485" i="6" s="1"/>
  <c r="G485" i="6"/>
  <c r="J488" i="5" s="1"/>
  <c r="L2101" i="7"/>
  <c r="E2101" i="7"/>
  <c r="G743" i="6"/>
  <c r="F3505" i="7"/>
  <c r="E743" i="6" s="1"/>
  <c r="E2956" i="7"/>
  <c r="J2956" i="7"/>
  <c r="K286" i="5"/>
  <c r="L903" i="7"/>
  <c r="E903" i="7"/>
  <c r="L1905" i="7"/>
  <c r="E1905" i="7"/>
  <c r="G568" i="6"/>
  <c r="J571" i="5" s="1"/>
  <c r="F2463" i="7"/>
  <c r="E568" i="6" s="1"/>
  <c r="J458" i="7"/>
  <c r="E458" i="7"/>
  <c r="L2525" i="7"/>
  <c r="E2525" i="7"/>
  <c r="L1807" i="7"/>
  <c r="E1807" i="7"/>
  <c r="K233" i="5"/>
  <c r="L1381" i="7"/>
  <c r="E1381" i="7"/>
  <c r="M176" i="5"/>
  <c r="G176" i="5" s="1"/>
  <c r="F176" i="5"/>
  <c r="G93" i="6"/>
  <c r="J96" i="5" s="1"/>
  <c r="G721" i="6"/>
  <c r="F3380" i="7"/>
  <c r="E721" i="6" s="1"/>
  <c r="J2070" i="7"/>
  <c r="L802" i="7"/>
  <c r="E802" i="7"/>
  <c r="G286" i="6"/>
  <c r="J289" i="5" s="1"/>
  <c r="L1185" i="7"/>
  <c r="E1185" i="7"/>
  <c r="I304" i="5"/>
  <c r="D5" i="9"/>
  <c r="F4" i="8"/>
  <c r="H661" i="5" s="1"/>
  <c r="C154" i="9"/>
  <c r="L3309" i="7"/>
  <c r="E3309" i="7"/>
  <c r="G89" i="6"/>
  <c r="J92" i="5" s="1"/>
  <c r="E2346" i="7"/>
  <c r="J2346" i="7"/>
  <c r="L3292" i="7"/>
  <c r="E3292" i="7"/>
  <c r="G438" i="6"/>
  <c r="J441" i="5" s="1"/>
  <c r="F1910" i="7"/>
  <c r="E438" i="6" s="1"/>
  <c r="K49" i="5"/>
  <c r="I87" i="7"/>
  <c r="I234" i="7"/>
  <c r="I32" i="7"/>
  <c r="I133" i="7"/>
  <c r="I1039" i="7"/>
  <c r="I289" i="7"/>
  <c r="I1093" i="7"/>
  <c r="G667" i="6"/>
  <c r="F3064" i="7"/>
  <c r="E667" i="6" s="1"/>
  <c r="G439" i="6"/>
  <c r="J442" i="5" s="1"/>
  <c r="F1914" i="7"/>
  <c r="E439" i="6" s="1"/>
  <c r="K205" i="7"/>
  <c r="K409" i="7"/>
  <c r="K834" i="7"/>
  <c r="K3188" i="7"/>
  <c r="J2408" i="7"/>
  <c r="G48" i="6"/>
  <c r="J51" i="5" s="1"/>
  <c r="L2199" i="7"/>
  <c r="E2199" i="7"/>
  <c r="J353" i="5"/>
  <c r="I489" i="7"/>
  <c r="I433" i="7"/>
  <c r="I1437" i="7"/>
  <c r="I2914" i="7"/>
  <c r="L2288" i="7"/>
  <c r="E2288" i="7"/>
  <c r="J360" i="5"/>
  <c r="I1472" i="7"/>
  <c r="I2970" i="7"/>
  <c r="M212" i="5"/>
  <c r="G212" i="5" s="1"/>
  <c r="F212" i="5"/>
  <c r="K47" i="5"/>
  <c r="K287" i="5"/>
  <c r="I530" i="5"/>
  <c r="L790" i="7"/>
  <c r="E790" i="7"/>
  <c r="J1318" i="7"/>
  <c r="K587" i="5"/>
  <c r="J2124" i="7"/>
  <c r="G569" i="6"/>
  <c r="J572" i="5" s="1"/>
  <c r="F2467" i="7"/>
  <c r="E569" i="6" s="1"/>
  <c r="I2304" i="7"/>
  <c r="I2334" i="7"/>
  <c r="L954" i="7"/>
  <c r="E954" i="7"/>
  <c r="K227" i="5"/>
  <c r="J1334" i="7"/>
  <c r="L1405" i="7"/>
  <c r="E1405" i="7"/>
  <c r="K471" i="5"/>
  <c r="G471" i="5" s="1"/>
  <c r="F471" i="5"/>
  <c r="H1170" i="7"/>
  <c r="K95" i="5"/>
  <c r="H398" i="7"/>
  <c r="J2226" i="7"/>
  <c r="L1401" i="7"/>
  <c r="E1401" i="7"/>
  <c r="J1330" i="7"/>
  <c r="E2626" i="7"/>
  <c r="J2626" i="7"/>
  <c r="G580" i="6"/>
  <c r="J583" i="5" s="1"/>
  <c r="H194" i="7"/>
  <c r="M232" i="5"/>
  <c r="G232" i="5" s="1"/>
  <c r="F232" i="5"/>
  <c r="G294" i="6"/>
  <c r="J297" i="5" s="1"/>
  <c r="J2046" i="7"/>
  <c r="F139" i="5"/>
  <c r="K139" i="5"/>
  <c r="G139" i="5" s="1"/>
  <c r="K659" i="5"/>
  <c r="G659" i="5" s="1"/>
  <c r="F659" i="5"/>
  <c r="M267" i="5"/>
  <c r="G267" i="5" s="1"/>
  <c r="F267" i="5"/>
  <c r="E2319" i="7"/>
  <c r="J2319" i="7"/>
  <c r="I2020" i="7"/>
  <c r="I2010" i="7"/>
  <c r="H754" i="6"/>
  <c r="F3557" i="7"/>
  <c r="E754" i="6" s="1"/>
  <c r="K142" i="5"/>
  <c r="G142" i="5" s="1"/>
  <c r="F142" i="5"/>
  <c r="J361" i="5"/>
  <c r="I2977" i="7"/>
  <c r="I1442" i="7"/>
  <c r="I468" i="7"/>
  <c r="I517" i="7"/>
  <c r="G508" i="6"/>
  <c r="J511" i="5" s="1"/>
  <c r="F2208" i="7"/>
  <c r="E508" i="6" s="1"/>
  <c r="H951" i="7"/>
  <c r="G43" i="6"/>
  <c r="J46" i="5" s="1"/>
  <c r="F141" i="5"/>
  <c r="K141" i="5"/>
  <c r="G141" i="5" s="1"/>
  <c r="G328" i="6"/>
  <c r="J331" i="5" s="1"/>
  <c r="G550" i="6"/>
  <c r="J553" i="5" s="1"/>
  <c r="F2387" i="7"/>
  <c r="E550" i="6" s="1"/>
  <c r="G700" i="6"/>
  <c r="G734" i="6"/>
  <c r="F3454" i="7"/>
  <c r="E734" i="6" s="1"/>
  <c r="H947" i="7"/>
  <c r="G461" i="6"/>
  <c r="J464" i="5" s="1"/>
  <c r="F2007" i="7"/>
  <c r="E461" i="6" s="1"/>
  <c r="L3537" i="7"/>
  <c r="F3536" i="7"/>
  <c r="M594" i="5"/>
  <c r="G594" i="5" s="1"/>
  <c r="F594" i="5"/>
  <c r="H827" i="7"/>
  <c r="F472" i="5"/>
  <c r="K472" i="5"/>
  <c r="G472" i="5" s="1"/>
  <c r="M186" i="5"/>
  <c r="G186" i="5" s="1"/>
  <c r="F186" i="5"/>
  <c r="J509" i="7"/>
  <c r="E509" i="7"/>
  <c r="G685" i="6"/>
  <c r="G553" i="6"/>
  <c r="J556" i="5" s="1"/>
  <c r="F2399" i="7"/>
  <c r="E553" i="6" s="1"/>
  <c r="G459" i="6"/>
  <c r="J462" i="5" s="1"/>
  <c r="F1999" i="7"/>
  <c r="E459" i="6" s="1"/>
  <c r="G280" i="6"/>
  <c r="J283" i="5" s="1"/>
  <c r="L1409" i="7"/>
  <c r="E1409" i="7"/>
  <c r="G293" i="6"/>
  <c r="J296" i="5" s="1"/>
  <c r="G190" i="6"/>
  <c r="J193" i="5" s="1"/>
  <c r="H366" i="7"/>
  <c r="F508" i="5"/>
  <c r="K508" i="5"/>
  <c r="G508" i="5" s="1"/>
  <c r="G198" i="6"/>
  <c r="J201" i="5" s="1"/>
  <c r="L381" i="7"/>
  <c r="E381" i="7"/>
  <c r="L177" i="7"/>
  <c r="E177" i="7"/>
  <c r="J352" i="5"/>
  <c r="I485" i="7"/>
  <c r="I1432" i="7"/>
  <c r="I428" i="7"/>
  <c r="I2907" i="7"/>
  <c r="G528" i="6"/>
  <c r="J531" i="5" s="1"/>
  <c r="F2293" i="7"/>
  <c r="E528" i="6" s="1"/>
  <c r="M86" i="5"/>
  <c r="G86" i="5" s="1"/>
  <c r="F86" i="5"/>
  <c r="L1413" i="7"/>
  <c r="E1413" i="7"/>
  <c r="G327" i="6"/>
  <c r="J330" i="5" s="1"/>
  <c r="K365" i="7"/>
  <c r="K946" i="7"/>
  <c r="K161" i="7"/>
  <c r="K786" i="7"/>
  <c r="K899" i="7"/>
  <c r="K950" i="7"/>
  <c r="K1169" i="7"/>
  <c r="K3008" i="7"/>
  <c r="K971" i="7"/>
  <c r="G581" i="6"/>
  <c r="J584" i="5" s="1"/>
  <c r="H972" i="7"/>
  <c r="G140" i="6"/>
  <c r="J143" i="5" s="1"/>
  <c r="F590" i="7"/>
  <c r="E140" i="6" s="1"/>
  <c r="I47" i="7"/>
  <c r="I301" i="7"/>
  <c r="I1109" i="7"/>
  <c r="I249" i="7"/>
  <c r="I145" i="7"/>
  <c r="I722" i="7"/>
  <c r="I1059" i="7"/>
  <c r="I99" i="7"/>
  <c r="I667" i="7"/>
  <c r="I570" i="5"/>
  <c r="L1243" i="7"/>
  <c r="E1243" i="7"/>
  <c r="I337" i="5"/>
  <c r="M321" i="5"/>
  <c r="G321" i="5" s="1"/>
  <c r="F321" i="5"/>
  <c r="G326" i="6"/>
  <c r="J329" i="5" s="1"/>
  <c r="F598" i="7"/>
  <c r="E142" i="6" s="1"/>
  <c r="G142" i="6"/>
  <c r="J145" i="5" s="1"/>
  <c r="H1190" i="7"/>
  <c r="F1189" i="7"/>
  <c r="K279" i="5"/>
  <c r="J1267" i="7"/>
  <c r="H1206" i="7"/>
  <c r="G243" i="6"/>
  <c r="J246" i="5" s="1"/>
  <c r="F1031" i="7"/>
  <c r="E243" i="6" s="1"/>
  <c r="K197" i="5"/>
  <c r="K90" i="5"/>
  <c r="K216" i="5"/>
  <c r="J2651" i="7"/>
  <c r="J2621" i="7"/>
  <c r="F799" i="7"/>
  <c r="E189" i="6" s="1"/>
  <c r="G189" i="6"/>
  <c r="J192" i="5" s="1"/>
  <c r="I333" i="5"/>
  <c r="G197" i="6"/>
  <c r="J200" i="5" s="1"/>
  <c r="K50" i="5"/>
  <c r="G661" i="6"/>
  <c r="L1277" i="7"/>
  <c r="E1277" i="7"/>
  <c r="G730" i="6"/>
  <c r="F3431" i="7"/>
  <c r="E730" i="6" s="1"/>
  <c r="K98" i="5"/>
  <c r="M89" i="5"/>
  <c r="G89" i="5" s="1"/>
  <c r="F89" i="5"/>
  <c r="G41" i="6"/>
  <c r="J44" i="5" s="1"/>
  <c r="J2631" i="7"/>
  <c r="E2631" i="7"/>
  <c r="G88" i="6"/>
  <c r="J91" i="5" s="1"/>
  <c r="I2329" i="7"/>
  <c r="I2354" i="7"/>
  <c r="J1757" i="7"/>
  <c r="G354" i="6"/>
  <c r="F1522" i="7"/>
  <c r="E354" i="6" s="1"/>
  <c r="J2152" i="7"/>
  <c r="G507" i="6"/>
  <c r="J510" i="5" s="1"/>
  <c r="F2204" i="7"/>
  <c r="E507" i="6" s="1"/>
  <c r="L1393" i="7"/>
  <c r="E1393" i="7"/>
  <c r="L1239" i="7"/>
  <c r="E1239" i="7"/>
  <c r="L1193" i="7"/>
  <c r="E1193" i="7"/>
  <c r="G45" i="6"/>
  <c r="J48" i="5" s="1"/>
  <c r="H752" i="6"/>
  <c r="K2636" i="7" s="1"/>
  <c r="F3549" i="7"/>
  <c r="E752" i="6" s="1"/>
  <c r="M31" i="5"/>
  <c r="G31" i="5" s="1"/>
  <c r="F31" i="5"/>
  <c r="J1294" i="7"/>
  <c r="L1377" i="7"/>
  <c r="E1377" i="7"/>
  <c r="L185" i="7"/>
  <c r="E185" i="7"/>
  <c r="G40" i="6"/>
  <c r="J43" i="5" s="1"/>
  <c r="J1776" i="7"/>
  <c r="G529" i="6"/>
  <c r="J532" i="5" s="1"/>
  <c r="F2297" i="7"/>
  <c r="E529" i="6" s="1"/>
  <c r="M599" i="5"/>
  <c r="G599" i="5" s="1"/>
  <c r="F599" i="5"/>
  <c r="J2427" i="7"/>
  <c r="K284" i="5"/>
  <c r="L2519" i="7"/>
  <c r="E2519" i="7"/>
  <c r="G192" i="6"/>
  <c r="J195" i="5" s="1"/>
  <c r="K138" i="5"/>
  <c r="G138" i="5" s="1"/>
  <c r="F138" i="5"/>
  <c r="F149" i="5"/>
  <c r="K149" i="5"/>
  <c r="G149" i="5" s="1"/>
  <c r="J351" i="5"/>
  <c r="I423" i="7"/>
  <c r="I1427" i="7"/>
  <c r="I481" i="7"/>
  <c r="I2900" i="7"/>
  <c r="G715" i="6"/>
  <c r="F3346" i="7"/>
  <c r="E715" i="6" s="1"/>
  <c r="L3241" i="7"/>
  <c r="E3241" i="7"/>
  <c r="F2391" i="7"/>
  <c r="E551" i="6" s="1"/>
  <c r="G551" i="6"/>
  <c r="J554" i="5" s="1"/>
  <c r="H900" i="7"/>
  <c r="I417" i="5"/>
  <c r="G352" i="6"/>
  <c r="F1510" i="7"/>
  <c r="E352" i="6" s="1"/>
  <c r="I334" i="5"/>
  <c r="G579" i="6"/>
  <c r="J582" i="5" s="1"/>
  <c r="H787" i="7"/>
  <c r="G570" i="6"/>
  <c r="J573" i="5" s="1"/>
  <c r="F2471" i="7"/>
  <c r="E570" i="6" s="1"/>
  <c r="G509" i="6"/>
  <c r="J512" i="5" s="1"/>
  <c r="F2212" i="7"/>
  <c r="E509" i="6" s="1"/>
  <c r="K1389" i="7"/>
  <c r="K3275" i="7"/>
  <c r="G416" i="6"/>
  <c r="J419" i="5" s="1"/>
  <c r="F1816" i="7"/>
  <c r="E416" i="6" s="1"/>
  <c r="I440" i="5"/>
  <c r="G530" i="6"/>
  <c r="J533" i="5" s="1"/>
  <c r="F2301" i="7"/>
  <c r="E530" i="6" s="1"/>
  <c r="G226" i="6"/>
  <c r="J229" i="5" s="1"/>
  <c r="G415" i="6"/>
  <c r="J418" i="5" s="1"/>
  <c r="F1812" i="7"/>
  <c r="E415" i="6" s="1"/>
  <c r="L1397" i="7"/>
  <c r="E1397" i="7"/>
  <c r="G234" i="6"/>
  <c r="J237" i="5" s="1"/>
  <c r="J1284" i="7"/>
  <c r="F660" i="5"/>
  <c r="K660" i="5"/>
  <c r="G660" i="5" s="1"/>
  <c r="G50" i="6"/>
  <c r="J53" i="5" s="1"/>
  <c r="G440" i="6"/>
  <c r="J443" i="5" s="1"/>
  <c r="F1918" i="7"/>
  <c r="E440" i="6" s="1"/>
  <c r="H3100" i="7"/>
  <c r="F3098" i="7"/>
  <c r="I461" i="5"/>
  <c r="I486" i="5"/>
  <c r="L389" i="7"/>
  <c r="E389" i="7"/>
  <c r="K198" i="5"/>
  <c r="L3326" i="7"/>
  <c r="E3326" i="7"/>
  <c r="G277" i="6"/>
  <c r="J280" i="5" s="1"/>
  <c r="F140" i="5"/>
  <c r="K140" i="5"/>
  <c r="G140" i="5" s="1"/>
  <c r="L2543" i="7"/>
  <c r="E2543" i="7"/>
  <c r="L1173" i="7"/>
  <c r="E1173" i="7"/>
  <c r="L3026" i="7"/>
  <c r="E3026" i="7"/>
  <c r="K460" i="5"/>
  <c r="G460" i="5" s="1"/>
  <c r="F460" i="5"/>
  <c r="L1994" i="7"/>
  <c r="E1994" i="7"/>
  <c r="J2646" i="7"/>
  <c r="F529" i="5"/>
  <c r="K529" i="5"/>
  <c r="G529" i="5" s="1"/>
  <c r="L369" i="7"/>
  <c r="E369" i="7"/>
  <c r="G676" i="6"/>
  <c r="G583" i="6"/>
  <c r="J586" i="5" s="1"/>
  <c r="H182" i="7"/>
  <c r="F181" i="7"/>
  <c r="L3080" i="7"/>
  <c r="E3080" i="7"/>
  <c r="J1858" i="7"/>
  <c r="G718" i="6"/>
  <c r="F3363" i="7"/>
  <c r="E718" i="6" s="1"/>
  <c r="K228" i="5"/>
  <c r="K199" i="5"/>
  <c r="G188" i="6"/>
  <c r="J191" i="5" s="1"/>
  <c r="J2249" i="7"/>
  <c r="G97" i="6"/>
  <c r="J100" i="5" s="1"/>
  <c r="I336" i="5"/>
  <c r="G238" i="6"/>
  <c r="J241" i="5" s="1"/>
  <c r="M596" i="5"/>
  <c r="G596" i="5" s="1"/>
  <c r="F596" i="5"/>
  <c r="L597" i="5"/>
  <c r="K2531" i="7"/>
  <c r="G670" i="6"/>
  <c r="L3116" i="7"/>
  <c r="E3116" i="7"/>
  <c r="G688" i="6"/>
  <c r="M276" i="5"/>
  <c r="G276" i="5" s="1"/>
  <c r="F276" i="5"/>
  <c r="K97" i="5"/>
  <c r="G42" i="6"/>
  <c r="J45" i="5" s="1"/>
  <c r="F174" i="7"/>
  <c r="E42" i="6" s="1"/>
  <c r="I141" i="7"/>
  <c r="I42" i="7"/>
  <c r="I657" i="7"/>
  <c r="I718" i="7"/>
  <c r="I652" i="7"/>
  <c r="I244" i="7"/>
  <c r="I710" i="7"/>
  <c r="I95" i="7"/>
  <c r="I297" i="7"/>
  <c r="I662" i="7"/>
  <c r="I714" i="7"/>
  <c r="I1101" i="7"/>
  <c r="I1054" i="7"/>
  <c r="I1105" i="7"/>
  <c r="I1049" i="7"/>
  <c r="H162" i="7"/>
  <c r="J1830" i="7"/>
  <c r="J1289" i="7"/>
  <c r="M78" i="5"/>
  <c r="G78" i="5" s="1"/>
  <c r="F78" i="5"/>
  <c r="I509" i="5"/>
  <c r="G91" i="6"/>
  <c r="J94" i="5" s="1"/>
  <c r="G664" i="6"/>
  <c r="G96" i="6"/>
  <c r="J99" i="5" s="1"/>
  <c r="G143" i="6"/>
  <c r="J146" i="5" s="1"/>
  <c r="F602" i="7"/>
  <c r="E143" i="6" s="1"/>
  <c r="F439" i="5"/>
  <c r="K439" i="5"/>
  <c r="G439" i="5" s="1"/>
  <c r="K196" i="5"/>
  <c r="F3471" i="7"/>
  <c r="E737" i="6" s="1"/>
  <c r="G737" i="6"/>
  <c r="L2458" i="7"/>
  <c r="E2458" i="7"/>
  <c r="L2513" i="7"/>
  <c r="E2513" i="7"/>
  <c r="J1326" i="7"/>
  <c r="J1274" i="7"/>
  <c r="M188" i="5"/>
  <c r="G188" i="5" s="1"/>
  <c r="F188" i="5"/>
  <c r="M595" i="5"/>
  <c r="G595" i="5" s="1"/>
  <c r="F595" i="5"/>
  <c r="K189" i="5"/>
  <c r="L3553" i="7"/>
  <c r="F3552" i="7"/>
  <c r="G353" i="6"/>
  <c r="F1516" i="7"/>
  <c r="E353" i="6" s="1"/>
  <c r="F215" i="5"/>
  <c r="K215" i="5"/>
  <c r="G215" i="5" s="1"/>
  <c r="F2114" i="7"/>
  <c r="E486" i="6" s="1"/>
  <c r="G486" i="6"/>
  <c r="J489" i="5" s="1"/>
  <c r="J2641" i="7"/>
  <c r="F214" i="5"/>
  <c r="K214" i="5"/>
  <c r="G214" i="5" s="1"/>
  <c r="G141" i="6"/>
  <c r="J144" i="5" s="1"/>
  <c r="F594" i="7"/>
  <c r="E141" i="6" s="1"/>
  <c r="L2537" i="7"/>
  <c r="E2537" i="7"/>
  <c r="L810" i="7"/>
  <c r="E810" i="7"/>
  <c r="G582" i="6"/>
  <c r="J585" i="5" s="1"/>
  <c r="G697" i="6"/>
  <c r="K278" i="5"/>
  <c r="G278" i="5" s="1"/>
  <c r="F278" i="5"/>
  <c r="G417" i="6"/>
  <c r="J420" i="5" s="1"/>
  <c r="F1820" i="7"/>
  <c r="E417" i="6" s="1"/>
  <c r="G279" i="6"/>
  <c r="J282" i="5" s="1"/>
  <c r="F1182" i="7"/>
  <c r="E279" i="6" s="1"/>
  <c r="H3010" i="7"/>
  <c r="G191" i="6"/>
  <c r="J194" i="5" s="1"/>
  <c r="I843" i="7"/>
  <c r="I862" i="7"/>
  <c r="I838" i="7"/>
  <c r="I1009" i="7"/>
  <c r="I858" i="7"/>
  <c r="I1069" i="7"/>
  <c r="G98" i="6"/>
  <c r="J101" i="5" s="1"/>
  <c r="M225" i="5"/>
  <c r="G225" i="5" s="1"/>
  <c r="F225" i="5"/>
  <c r="G694" i="6"/>
  <c r="G484" i="6"/>
  <c r="J487" i="5" s="1"/>
  <c r="F2106" i="7"/>
  <c r="E484" i="6" s="1"/>
  <c r="J1462" i="7"/>
  <c r="E1462" i="7"/>
  <c r="G145" i="6"/>
  <c r="J148" i="5" s="1"/>
  <c r="F610" i="7"/>
  <c r="E145" i="6" s="1"/>
  <c r="J1955" i="7"/>
  <c r="G1317" i="7"/>
  <c r="G1272" i="7"/>
  <c r="G1333" i="7"/>
  <c r="G1282" i="7"/>
  <c r="G1292" i="7"/>
  <c r="G1325" i="7"/>
  <c r="G1321" i="7"/>
  <c r="G1329" i="7"/>
  <c r="G1287" i="7"/>
  <c r="J1932" i="7"/>
  <c r="H3154" i="7"/>
  <c r="L165" i="7"/>
  <c r="E165" i="7"/>
  <c r="F358" i="5"/>
  <c r="K358" i="5"/>
  <c r="G358" i="5" s="1"/>
  <c r="F552" i="5"/>
  <c r="K552" i="5"/>
  <c r="G552" i="5" s="1"/>
  <c r="G49" i="6"/>
  <c r="J52" i="5" s="1"/>
  <c r="I335" i="5"/>
  <c r="K288" i="5"/>
  <c r="G460" i="6"/>
  <c r="J463" i="5" s="1"/>
  <c r="F2003" i="7"/>
  <c r="E460" i="6" s="1"/>
  <c r="G90" i="6"/>
  <c r="J93" i="5" s="1"/>
  <c r="F378" i="7"/>
  <c r="E90" i="6" s="1"/>
  <c r="G1857" i="7"/>
  <c r="G1828" i="7"/>
  <c r="G1954" i="7"/>
  <c r="G2248" i="7"/>
  <c r="G1930" i="7"/>
  <c r="G2044" i="7"/>
  <c r="G2426" i="7"/>
  <c r="G2224" i="7"/>
  <c r="G2406" i="7"/>
  <c r="G2069" i="7"/>
  <c r="G1755" i="7"/>
  <c r="G2122" i="7"/>
  <c r="G2151" i="7"/>
  <c r="G1775" i="7"/>
  <c r="I1925" i="7"/>
  <c r="I2015" i="7"/>
  <c r="I2219" i="7"/>
  <c r="I2024" i="7"/>
  <c r="I2147" i="7"/>
  <c r="I1823" i="7"/>
  <c r="I1853" i="7"/>
  <c r="I1950" i="7"/>
  <c r="I2244" i="7"/>
  <c r="I2117" i="7"/>
  <c r="M598" i="5"/>
  <c r="G598" i="5" s="1"/>
  <c r="F598" i="5"/>
  <c r="G187" i="6"/>
  <c r="J190" i="5" s="1"/>
  <c r="H386" i="7"/>
  <c r="F385" i="7"/>
  <c r="G282" i="6"/>
  <c r="J285" i="5" s="1"/>
  <c r="L806" i="7"/>
  <c r="E806" i="7"/>
  <c r="G761" i="6"/>
  <c r="I2826" i="7" s="1"/>
  <c r="F3600" i="7"/>
  <c r="E761" i="6" s="1"/>
  <c r="G278" i="6"/>
  <c r="J281" i="5" s="1"/>
  <c r="G703" i="6"/>
  <c r="I269" i="7"/>
  <c r="I67" i="7"/>
  <c r="I209" i="7"/>
  <c r="I682" i="7"/>
  <c r="I912" i="7"/>
  <c r="I907" i="7"/>
  <c r="I926" i="7"/>
  <c r="I958" i="7"/>
  <c r="I1073" i="7"/>
  <c r="I866" i="7"/>
  <c r="I617" i="7"/>
  <c r="I922" i="7"/>
  <c r="I7" i="7"/>
  <c r="I1014" i="7"/>
  <c r="I963" i="7"/>
  <c r="I848" i="7"/>
  <c r="L402" i="7" l="1"/>
  <c r="F401" i="7"/>
  <c r="F510" i="6"/>
  <c r="H513" i="5" s="1"/>
  <c r="F2216" i="7"/>
  <c r="E510" i="6" s="1"/>
  <c r="L1210" i="7"/>
  <c r="F1209" i="7"/>
  <c r="F423" i="6"/>
  <c r="H426" i="5" s="1"/>
  <c r="F1850" i="7"/>
  <c r="E423" i="6" s="1"/>
  <c r="F429" i="6"/>
  <c r="H432" i="5" s="1"/>
  <c r="F1874" i="7"/>
  <c r="E429" i="6" s="1"/>
  <c r="L198" i="7"/>
  <c r="F197" i="7"/>
  <c r="F46" i="6"/>
  <c r="H49" i="5" s="1"/>
  <c r="L406" i="7"/>
  <c r="F405" i="7"/>
  <c r="L1201" i="7"/>
  <c r="E1201" i="7"/>
  <c r="L1006" i="7"/>
  <c r="F1005" i="7"/>
  <c r="F284" i="6"/>
  <c r="H287" i="5" s="1"/>
  <c r="L3172" i="7"/>
  <c r="F3170" i="7"/>
  <c r="L189" i="7"/>
  <c r="E189" i="7"/>
  <c r="L393" i="7"/>
  <c r="E393" i="7"/>
  <c r="L822" i="7"/>
  <c r="E822" i="7"/>
  <c r="L814" i="7"/>
  <c r="E814" i="7"/>
  <c r="L1386" i="7"/>
  <c r="F1385" i="7"/>
  <c r="L1197" i="7"/>
  <c r="E1197" i="7"/>
  <c r="F195" i="6"/>
  <c r="H198" i="5" s="1"/>
  <c r="F94" i="6"/>
  <c r="H97" i="5" s="1"/>
  <c r="F441" i="6"/>
  <c r="H444" i="5" s="1"/>
  <c r="F1922" i="7"/>
  <c r="E441" i="6" s="1"/>
  <c r="F283" i="6"/>
  <c r="H286" i="5" s="1"/>
  <c r="L3134" i="7"/>
  <c r="E3134" i="7"/>
  <c r="L202" i="7"/>
  <c r="F201" i="7"/>
  <c r="F194" i="6"/>
  <c r="H197" i="5" s="1"/>
  <c r="L3260" i="7"/>
  <c r="F3258" i="7"/>
  <c r="L818" i="7"/>
  <c r="E818" i="7"/>
  <c r="L1177" i="7"/>
  <c r="E1177" i="7"/>
  <c r="L831" i="7"/>
  <c r="F830" i="7"/>
  <c r="L989" i="7"/>
  <c r="F988" i="7"/>
  <c r="L3044" i="7"/>
  <c r="E3044" i="7"/>
  <c r="L794" i="7"/>
  <c r="E794" i="7"/>
  <c r="F193" i="6"/>
  <c r="H196" i="5" s="1"/>
  <c r="L373" i="7"/>
  <c r="E373" i="7"/>
  <c r="L169" i="7"/>
  <c r="E169" i="7"/>
  <c r="F679" i="6"/>
  <c r="K99" i="5"/>
  <c r="L1279" i="7"/>
  <c r="F1277" i="7"/>
  <c r="K2651" i="7"/>
  <c r="K2646" i="7"/>
  <c r="L390" i="7"/>
  <c r="F389" i="7"/>
  <c r="J1109" i="7"/>
  <c r="F532" i="5"/>
  <c r="K532" i="5"/>
  <c r="G532" i="5" s="1"/>
  <c r="G488" i="6"/>
  <c r="J491" i="5" s="1"/>
  <c r="E2886" i="7"/>
  <c r="J2886" i="7"/>
  <c r="E2907" i="7"/>
  <c r="J2907" i="7"/>
  <c r="F353" i="5"/>
  <c r="K353" i="5"/>
  <c r="G353" i="5" s="1"/>
  <c r="K94" i="5"/>
  <c r="J2647" i="7"/>
  <c r="F441" i="5"/>
  <c r="K441" i="5"/>
  <c r="G441" i="5" s="1"/>
  <c r="F143" i="5"/>
  <c r="K143" i="5"/>
  <c r="G143" i="5" s="1"/>
  <c r="K96" i="5"/>
  <c r="K585" i="5"/>
  <c r="K200" i="5"/>
  <c r="L3294" i="7"/>
  <c r="F3292" i="7"/>
  <c r="J413" i="7"/>
  <c r="E413" i="7"/>
  <c r="L186" i="7"/>
  <c r="F185" i="7"/>
  <c r="F488" i="5"/>
  <c r="K488" i="5"/>
  <c r="G488" i="5" s="1"/>
  <c r="H2426" i="7"/>
  <c r="L791" i="7"/>
  <c r="F790" i="7"/>
  <c r="G303" i="6"/>
  <c r="J306" i="5" s="1"/>
  <c r="L3188" i="7"/>
  <c r="E3188" i="7"/>
  <c r="L834" i="7"/>
  <c r="E834" i="7"/>
  <c r="L409" i="7"/>
  <c r="E409" i="7"/>
  <c r="K190" i="5"/>
  <c r="G425" i="6"/>
  <c r="J428" i="5" s="1"/>
  <c r="L899" i="7"/>
  <c r="E899" i="7"/>
  <c r="J1073" i="7"/>
  <c r="H1857" i="7"/>
  <c r="H1325" i="7"/>
  <c r="J862" i="7"/>
  <c r="E862" i="7"/>
  <c r="J1049" i="7"/>
  <c r="K582" i="5"/>
  <c r="L786" i="7"/>
  <c r="E786" i="7"/>
  <c r="F196" i="6"/>
  <c r="H199" i="5" s="1"/>
  <c r="K511" i="5"/>
  <c r="G511" i="5" s="1"/>
  <c r="F511" i="5"/>
  <c r="L1406" i="7"/>
  <c r="F1405" i="7"/>
  <c r="F442" i="5"/>
  <c r="K442" i="5"/>
  <c r="G442" i="5" s="1"/>
  <c r="L2527" i="7"/>
  <c r="F2525" i="7"/>
  <c r="K217" i="5"/>
  <c r="G600" i="6"/>
  <c r="J603" i="5" s="1"/>
  <c r="K229" i="5"/>
  <c r="J2914" i="7"/>
  <c r="E2914" i="7"/>
  <c r="K148" i="5"/>
  <c r="G148" i="5" s="1"/>
  <c r="F148" i="5"/>
  <c r="L1394" i="7"/>
  <c r="F1393" i="7"/>
  <c r="F533" i="5"/>
  <c r="K533" i="5"/>
  <c r="G533" i="5" s="1"/>
  <c r="K283" i="5"/>
  <c r="I214" i="7"/>
  <c r="I1077" i="7"/>
  <c r="I273" i="7"/>
  <c r="I870" i="7"/>
  <c r="I622" i="7"/>
  <c r="I1019" i="7"/>
  <c r="I853" i="7"/>
  <c r="I12" i="7"/>
  <c r="I917" i="7"/>
  <c r="I686" i="7"/>
  <c r="I930" i="7"/>
  <c r="I71" i="7"/>
  <c r="J2020" i="7"/>
  <c r="E2020" i="7"/>
  <c r="G406" i="6"/>
  <c r="J409" i="5" s="1"/>
  <c r="H1755" i="7"/>
  <c r="K556" i="5"/>
  <c r="G556" i="5" s="1"/>
  <c r="F556" i="5"/>
  <c r="I2324" i="7"/>
  <c r="I2350" i="7"/>
  <c r="J2900" i="7"/>
  <c r="E2900" i="7"/>
  <c r="G300" i="6"/>
  <c r="J303" i="5" s="1"/>
  <c r="L1389" i="7"/>
  <c r="E1389" i="7"/>
  <c r="L811" i="7"/>
  <c r="F810" i="7"/>
  <c r="G402" i="6"/>
  <c r="J405" i="5" s="1"/>
  <c r="F443" i="5"/>
  <c r="K443" i="5"/>
  <c r="G443" i="5" s="1"/>
  <c r="L971" i="7"/>
  <c r="E971" i="7"/>
  <c r="K573" i="5"/>
  <c r="G573" i="5" s="1"/>
  <c r="F573" i="5"/>
  <c r="L382" i="7"/>
  <c r="F381" i="7"/>
  <c r="K144" i="5"/>
  <c r="G144" i="5" s="1"/>
  <c r="F144" i="5"/>
  <c r="L1169" i="7"/>
  <c r="E1169" i="7"/>
  <c r="K201" i="5"/>
  <c r="L1808" i="7"/>
  <c r="F1807" i="7"/>
  <c r="J866" i="7"/>
  <c r="E838" i="7"/>
  <c r="J838" i="7"/>
  <c r="I661" i="5"/>
  <c r="G661" i="5" s="1"/>
  <c r="F661" i="5"/>
  <c r="G302" i="6"/>
  <c r="J305" i="5" s="1"/>
  <c r="J958" i="7"/>
  <c r="E2117" i="7"/>
  <c r="J2117" i="7"/>
  <c r="H1292" i="7"/>
  <c r="J843" i="7"/>
  <c r="E843" i="7"/>
  <c r="J2642" i="7"/>
  <c r="J1105" i="7"/>
  <c r="I229" i="7"/>
  <c r="I285" i="7"/>
  <c r="I129" i="7"/>
  <c r="I698" i="7"/>
  <c r="I83" i="7"/>
  <c r="I1089" i="7"/>
  <c r="I27" i="7"/>
  <c r="I637" i="7"/>
  <c r="I1034" i="7"/>
  <c r="K195" i="5"/>
  <c r="L2636" i="7"/>
  <c r="E2636" i="7"/>
  <c r="K44" i="5"/>
  <c r="L1244" i="7"/>
  <c r="F1243" i="7"/>
  <c r="L161" i="7"/>
  <c r="E161" i="7"/>
  <c r="E517" i="7"/>
  <c r="J517" i="7"/>
  <c r="G314" i="6"/>
  <c r="J317" i="5" s="1"/>
  <c r="F420" i="5"/>
  <c r="K420" i="5"/>
  <c r="G420" i="5" s="1"/>
  <c r="J359" i="5"/>
  <c r="I463" i="7"/>
  <c r="I513" i="7"/>
  <c r="I2963" i="7"/>
  <c r="I1467" i="7"/>
  <c r="I1309" i="7"/>
  <c r="I1262" i="7"/>
  <c r="J652" i="7"/>
  <c r="G475" i="6"/>
  <c r="J478" i="5" s="1"/>
  <c r="I1024" i="7"/>
  <c r="I17" i="7"/>
  <c r="I75" i="7"/>
  <c r="I125" i="7"/>
  <c r="I627" i="7"/>
  <c r="I690" i="7"/>
  <c r="I277" i="7"/>
  <c r="I1081" i="7"/>
  <c r="I219" i="7"/>
  <c r="J718" i="7"/>
  <c r="I1305" i="7"/>
  <c r="I1257" i="7"/>
  <c r="K281" i="5"/>
  <c r="J657" i="7"/>
  <c r="L1402" i="7"/>
  <c r="F1401" i="7"/>
  <c r="L3275" i="7"/>
  <c r="E3275" i="7"/>
  <c r="G310" i="6"/>
  <c r="J313" i="5" s="1"/>
  <c r="F673" i="6"/>
  <c r="F3100" i="7"/>
  <c r="E673" i="6" s="1"/>
  <c r="F230" i="6"/>
  <c r="H233" i="5" s="1"/>
  <c r="L2102" i="7"/>
  <c r="F2101" i="7"/>
  <c r="F682" i="6"/>
  <c r="J510" i="7"/>
  <c r="F509" i="7"/>
  <c r="G443" i="6"/>
  <c r="J446" i="5" s="1"/>
  <c r="K46" i="5"/>
  <c r="J1314" i="7"/>
  <c r="L205" i="7"/>
  <c r="E205" i="7"/>
  <c r="K297" i="5"/>
  <c r="F93" i="5"/>
  <c r="K93" i="5"/>
  <c r="G93" i="5" s="1"/>
  <c r="H1282" i="7"/>
  <c r="K489" i="5"/>
  <c r="G489" i="5" s="1"/>
  <c r="F489" i="5"/>
  <c r="J1054" i="7"/>
  <c r="L3082" i="7"/>
  <c r="F3080" i="7"/>
  <c r="K237" i="5"/>
  <c r="L946" i="7"/>
  <c r="E946" i="7"/>
  <c r="F87" i="6"/>
  <c r="H90" i="5" s="1"/>
  <c r="E468" i="7"/>
  <c r="J468" i="7"/>
  <c r="I22" i="7"/>
  <c r="I1085" i="7"/>
  <c r="I224" i="7"/>
  <c r="I281" i="7"/>
  <c r="I79" i="7"/>
  <c r="I632" i="7"/>
  <c r="I694" i="7"/>
  <c r="F458" i="7"/>
  <c r="J460" i="7"/>
  <c r="G311" i="6"/>
  <c r="J314" i="5" s="1"/>
  <c r="L904" i="7"/>
  <c r="F903" i="7"/>
  <c r="F554" i="5"/>
  <c r="K554" i="5"/>
  <c r="G554" i="5" s="1"/>
  <c r="K572" i="5"/>
  <c r="G572" i="5" s="1"/>
  <c r="F572" i="5"/>
  <c r="F1462" i="7"/>
  <c r="J1464" i="7"/>
  <c r="F2956" i="7"/>
  <c r="J2957" i="7"/>
  <c r="F2957" i="7" s="1"/>
  <c r="G517" i="6"/>
  <c r="J520" i="5" s="1"/>
  <c r="G512" i="6"/>
  <c r="J515" i="5" s="1"/>
  <c r="J2826" i="7"/>
  <c r="E2826" i="7"/>
  <c r="I1833" i="7"/>
  <c r="I2430" i="7"/>
  <c r="I2073" i="7"/>
  <c r="I2127" i="7"/>
  <c r="I1935" i="7"/>
  <c r="I2155" i="7"/>
  <c r="I2229" i="7"/>
  <c r="I1779" i="7"/>
  <c r="I1861" i="7"/>
  <c r="I1958" i="7"/>
  <c r="I1760" i="7"/>
  <c r="I2411" i="7"/>
  <c r="I2252" i="7"/>
  <c r="I2049" i="7"/>
  <c r="L2200" i="7"/>
  <c r="F2199" i="7"/>
  <c r="F281" i="6"/>
  <c r="H284" i="5" s="1"/>
  <c r="F1190" i="7"/>
  <c r="E281" i="6" s="1"/>
  <c r="F145" i="5"/>
  <c r="K145" i="5"/>
  <c r="G145" i="5" s="1"/>
  <c r="K192" i="5"/>
  <c r="G192" i="5" s="1"/>
  <c r="F192" i="5"/>
  <c r="J418" i="7"/>
  <c r="E418" i="7"/>
  <c r="H2044" i="7"/>
  <c r="L2539" i="7"/>
  <c r="F2537" i="7"/>
  <c r="F351" i="5"/>
  <c r="K351" i="5"/>
  <c r="G351" i="5" s="1"/>
  <c r="L1378" i="7"/>
  <c r="F1377" i="7"/>
  <c r="E2329" i="7"/>
  <c r="J2329" i="7"/>
  <c r="F92" i="6"/>
  <c r="H95" i="5" s="1"/>
  <c r="F386" i="7"/>
  <c r="E92" i="6" s="1"/>
  <c r="K53" i="5"/>
  <c r="J922" i="7"/>
  <c r="H2248" i="7"/>
  <c r="E858" i="7"/>
  <c r="J858" i="7"/>
  <c r="G470" i="6"/>
  <c r="J473" i="5" s="1"/>
  <c r="F186" i="6"/>
  <c r="H189" i="5" s="1"/>
  <c r="F39" i="6"/>
  <c r="H42" i="5" s="1"/>
  <c r="I2342" i="7"/>
  <c r="I2314" i="7"/>
  <c r="L3118" i="7"/>
  <c r="F3116" i="7"/>
  <c r="L2545" i="7"/>
  <c r="F2543" i="7"/>
  <c r="J926" i="7"/>
  <c r="E2244" i="7"/>
  <c r="J2244" i="7"/>
  <c r="J907" i="7"/>
  <c r="E1950" i="7"/>
  <c r="J1950" i="7"/>
  <c r="H1333" i="7"/>
  <c r="K194" i="5"/>
  <c r="J1101" i="7"/>
  <c r="L2531" i="7"/>
  <c r="E2531" i="7"/>
  <c r="L2521" i="7"/>
  <c r="F2519" i="7"/>
  <c r="K48" i="5"/>
  <c r="L365" i="7"/>
  <c r="E365" i="7"/>
  <c r="E1442" i="7"/>
  <c r="J1442" i="7"/>
  <c r="F47" i="6"/>
  <c r="H50" i="5" s="1"/>
  <c r="J2970" i="7"/>
  <c r="E2970" i="7"/>
  <c r="J1093" i="7"/>
  <c r="L3152" i="7"/>
  <c r="E3152" i="7"/>
  <c r="L3226" i="7"/>
  <c r="F3224" i="7"/>
  <c r="J269" i="7"/>
  <c r="I137" i="7"/>
  <c r="I647" i="7"/>
  <c r="I702" i="7"/>
  <c r="I293" i="7"/>
  <c r="I37" i="7"/>
  <c r="I91" i="7"/>
  <c r="I706" i="7"/>
  <c r="I1097" i="7"/>
  <c r="I239" i="7"/>
  <c r="I1044" i="7"/>
  <c r="I642" i="7"/>
  <c r="E2304" i="7"/>
  <c r="J2304" i="7"/>
  <c r="H753" i="6"/>
  <c r="K2641" i="7" s="1"/>
  <c r="F3553" i="7"/>
  <c r="E753" i="6" s="1"/>
  <c r="F285" i="6"/>
  <c r="H288" i="5" s="1"/>
  <c r="J249" i="7"/>
  <c r="J87" i="7"/>
  <c r="J1925" i="7"/>
  <c r="E1925" i="7"/>
  <c r="I2338" i="7"/>
  <c r="I2309" i="7"/>
  <c r="J301" i="7"/>
  <c r="L3243" i="7"/>
  <c r="F3241" i="7"/>
  <c r="K462" i="5"/>
  <c r="G462" i="5" s="1"/>
  <c r="F462" i="5"/>
  <c r="I1301" i="7"/>
  <c r="I1252" i="7"/>
  <c r="J42" i="7"/>
  <c r="G494" i="6"/>
  <c r="J497" i="5" s="1"/>
  <c r="E428" i="7"/>
  <c r="J428" i="7"/>
  <c r="J477" i="7"/>
  <c r="E477" i="7"/>
  <c r="H2069" i="7"/>
  <c r="H2406" i="7"/>
  <c r="L1995" i="7"/>
  <c r="F1994" i="7"/>
  <c r="K352" i="5"/>
  <c r="G352" i="5" s="1"/>
  <c r="F352" i="5"/>
  <c r="G555" i="6"/>
  <c r="J558" i="5" s="1"/>
  <c r="K285" i="5"/>
  <c r="F512" i="5"/>
  <c r="K512" i="5"/>
  <c r="G512" i="5" s="1"/>
  <c r="E2354" i="7"/>
  <c r="J2354" i="7"/>
  <c r="L178" i="7"/>
  <c r="F177" i="7"/>
  <c r="J1014" i="7"/>
  <c r="K350" i="5"/>
  <c r="G350" i="5" s="1"/>
  <c r="F350" i="5"/>
  <c r="H1930" i="7"/>
  <c r="J1069" i="7"/>
  <c r="E1069" i="7"/>
  <c r="K91" i="5"/>
  <c r="J617" i="7"/>
  <c r="H1329" i="7"/>
  <c r="M597" i="5"/>
  <c r="G597" i="5" s="1"/>
  <c r="F597" i="5"/>
  <c r="F44" i="6"/>
  <c r="H47" i="5" s="1"/>
  <c r="F182" i="7"/>
  <c r="E44" i="6" s="1"/>
  <c r="K280" i="5"/>
  <c r="L1398" i="7"/>
  <c r="F1397" i="7"/>
  <c r="J355" i="5"/>
  <c r="I1447" i="7"/>
  <c r="I438" i="7"/>
  <c r="I497" i="7"/>
  <c r="I443" i="7"/>
  <c r="I2935" i="7"/>
  <c r="I2928" i="7"/>
  <c r="J667" i="7"/>
  <c r="K193" i="5"/>
  <c r="H749" i="6"/>
  <c r="K2621" i="7" s="1"/>
  <c r="F3537" i="7"/>
  <c r="E749" i="6" s="1"/>
  <c r="E2977" i="7"/>
  <c r="J2977" i="7"/>
  <c r="K583" i="5"/>
  <c r="E1472" i="7"/>
  <c r="J1472" i="7"/>
  <c r="J289" i="7"/>
  <c r="L1186" i="7"/>
  <c r="F1185" i="7"/>
  <c r="K571" i="5"/>
  <c r="G571" i="5" s="1"/>
  <c r="F571" i="5"/>
  <c r="L1205" i="7"/>
  <c r="E1205" i="7"/>
  <c r="J2219" i="7"/>
  <c r="E2219" i="7"/>
  <c r="F213" i="6"/>
  <c r="H216" i="5" s="1"/>
  <c r="J145" i="7"/>
  <c r="L1410" i="7"/>
  <c r="F1409" i="7"/>
  <c r="J234" i="7"/>
  <c r="J2015" i="7"/>
  <c r="E2015" i="7"/>
  <c r="J1437" i="7"/>
  <c r="E1437" i="7"/>
  <c r="E2010" i="7"/>
  <c r="J2010" i="7"/>
  <c r="E2879" i="7"/>
  <c r="J2879" i="7"/>
  <c r="H1775" i="7"/>
  <c r="K531" i="5"/>
  <c r="G531" i="5" s="1"/>
  <c r="F531" i="5"/>
  <c r="J489" i="7"/>
  <c r="E489" i="7"/>
  <c r="H2151" i="7"/>
  <c r="K100" i="5"/>
  <c r="J47" i="7"/>
  <c r="I1787" i="7"/>
  <c r="I2059" i="7"/>
  <c r="I1770" i="7"/>
  <c r="I2163" i="7"/>
  <c r="I1843" i="7"/>
  <c r="I2438" i="7"/>
  <c r="I1966" i="7"/>
  <c r="I2239" i="7"/>
  <c r="I1869" i="7"/>
  <c r="I2137" i="7"/>
  <c r="I2260" i="7"/>
  <c r="I2421" i="7"/>
  <c r="I2081" i="7"/>
  <c r="I1945" i="7"/>
  <c r="F487" i="5"/>
  <c r="K487" i="5"/>
  <c r="G487" i="5" s="1"/>
  <c r="J141" i="7"/>
  <c r="F553" i="5"/>
  <c r="K553" i="5"/>
  <c r="G553" i="5" s="1"/>
  <c r="K43" i="5"/>
  <c r="K191" i="5"/>
  <c r="F95" i="6"/>
  <c r="H98" i="5" s="1"/>
  <c r="G312" i="6"/>
  <c r="J315" i="5" s="1"/>
  <c r="K584" i="5"/>
  <c r="F276" i="6"/>
  <c r="H279" i="5" s="1"/>
  <c r="I1783" i="7"/>
  <c r="I1940" i="7"/>
  <c r="I1962" i="7"/>
  <c r="I2234" i="7"/>
  <c r="I1865" i="7"/>
  <c r="I2256" i="7"/>
  <c r="I1838" i="7"/>
  <c r="I2054" i="7"/>
  <c r="I1765" i="7"/>
  <c r="I2077" i="7"/>
  <c r="I2434" i="7"/>
  <c r="I2132" i="7"/>
  <c r="I2159" i="7"/>
  <c r="I2416" i="7"/>
  <c r="H1828" i="7"/>
  <c r="K463" i="5"/>
  <c r="G463" i="5" s="1"/>
  <c r="F463" i="5"/>
  <c r="H1272" i="7"/>
  <c r="J714" i="7"/>
  <c r="J682" i="7"/>
  <c r="E1823" i="7"/>
  <c r="J1823" i="7"/>
  <c r="H1317" i="7"/>
  <c r="F658" i="6"/>
  <c r="J662" i="7"/>
  <c r="L1194" i="7"/>
  <c r="F1193" i="7"/>
  <c r="J99" i="7"/>
  <c r="K330" i="5"/>
  <c r="F361" i="5"/>
  <c r="K361" i="5"/>
  <c r="G361" i="5" s="1"/>
  <c r="K360" i="5"/>
  <c r="G360" i="5" s="1"/>
  <c r="F360" i="5"/>
  <c r="J1039" i="7"/>
  <c r="L826" i="7"/>
  <c r="E826" i="7"/>
  <c r="K328" i="5"/>
  <c r="F224" i="6"/>
  <c r="H227" i="5" s="1"/>
  <c r="J244" i="7"/>
  <c r="L370" i="7"/>
  <c r="F369" i="7"/>
  <c r="J1269" i="7"/>
  <c r="F2319" i="7"/>
  <c r="J2321" i="7"/>
  <c r="E1422" i="7"/>
  <c r="J1422" i="7"/>
  <c r="I1223" i="7"/>
  <c r="I1218" i="7"/>
  <c r="I1247" i="7"/>
  <c r="I1297" i="7"/>
  <c r="I1213" i="7"/>
  <c r="I1227" i="7"/>
  <c r="F45" i="5"/>
  <c r="K45" i="5"/>
  <c r="G45" i="5" s="1"/>
  <c r="I980" i="7"/>
  <c r="I1064" i="7"/>
  <c r="I103" i="7"/>
  <c r="I149" i="7"/>
  <c r="I259" i="7"/>
  <c r="I309" i="7"/>
  <c r="I975" i="7"/>
  <c r="I726" i="7"/>
  <c r="I254" i="7"/>
  <c r="I997" i="7"/>
  <c r="I52" i="7"/>
  <c r="I305" i="7"/>
  <c r="I153" i="7"/>
  <c r="I107" i="7"/>
  <c r="I1113" i="7"/>
  <c r="I57" i="7"/>
  <c r="I672" i="7"/>
  <c r="I992" i="7"/>
  <c r="K51" i="5"/>
  <c r="H2224" i="7"/>
  <c r="E1427" i="7"/>
  <c r="J1427" i="7"/>
  <c r="L1382" i="7"/>
  <c r="F1381" i="7"/>
  <c r="K101" i="5"/>
  <c r="K329" i="5"/>
  <c r="J7" i="7"/>
  <c r="J2622" i="7"/>
  <c r="L3008" i="7"/>
  <c r="E3008" i="7"/>
  <c r="H1287" i="7"/>
  <c r="L2515" i="7"/>
  <c r="F2513" i="7"/>
  <c r="G304" i="6"/>
  <c r="J307" i="5" s="1"/>
  <c r="L3311" i="7"/>
  <c r="F3309" i="7"/>
  <c r="H1954" i="7"/>
  <c r="L1174" i="7"/>
  <c r="F1173" i="7"/>
  <c r="L950" i="7"/>
  <c r="E950" i="7"/>
  <c r="J354" i="5"/>
  <c r="I493" i="7"/>
  <c r="I2921" i="7"/>
  <c r="L2459" i="7"/>
  <c r="F2458" i="7"/>
  <c r="F2631" i="7"/>
  <c r="J2632" i="7"/>
  <c r="J2147" i="7"/>
  <c r="E2147" i="7"/>
  <c r="J297" i="7"/>
  <c r="K586" i="5"/>
  <c r="L3328" i="7"/>
  <c r="F3326" i="7"/>
  <c r="K418" i="5"/>
  <c r="G418" i="5" s="1"/>
  <c r="F418" i="5"/>
  <c r="G559" i="6"/>
  <c r="J562" i="5" s="1"/>
  <c r="J1059" i="7"/>
  <c r="K296" i="5"/>
  <c r="F464" i="5"/>
  <c r="K464" i="5"/>
  <c r="G464" i="5" s="1"/>
  <c r="L955" i="7"/>
  <c r="F954" i="7"/>
  <c r="J133" i="7"/>
  <c r="K289" i="5"/>
  <c r="L1906" i="7"/>
  <c r="F1905" i="7"/>
  <c r="L193" i="7"/>
  <c r="E193" i="7"/>
  <c r="J710" i="7"/>
  <c r="L803" i="7"/>
  <c r="F802" i="7"/>
  <c r="G313" i="6"/>
  <c r="J316" i="5" s="1"/>
  <c r="K52" i="5"/>
  <c r="E433" i="7"/>
  <c r="J433" i="7"/>
  <c r="F510" i="5"/>
  <c r="K510" i="5"/>
  <c r="G510" i="5" s="1"/>
  <c r="E2893" i="7"/>
  <c r="J2893" i="7"/>
  <c r="H2122" i="7"/>
  <c r="F419" i="5"/>
  <c r="K419" i="5"/>
  <c r="G419" i="5" s="1"/>
  <c r="J1432" i="7"/>
  <c r="E1432" i="7"/>
  <c r="J357" i="5"/>
  <c r="I453" i="7"/>
  <c r="I1457" i="7"/>
  <c r="I505" i="7"/>
  <c r="I2949" i="7"/>
  <c r="E485" i="7"/>
  <c r="J485" i="7"/>
  <c r="E1417" i="7"/>
  <c r="J1417" i="7"/>
  <c r="L807" i="7"/>
  <c r="F806" i="7"/>
  <c r="L166" i="7"/>
  <c r="F165" i="7"/>
  <c r="E481" i="7"/>
  <c r="J481" i="7"/>
  <c r="K331" i="5"/>
  <c r="F2346" i="7"/>
  <c r="J2347" i="7"/>
  <c r="J848" i="7"/>
  <c r="E473" i="7"/>
  <c r="J473" i="7"/>
  <c r="J963" i="7"/>
  <c r="J423" i="7"/>
  <c r="E423" i="7"/>
  <c r="K92" i="5"/>
  <c r="G419" i="6"/>
  <c r="J422" i="5" s="1"/>
  <c r="L3028" i="7"/>
  <c r="F3026" i="7"/>
  <c r="I264" i="7"/>
  <c r="I111" i="7"/>
  <c r="I157" i="7"/>
  <c r="I313" i="7"/>
  <c r="I677" i="7"/>
  <c r="I62" i="7"/>
  <c r="I730" i="7"/>
  <c r="J1009" i="7"/>
  <c r="E1009" i="7"/>
  <c r="F225" i="6"/>
  <c r="H228" i="5" s="1"/>
  <c r="C5" i="9"/>
  <c r="E4" i="8"/>
  <c r="H1321" i="7"/>
  <c r="J2652" i="7"/>
  <c r="J912" i="7"/>
  <c r="E1853" i="7"/>
  <c r="J1853" i="7"/>
  <c r="J209" i="7"/>
  <c r="J67" i="7"/>
  <c r="E2024" i="7"/>
  <c r="J2024" i="7"/>
  <c r="G448" i="6"/>
  <c r="J451" i="5" s="1"/>
  <c r="K282" i="5"/>
  <c r="G282" i="5" s="1"/>
  <c r="F282" i="5"/>
  <c r="J356" i="5"/>
  <c r="I448" i="7"/>
  <c r="I1452" i="7"/>
  <c r="I501" i="7"/>
  <c r="I2942" i="7"/>
  <c r="K146" i="5"/>
  <c r="G146" i="5" s="1"/>
  <c r="F146" i="5"/>
  <c r="J95" i="7"/>
  <c r="K241" i="5"/>
  <c r="L1240" i="7"/>
  <c r="F1239" i="7"/>
  <c r="I2142" i="7"/>
  <c r="I2064" i="7"/>
  <c r="I2167" i="7"/>
  <c r="K246" i="5"/>
  <c r="G246" i="5" s="1"/>
  <c r="F246" i="5"/>
  <c r="J722" i="7"/>
  <c r="L1414" i="7"/>
  <c r="F1413" i="7"/>
  <c r="F2626" i="7"/>
  <c r="J2627" i="7"/>
  <c r="E2334" i="7"/>
  <c r="J2334" i="7"/>
  <c r="L2289" i="7"/>
  <c r="F2288" i="7"/>
  <c r="J32" i="7"/>
  <c r="L397" i="7"/>
  <c r="E397" i="7"/>
  <c r="I196" i="5" l="1"/>
  <c r="I286" i="5"/>
  <c r="I287" i="5"/>
  <c r="L795" i="7"/>
  <c r="F794" i="7"/>
  <c r="I444" i="5"/>
  <c r="G444" i="5" s="1"/>
  <c r="F444" i="5"/>
  <c r="H238" i="6"/>
  <c r="L241" i="5" s="1"/>
  <c r="F1006" i="7"/>
  <c r="E238" i="6" s="1"/>
  <c r="I198" i="5"/>
  <c r="H234" i="6"/>
  <c r="L237" i="5" s="1"/>
  <c r="F989" i="7"/>
  <c r="E234" i="6" s="1"/>
  <c r="H97" i="6"/>
  <c r="L100" i="5" s="1"/>
  <c r="F406" i="7"/>
  <c r="E97" i="6" s="1"/>
  <c r="I97" i="5"/>
  <c r="L3046" i="7"/>
  <c r="F3044" i="7"/>
  <c r="L1198" i="7"/>
  <c r="F1197" i="7"/>
  <c r="L1202" i="7"/>
  <c r="F1201" i="7"/>
  <c r="H197" i="6"/>
  <c r="L200" i="5" s="1"/>
  <c r="F831" i="7"/>
  <c r="E197" i="6" s="1"/>
  <c r="I49" i="5"/>
  <c r="L1178" i="7"/>
  <c r="F1177" i="7"/>
  <c r="H327" i="6"/>
  <c r="L330" i="5" s="1"/>
  <c r="F1386" i="7"/>
  <c r="E327" i="6" s="1"/>
  <c r="H48" i="6"/>
  <c r="L51" i="5" s="1"/>
  <c r="F198" i="7"/>
  <c r="E48" i="6" s="1"/>
  <c r="L819" i="7"/>
  <c r="F818" i="7"/>
  <c r="L815" i="7"/>
  <c r="F814" i="7"/>
  <c r="I432" i="5"/>
  <c r="G432" i="5" s="1"/>
  <c r="F432" i="5"/>
  <c r="H700" i="6"/>
  <c r="F3260" i="7"/>
  <c r="E700" i="6" s="1"/>
  <c r="I197" i="5"/>
  <c r="G1105" i="7"/>
  <c r="G297" i="7"/>
  <c r="G718" i="7"/>
  <c r="G95" i="7"/>
  <c r="G42" i="7"/>
  <c r="G652" i="7"/>
  <c r="G1049" i="7"/>
  <c r="G244" i="7"/>
  <c r="G1054" i="7"/>
  <c r="G662" i="7"/>
  <c r="G714" i="7"/>
  <c r="G1101" i="7"/>
  <c r="G657" i="7"/>
  <c r="G141" i="7"/>
  <c r="G710" i="7"/>
  <c r="L394" i="7"/>
  <c r="F393" i="7"/>
  <c r="H286" i="6"/>
  <c r="L289" i="5" s="1"/>
  <c r="F1210" i="7"/>
  <c r="E286" i="6" s="1"/>
  <c r="L823" i="7"/>
  <c r="F822" i="7"/>
  <c r="L170" i="7"/>
  <c r="F169" i="7"/>
  <c r="H49" i="6"/>
  <c r="L52" i="5" s="1"/>
  <c r="F202" i="7"/>
  <c r="E49" i="6" s="1"/>
  <c r="L190" i="7"/>
  <c r="F189" i="7"/>
  <c r="I426" i="5"/>
  <c r="G426" i="5" s="1"/>
  <c r="F426" i="5"/>
  <c r="I513" i="5"/>
  <c r="G513" i="5" s="1"/>
  <c r="F513" i="5"/>
  <c r="L374" i="7"/>
  <c r="F373" i="7"/>
  <c r="L3136" i="7"/>
  <c r="F3134" i="7"/>
  <c r="H685" i="6"/>
  <c r="F3172" i="7"/>
  <c r="E685" i="6" s="1"/>
  <c r="H96" i="6"/>
  <c r="L99" i="5" s="1"/>
  <c r="F402" i="7"/>
  <c r="E96" i="6" s="1"/>
  <c r="J980" i="7"/>
  <c r="F2010" i="7"/>
  <c r="J2012" i="7"/>
  <c r="J1097" i="7"/>
  <c r="G108" i="6"/>
  <c r="J111" i="5" s="1"/>
  <c r="F460" i="7"/>
  <c r="E108" i="6" s="1"/>
  <c r="J627" i="7"/>
  <c r="J2915" i="7"/>
  <c r="F2915" i="7" s="1"/>
  <c r="F2914" i="7"/>
  <c r="J111" i="7"/>
  <c r="E2239" i="7"/>
  <c r="J2239" i="7"/>
  <c r="E1935" i="7"/>
  <c r="J1935" i="7"/>
  <c r="J125" i="7"/>
  <c r="J2021" i="7"/>
  <c r="F2020" i="7"/>
  <c r="H2226" i="7"/>
  <c r="J17" i="7"/>
  <c r="J302" i="7"/>
  <c r="J2430" i="7"/>
  <c r="E2430" i="7"/>
  <c r="K315" i="5"/>
  <c r="J619" i="7"/>
  <c r="J12" i="7"/>
  <c r="J914" i="7"/>
  <c r="H1830" i="7"/>
  <c r="J1113" i="7"/>
  <c r="G534" i="6"/>
  <c r="J537" i="5" s="1"/>
  <c r="F2321" i="7"/>
  <c r="E534" i="6" s="1"/>
  <c r="K357" i="5"/>
  <c r="G357" i="5" s="1"/>
  <c r="F357" i="5"/>
  <c r="J870" i="7"/>
  <c r="H332" i="6"/>
  <c r="L335" i="5" s="1"/>
  <c r="F1406" i="7"/>
  <c r="E332" i="6" s="1"/>
  <c r="J34" i="7"/>
  <c r="G299" i="6"/>
  <c r="J302" i="5" s="1"/>
  <c r="J1094" i="7"/>
  <c r="E2942" i="7"/>
  <c r="J2942" i="7"/>
  <c r="E1765" i="7"/>
  <c r="J1765" i="7"/>
  <c r="J909" i="7"/>
  <c r="J129" i="7"/>
  <c r="J9" i="7"/>
  <c r="J254" i="7"/>
  <c r="J664" i="7"/>
  <c r="E2054" i="7"/>
  <c r="J2054" i="7"/>
  <c r="J142" i="7"/>
  <c r="J2221" i="7"/>
  <c r="F2219" i="7"/>
  <c r="E2935" i="7"/>
  <c r="J2935" i="7"/>
  <c r="J478" i="7"/>
  <c r="F477" i="7"/>
  <c r="I288" i="5"/>
  <c r="H506" i="6"/>
  <c r="L509" i="5" s="1"/>
  <c r="F2200" i="7"/>
  <c r="E506" i="6" s="1"/>
  <c r="L947" i="7"/>
  <c r="F946" i="7"/>
  <c r="K446" i="5"/>
  <c r="K359" i="5"/>
  <c r="G359" i="5" s="1"/>
  <c r="F359" i="5"/>
  <c r="J285" i="7"/>
  <c r="H414" i="6"/>
  <c r="L417" i="5" s="1"/>
  <c r="F1808" i="7"/>
  <c r="E414" i="6" s="1"/>
  <c r="L410" i="7"/>
  <c r="F409" i="7"/>
  <c r="H93" i="6"/>
  <c r="L96" i="5" s="1"/>
  <c r="F390" i="7"/>
  <c r="E93" i="6" s="1"/>
  <c r="J313" i="7"/>
  <c r="J1301" i="7"/>
  <c r="L162" i="7"/>
  <c r="F161" i="7"/>
  <c r="H40" i="6"/>
  <c r="L43" i="5" s="1"/>
  <c r="F166" i="7"/>
  <c r="E40" i="6" s="1"/>
  <c r="J715" i="7"/>
  <c r="J1227" i="7"/>
  <c r="J1213" i="7"/>
  <c r="F1437" i="7"/>
  <c r="J1439" i="7"/>
  <c r="J2908" i="7"/>
  <c r="F2908" i="7" s="1"/>
  <c r="F2907" i="7"/>
  <c r="J2064" i="7"/>
  <c r="E2064" i="7"/>
  <c r="I42" i="5"/>
  <c r="J632" i="7"/>
  <c r="E632" i="7"/>
  <c r="J1024" i="7"/>
  <c r="J1247" i="7"/>
  <c r="H2046" i="7"/>
  <c r="J236" i="7"/>
  <c r="H1330" i="7"/>
  <c r="J2309" i="7"/>
  <c r="E2309" i="7"/>
  <c r="J1102" i="7"/>
  <c r="E281" i="7"/>
  <c r="J281" i="7"/>
  <c r="J1074" i="7"/>
  <c r="J1223" i="7"/>
  <c r="H579" i="6"/>
  <c r="L582" i="5" s="1"/>
  <c r="F2515" i="7"/>
  <c r="E579" i="6" s="1"/>
  <c r="J1424" i="7"/>
  <c r="F1422" i="7"/>
  <c r="H458" i="6"/>
  <c r="L461" i="5" s="1"/>
  <c r="F1995" i="7"/>
  <c r="E458" i="6" s="1"/>
  <c r="J1034" i="7"/>
  <c r="H706" i="6"/>
  <c r="F3294" i="7"/>
  <c r="E706" i="6" s="1"/>
  <c r="E453" i="7"/>
  <c r="J453" i="7"/>
  <c r="J153" i="7"/>
  <c r="J1089" i="7"/>
  <c r="H437" i="6"/>
  <c r="L440" i="5" s="1"/>
  <c r="F1906" i="7"/>
  <c r="E437" i="6" s="1"/>
  <c r="L3154" i="7"/>
  <c r="F3152" i="7"/>
  <c r="J659" i="7"/>
  <c r="J1110" i="7"/>
  <c r="J474" i="7"/>
  <c r="F473" i="7"/>
  <c r="J52" i="7"/>
  <c r="E2077" i="7"/>
  <c r="J2077" i="7"/>
  <c r="I90" i="5"/>
  <c r="E513" i="7"/>
  <c r="J513" i="7"/>
  <c r="G344" i="6"/>
  <c r="J347" i="5" s="1"/>
  <c r="F1464" i="7"/>
  <c r="E344" i="6" s="1"/>
  <c r="J463" i="7"/>
  <c r="E463" i="7"/>
  <c r="J501" i="7"/>
  <c r="E501" i="7"/>
  <c r="H527" i="6"/>
  <c r="L530" i="5" s="1"/>
  <c r="F2289" i="7"/>
  <c r="E527" i="6" s="1"/>
  <c r="E1452" i="7"/>
  <c r="J1452" i="7"/>
  <c r="J850" i="7"/>
  <c r="J134" i="7"/>
  <c r="J726" i="7"/>
  <c r="H88" i="6"/>
  <c r="L91" i="5" s="1"/>
  <c r="F370" i="7"/>
  <c r="E88" i="6" s="1"/>
  <c r="J1838" i="7"/>
  <c r="E1838" i="7"/>
  <c r="J490" i="7"/>
  <c r="F489" i="7"/>
  <c r="J443" i="7"/>
  <c r="E443" i="7"/>
  <c r="J430" i="7"/>
  <c r="F428" i="7"/>
  <c r="F2970" i="7"/>
  <c r="J2971" i="7"/>
  <c r="F2971" i="7" s="1"/>
  <c r="J2245" i="7"/>
  <c r="F2244" i="7"/>
  <c r="E2049" i="7"/>
  <c r="J2049" i="7"/>
  <c r="J1257" i="7"/>
  <c r="J229" i="7"/>
  <c r="J2901" i="7"/>
  <c r="F2901" i="7" s="1"/>
  <c r="F2900" i="7"/>
  <c r="I199" i="5"/>
  <c r="H187" i="6"/>
  <c r="L190" i="5" s="1"/>
  <c r="F791" i="7"/>
  <c r="E187" i="6" s="1"/>
  <c r="I279" i="5"/>
  <c r="E2314" i="7"/>
  <c r="J2314" i="7"/>
  <c r="L827" i="7"/>
  <c r="F826" i="7"/>
  <c r="H2427" i="7"/>
  <c r="H1955" i="7"/>
  <c r="J1041" i="7"/>
  <c r="E2127" i="7"/>
  <c r="J2127" i="7"/>
  <c r="E2438" i="7"/>
  <c r="J2438" i="7"/>
  <c r="J960" i="7"/>
  <c r="K307" i="5"/>
  <c r="J2017" i="7"/>
  <c r="F2015" i="7"/>
  <c r="J647" i="7"/>
  <c r="H1858" i="7"/>
  <c r="K422" i="5"/>
  <c r="J992" i="7"/>
  <c r="K305" i="5"/>
  <c r="H712" i="6"/>
  <c r="F3328" i="7"/>
  <c r="E712" i="6" s="1"/>
  <c r="J270" i="7"/>
  <c r="E224" i="7"/>
  <c r="J224" i="7"/>
  <c r="F413" i="7"/>
  <c r="J415" i="7"/>
  <c r="E505" i="7"/>
  <c r="J505" i="7"/>
  <c r="J1787" i="7"/>
  <c r="E1787" i="7"/>
  <c r="K405" i="5"/>
  <c r="H333" i="6"/>
  <c r="L336" i="5" s="1"/>
  <c r="F1410" i="7"/>
  <c r="E333" i="6" s="1"/>
  <c r="J22" i="7"/>
  <c r="E22" i="7"/>
  <c r="J637" i="7"/>
  <c r="J1019" i="7"/>
  <c r="J107" i="7"/>
  <c r="G309" i="6"/>
  <c r="J312" i="5" s="1"/>
  <c r="H1334" i="7"/>
  <c r="J1467" i="7"/>
  <c r="E1467" i="7"/>
  <c r="J305" i="7"/>
  <c r="J1070" i="7"/>
  <c r="F1069" i="7"/>
  <c r="L1390" i="7"/>
  <c r="F1389" i="7"/>
  <c r="F1432" i="7"/>
  <c r="J1434" i="7"/>
  <c r="J1077" i="7"/>
  <c r="H1932" i="7"/>
  <c r="F2334" i="7"/>
  <c r="J2335" i="7"/>
  <c r="E448" i="7"/>
  <c r="J448" i="7"/>
  <c r="I228" i="5"/>
  <c r="G540" i="6"/>
  <c r="J543" i="5" s="1"/>
  <c r="F2347" i="7"/>
  <c r="E540" i="6" s="1"/>
  <c r="H567" i="6"/>
  <c r="L570" i="5" s="1"/>
  <c r="F2459" i="7"/>
  <c r="E567" i="6" s="1"/>
  <c r="J975" i="7"/>
  <c r="J246" i="7"/>
  <c r="E2256" i="7"/>
  <c r="J2256" i="7"/>
  <c r="L1206" i="7"/>
  <c r="F1205" i="7"/>
  <c r="E497" i="7"/>
  <c r="J497" i="7"/>
  <c r="J1016" i="7"/>
  <c r="L2641" i="7"/>
  <c r="E2641" i="7"/>
  <c r="J2252" i="7"/>
  <c r="E2252" i="7"/>
  <c r="G120" i="6"/>
  <c r="J123" i="5" s="1"/>
  <c r="F510" i="7"/>
  <c r="E120" i="6" s="1"/>
  <c r="J1305" i="7"/>
  <c r="J1106" i="7"/>
  <c r="E2350" i="7"/>
  <c r="J2350" i="7"/>
  <c r="L835" i="7"/>
  <c r="F834" i="7"/>
  <c r="L2646" i="7"/>
  <c r="E2646" i="7"/>
  <c r="H676" i="6"/>
  <c r="F3118" i="7"/>
  <c r="E676" i="6" s="1"/>
  <c r="H277" i="6"/>
  <c r="L280" i="5" s="1"/>
  <c r="F1174" i="7"/>
  <c r="E277" i="6" s="1"/>
  <c r="E1869" i="7"/>
  <c r="J1869" i="7"/>
  <c r="J706" i="7"/>
  <c r="H1294" i="7"/>
  <c r="E2342" i="7"/>
  <c r="J2342" i="7"/>
  <c r="F2117" i="7"/>
  <c r="J2119" i="7"/>
  <c r="I47" i="5"/>
  <c r="G47" i="5" s="1"/>
  <c r="F47" i="5"/>
  <c r="J37" i="7"/>
  <c r="J75" i="7"/>
  <c r="E2167" i="7"/>
  <c r="J2167" i="7"/>
  <c r="J2073" i="7"/>
  <c r="E2073" i="7"/>
  <c r="H661" i="6"/>
  <c r="F3028" i="7"/>
  <c r="E661" i="6" s="1"/>
  <c r="K603" i="5"/>
  <c r="F485" i="7"/>
  <c r="J486" i="7"/>
  <c r="L2533" i="7"/>
  <c r="F2531" i="7"/>
  <c r="E79" i="7"/>
  <c r="J79" i="7"/>
  <c r="J686" i="7"/>
  <c r="J917" i="7"/>
  <c r="J711" i="7"/>
  <c r="L3277" i="7"/>
  <c r="F3275" i="7"/>
  <c r="L2621" i="7"/>
  <c r="E2621" i="7"/>
  <c r="K473" i="5"/>
  <c r="J853" i="7"/>
  <c r="J1262" i="7"/>
  <c r="G603" i="6"/>
  <c r="J606" i="5" s="1"/>
  <c r="H192" i="6"/>
  <c r="L195" i="5" s="1"/>
  <c r="F811" i="7"/>
  <c r="E192" i="6" s="1"/>
  <c r="J964" i="7"/>
  <c r="J2132" i="7"/>
  <c r="E2132" i="7"/>
  <c r="L3010" i="7"/>
  <c r="F3008" i="7"/>
  <c r="J2963" i="7"/>
  <c r="E2963" i="7"/>
  <c r="H226" i="6"/>
  <c r="L229" i="5" s="1"/>
  <c r="F955" i="7"/>
  <c r="E226" i="6" s="1"/>
  <c r="E2921" i="7"/>
  <c r="J2921" i="7"/>
  <c r="J309" i="7"/>
  <c r="G67" i="7"/>
  <c r="G682" i="7"/>
  <c r="G209" i="7"/>
  <c r="G907" i="7"/>
  <c r="G926" i="7"/>
  <c r="G1073" i="7"/>
  <c r="G617" i="7"/>
  <c r="G7" i="7"/>
  <c r="G866" i="7"/>
  <c r="G1014" i="7"/>
  <c r="G848" i="7"/>
  <c r="G922" i="7"/>
  <c r="G269" i="7"/>
  <c r="G912" i="7"/>
  <c r="G958" i="7"/>
  <c r="G963" i="7"/>
  <c r="J1865" i="7"/>
  <c r="E1865" i="7"/>
  <c r="E438" i="7"/>
  <c r="J438" i="7"/>
  <c r="F2304" i="7"/>
  <c r="J2306" i="7"/>
  <c r="I50" i="5"/>
  <c r="J927" i="7"/>
  <c r="J2411" i="7"/>
  <c r="E2411" i="7"/>
  <c r="J719" i="7"/>
  <c r="J2324" i="7"/>
  <c r="E2324" i="7"/>
  <c r="L787" i="7"/>
  <c r="F786" i="7"/>
  <c r="L2651" i="7"/>
  <c r="E2651" i="7"/>
  <c r="J1061" i="7"/>
  <c r="H483" i="6"/>
  <c r="L486" i="5" s="1"/>
  <c r="F2102" i="7"/>
  <c r="E483" i="6" s="1"/>
  <c r="J1474" i="7"/>
  <c r="F1472" i="7"/>
  <c r="J2155" i="7"/>
  <c r="E2155" i="7"/>
  <c r="J68" i="7"/>
  <c r="J91" i="7"/>
  <c r="F862" i="7"/>
  <c r="J863" i="7"/>
  <c r="H191" i="6"/>
  <c r="L194" i="5" s="1"/>
  <c r="F807" i="7"/>
  <c r="E191" i="6" s="1"/>
  <c r="H697" i="6"/>
  <c r="F3243" i="7"/>
  <c r="E697" i="6" s="1"/>
  <c r="G32" i="7"/>
  <c r="G1093" i="7"/>
  <c r="G234" i="7"/>
  <c r="G133" i="7"/>
  <c r="G289" i="7"/>
  <c r="G1039" i="7"/>
  <c r="G87" i="7"/>
  <c r="J71" i="7"/>
  <c r="J1297" i="7"/>
  <c r="K558" i="5"/>
  <c r="J702" i="7"/>
  <c r="L972" i="7"/>
  <c r="F971" i="7"/>
  <c r="J211" i="7"/>
  <c r="L2637" i="7"/>
  <c r="F2636" i="7"/>
  <c r="H293" i="6"/>
  <c r="L296" i="5" s="1"/>
  <c r="F1240" i="7"/>
  <c r="E293" i="6" s="1"/>
  <c r="E1085" i="7"/>
  <c r="J1085" i="7"/>
  <c r="J1457" i="7"/>
  <c r="E1457" i="7"/>
  <c r="J859" i="7"/>
  <c r="F858" i="7"/>
  <c r="J100" i="7"/>
  <c r="H331" i="6"/>
  <c r="L334" i="5" s="1"/>
  <c r="F1402" i="7"/>
  <c r="E331" i="6" s="1"/>
  <c r="F838" i="7"/>
  <c r="J840" i="7"/>
  <c r="K520" i="5"/>
  <c r="E2434" i="7"/>
  <c r="J2434" i="7"/>
  <c r="H2070" i="7"/>
  <c r="H2249" i="7"/>
  <c r="J273" i="7"/>
  <c r="H1322" i="7"/>
  <c r="J923" i="7"/>
  <c r="F2893" i="7"/>
  <c r="J2894" i="7"/>
  <c r="F2894" i="7" s="1"/>
  <c r="J493" i="7"/>
  <c r="E493" i="7"/>
  <c r="J259" i="7"/>
  <c r="E2234" i="7"/>
  <c r="J2234" i="7"/>
  <c r="J1945" i="7"/>
  <c r="E1945" i="7"/>
  <c r="J1447" i="7"/>
  <c r="E1447" i="7"/>
  <c r="K497" i="5"/>
  <c r="F1442" i="7"/>
  <c r="J1444" i="7"/>
  <c r="I95" i="5"/>
  <c r="G95" i="5" s="1"/>
  <c r="F95" i="5"/>
  <c r="E1760" i="7"/>
  <c r="J1760" i="7"/>
  <c r="G1059" i="7"/>
  <c r="G301" i="7"/>
  <c r="G1109" i="7"/>
  <c r="G99" i="7"/>
  <c r="G47" i="7"/>
  <c r="G722" i="7"/>
  <c r="G667" i="7"/>
  <c r="G249" i="7"/>
  <c r="G145" i="7"/>
  <c r="K317" i="5"/>
  <c r="G601" i="6"/>
  <c r="J604" i="5" s="1"/>
  <c r="L1170" i="7"/>
  <c r="F1169" i="7"/>
  <c r="L3190" i="7"/>
  <c r="F3188" i="7"/>
  <c r="F433" i="7"/>
  <c r="J435" i="7"/>
  <c r="J290" i="7"/>
  <c r="K314" i="5"/>
  <c r="J690" i="7"/>
  <c r="H91" i="6"/>
  <c r="L94" i="5" s="1"/>
  <c r="F382" i="7"/>
  <c r="E91" i="6" s="1"/>
  <c r="I233" i="5"/>
  <c r="K562" i="5"/>
  <c r="E1966" i="7"/>
  <c r="J1966" i="7"/>
  <c r="J293" i="7"/>
  <c r="E694" i="7"/>
  <c r="J694" i="7"/>
  <c r="K316" i="5"/>
  <c r="J1843" i="7"/>
  <c r="E1843" i="7"/>
  <c r="K313" i="5"/>
  <c r="J930" i="7"/>
  <c r="J2142" i="7"/>
  <c r="E2142" i="7"/>
  <c r="J2163" i="7"/>
  <c r="E2163" i="7"/>
  <c r="H45" i="6"/>
  <c r="L48" i="5" s="1"/>
  <c r="F186" i="7"/>
  <c r="E45" i="6" s="1"/>
  <c r="F1853" i="7"/>
  <c r="J1854" i="7"/>
  <c r="J1218" i="7"/>
  <c r="K478" i="5"/>
  <c r="E2949" i="7"/>
  <c r="J2949" i="7"/>
  <c r="J2059" i="7"/>
  <c r="E2059" i="7"/>
  <c r="F418" i="7"/>
  <c r="J420" i="7"/>
  <c r="I98" i="5"/>
  <c r="F1925" i="7"/>
  <c r="J1927" i="7"/>
  <c r="L206" i="7"/>
  <c r="F205" i="7"/>
  <c r="L900" i="7"/>
  <c r="F899" i="7"/>
  <c r="J298" i="7"/>
  <c r="J49" i="7"/>
  <c r="J669" i="7"/>
  <c r="F1950" i="7"/>
  <c r="J1951" i="7"/>
  <c r="J867" i="7"/>
  <c r="H282" i="6"/>
  <c r="L285" i="5" s="1"/>
  <c r="F1194" i="7"/>
  <c r="E282" i="6" s="1"/>
  <c r="I284" i="5"/>
  <c r="G284" i="5" s="1"/>
  <c r="F284" i="5"/>
  <c r="J698" i="7"/>
  <c r="J997" i="7"/>
  <c r="K303" i="5"/>
  <c r="G598" i="6"/>
  <c r="J601" i="5" s="1"/>
  <c r="F2627" i="7"/>
  <c r="E598" i="6" s="1"/>
  <c r="J730" i="7"/>
  <c r="F354" i="5"/>
  <c r="K354" i="5"/>
  <c r="G354" i="5" s="1"/>
  <c r="J149" i="7"/>
  <c r="I227" i="5"/>
  <c r="H1318" i="7"/>
  <c r="E1962" i="7"/>
  <c r="J1962" i="7"/>
  <c r="J2081" i="7"/>
  <c r="E2081" i="7"/>
  <c r="H1776" i="7"/>
  <c r="F355" i="5"/>
  <c r="K355" i="5"/>
  <c r="G355" i="5" s="1"/>
  <c r="H43" i="6"/>
  <c r="L46" i="5" s="1"/>
  <c r="F178" i="7"/>
  <c r="E43" i="6" s="1"/>
  <c r="J642" i="7"/>
  <c r="J2331" i="7"/>
  <c r="F2329" i="7"/>
  <c r="E1958" i="7"/>
  <c r="J1958" i="7"/>
  <c r="J219" i="7"/>
  <c r="F517" i="7"/>
  <c r="J518" i="7"/>
  <c r="H329" i="6"/>
  <c r="L332" i="5" s="1"/>
  <c r="F1394" i="7"/>
  <c r="E329" i="6" s="1"/>
  <c r="H301" i="6"/>
  <c r="L304" i="5" s="1"/>
  <c r="F1279" i="7"/>
  <c r="E301" i="6" s="1"/>
  <c r="F2024" i="7"/>
  <c r="J2025" i="7"/>
  <c r="J683" i="7"/>
  <c r="H325" i="6"/>
  <c r="L328" i="5" s="1"/>
  <c r="F1378" i="7"/>
  <c r="E325" i="6" s="1"/>
  <c r="J1051" i="7"/>
  <c r="J157" i="7"/>
  <c r="K409" i="5"/>
  <c r="H294" i="6"/>
  <c r="L297" i="5" s="1"/>
  <c r="F1244" i="7"/>
  <c r="E294" i="6" s="1"/>
  <c r="J1419" i="7"/>
  <c r="F1417" i="7"/>
  <c r="H580" i="6"/>
  <c r="L583" i="5" s="1"/>
  <c r="F2521" i="7"/>
  <c r="E580" i="6" s="1"/>
  <c r="H1284" i="7"/>
  <c r="J2978" i="7"/>
  <c r="F2978" i="7" s="1"/>
  <c r="F2977" i="7"/>
  <c r="H190" i="6"/>
  <c r="L193" i="5" s="1"/>
  <c r="F803" i="7"/>
  <c r="E190" i="6" s="1"/>
  <c r="E1770" i="7"/>
  <c r="J1770" i="7"/>
  <c r="J137" i="7"/>
  <c r="F2886" i="7"/>
  <c r="J2887" i="7"/>
  <c r="F2887" i="7" s="1"/>
  <c r="J672" i="7"/>
  <c r="J2338" i="7"/>
  <c r="E2338" i="7"/>
  <c r="F2826" i="7"/>
  <c r="J2839" i="7"/>
  <c r="J654" i="7"/>
  <c r="E2416" i="7"/>
  <c r="J2416" i="7"/>
  <c r="K515" i="5"/>
  <c r="L194" i="7"/>
  <c r="F193" i="7"/>
  <c r="H694" i="6"/>
  <c r="F3226" i="7"/>
  <c r="E694" i="6" s="1"/>
  <c r="J1309" i="7"/>
  <c r="J622" i="7"/>
  <c r="J2148" i="7"/>
  <c r="F2147" i="7"/>
  <c r="I216" i="5"/>
  <c r="J251" i="7"/>
  <c r="G599" i="6"/>
  <c r="J602" i="5" s="1"/>
  <c r="F2632" i="7"/>
  <c r="E599" i="6" s="1"/>
  <c r="E2928" i="7"/>
  <c r="J2928" i="7"/>
  <c r="J214" i="7"/>
  <c r="F356" i="5"/>
  <c r="K356" i="5"/>
  <c r="G356" i="5" s="1"/>
  <c r="H2124" i="7"/>
  <c r="J1011" i="7"/>
  <c r="F1009" i="7"/>
  <c r="F481" i="7"/>
  <c r="J482" i="7"/>
  <c r="F1823" i="7"/>
  <c r="J1825" i="7"/>
  <c r="J1940" i="7"/>
  <c r="E1940" i="7"/>
  <c r="E2421" i="7"/>
  <c r="J2421" i="7"/>
  <c r="F2879" i="7"/>
  <c r="J2880" i="7"/>
  <c r="F2880" i="7" s="1"/>
  <c r="H280" i="6"/>
  <c r="L283" i="5" s="1"/>
  <c r="F1186" i="7"/>
  <c r="E280" i="6" s="1"/>
  <c r="J2355" i="7"/>
  <c r="F2354" i="7"/>
  <c r="J44" i="7"/>
  <c r="J1044" i="7"/>
  <c r="H584" i="6"/>
  <c r="L587" i="5" s="1"/>
  <c r="F2545" i="7"/>
  <c r="E584" i="6" s="1"/>
  <c r="E1861" i="7"/>
  <c r="J1861" i="7"/>
  <c r="H214" i="6"/>
  <c r="L217" i="5" s="1"/>
  <c r="F904" i="7"/>
  <c r="E214" i="6" s="1"/>
  <c r="H670" i="6"/>
  <c r="F3082" i="7"/>
  <c r="E670" i="6" s="1"/>
  <c r="J1081" i="7"/>
  <c r="K306" i="5"/>
  <c r="G602" i="6"/>
  <c r="J605" i="5" s="1"/>
  <c r="H326" i="6"/>
  <c r="L329" i="5" s="1"/>
  <c r="F1382" i="7"/>
  <c r="E326" i="6" s="1"/>
  <c r="E2137" i="7"/>
  <c r="J2137" i="7"/>
  <c r="E2229" i="7"/>
  <c r="J2229" i="7"/>
  <c r="J723" i="7"/>
  <c r="F1427" i="7"/>
  <c r="J1429" i="7"/>
  <c r="J264" i="7"/>
  <c r="H583" i="6"/>
  <c r="L586" i="5" s="1"/>
  <c r="F2539" i="7"/>
  <c r="E583" i="6" s="1"/>
  <c r="H1326" i="7"/>
  <c r="H709" i="6"/>
  <c r="F3311" i="7"/>
  <c r="E709" i="6" s="1"/>
  <c r="H1274" i="7"/>
  <c r="J1833" i="7"/>
  <c r="E1833" i="7"/>
  <c r="I189" i="5"/>
  <c r="J57" i="7"/>
  <c r="H581" i="6"/>
  <c r="L584" i="5" s="1"/>
  <c r="F2527" i="7"/>
  <c r="E581" i="6" s="1"/>
  <c r="K491" i="5"/>
  <c r="J96" i="7"/>
  <c r="F423" i="7"/>
  <c r="J425" i="7"/>
  <c r="H1289" i="7"/>
  <c r="J2159" i="7"/>
  <c r="E2159" i="7"/>
  <c r="J146" i="7"/>
  <c r="H2408" i="7"/>
  <c r="J470" i="7"/>
  <c r="F468" i="7"/>
  <c r="J27" i="7"/>
  <c r="J88" i="7"/>
  <c r="K428" i="5"/>
  <c r="L398" i="7"/>
  <c r="F397" i="7"/>
  <c r="J83" i="7"/>
  <c r="G597" i="6"/>
  <c r="J600" i="5" s="1"/>
  <c r="H2152" i="7"/>
  <c r="J62" i="7"/>
  <c r="J103" i="7"/>
  <c r="H334" i="6"/>
  <c r="L337" i="5" s="1"/>
  <c r="F1414" i="7"/>
  <c r="E334" i="6" s="1"/>
  <c r="K451" i="5"/>
  <c r="J677" i="7"/>
  <c r="L951" i="7"/>
  <c r="F950" i="7"/>
  <c r="J1064" i="7"/>
  <c r="J1783" i="7"/>
  <c r="E1783" i="7"/>
  <c r="E2260" i="7"/>
  <c r="J2260" i="7"/>
  <c r="H330" i="6"/>
  <c r="L333" i="5" s="1"/>
  <c r="F1398" i="7"/>
  <c r="E330" i="6" s="1"/>
  <c r="J1252" i="7"/>
  <c r="J239" i="7"/>
  <c r="L366" i="7"/>
  <c r="F365" i="7"/>
  <c r="E1779" i="7"/>
  <c r="J1779" i="7"/>
  <c r="J1056" i="7"/>
  <c r="J277" i="7"/>
  <c r="F843" i="7"/>
  <c r="J845" i="7"/>
  <c r="H1757" i="7"/>
  <c r="H1049" i="7" l="1"/>
  <c r="K980" i="7"/>
  <c r="K107" i="7"/>
  <c r="K992" i="7"/>
  <c r="K997" i="7"/>
  <c r="K305" i="7"/>
  <c r="K103" i="7"/>
  <c r="K149" i="7"/>
  <c r="K726" i="7"/>
  <c r="K259" i="7"/>
  <c r="K309" i="7"/>
  <c r="K57" i="7"/>
  <c r="K1064" i="7"/>
  <c r="K975" i="7"/>
  <c r="K254" i="7"/>
  <c r="K52" i="7"/>
  <c r="K672" i="7"/>
  <c r="K1113" i="7"/>
  <c r="K153" i="7"/>
  <c r="M289" i="5"/>
  <c r="G289" i="5" s="1"/>
  <c r="F289" i="5"/>
  <c r="H664" i="6"/>
  <c r="F3046" i="7"/>
  <c r="E664" i="6" s="1"/>
  <c r="H679" i="6"/>
  <c r="F3136" i="7"/>
  <c r="E679" i="6" s="1"/>
  <c r="H94" i="6"/>
  <c r="L97" i="5" s="1"/>
  <c r="F394" i="7"/>
  <c r="E94" i="6" s="1"/>
  <c r="H193" i="6"/>
  <c r="L196" i="5" s="1"/>
  <c r="F815" i="7"/>
  <c r="E193" i="6" s="1"/>
  <c r="H194" i="6"/>
  <c r="L197" i="5" s="1"/>
  <c r="F819" i="7"/>
  <c r="E194" i="6" s="1"/>
  <c r="H657" i="7"/>
  <c r="H1101" i="7"/>
  <c r="M237" i="5"/>
  <c r="G237" i="5" s="1"/>
  <c r="F237" i="5"/>
  <c r="M100" i="5"/>
  <c r="G100" i="5" s="1"/>
  <c r="F100" i="5"/>
  <c r="H714" i="7"/>
  <c r="H1054" i="7"/>
  <c r="M51" i="5"/>
  <c r="G51" i="5" s="1"/>
  <c r="F51" i="5"/>
  <c r="H244" i="7"/>
  <c r="H141" i="7"/>
  <c r="H42" i="7"/>
  <c r="H278" i="6"/>
  <c r="L281" i="5" s="1"/>
  <c r="F1178" i="7"/>
  <c r="E278" i="6" s="1"/>
  <c r="H46" i="6"/>
  <c r="L49" i="5" s="1"/>
  <c r="F190" i="7"/>
  <c r="E46" i="6" s="1"/>
  <c r="H188" i="6"/>
  <c r="L191" i="5" s="1"/>
  <c r="F795" i="7"/>
  <c r="E188" i="6" s="1"/>
  <c r="H297" i="7"/>
  <c r="H662" i="7"/>
  <c r="M52" i="5"/>
  <c r="G52" i="5" s="1"/>
  <c r="F52" i="5"/>
  <c r="H1105" i="7"/>
  <c r="M200" i="5"/>
  <c r="G200" i="5" s="1"/>
  <c r="F200" i="5"/>
  <c r="H89" i="6"/>
  <c r="L92" i="5" s="1"/>
  <c r="F374" i="7"/>
  <c r="E89" i="6" s="1"/>
  <c r="H95" i="7"/>
  <c r="M241" i="5"/>
  <c r="G241" i="5" s="1"/>
  <c r="F241" i="5"/>
  <c r="H652" i="7"/>
  <c r="H41" i="6"/>
  <c r="L44" i="5" s="1"/>
  <c r="F170" i="7"/>
  <c r="E41" i="6" s="1"/>
  <c r="H710" i="7"/>
  <c r="M330" i="5"/>
  <c r="G330" i="5" s="1"/>
  <c r="F330" i="5"/>
  <c r="H284" i="6"/>
  <c r="L287" i="5" s="1"/>
  <c r="F1202" i="7"/>
  <c r="E284" i="6" s="1"/>
  <c r="H718" i="7"/>
  <c r="H195" i="6"/>
  <c r="L198" i="5" s="1"/>
  <c r="F823" i="7"/>
  <c r="E195" i="6" s="1"/>
  <c r="K1257" i="7"/>
  <c r="K1305" i="7"/>
  <c r="M99" i="5"/>
  <c r="G99" i="5" s="1"/>
  <c r="F99" i="5"/>
  <c r="H283" i="6"/>
  <c r="L286" i="5" s="1"/>
  <c r="F1198" i="7"/>
  <c r="E283" i="6" s="1"/>
  <c r="G248" i="6"/>
  <c r="J251" i="5" s="1"/>
  <c r="H276" i="6"/>
  <c r="L279" i="5" s="1"/>
  <c r="F1170" i="7"/>
  <c r="E276" i="6" s="1"/>
  <c r="G155" i="6"/>
  <c r="J158" i="5" s="1"/>
  <c r="G199" i="6"/>
  <c r="J202" i="5" s="1"/>
  <c r="F840" i="7"/>
  <c r="E199" i="6" s="1"/>
  <c r="F2155" i="7"/>
  <c r="J2156" i="7"/>
  <c r="G464" i="6"/>
  <c r="J467" i="5" s="1"/>
  <c r="F2021" i="7"/>
  <c r="E464" i="6" s="1"/>
  <c r="J104" i="7"/>
  <c r="M570" i="5"/>
  <c r="G570" i="5" s="1"/>
  <c r="F570" i="5"/>
  <c r="G260" i="6"/>
  <c r="J263" i="5" s="1"/>
  <c r="J1310" i="7"/>
  <c r="J261" i="7"/>
  <c r="J1114" i="7"/>
  <c r="J1228" i="7"/>
  <c r="G215" i="6"/>
  <c r="J218" i="5" s="1"/>
  <c r="J266" i="7"/>
  <c r="G168" i="6"/>
  <c r="J171" i="5" s="1"/>
  <c r="G157" i="6"/>
  <c r="J160" i="5" s="1"/>
  <c r="F1765" i="7"/>
  <c r="J1767" i="7"/>
  <c r="M587" i="5"/>
  <c r="G587" i="5" s="1"/>
  <c r="F587" i="5"/>
  <c r="L2652" i="7"/>
  <c r="F2651" i="7"/>
  <c r="F2314" i="7"/>
  <c r="J2316" i="7"/>
  <c r="H234" i="7"/>
  <c r="E234" i="7"/>
  <c r="J112" i="7"/>
  <c r="M94" i="5"/>
  <c r="G94" i="5" s="1"/>
  <c r="F94" i="5"/>
  <c r="H866" i="7"/>
  <c r="J707" i="7"/>
  <c r="H39" i="6"/>
  <c r="L42" i="5" s="1"/>
  <c r="F162" i="7"/>
  <c r="E39" i="6" s="1"/>
  <c r="F2229" i="7"/>
  <c r="J2231" i="7"/>
  <c r="F311" i="6"/>
  <c r="H314" i="5" s="1"/>
  <c r="J1036" i="7"/>
  <c r="H95" i="6"/>
  <c r="L98" i="5" s="1"/>
  <c r="F398" i="7"/>
  <c r="E95" i="6" s="1"/>
  <c r="J1870" i="7"/>
  <c r="F1869" i="7"/>
  <c r="J649" i="7"/>
  <c r="G631" i="6"/>
  <c r="J634" i="5" s="1"/>
  <c r="F2839" i="7"/>
  <c r="E631" i="6" s="1"/>
  <c r="G536" i="6"/>
  <c r="J539" i="5" s="1"/>
  <c r="F2331" i="7"/>
  <c r="E536" i="6" s="1"/>
  <c r="G169" i="6"/>
  <c r="J172" i="5" s="1"/>
  <c r="H926" i="7"/>
  <c r="F497" i="7"/>
  <c r="J498" i="7"/>
  <c r="G338" i="6"/>
  <c r="J341" i="5" s="1"/>
  <c r="F1434" i="7"/>
  <c r="E338" i="6" s="1"/>
  <c r="M461" i="5"/>
  <c r="G461" i="5" s="1"/>
  <c r="F461" i="5"/>
  <c r="J1026" i="7"/>
  <c r="J314" i="7"/>
  <c r="K302" i="5"/>
  <c r="F1940" i="7"/>
  <c r="J1942" i="7"/>
  <c r="H198" i="6"/>
  <c r="L201" i="5" s="1"/>
  <c r="F835" i="7"/>
  <c r="E198" i="6" s="1"/>
  <c r="M417" i="5"/>
  <c r="G417" i="5" s="1"/>
  <c r="F417" i="5"/>
  <c r="G160" i="6"/>
  <c r="J163" i="5" s="1"/>
  <c r="J1947" i="7"/>
  <c r="F1945" i="7"/>
  <c r="L2622" i="7"/>
  <c r="F2621" i="7"/>
  <c r="J1469" i="7"/>
  <c r="F1467" i="7"/>
  <c r="F281" i="7"/>
  <c r="J282" i="7"/>
  <c r="K604" i="5"/>
  <c r="M285" i="5"/>
  <c r="G285" i="5" s="1"/>
  <c r="F285" i="5"/>
  <c r="G245" i="6"/>
  <c r="J248" i="5" s="1"/>
  <c r="F537" i="5"/>
  <c r="K537" i="5"/>
  <c r="G537" i="5" s="1"/>
  <c r="K285" i="7"/>
  <c r="K129" i="7"/>
  <c r="K698" i="7"/>
  <c r="K1034" i="7"/>
  <c r="K1089" i="7"/>
  <c r="K83" i="7"/>
  <c r="K229" i="7"/>
  <c r="K27" i="7"/>
  <c r="K637" i="7"/>
  <c r="G516" i="6"/>
  <c r="J519" i="5" s="1"/>
  <c r="F2245" i="7"/>
  <c r="E516" i="6" s="1"/>
  <c r="J1220" i="7"/>
  <c r="J2311" i="7"/>
  <c r="F2309" i="7"/>
  <c r="G249" i="6"/>
  <c r="J252" i="5" s="1"/>
  <c r="F419" i="6"/>
  <c r="H422" i="5" s="1"/>
  <c r="H722" i="7"/>
  <c r="J994" i="7"/>
  <c r="J150" i="7"/>
  <c r="G56" i="6"/>
  <c r="J59" i="5" s="1"/>
  <c r="K347" i="5"/>
  <c r="G347" i="5" s="1"/>
  <c r="F347" i="5"/>
  <c r="G228" i="6"/>
  <c r="J231" i="5" s="1"/>
  <c r="F513" i="7"/>
  <c r="J514" i="7"/>
  <c r="G170" i="6"/>
  <c r="J173" i="5" s="1"/>
  <c r="H1093" i="7"/>
  <c r="E1093" i="7"/>
  <c r="J216" i="7"/>
  <c r="J2929" i="7"/>
  <c r="F2929" i="7" s="1"/>
  <c r="F2928" i="7"/>
  <c r="J731" i="7"/>
  <c r="F1760" i="7"/>
  <c r="J1762" i="7"/>
  <c r="H617" i="7"/>
  <c r="F2935" i="7"/>
  <c r="J2936" i="7"/>
  <c r="F2936" i="7" s="1"/>
  <c r="K601" i="5"/>
  <c r="G601" i="5" s="1"/>
  <c r="F601" i="5"/>
  <c r="H50" i="6"/>
  <c r="L53" i="5" s="1"/>
  <c r="F206" i="7"/>
  <c r="E50" i="6" s="1"/>
  <c r="J931" i="7"/>
  <c r="M194" i="5"/>
  <c r="G194" i="5" s="1"/>
  <c r="F194" i="5"/>
  <c r="H907" i="7"/>
  <c r="K606" i="5"/>
  <c r="G463" i="6"/>
  <c r="J466" i="5" s="1"/>
  <c r="F2017" i="7"/>
  <c r="E463" i="6" s="1"/>
  <c r="M91" i="5"/>
  <c r="G91" i="5" s="1"/>
  <c r="F91" i="5"/>
  <c r="J54" i="7"/>
  <c r="F2430" i="7"/>
  <c r="J2431" i="7"/>
  <c r="K111" i="5"/>
  <c r="G111" i="5" s="1"/>
  <c r="F111" i="5"/>
  <c r="G418" i="6"/>
  <c r="J421" i="5" s="1"/>
  <c r="F1825" i="7"/>
  <c r="E418" i="6" s="1"/>
  <c r="F2059" i="7"/>
  <c r="J2061" i="7"/>
  <c r="J977" i="7"/>
  <c r="J286" i="7"/>
  <c r="J624" i="7"/>
  <c r="J294" i="7"/>
  <c r="G346" i="6"/>
  <c r="J349" i="5" s="1"/>
  <c r="F1474" i="7"/>
  <c r="E346" i="6" s="1"/>
  <c r="M193" i="5"/>
  <c r="G193" i="5" s="1"/>
  <c r="F193" i="5"/>
  <c r="H963" i="7"/>
  <c r="K312" i="5"/>
  <c r="M217" i="5"/>
  <c r="G217" i="5" s="1"/>
  <c r="F217" i="5"/>
  <c r="G24" i="6"/>
  <c r="J27" i="5" s="1"/>
  <c r="F2963" i="7"/>
  <c r="J2964" i="7"/>
  <c r="F2964" i="7" s="1"/>
  <c r="F303" i="6"/>
  <c r="H306" i="5" s="1"/>
  <c r="K1223" i="7"/>
  <c r="K1218" i="7"/>
  <c r="K1247" i="7"/>
  <c r="K1213" i="7"/>
  <c r="K1297" i="7"/>
  <c r="K1227" i="7"/>
  <c r="H667" i="7"/>
  <c r="H912" i="7"/>
  <c r="F494" i="6"/>
  <c r="H497" i="5" s="1"/>
  <c r="H1039" i="7"/>
  <c r="E1039" i="7"/>
  <c r="H224" i="6"/>
  <c r="L227" i="5" s="1"/>
  <c r="F947" i="7"/>
  <c r="E224" i="6" s="1"/>
  <c r="J1254" i="7"/>
  <c r="G122" i="6"/>
  <c r="J125" i="5" s="1"/>
  <c r="F518" i="7"/>
  <c r="E122" i="6" s="1"/>
  <c r="H922" i="7"/>
  <c r="F2342" i="7"/>
  <c r="J2343" i="7"/>
  <c r="G537" i="6"/>
  <c r="J540" i="5" s="1"/>
  <c r="F2335" i="7"/>
  <c r="E537" i="6" s="1"/>
  <c r="J14" i="7"/>
  <c r="M333" i="5"/>
  <c r="G333" i="5" s="1"/>
  <c r="F333" i="5"/>
  <c r="J1046" i="7"/>
  <c r="H1109" i="7"/>
  <c r="J2253" i="7"/>
  <c r="F2252" i="7"/>
  <c r="F2942" i="7"/>
  <c r="J2943" i="7"/>
  <c r="F2943" i="7" s="1"/>
  <c r="J2261" i="7"/>
  <c r="F2260" i="7"/>
  <c r="J2418" i="7"/>
  <c r="F2416" i="7"/>
  <c r="H301" i="7"/>
  <c r="F2163" i="7"/>
  <c r="J2164" i="7"/>
  <c r="G115" i="6"/>
  <c r="J118" i="5" s="1"/>
  <c r="F490" i="7"/>
  <c r="E115" i="6" s="1"/>
  <c r="M195" i="5"/>
  <c r="G195" i="5" s="1"/>
  <c r="F195" i="5"/>
  <c r="J1078" i="7"/>
  <c r="J274" i="7"/>
  <c r="M336" i="5"/>
  <c r="G336" i="5" s="1"/>
  <c r="F336" i="5"/>
  <c r="M584" i="5"/>
  <c r="G584" i="5" s="1"/>
  <c r="F584" i="5"/>
  <c r="J59" i="7"/>
  <c r="M283" i="5"/>
  <c r="G283" i="5" s="1"/>
  <c r="F283" i="5"/>
  <c r="G442" i="6"/>
  <c r="J445" i="5" s="1"/>
  <c r="F1927" i="7"/>
  <c r="E442" i="6" s="1"/>
  <c r="G68" i="6"/>
  <c r="J71" i="5" s="1"/>
  <c r="G340" i="6"/>
  <c r="J343" i="5" s="1"/>
  <c r="F1444" i="7"/>
  <c r="E340" i="6" s="1"/>
  <c r="F517" i="6"/>
  <c r="H520" i="5" s="1"/>
  <c r="H600" i="6"/>
  <c r="L603" i="5" s="1"/>
  <c r="F2637" i="7"/>
  <c r="E600" i="6" s="1"/>
  <c r="F863" i="7"/>
  <c r="E204" i="6" s="1"/>
  <c r="G204" i="6"/>
  <c r="J207" i="5" s="1"/>
  <c r="F2411" i="7"/>
  <c r="J2413" i="7"/>
  <c r="H209" i="7"/>
  <c r="M280" i="5"/>
  <c r="G280" i="5" s="1"/>
  <c r="F280" i="5"/>
  <c r="G336" i="6"/>
  <c r="J339" i="5" s="1"/>
  <c r="F1424" i="7"/>
  <c r="E336" i="6" s="1"/>
  <c r="J634" i="7"/>
  <c r="F632" i="7"/>
  <c r="F2221" i="7"/>
  <c r="E511" i="6" s="1"/>
  <c r="G511" i="6"/>
  <c r="J514" i="5" s="1"/>
  <c r="G9" i="6"/>
  <c r="J12" i="5" s="1"/>
  <c r="M328" i="5"/>
  <c r="G328" i="5" s="1"/>
  <c r="F328" i="5"/>
  <c r="G156" i="6"/>
  <c r="J159" i="5" s="1"/>
  <c r="J76" i="7"/>
  <c r="M337" i="5"/>
  <c r="G337" i="5" s="1"/>
  <c r="F337" i="5"/>
  <c r="G63" i="6"/>
  <c r="J66" i="5" s="1"/>
  <c r="J1215" i="7"/>
  <c r="J64" i="7"/>
  <c r="J72" i="7"/>
  <c r="J502" i="7"/>
  <c r="F501" i="7"/>
  <c r="M486" i="5"/>
  <c r="G486" i="5" s="1"/>
  <c r="F486" i="5"/>
  <c r="H87" i="7"/>
  <c r="E87" i="7"/>
  <c r="J919" i="7"/>
  <c r="J108" i="7"/>
  <c r="M332" i="5"/>
  <c r="G332" i="5" s="1"/>
  <c r="F332" i="5"/>
  <c r="H658" i="6"/>
  <c r="F3010" i="7"/>
  <c r="E658" i="6" s="1"/>
  <c r="J450" i="7"/>
  <c r="F448" i="7"/>
  <c r="H47" i="6"/>
  <c r="L50" i="5" s="1"/>
  <c r="F194" i="7"/>
  <c r="E47" i="6" s="1"/>
  <c r="H289" i="7"/>
  <c r="E289" i="7"/>
  <c r="G102" i="6"/>
  <c r="J105" i="5" s="1"/>
  <c r="F430" i="7"/>
  <c r="E102" i="6" s="1"/>
  <c r="M583" i="5"/>
  <c r="G583" i="5" s="1"/>
  <c r="F583" i="5"/>
  <c r="J80" i="7"/>
  <c r="F79" i="7"/>
  <c r="M43" i="5"/>
  <c r="G43" i="5" s="1"/>
  <c r="F43" i="5"/>
  <c r="J84" i="7"/>
  <c r="G11" i="6"/>
  <c r="J14" i="5" s="1"/>
  <c r="F1958" i="7"/>
  <c r="J1959" i="7"/>
  <c r="H1059" i="7"/>
  <c r="H32" i="7"/>
  <c r="E32" i="7"/>
  <c r="H7" i="7"/>
  <c r="F22" i="7"/>
  <c r="J24" i="7"/>
  <c r="J1249" i="7"/>
  <c r="H582" i="6"/>
  <c r="L585" i="5" s="1"/>
  <c r="F2533" i="7"/>
  <c r="E582" i="6" s="1"/>
  <c r="J1302" i="7"/>
  <c r="M329" i="5"/>
  <c r="G329" i="5" s="1"/>
  <c r="F329" i="5"/>
  <c r="G59" i="6"/>
  <c r="J62" i="5" s="1"/>
  <c r="F2338" i="7"/>
  <c r="J2339" i="7"/>
  <c r="G103" i="6"/>
  <c r="J106" i="5" s="1"/>
  <c r="F435" i="7"/>
  <c r="E103" i="6" s="1"/>
  <c r="G51" i="6"/>
  <c r="J54" i="5" s="1"/>
  <c r="G219" i="6"/>
  <c r="J222" i="5" s="1"/>
  <c r="H682" i="7"/>
  <c r="J1264" i="7"/>
  <c r="H285" i="6"/>
  <c r="L288" i="5" s="1"/>
  <c r="F1206" i="7"/>
  <c r="E285" i="6" s="1"/>
  <c r="H328" i="6"/>
  <c r="L331" i="5" s="1"/>
  <c r="F1390" i="7"/>
  <c r="E328" i="6" s="1"/>
  <c r="F1787" i="7"/>
  <c r="J1788" i="7"/>
  <c r="J727" i="7"/>
  <c r="M96" i="5"/>
  <c r="G96" i="5" s="1"/>
  <c r="F96" i="5"/>
  <c r="G71" i="6"/>
  <c r="J74" i="5" s="1"/>
  <c r="J1098" i="7"/>
  <c r="J2922" i="7"/>
  <c r="F2922" i="7" s="1"/>
  <c r="F2921" i="7"/>
  <c r="F224" i="7"/>
  <c r="J226" i="7"/>
  <c r="J2129" i="7"/>
  <c r="F2127" i="7"/>
  <c r="F555" i="6"/>
  <c r="H558" i="5" s="1"/>
  <c r="J1082" i="7"/>
  <c r="H682" i="6"/>
  <c r="F3154" i="7"/>
  <c r="E682" i="6" s="1"/>
  <c r="G465" i="6"/>
  <c r="J468" i="5" s="1"/>
  <c r="F2025" i="7"/>
  <c r="E465" i="6" s="1"/>
  <c r="F314" i="6"/>
  <c r="H317" i="5" s="1"/>
  <c r="G113" i="6"/>
  <c r="J116" i="5" s="1"/>
  <c r="F482" i="7"/>
  <c r="E113" i="6" s="1"/>
  <c r="J1967" i="7"/>
  <c r="F1966" i="7"/>
  <c r="H87" i="6"/>
  <c r="L90" i="5" s="1"/>
  <c r="F366" i="7"/>
  <c r="E87" i="6" s="1"/>
  <c r="G167" i="6"/>
  <c r="J170" i="5" s="1"/>
  <c r="J1090" i="7"/>
  <c r="G447" i="6"/>
  <c r="J450" i="5" s="1"/>
  <c r="F1951" i="7"/>
  <c r="E447" i="6" s="1"/>
  <c r="H958" i="7"/>
  <c r="M586" i="5"/>
  <c r="G586" i="5" s="1"/>
  <c r="F586" i="5"/>
  <c r="F559" i="6"/>
  <c r="H562" i="5" s="1"/>
  <c r="G203" i="6"/>
  <c r="J206" i="5" s="1"/>
  <c r="F859" i="7"/>
  <c r="E203" i="6" s="1"/>
  <c r="H269" i="7"/>
  <c r="J465" i="7"/>
  <c r="F463" i="7"/>
  <c r="F302" i="6"/>
  <c r="H305" i="5" s="1"/>
  <c r="G337" i="6"/>
  <c r="J340" i="5" s="1"/>
  <c r="F1429" i="7"/>
  <c r="E337" i="6" s="1"/>
  <c r="M509" i="5"/>
  <c r="G509" i="5" s="1"/>
  <c r="F509" i="5"/>
  <c r="K600" i="5"/>
  <c r="J221" i="7"/>
  <c r="G218" i="6"/>
  <c r="J221" i="5" s="1"/>
  <c r="J691" i="7"/>
  <c r="L2642" i="7"/>
  <c r="F2641" i="7"/>
  <c r="G257" i="6"/>
  <c r="J260" i="5" s="1"/>
  <c r="G112" i="6"/>
  <c r="J115" i="5" s="1"/>
  <c r="F478" i="7"/>
  <c r="E112" i="6" s="1"/>
  <c r="F2142" i="7"/>
  <c r="J2144" i="7"/>
  <c r="H1073" i="7"/>
  <c r="J629" i="7"/>
  <c r="K602" i="5"/>
  <c r="G602" i="5" s="1"/>
  <c r="F602" i="5"/>
  <c r="F402" i="6"/>
  <c r="H405" i="5" s="1"/>
  <c r="G200" i="6"/>
  <c r="J203" i="5" s="1"/>
  <c r="F845" i="7"/>
  <c r="E200" i="6" s="1"/>
  <c r="H225" i="6"/>
  <c r="L228" i="5" s="1"/>
  <c r="F951" i="7"/>
  <c r="E225" i="6" s="1"/>
  <c r="J29" i="7"/>
  <c r="J674" i="7"/>
  <c r="J158" i="7"/>
  <c r="M46" i="5"/>
  <c r="G46" i="5" s="1"/>
  <c r="F46" i="5"/>
  <c r="J998" i="7"/>
  <c r="F475" i="6"/>
  <c r="H478" i="5" s="1"/>
  <c r="J92" i="7"/>
  <c r="H67" i="7"/>
  <c r="K214" i="7"/>
  <c r="K12" i="7"/>
  <c r="K930" i="7"/>
  <c r="K917" i="7"/>
  <c r="K870" i="7"/>
  <c r="K622" i="7"/>
  <c r="K273" i="7"/>
  <c r="K686" i="7"/>
  <c r="K1019" i="7"/>
  <c r="K853" i="7"/>
  <c r="K1077" i="7"/>
  <c r="K71" i="7"/>
  <c r="K37" i="7"/>
  <c r="K1097" i="7"/>
  <c r="K239" i="7"/>
  <c r="K137" i="7"/>
  <c r="K91" i="7"/>
  <c r="K293" i="7"/>
  <c r="K647" i="7"/>
  <c r="K642" i="7"/>
  <c r="K702" i="7"/>
  <c r="K706" i="7"/>
  <c r="K1044" i="7"/>
  <c r="F2256" i="7"/>
  <c r="J2257" i="7"/>
  <c r="F505" i="7"/>
  <c r="J506" i="7"/>
  <c r="G111" i="6"/>
  <c r="J114" i="5" s="1"/>
  <c r="F474" i="7"/>
  <c r="E111" i="6" s="1"/>
  <c r="M582" i="5"/>
  <c r="G582" i="5" s="1"/>
  <c r="F582" i="5"/>
  <c r="G34" i="6"/>
  <c r="J37" i="5" s="1"/>
  <c r="M335" i="5"/>
  <c r="G335" i="5" s="1"/>
  <c r="F335" i="5"/>
  <c r="G462" i="6"/>
  <c r="J465" i="5" s="1"/>
  <c r="F2012" i="7"/>
  <c r="E462" i="6" s="1"/>
  <c r="F406" i="6"/>
  <c r="H409" i="5" s="1"/>
  <c r="J440" i="7"/>
  <c r="F438" i="7"/>
  <c r="F1779" i="7"/>
  <c r="J1780" i="7"/>
  <c r="F1770" i="7"/>
  <c r="J1772" i="7"/>
  <c r="F2234" i="7"/>
  <c r="J2236" i="7"/>
  <c r="G35" i="6"/>
  <c r="J38" i="5" s="1"/>
  <c r="F1962" i="7"/>
  <c r="J1963" i="7"/>
  <c r="J1298" i="7"/>
  <c r="M530" i="5"/>
  <c r="G530" i="5" s="1"/>
  <c r="F530" i="5"/>
  <c r="M334" i="5"/>
  <c r="G334" i="5" s="1"/>
  <c r="F334" i="5"/>
  <c r="G4" i="6"/>
  <c r="J7" i="5" s="1"/>
  <c r="H145" i="7"/>
  <c r="F543" i="5"/>
  <c r="K543" i="5"/>
  <c r="G543" i="5" s="1"/>
  <c r="F310" i="6"/>
  <c r="H313" i="5" s="1"/>
  <c r="J1937" i="7"/>
  <c r="F1935" i="7"/>
  <c r="J1862" i="7"/>
  <c r="F1861" i="7"/>
  <c r="J494" i="7"/>
  <c r="F493" i="7"/>
  <c r="G424" i="6"/>
  <c r="J427" i="5" s="1"/>
  <c r="F1854" i="7"/>
  <c r="E424" i="6" s="1"/>
  <c r="F313" i="6"/>
  <c r="H316" i="5" s="1"/>
  <c r="F488" i="6"/>
  <c r="H491" i="5" s="1"/>
  <c r="H47" i="7"/>
  <c r="F123" i="5"/>
  <c r="K123" i="5"/>
  <c r="G123" i="5" s="1"/>
  <c r="H99" i="7"/>
  <c r="G12" i="6"/>
  <c r="J15" i="5" s="1"/>
  <c r="H186" i="6"/>
  <c r="L189" i="5" s="1"/>
  <c r="F787" i="7"/>
  <c r="E186" i="6" s="1"/>
  <c r="K1313" i="7"/>
  <c r="K1267" i="7"/>
  <c r="G335" i="6"/>
  <c r="J338" i="5" s="1"/>
  <c r="F1419" i="7"/>
  <c r="E335" i="6" s="1"/>
  <c r="F425" i="6"/>
  <c r="H428" i="5" s="1"/>
  <c r="G240" i="6"/>
  <c r="J243" i="5" s="1"/>
  <c r="J1784" i="7"/>
  <c r="F1783" i="7"/>
  <c r="K1252" i="7"/>
  <c r="K1301" i="7"/>
  <c r="M190" i="5"/>
  <c r="G190" i="5" s="1"/>
  <c r="F190" i="5"/>
  <c r="G542" i="6"/>
  <c r="J545" i="5" s="1"/>
  <c r="F2355" i="7"/>
  <c r="E542" i="6" s="1"/>
  <c r="J679" i="7"/>
  <c r="K605" i="5"/>
  <c r="F2421" i="7"/>
  <c r="J2423" i="7"/>
  <c r="J1845" i="7"/>
  <c r="F1843" i="7"/>
  <c r="J2435" i="7"/>
  <c r="F2434" i="7"/>
  <c r="J310" i="7"/>
  <c r="J855" i="7"/>
  <c r="G251" i="6"/>
  <c r="J254" i="5" s="1"/>
  <c r="F1070" i="7"/>
  <c r="E251" i="6" s="1"/>
  <c r="G227" i="6"/>
  <c r="J230" i="5" s="1"/>
  <c r="J231" i="7"/>
  <c r="G32" i="6"/>
  <c r="J35" i="5" s="1"/>
  <c r="H98" i="6"/>
  <c r="L101" i="5" s="1"/>
  <c r="F410" i="7"/>
  <c r="E98" i="6" s="1"/>
  <c r="F2054" i="7"/>
  <c r="J2056" i="7"/>
  <c r="J19" i="7"/>
  <c r="J138" i="7"/>
  <c r="F1452" i="7"/>
  <c r="J1454" i="7"/>
  <c r="F300" i="6"/>
  <c r="H303" i="5" s="1"/>
  <c r="G339" i="6"/>
  <c r="J342" i="5" s="1"/>
  <c r="F1439" i="7"/>
  <c r="E339" i="6" s="1"/>
  <c r="J2082" i="7"/>
  <c r="F2081" i="7"/>
  <c r="H703" i="6"/>
  <c r="F3277" i="7"/>
  <c r="E703" i="6" s="1"/>
  <c r="G259" i="6"/>
  <c r="J262" i="5" s="1"/>
  <c r="G205" i="6"/>
  <c r="J208" i="5" s="1"/>
  <c r="F1865" i="7"/>
  <c r="J1866" i="7"/>
  <c r="M440" i="5"/>
  <c r="G440" i="5" s="1"/>
  <c r="F440" i="5"/>
  <c r="J2160" i="7"/>
  <c r="F2159" i="7"/>
  <c r="K1954" i="7"/>
  <c r="K2224" i="7"/>
  <c r="K2406" i="7"/>
  <c r="K1930" i="7"/>
  <c r="K1857" i="7"/>
  <c r="K2248" i="7"/>
  <c r="K2122" i="7"/>
  <c r="K1755" i="7"/>
  <c r="K2151" i="7"/>
  <c r="K1828" i="7"/>
  <c r="K2044" i="7"/>
  <c r="K2426" i="7"/>
  <c r="K2069" i="7"/>
  <c r="K1775" i="7"/>
  <c r="J126" i="7"/>
  <c r="G239" i="6"/>
  <c r="J242" i="5" s="1"/>
  <c r="F1011" i="7"/>
  <c r="E239" i="6" s="1"/>
  <c r="G487" i="6"/>
  <c r="J490" i="5" s="1"/>
  <c r="F2119" i="7"/>
  <c r="E487" i="6" s="1"/>
  <c r="G101" i="6"/>
  <c r="J104" i="5" s="1"/>
  <c r="F425" i="7"/>
  <c r="E101" i="6" s="1"/>
  <c r="J1021" i="7"/>
  <c r="F2239" i="7"/>
  <c r="J2241" i="7"/>
  <c r="H196" i="6"/>
  <c r="L199" i="5" s="1"/>
  <c r="F827" i="7"/>
  <c r="E196" i="6" s="1"/>
  <c r="F1457" i="7"/>
  <c r="J1459" i="7"/>
  <c r="H133" i="7"/>
  <c r="E133" i="7"/>
  <c r="H848" i="7"/>
  <c r="J2134" i="7"/>
  <c r="F2132" i="7"/>
  <c r="J687" i="7"/>
  <c r="J639" i="7"/>
  <c r="G70" i="6"/>
  <c r="J73" i="5" s="1"/>
  <c r="F470" i="6"/>
  <c r="H473" i="5" s="1"/>
  <c r="G154" i="6"/>
  <c r="J157" i="5" s="1"/>
  <c r="H213" i="6"/>
  <c r="L216" i="5" s="1"/>
  <c r="F900" i="7"/>
  <c r="E213" i="6" s="1"/>
  <c r="F2137" i="7"/>
  <c r="J2139" i="7"/>
  <c r="J644" i="7"/>
  <c r="J1066" i="7"/>
  <c r="G21" i="6"/>
  <c r="J24" i="5" s="1"/>
  <c r="J278" i="7"/>
  <c r="G247" i="6"/>
  <c r="J250" i="5" s="1"/>
  <c r="J699" i="7"/>
  <c r="G100" i="6"/>
  <c r="J103" i="5" s="1"/>
  <c r="F420" i="7"/>
  <c r="E100" i="6" s="1"/>
  <c r="H688" i="6"/>
  <c r="F3190" i="7"/>
  <c r="E688" i="6" s="1"/>
  <c r="H230" i="6"/>
  <c r="L233" i="5" s="1"/>
  <c r="F972" i="7"/>
  <c r="E230" i="6" s="1"/>
  <c r="G16" i="6"/>
  <c r="J19" i="5" s="1"/>
  <c r="J2074" i="7"/>
  <c r="F2073" i="7"/>
  <c r="L2647" i="7"/>
  <c r="F2646" i="7"/>
  <c r="J306" i="7"/>
  <c r="G99" i="6"/>
  <c r="J102" i="5" s="1"/>
  <c r="F415" i="7"/>
  <c r="E99" i="6" s="1"/>
  <c r="F2438" i="7"/>
  <c r="J2439" i="7"/>
  <c r="G261" i="6"/>
  <c r="J264" i="5" s="1"/>
  <c r="J1224" i="7"/>
  <c r="J2066" i="7"/>
  <c r="F2064" i="7"/>
  <c r="J871" i="7"/>
  <c r="J695" i="7"/>
  <c r="F694" i="7"/>
  <c r="F512" i="6"/>
  <c r="H515" i="5" s="1"/>
  <c r="J2351" i="7"/>
  <c r="F2350" i="7"/>
  <c r="J2051" i="7"/>
  <c r="F2049" i="7"/>
  <c r="J256" i="7"/>
  <c r="F2949" i="7"/>
  <c r="J2950" i="7"/>
  <c r="F2950" i="7" s="1"/>
  <c r="K1329" i="7"/>
  <c r="K1282" i="7"/>
  <c r="K1317" i="7"/>
  <c r="K1325" i="7"/>
  <c r="K1272" i="7"/>
  <c r="K1333" i="7"/>
  <c r="K1321" i="7"/>
  <c r="K1292" i="7"/>
  <c r="K1287" i="7"/>
  <c r="M229" i="5"/>
  <c r="G229" i="5" s="1"/>
  <c r="F229" i="5"/>
  <c r="J39" i="7"/>
  <c r="F312" i="6"/>
  <c r="H315" i="5" s="1"/>
  <c r="F448" i="6"/>
  <c r="H451" i="5" s="1"/>
  <c r="J130" i="7"/>
  <c r="M304" i="5"/>
  <c r="G304" i="5" s="1"/>
  <c r="F304" i="5"/>
  <c r="H249" i="7"/>
  <c r="J1306" i="7"/>
  <c r="J241" i="7"/>
  <c r="J154" i="7"/>
  <c r="G216" i="6"/>
  <c r="J219" i="5" s="1"/>
  <c r="F453" i="7"/>
  <c r="J455" i="7"/>
  <c r="G23" i="6"/>
  <c r="J26" i="5" s="1"/>
  <c r="M48" i="5"/>
  <c r="G48" i="5" s="1"/>
  <c r="F48" i="5"/>
  <c r="J1086" i="7"/>
  <c r="F1085" i="7"/>
  <c r="H1014" i="7"/>
  <c r="F443" i="7"/>
  <c r="J445" i="7"/>
  <c r="F304" i="6"/>
  <c r="H307" i="5" s="1"/>
  <c r="F443" i="6"/>
  <c r="H446" i="5" s="1"/>
  <c r="G147" i="6"/>
  <c r="J150" i="5" s="1"/>
  <c r="J2326" i="7"/>
  <c r="F2324" i="7"/>
  <c r="M297" i="5"/>
  <c r="G297" i="5" s="1"/>
  <c r="F297" i="5"/>
  <c r="M296" i="5"/>
  <c r="G296" i="5" s="1"/>
  <c r="F296" i="5"/>
  <c r="G114" i="6"/>
  <c r="J117" i="5" s="1"/>
  <c r="F486" i="7"/>
  <c r="E114" i="6" s="1"/>
  <c r="F1838" i="7"/>
  <c r="J1840" i="7"/>
  <c r="F2077" i="7"/>
  <c r="J2078" i="7"/>
  <c r="G110" i="6"/>
  <c r="J113" i="5" s="1"/>
  <c r="F470" i="7"/>
  <c r="E110" i="6" s="1"/>
  <c r="F1833" i="7"/>
  <c r="J1835" i="7"/>
  <c r="F2148" i="7"/>
  <c r="E493" i="6" s="1"/>
  <c r="G493" i="6"/>
  <c r="J496" i="5" s="1"/>
  <c r="J1449" i="7"/>
  <c r="F1447" i="7"/>
  <c r="J703" i="7"/>
  <c r="G531" i="6"/>
  <c r="J534" i="5" s="1"/>
  <c r="F2306" i="7"/>
  <c r="E531" i="6" s="1"/>
  <c r="J2168" i="7"/>
  <c r="F2167" i="7"/>
  <c r="G58" i="6"/>
  <c r="J61" i="5" s="1"/>
  <c r="J1259" i="7"/>
  <c r="G201" i="6"/>
  <c r="J204" i="5" s="1"/>
  <c r="G252" i="6"/>
  <c r="J255" i="5" s="1"/>
  <c r="J981" i="7"/>
  <c r="L1305" i="7" l="1"/>
  <c r="E1305" i="7"/>
  <c r="L1257" i="7"/>
  <c r="E1257" i="7"/>
  <c r="M198" i="5"/>
  <c r="G198" i="5" s="1"/>
  <c r="F198" i="5"/>
  <c r="H1056" i="7"/>
  <c r="H719" i="7"/>
  <c r="L1113" i="7"/>
  <c r="E1113" i="7"/>
  <c r="H715" i="7"/>
  <c r="L672" i="7"/>
  <c r="E672" i="7"/>
  <c r="M287" i="5"/>
  <c r="G287" i="5" s="1"/>
  <c r="F287" i="5"/>
  <c r="L52" i="7"/>
  <c r="E52" i="7"/>
  <c r="H664" i="7"/>
  <c r="L254" i="7"/>
  <c r="E254" i="7"/>
  <c r="H298" i="7"/>
  <c r="L1064" i="7"/>
  <c r="E1064" i="7"/>
  <c r="L975" i="7"/>
  <c r="E975" i="7"/>
  <c r="H711" i="7"/>
  <c r="L57" i="7"/>
  <c r="E57" i="7"/>
  <c r="L153" i="7"/>
  <c r="E153" i="7"/>
  <c r="M191" i="5"/>
  <c r="G191" i="5" s="1"/>
  <c r="F191" i="5"/>
  <c r="H1102" i="7"/>
  <c r="L309" i="7"/>
  <c r="E309" i="7"/>
  <c r="L259" i="7"/>
  <c r="E259" i="7"/>
  <c r="H659" i="7"/>
  <c r="L726" i="7"/>
  <c r="E726" i="7"/>
  <c r="M44" i="5"/>
  <c r="G44" i="5" s="1"/>
  <c r="F44" i="5"/>
  <c r="L103" i="7"/>
  <c r="E103" i="7"/>
  <c r="H654" i="7"/>
  <c r="M281" i="5"/>
  <c r="G281" i="5" s="1"/>
  <c r="F281" i="5"/>
  <c r="L305" i="7"/>
  <c r="E305" i="7"/>
  <c r="L997" i="7"/>
  <c r="E997" i="7"/>
  <c r="K277" i="7"/>
  <c r="K125" i="7"/>
  <c r="K17" i="7"/>
  <c r="K75" i="7"/>
  <c r="K627" i="7"/>
  <c r="K1081" i="7"/>
  <c r="K690" i="7"/>
  <c r="K219" i="7"/>
  <c r="K1024" i="7"/>
  <c r="M197" i="5"/>
  <c r="G197" i="5" s="1"/>
  <c r="F197" i="5"/>
  <c r="H44" i="7"/>
  <c r="M196" i="5"/>
  <c r="G196" i="5" s="1"/>
  <c r="F196" i="5"/>
  <c r="L992" i="7"/>
  <c r="E992" i="7"/>
  <c r="M286" i="5"/>
  <c r="G286" i="5" s="1"/>
  <c r="F286" i="5"/>
  <c r="L107" i="7"/>
  <c r="E107" i="7"/>
  <c r="H96" i="7"/>
  <c r="H142" i="7"/>
  <c r="M97" i="5"/>
  <c r="G97" i="5" s="1"/>
  <c r="F97" i="5"/>
  <c r="L980" i="7"/>
  <c r="E980" i="7"/>
  <c r="H1106" i="7"/>
  <c r="M49" i="5"/>
  <c r="G49" i="5" s="1"/>
  <c r="F49" i="5"/>
  <c r="L149" i="7"/>
  <c r="E149" i="7"/>
  <c r="M92" i="5"/>
  <c r="G92" i="5" s="1"/>
  <c r="F92" i="5"/>
  <c r="H246" i="7"/>
  <c r="K141" i="7"/>
  <c r="K652" i="7"/>
  <c r="K95" i="7"/>
  <c r="K42" i="7"/>
  <c r="K718" i="7"/>
  <c r="K710" i="7"/>
  <c r="K657" i="7"/>
  <c r="K1101" i="7"/>
  <c r="K1049" i="7"/>
  <c r="K297" i="7"/>
  <c r="K1054" i="7"/>
  <c r="K662" i="7"/>
  <c r="K244" i="7"/>
  <c r="K1105" i="7"/>
  <c r="K714" i="7"/>
  <c r="H1051" i="7"/>
  <c r="G57" i="6"/>
  <c r="J60" i="5" s="1"/>
  <c r="I520" i="5"/>
  <c r="L1034" i="7"/>
  <c r="E1034" i="7"/>
  <c r="G65" i="6"/>
  <c r="J68" i="5" s="1"/>
  <c r="K1262" i="7"/>
  <c r="K1309" i="7"/>
  <c r="L870" i="7"/>
  <c r="E870" i="7"/>
  <c r="M201" i="5"/>
  <c r="G201" i="5" s="1"/>
  <c r="F201" i="5"/>
  <c r="H236" i="7"/>
  <c r="F234" i="7"/>
  <c r="F2082" i="7"/>
  <c r="E478" i="6" s="1"/>
  <c r="G478" i="6"/>
  <c r="J481" i="5" s="1"/>
  <c r="L930" i="7"/>
  <c r="E930" i="7"/>
  <c r="K14" i="5"/>
  <c r="K12" i="5"/>
  <c r="K38" i="5"/>
  <c r="F514" i="5"/>
  <c r="K514" i="5"/>
  <c r="G514" i="5" s="1"/>
  <c r="F496" i="5"/>
  <c r="K496" i="5"/>
  <c r="G496" i="5" s="1"/>
  <c r="G13" i="6"/>
  <c r="J16" i="5" s="1"/>
  <c r="H602" i="6"/>
  <c r="L605" i="5" s="1"/>
  <c r="F2647" i="7"/>
  <c r="E602" i="6" s="1"/>
  <c r="G22" i="6"/>
  <c r="J25" i="5" s="1"/>
  <c r="G491" i="6"/>
  <c r="J494" i="5" s="1"/>
  <c r="F2139" i="7"/>
  <c r="E491" i="6" s="1"/>
  <c r="M199" i="5"/>
  <c r="G199" i="5" s="1"/>
  <c r="F199" i="5"/>
  <c r="G14" i="6"/>
  <c r="J17" i="5" s="1"/>
  <c r="I451" i="5"/>
  <c r="G52" i="6"/>
  <c r="J55" i="5" s="1"/>
  <c r="G236" i="6"/>
  <c r="J239" i="5" s="1"/>
  <c r="F349" i="5"/>
  <c r="K349" i="5"/>
  <c r="G349" i="5" s="1"/>
  <c r="K467" i="5"/>
  <c r="G467" i="5" s="1"/>
  <c r="F467" i="5"/>
  <c r="G295" i="6"/>
  <c r="J298" i="5" s="1"/>
  <c r="F115" i="5"/>
  <c r="K115" i="5"/>
  <c r="G115" i="5" s="1"/>
  <c r="M42" i="5"/>
  <c r="G42" i="5" s="1"/>
  <c r="F42" i="5"/>
  <c r="K26" i="5"/>
  <c r="G163" i="6"/>
  <c r="J166" i="5" s="1"/>
  <c r="F695" i="7"/>
  <c r="E163" i="6" s="1"/>
  <c r="K15" i="5"/>
  <c r="L1097" i="7"/>
  <c r="E1097" i="7"/>
  <c r="G254" i="6"/>
  <c r="J257" i="5" s="1"/>
  <c r="M288" i="5"/>
  <c r="G288" i="5" s="1"/>
  <c r="F288" i="5"/>
  <c r="G7" i="6"/>
  <c r="J10" i="5" s="1"/>
  <c r="F24" i="7"/>
  <c r="E7" i="6" s="1"/>
  <c r="H290" i="7"/>
  <c r="F289" i="7"/>
  <c r="H211" i="7"/>
  <c r="G64" i="6"/>
  <c r="J67" i="5" s="1"/>
  <c r="L1227" i="7"/>
  <c r="E1227" i="7"/>
  <c r="G148" i="6"/>
  <c r="J151" i="5" s="1"/>
  <c r="K173" i="5"/>
  <c r="G166" i="6"/>
  <c r="J169" i="5" s="1"/>
  <c r="L1775" i="7"/>
  <c r="E1775" i="7"/>
  <c r="G165" i="6"/>
  <c r="J168" i="5" s="1"/>
  <c r="L2069" i="7"/>
  <c r="E2069" i="7"/>
  <c r="H923" i="7"/>
  <c r="L698" i="7"/>
  <c r="E698" i="7"/>
  <c r="K254" i="5"/>
  <c r="G254" i="5" s="1"/>
  <c r="F254" i="5"/>
  <c r="G26" i="6"/>
  <c r="J29" i="5" s="1"/>
  <c r="L2044" i="7"/>
  <c r="E2044" i="7"/>
  <c r="H302" i="7"/>
  <c r="L285" i="7"/>
  <c r="E285" i="7"/>
  <c r="I446" i="5"/>
  <c r="L1828" i="7"/>
  <c r="E1828" i="7"/>
  <c r="H619" i="7"/>
  <c r="I405" i="5"/>
  <c r="G557" i="6"/>
  <c r="J560" i="5" s="1"/>
  <c r="F2418" i="7"/>
  <c r="E557" i="6" s="1"/>
  <c r="I307" i="5"/>
  <c r="H134" i="7"/>
  <c r="F133" i="7"/>
  <c r="L1755" i="7"/>
  <c r="E1755" i="7"/>
  <c r="G60" i="6"/>
  <c r="J63" i="5" s="1"/>
  <c r="G451" i="6"/>
  <c r="J454" i="5" s="1"/>
  <c r="F1967" i="7"/>
  <c r="E451" i="6" s="1"/>
  <c r="L1930" i="7"/>
  <c r="E1930" i="7"/>
  <c r="L642" i="7"/>
  <c r="E642" i="7"/>
  <c r="G19" i="6"/>
  <c r="J22" i="5" s="1"/>
  <c r="F80" i="7"/>
  <c r="E19" i="6" s="1"/>
  <c r="L2406" i="7"/>
  <c r="E2406" i="7"/>
  <c r="L1313" i="7"/>
  <c r="E1313" i="7"/>
  <c r="L647" i="7"/>
  <c r="E647" i="7"/>
  <c r="G306" i="6"/>
  <c r="J309" i="5" s="1"/>
  <c r="I314" i="5"/>
  <c r="K255" i="5"/>
  <c r="G492" i="6"/>
  <c r="J495" i="5" s="1"/>
  <c r="F2144" i="7"/>
  <c r="E492" i="6" s="1"/>
  <c r="H914" i="7"/>
  <c r="K171" i="5"/>
  <c r="G288" i="6"/>
  <c r="J291" i="5" s="1"/>
  <c r="G421" i="6"/>
  <c r="J424" i="5" s="1"/>
  <c r="F1840" i="7"/>
  <c r="E421" i="6" s="1"/>
  <c r="G62" i="6"/>
  <c r="J65" i="5" s="1"/>
  <c r="G206" i="6"/>
  <c r="J209" i="5" s="1"/>
  <c r="K157" i="7"/>
  <c r="K264" i="7"/>
  <c r="K111" i="7"/>
  <c r="K313" i="7"/>
  <c r="K677" i="7"/>
  <c r="K62" i="7"/>
  <c r="K730" i="7"/>
  <c r="K104" i="5"/>
  <c r="G104" i="5" s="1"/>
  <c r="F104" i="5"/>
  <c r="G159" i="6"/>
  <c r="J162" i="5" s="1"/>
  <c r="H146" i="7"/>
  <c r="F465" i="5"/>
  <c r="K465" i="5"/>
  <c r="G465" i="5" s="1"/>
  <c r="L37" i="7"/>
  <c r="E37" i="7"/>
  <c r="G38" i="6"/>
  <c r="J41" i="5" s="1"/>
  <c r="K260" i="5"/>
  <c r="I562" i="5"/>
  <c r="G298" i="6"/>
  <c r="J301" i="5" s="1"/>
  <c r="G556" i="6"/>
  <c r="J559" i="5" s="1"/>
  <c r="F2413" i="7"/>
  <c r="E556" i="6" s="1"/>
  <c r="L1297" i="7"/>
  <c r="E1297" i="7"/>
  <c r="G121" i="6"/>
  <c r="J124" i="5" s="1"/>
  <c r="F514" i="7"/>
  <c r="E121" i="6" s="1"/>
  <c r="F519" i="5"/>
  <c r="K519" i="5"/>
  <c r="G519" i="5" s="1"/>
  <c r="H597" i="6"/>
  <c r="L600" i="5" s="1"/>
  <c r="F2622" i="7"/>
  <c r="E597" i="6" s="1"/>
  <c r="K202" i="5"/>
  <c r="G202" i="5" s="1"/>
  <c r="F202" i="5"/>
  <c r="L1325" i="7"/>
  <c r="E1325" i="7"/>
  <c r="L1252" i="7"/>
  <c r="E1252" i="7"/>
  <c r="K159" i="5"/>
  <c r="G262" i="6"/>
  <c r="J265" i="5" s="1"/>
  <c r="L1317" i="7"/>
  <c r="E1317" i="7"/>
  <c r="K150" i="5"/>
  <c r="G450" i="6"/>
  <c r="J453" i="5" s="1"/>
  <c r="F1963" i="7"/>
  <c r="E450" i="6" s="1"/>
  <c r="G445" i="6"/>
  <c r="J448" i="5" s="1"/>
  <c r="F1942" i="7"/>
  <c r="E445" i="6" s="1"/>
  <c r="G217" i="6"/>
  <c r="J220" i="5" s="1"/>
  <c r="G341" i="6"/>
  <c r="J344" i="5" s="1"/>
  <c r="F1449" i="7"/>
  <c r="E341" i="6" s="1"/>
  <c r="H850" i="7"/>
  <c r="M90" i="5"/>
  <c r="G90" i="5" s="1"/>
  <c r="F90" i="5"/>
  <c r="G403" i="6"/>
  <c r="J406" i="5" s="1"/>
  <c r="F1762" i="7"/>
  <c r="E403" i="6" s="1"/>
  <c r="H88" i="7"/>
  <c r="F87" i="7"/>
  <c r="H723" i="7"/>
  <c r="G343" i="6"/>
  <c r="J346" i="5" s="1"/>
  <c r="F1459" i="7"/>
  <c r="E343" i="6" s="1"/>
  <c r="L1044" i="7"/>
  <c r="E1044" i="7"/>
  <c r="M98" i="5"/>
  <c r="G98" i="5" s="1"/>
  <c r="F98" i="5"/>
  <c r="G171" i="6"/>
  <c r="J174" i="5" s="1"/>
  <c r="G471" i="6"/>
  <c r="J474" i="5" s="1"/>
  <c r="F2051" i="7"/>
  <c r="E471" i="6" s="1"/>
  <c r="F116" i="5"/>
  <c r="K116" i="5"/>
  <c r="G116" i="5" s="1"/>
  <c r="G404" i="6"/>
  <c r="J407" i="5" s="1"/>
  <c r="F1767" i="7"/>
  <c r="E404" i="6" s="1"/>
  <c r="F339" i="5"/>
  <c r="K339" i="5"/>
  <c r="G339" i="5" s="1"/>
  <c r="G25" i="6"/>
  <c r="J28" i="5" s="1"/>
  <c r="I478" i="5"/>
  <c r="G409" i="6"/>
  <c r="J412" i="5" s="1"/>
  <c r="F1788" i="7"/>
  <c r="E409" i="6" s="1"/>
  <c r="I497" i="5"/>
  <c r="G66" i="6"/>
  <c r="J69" i="5" s="1"/>
  <c r="F282" i="7"/>
  <c r="E66" i="6" s="1"/>
  <c r="G477" i="6"/>
  <c r="J480" i="5" s="1"/>
  <c r="F2078" i="7"/>
  <c r="E477" i="6" s="1"/>
  <c r="K19" i="5"/>
  <c r="L1954" i="7"/>
  <c r="E1954" i="7"/>
  <c r="M189" i="5"/>
  <c r="G189" i="5" s="1"/>
  <c r="F189" i="5"/>
  <c r="G532" i="6"/>
  <c r="J535" i="5" s="1"/>
  <c r="F2311" i="7"/>
  <c r="E532" i="6" s="1"/>
  <c r="G69" i="6"/>
  <c r="J72" i="5" s="1"/>
  <c r="K157" i="5"/>
  <c r="I409" i="5"/>
  <c r="K722" i="7"/>
  <c r="K301" i="7"/>
  <c r="K99" i="7"/>
  <c r="K1059" i="7"/>
  <c r="K667" i="7"/>
  <c r="K145" i="7"/>
  <c r="K249" i="7"/>
  <c r="K47" i="7"/>
  <c r="K1109" i="7"/>
  <c r="G117" i="6"/>
  <c r="J120" i="5" s="1"/>
  <c r="F498" i="7"/>
  <c r="E117" i="6" s="1"/>
  <c r="G107" i="6"/>
  <c r="J110" i="5" s="1"/>
  <c r="F455" i="7"/>
  <c r="E107" i="6" s="1"/>
  <c r="K61" i="5"/>
  <c r="F117" i="5"/>
  <c r="K117" i="5"/>
  <c r="G117" i="5" s="1"/>
  <c r="I473" i="5"/>
  <c r="G427" i="6"/>
  <c r="J430" i="5" s="1"/>
  <c r="F1866" i="7"/>
  <c r="E427" i="6" s="1"/>
  <c r="M101" i="5"/>
  <c r="G101" i="5" s="1"/>
  <c r="F101" i="5"/>
  <c r="H100" i="7"/>
  <c r="K7" i="5"/>
  <c r="L71" i="7"/>
  <c r="E71" i="7"/>
  <c r="M50" i="5"/>
  <c r="G50" i="5" s="1"/>
  <c r="F50" i="5"/>
  <c r="K66" i="5"/>
  <c r="G253" i="6"/>
  <c r="J256" i="5" s="1"/>
  <c r="G5" i="6"/>
  <c r="J8" i="5" s="1"/>
  <c r="L1213" i="7"/>
  <c r="E1213" i="7"/>
  <c r="H927" i="7"/>
  <c r="K218" i="5"/>
  <c r="G535" i="6"/>
  <c r="J538" i="5" s="1"/>
  <c r="F2326" i="7"/>
  <c r="E535" i="6" s="1"/>
  <c r="G53" i="6"/>
  <c r="J56" i="5" s="1"/>
  <c r="G490" i="6"/>
  <c r="J493" i="5" s="1"/>
  <c r="F2134" i="7"/>
  <c r="E490" i="6" s="1"/>
  <c r="L917" i="7"/>
  <c r="E917" i="7"/>
  <c r="G307" i="6"/>
  <c r="J310" i="5" s="1"/>
  <c r="K203" i="5"/>
  <c r="G203" i="5" s="1"/>
  <c r="F203" i="5"/>
  <c r="K27" i="5"/>
  <c r="G560" i="6"/>
  <c r="J563" i="5" s="1"/>
  <c r="F2431" i="7"/>
  <c r="E560" i="6" s="1"/>
  <c r="K427" i="5"/>
  <c r="G427" i="5" s="1"/>
  <c r="F427" i="5"/>
  <c r="G20" i="6"/>
  <c r="J23" i="5" s="1"/>
  <c r="G72" i="6"/>
  <c r="J75" i="5" s="1"/>
  <c r="K263" i="5"/>
  <c r="G520" i="6"/>
  <c r="J523" i="5" s="1"/>
  <c r="F2261" i="7"/>
  <c r="E520" i="6" s="1"/>
  <c r="G172" i="6"/>
  <c r="J175" i="5" s="1"/>
  <c r="G149" i="6"/>
  <c r="J152" i="5" s="1"/>
  <c r="G244" i="6"/>
  <c r="J247" i="5" s="1"/>
  <c r="L1857" i="7"/>
  <c r="E1857" i="7"/>
  <c r="H964" i="7"/>
  <c r="G541" i="6"/>
  <c r="J544" i="5" s="1"/>
  <c r="F2351" i="7"/>
  <c r="E541" i="6" s="1"/>
  <c r="G518" i="6"/>
  <c r="J521" i="5" s="1"/>
  <c r="F2253" i="7"/>
  <c r="E518" i="6" s="1"/>
  <c r="F113" i="5"/>
  <c r="K113" i="5"/>
  <c r="G113" i="5" s="1"/>
  <c r="L2224" i="7"/>
  <c r="E2224" i="7"/>
  <c r="L293" i="7"/>
  <c r="E293" i="7"/>
  <c r="G513" i="6"/>
  <c r="J516" i="5" s="1"/>
  <c r="F2231" i="7"/>
  <c r="E513" i="6" s="1"/>
  <c r="G6" i="6"/>
  <c r="J9" i="5" s="1"/>
  <c r="F440" i="7"/>
  <c r="E104" i="6" s="1"/>
  <c r="G104" i="6"/>
  <c r="J107" i="5" s="1"/>
  <c r="L91" i="7"/>
  <c r="E91" i="7"/>
  <c r="M331" i="5"/>
  <c r="G331" i="5" s="1"/>
  <c r="F331" i="5"/>
  <c r="M233" i="5"/>
  <c r="G233" i="5" s="1"/>
  <c r="F233" i="5"/>
  <c r="K490" i="5"/>
  <c r="G490" i="5" s="1"/>
  <c r="F490" i="5"/>
  <c r="L1077" i="7"/>
  <c r="E1077" i="7"/>
  <c r="G158" i="6"/>
  <c r="J161" i="5" s="1"/>
  <c r="H601" i="6"/>
  <c r="L604" i="5" s="1"/>
  <c r="F2642" i="7"/>
  <c r="E601" i="6" s="1"/>
  <c r="I558" i="5"/>
  <c r="H9" i="7"/>
  <c r="F207" i="5"/>
  <c r="K207" i="5"/>
  <c r="G207" i="5" s="1"/>
  <c r="L1247" i="7"/>
  <c r="E1247" i="7"/>
  <c r="G67" i="6"/>
  <c r="J70" i="5" s="1"/>
  <c r="G220" i="6"/>
  <c r="J223" i="5" s="1"/>
  <c r="L637" i="7"/>
  <c r="E637" i="7"/>
  <c r="G446" i="6"/>
  <c r="J449" i="5" s="1"/>
  <c r="F1947" i="7"/>
  <c r="E446" i="6" s="1"/>
  <c r="H867" i="7"/>
  <c r="K158" i="5"/>
  <c r="G161" i="6"/>
  <c r="J164" i="5" s="1"/>
  <c r="K54" i="5"/>
  <c r="G497" i="6"/>
  <c r="J500" i="5" s="1"/>
  <c r="F2164" i="7"/>
  <c r="E497" i="6" s="1"/>
  <c r="G256" i="6"/>
  <c r="J259" i="5" s="1"/>
  <c r="G61" i="6"/>
  <c r="J64" i="5" s="1"/>
  <c r="L1282" i="7"/>
  <c r="E1282" i="7"/>
  <c r="L2426" i="7"/>
  <c r="E2426" i="7"/>
  <c r="F343" i="5"/>
  <c r="K343" i="5"/>
  <c r="G343" i="5" s="1"/>
  <c r="K24" i="5"/>
  <c r="G258" i="6"/>
  <c r="J261" i="5" s="1"/>
  <c r="G250" i="6"/>
  <c r="J253" i="5" s="1"/>
  <c r="L12" i="7"/>
  <c r="E12" i="7"/>
  <c r="G235" i="6"/>
  <c r="J238" i="5" s="1"/>
  <c r="F342" i="5"/>
  <c r="K342" i="5"/>
  <c r="G342" i="5" s="1"/>
  <c r="G519" i="6"/>
  <c r="J522" i="5" s="1"/>
  <c r="F2257" i="7"/>
  <c r="E519" i="6" s="1"/>
  <c r="K74" i="5"/>
  <c r="H603" i="6"/>
  <c r="L606" i="5" s="1"/>
  <c r="F2652" i="7"/>
  <c r="E603" i="6" s="1"/>
  <c r="I428" i="5"/>
  <c r="K62" i="5"/>
  <c r="G342" i="6"/>
  <c r="J345" i="5" s="1"/>
  <c r="F1454" i="7"/>
  <c r="E342" i="6" s="1"/>
  <c r="G242" i="6"/>
  <c r="J245" i="5" s="1"/>
  <c r="F338" i="5"/>
  <c r="K338" i="5"/>
  <c r="G338" i="5" s="1"/>
  <c r="G476" i="6"/>
  <c r="J479" i="5" s="1"/>
  <c r="F2074" i="7"/>
  <c r="E476" i="6" s="1"/>
  <c r="F466" i="5"/>
  <c r="K466" i="5"/>
  <c r="G466" i="5" s="1"/>
  <c r="G255" i="6"/>
  <c r="J258" i="5" s="1"/>
  <c r="F1086" i="7"/>
  <c r="E255" i="6" s="1"/>
  <c r="I313" i="5"/>
  <c r="H270" i="7"/>
  <c r="M585" i="5"/>
  <c r="G585" i="5" s="1"/>
  <c r="F585" i="5"/>
  <c r="G241" i="6"/>
  <c r="J244" i="5" s="1"/>
  <c r="L137" i="7"/>
  <c r="E137" i="7"/>
  <c r="F105" i="5"/>
  <c r="K105" i="5"/>
  <c r="G105" i="5" s="1"/>
  <c r="H1094" i="7"/>
  <c r="F1093" i="7"/>
  <c r="G10" i="6"/>
  <c r="J13" i="5" s="1"/>
  <c r="L239" i="7"/>
  <c r="E239" i="7"/>
  <c r="H669" i="7"/>
  <c r="G498" i="6"/>
  <c r="J501" i="5" s="1"/>
  <c r="F2168" i="7"/>
  <c r="E498" i="6" s="1"/>
  <c r="K219" i="5"/>
  <c r="L1292" i="7"/>
  <c r="E1292" i="7"/>
  <c r="G474" i="6"/>
  <c r="J477" i="5" s="1"/>
  <c r="F2066" i="7"/>
  <c r="E474" i="6" s="1"/>
  <c r="G164" i="6"/>
  <c r="J167" i="5" s="1"/>
  <c r="K73" i="5"/>
  <c r="K35" i="5"/>
  <c r="F545" i="5"/>
  <c r="K545" i="5"/>
  <c r="G545" i="5" s="1"/>
  <c r="L853" i="7"/>
  <c r="E853" i="7"/>
  <c r="G162" i="6"/>
  <c r="J165" i="5" s="1"/>
  <c r="H683" i="7"/>
  <c r="F450" i="7"/>
  <c r="E106" i="6" s="1"/>
  <c r="G106" i="6"/>
  <c r="J109" i="5" s="1"/>
  <c r="L1218" i="7"/>
  <c r="E1218" i="7"/>
  <c r="G231" i="6"/>
  <c r="J234" i="5" s="1"/>
  <c r="K231" i="5"/>
  <c r="L27" i="7"/>
  <c r="E27" i="7"/>
  <c r="K172" i="5"/>
  <c r="G290" i="6"/>
  <c r="J293" i="5" s="1"/>
  <c r="L622" i="7"/>
  <c r="E622" i="7"/>
  <c r="G449" i="6"/>
  <c r="J452" i="5" s="1"/>
  <c r="F1959" i="7"/>
  <c r="E449" i="6" s="1"/>
  <c r="G36" i="6"/>
  <c r="J39" i="5" s="1"/>
  <c r="G408" i="6"/>
  <c r="J411" i="5" s="1"/>
  <c r="F1784" i="7"/>
  <c r="E408" i="6" s="1"/>
  <c r="G119" i="6"/>
  <c r="J122" i="5" s="1"/>
  <c r="F506" i="7"/>
  <c r="E119" i="6" s="1"/>
  <c r="F125" i="5"/>
  <c r="K125" i="5"/>
  <c r="G125" i="5" s="1"/>
  <c r="G538" i="6"/>
  <c r="J541" i="5" s="1"/>
  <c r="F2339" i="7"/>
  <c r="E538" i="6" s="1"/>
  <c r="K243" i="5"/>
  <c r="H251" i="7"/>
  <c r="G514" i="6"/>
  <c r="J517" i="5" s="1"/>
  <c r="F2236" i="7"/>
  <c r="E514" i="6" s="1"/>
  <c r="G105" i="6"/>
  <c r="J108" i="5" s="1"/>
  <c r="F445" i="7"/>
  <c r="E105" i="6" s="1"/>
  <c r="L2122" i="7"/>
  <c r="E2122" i="7"/>
  <c r="H68" i="7"/>
  <c r="K248" i="5"/>
  <c r="G561" i="6"/>
  <c r="J564" i="5" s="1"/>
  <c r="F2435" i="7"/>
  <c r="E561" i="6" s="1"/>
  <c r="L706" i="7"/>
  <c r="E706" i="7"/>
  <c r="G420" i="6"/>
  <c r="J423" i="5" s="1"/>
  <c r="F1835" i="7"/>
  <c r="E420" i="6" s="1"/>
  <c r="I422" i="5"/>
  <c r="G422" i="6"/>
  <c r="J425" i="5" s="1"/>
  <c r="F1845" i="7"/>
  <c r="E422" i="6" s="1"/>
  <c r="G444" i="6"/>
  <c r="J447" i="5" s="1"/>
  <c r="F1937" i="7"/>
  <c r="E444" i="6" s="1"/>
  <c r="I317" i="5"/>
  <c r="K160" i="5"/>
  <c r="G515" i="6"/>
  <c r="J518" i="5" s="1"/>
  <c r="F2241" i="7"/>
  <c r="E515" i="6" s="1"/>
  <c r="G17" i="6"/>
  <c r="J20" i="5" s="1"/>
  <c r="K204" i="5"/>
  <c r="G15" i="6"/>
  <c r="J18" i="5" s="1"/>
  <c r="F341" i="5"/>
  <c r="K341" i="5"/>
  <c r="G341" i="5" s="1"/>
  <c r="G472" i="6"/>
  <c r="J475" i="5" s="1"/>
  <c r="F2056" i="7"/>
  <c r="E472" i="6" s="1"/>
  <c r="G287" i="6"/>
  <c r="J290" i="5" s="1"/>
  <c r="G297" i="6"/>
  <c r="J300" i="5" s="1"/>
  <c r="L1287" i="7"/>
  <c r="E1287" i="7"/>
  <c r="G37" i="6"/>
  <c r="J40" i="5" s="1"/>
  <c r="K242" i="5"/>
  <c r="G242" i="5" s="1"/>
  <c r="F242" i="5"/>
  <c r="K208" i="5"/>
  <c r="K37" i="5"/>
  <c r="L1019" i="7"/>
  <c r="E1019" i="7"/>
  <c r="H960" i="7"/>
  <c r="G489" i="6"/>
  <c r="J492" i="5" s="1"/>
  <c r="F2129" i="7"/>
  <c r="E489" i="6" s="1"/>
  <c r="K222" i="5"/>
  <c r="H34" i="7"/>
  <c r="F32" i="7"/>
  <c r="G18" i="6"/>
  <c r="J21" i="5" s="1"/>
  <c r="K540" i="5"/>
  <c r="G540" i="5" s="1"/>
  <c r="F540" i="5"/>
  <c r="L1223" i="7"/>
  <c r="E1223" i="7"/>
  <c r="M53" i="5"/>
  <c r="G53" i="5" s="1"/>
  <c r="F53" i="5"/>
  <c r="L229" i="7"/>
  <c r="E229" i="7"/>
  <c r="K163" i="5"/>
  <c r="M279" i="5"/>
  <c r="G279" i="5" s="1"/>
  <c r="F279" i="5"/>
  <c r="K59" i="5"/>
  <c r="I491" i="5"/>
  <c r="K634" i="5"/>
  <c r="G634" i="5" s="1"/>
  <c r="F634" i="5"/>
  <c r="F114" i="5"/>
  <c r="K114" i="5"/>
  <c r="G114" i="5" s="1"/>
  <c r="F106" i="5"/>
  <c r="K106" i="5"/>
  <c r="G106" i="5" s="1"/>
  <c r="L129" i="7"/>
  <c r="E129" i="7"/>
  <c r="I316" i="5"/>
  <c r="K170" i="5"/>
  <c r="G202" i="6"/>
  <c r="J205" i="5" s="1"/>
  <c r="G308" i="6"/>
  <c r="J311" i="5" s="1"/>
  <c r="L2151" i="7"/>
  <c r="E2151" i="7"/>
  <c r="G73" i="6"/>
  <c r="J76" i="5" s="1"/>
  <c r="L214" i="7"/>
  <c r="E214" i="7"/>
  <c r="F1870" i="7"/>
  <c r="E428" i="6" s="1"/>
  <c r="G428" i="6"/>
  <c r="J431" i="5" s="1"/>
  <c r="G152" i="6"/>
  <c r="J155" i="5" s="1"/>
  <c r="G116" i="6"/>
  <c r="J119" i="5" s="1"/>
  <c r="F494" i="7"/>
  <c r="E116" i="6" s="1"/>
  <c r="M227" i="5"/>
  <c r="G227" i="5" s="1"/>
  <c r="F227" i="5"/>
  <c r="L2248" i="7"/>
  <c r="E2248" i="7"/>
  <c r="I305" i="5"/>
  <c r="H1041" i="7"/>
  <c r="F1039" i="7"/>
  <c r="H1016" i="7"/>
  <c r="G407" i="6"/>
  <c r="J410" i="5" s="1"/>
  <c r="F1780" i="7"/>
  <c r="E407" i="6" s="1"/>
  <c r="G118" i="6"/>
  <c r="J121" i="5" s="1"/>
  <c r="F502" i="7"/>
  <c r="E118" i="6" s="1"/>
  <c r="G109" i="6"/>
  <c r="J112" i="5" s="1"/>
  <c r="F465" i="7"/>
  <c r="E109" i="6" s="1"/>
  <c r="M216" i="5"/>
  <c r="G216" i="5" s="1"/>
  <c r="F216" i="5"/>
  <c r="I515" i="5"/>
  <c r="G496" i="6"/>
  <c r="J499" i="5" s="1"/>
  <c r="F2160" i="7"/>
  <c r="E496" i="6" s="1"/>
  <c r="G246" i="6"/>
  <c r="J249" i="5" s="1"/>
  <c r="H909" i="7"/>
  <c r="F103" i="5"/>
  <c r="K103" i="5"/>
  <c r="G103" i="5" s="1"/>
  <c r="L1321" i="7"/>
  <c r="E1321" i="7"/>
  <c r="L1333" i="7"/>
  <c r="E1333" i="7"/>
  <c r="G289" i="6"/>
  <c r="J292" i="5" s="1"/>
  <c r="K250" i="5"/>
  <c r="G151" i="6"/>
  <c r="J154" i="5" s="1"/>
  <c r="G55" i="6"/>
  <c r="J58" i="5" s="1"/>
  <c r="L686" i="7"/>
  <c r="E686" i="7"/>
  <c r="K221" i="5"/>
  <c r="G54" i="6"/>
  <c r="J57" i="5" s="1"/>
  <c r="F226" i="7"/>
  <c r="E54" i="6" s="1"/>
  <c r="K67" i="7"/>
  <c r="K209" i="7"/>
  <c r="K848" i="7"/>
  <c r="K269" i="7"/>
  <c r="K682" i="7"/>
  <c r="K912" i="7"/>
  <c r="K907" i="7"/>
  <c r="K926" i="7"/>
  <c r="K958" i="7"/>
  <c r="K1073" i="7"/>
  <c r="K866" i="7"/>
  <c r="K7" i="7"/>
  <c r="K922" i="7"/>
  <c r="K1014" i="7"/>
  <c r="K617" i="7"/>
  <c r="K963" i="7"/>
  <c r="M603" i="5"/>
  <c r="G603" i="5" s="1"/>
  <c r="F603" i="5"/>
  <c r="G539" i="6"/>
  <c r="J542" i="5" s="1"/>
  <c r="F2343" i="7"/>
  <c r="E539" i="6" s="1"/>
  <c r="G473" i="6"/>
  <c r="J476" i="5" s="1"/>
  <c r="F2061" i="7"/>
  <c r="E473" i="6" s="1"/>
  <c r="L83" i="7"/>
  <c r="E83" i="7"/>
  <c r="K264" i="5"/>
  <c r="G305" i="6"/>
  <c r="J308" i="5" s="1"/>
  <c r="G562" i="6"/>
  <c r="J565" i="5" s="1"/>
  <c r="F2439" i="7"/>
  <c r="E562" i="6" s="1"/>
  <c r="M228" i="5"/>
  <c r="G228" i="5" s="1"/>
  <c r="F228" i="5"/>
  <c r="K421" i="5"/>
  <c r="G421" i="5" s="1"/>
  <c r="F421" i="5"/>
  <c r="G153" i="6"/>
  <c r="J156" i="5" s="1"/>
  <c r="L1329" i="7"/>
  <c r="E1329" i="7"/>
  <c r="F2316" i="7"/>
  <c r="E533" i="6" s="1"/>
  <c r="G533" i="6"/>
  <c r="J536" i="5" s="1"/>
  <c r="K102" i="5"/>
  <c r="G102" i="5" s="1"/>
  <c r="F102" i="5"/>
  <c r="K71" i="5"/>
  <c r="G296" i="6"/>
  <c r="J299" i="5" s="1"/>
  <c r="F445" i="5"/>
  <c r="K445" i="5"/>
  <c r="G445" i="5" s="1"/>
  <c r="I303" i="5"/>
  <c r="F340" i="5"/>
  <c r="K340" i="5"/>
  <c r="G340" i="5" s="1"/>
  <c r="G74" i="6"/>
  <c r="J77" i="5" s="1"/>
  <c r="G405" i="6"/>
  <c r="J408" i="5" s="1"/>
  <c r="F1772" i="7"/>
  <c r="E405" i="6" s="1"/>
  <c r="G150" i="6"/>
  <c r="J153" i="5" s="1"/>
  <c r="F634" i="7"/>
  <c r="E150" i="6" s="1"/>
  <c r="G31" i="6"/>
  <c r="J34" i="5" s="1"/>
  <c r="G426" i="6"/>
  <c r="J429" i="5" s="1"/>
  <c r="F1862" i="7"/>
  <c r="E426" i="6" s="1"/>
  <c r="L702" i="7"/>
  <c r="E702" i="7"/>
  <c r="G232" i="6"/>
  <c r="J235" i="5" s="1"/>
  <c r="G33" i="6"/>
  <c r="J36" i="5" s="1"/>
  <c r="L1267" i="7"/>
  <c r="E1267" i="7"/>
  <c r="H1074" i="7"/>
  <c r="K252" i="5"/>
  <c r="G558" i="6"/>
  <c r="J561" i="5" s="1"/>
  <c r="F2423" i="7"/>
  <c r="E558" i="6" s="1"/>
  <c r="F468" i="5"/>
  <c r="K468" i="5"/>
  <c r="G468" i="5" s="1"/>
  <c r="H1110" i="7"/>
  <c r="I315" i="5"/>
  <c r="G495" i="6"/>
  <c r="J498" i="5" s="1"/>
  <c r="F2156" i="7"/>
  <c r="E495" i="6" s="1"/>
  <c r="K206" i="5"/>
  <c r="G206" i="5" s="1"/>
  <c r="F206" i="5"/>
  <c r="G345" i="6"/>
  <c r="J348" i="5" s="1"/>
  <c r="F1469" i="7"/>
  <c r="E345" i="6" s="1"/>
  <c r="F534" i="5"/>
  <c r="K534" i="5"/>
  <c r="G534" i="5" s="1"/>
  <c r="L1272" i="7"/>
  <c r="E1272" i="7"/>
  <c r="G30" i="6"/>
  <c r="J33" i="5" s="1"/>
  <c r="K262" i="5"/>
  <c r="K230" i="5"/>
  <c r="L1301" i="7"/>
  <c r="E1301" i="7"/>
  <c r="H49" i="7"/>
  <c r="L273" i="7"/>
  <c r="E273" i="7"/>
  <c r="G8" i="6"/>
  <c r="J11" i="5" s="1"/>
  <c r="K450" i="5"/>
  <c r="G450" i="5" s="1"/>
  <c r="F450" i="5"/>
  <c r="H1061" i="7"/>
  <c r="F118" i="5"/>
  <c r="K118" i="5"/>
  <c r="G118" i="5" s="1"/>
  <c r="I306" i="5"/>
  <c r="L1089" i="7"/>
  <c r="E1089" i="7"/>
  <c r="F539" i="5"/>
  <c r="K539" i="5"/>
  <c r="G539" i="5" s="1"/>
  <c r="G27" i="6"/>
  <c r="J30" i="5" s="1"/>
  <c r="K251" i="5"/>
  <c r="L306" i="7" l="1"/>
  <c r="F305" i="7"/>
  <c r="F11" i="6"/>
  <c r="H14" i="5" s="1"/>
  <c r="L727" i="7"/>
  <c r="F726" i="7"/>
  <c r="L256" i="7"/>
  <c r="F254" i="7"/>
  <c r="L54" i="7"/>
  <c r="F52" i="7"/>
  <c r="F169" i="6"/>
  <c r="H172" i="5" s="1"/>
  <c r="L150" i="7"/>
  <c r="F149" i="7"/>
  <c r="F155" i="6"/>
  <c r="H158" i="5" s="1"/>
  <c r="L714" i="7"/>
  <c r="E714" i="7"/>
  <c r="L1105" i="7"/>
  <c r="E1105" i="7"/>
  <c r="L627" i="7"/>
  <c r="E627" i="7"/>
  <c r="L310" i="7"/>
  <c r="F309" i="7"/>
  <c r="L244" i="7"/>
  <c r="E244" i="7"/>
  <c r="L981" i="7"/>
  <c r="F980" i="7"/>
  <c r="L75" i="7"/>
  <c r="E75" i="7"/>
  <c r="F156" i="6"/>
  <c r="H159" i="5" s="1"/>
  <c r="L690" i="7"/>
  <c r="E690" i="7"/>
  <c r="L1081" i="7"/>
  <c r="E1081" i="7"/>
  <c r="L1054" i="7"/>
  <c r="E1054" i="7"/>
  <c r="L125" i="7"/>
  <c r="E125" i="7"/>
  <c r="L219" i="7"/>
  <c r="E219" i="7"/>
  <c r="L261" i="7"/>
  <c r="F259" i="7"/>
  <c r="F260" i="6"/>
  <c r="H263" i="5" s="1"/>
  <c r="L662" i="7"/>
  <c r="E662" i="7"/>
  <c r="L17" i="7"/>
  <c r="E17" i="7"/>
  <c r="F259" i="6"/>
  <c r="H262" i="5" s="1"/>
  <c r="L674" i="7"/>
  <c r="F672" i="7"/>
  <c r="L297" i="7"/>
  <c r="E297" i="7"/>
  <c r="L277" i="7"/>
  <c r="E277" i="7"/>
  <c r="F168" i="6"/>
  <c r="H171" i="5" s="1"/>
  <c r="L1024" i="7"/>
  <c r="E1024" i="7"/>
  <c r="L1049" i="7"/>
  <c r="E1049" i="7"/>
  <c r="F34" i="6"/>
  <c r="H37" i="5" s="1"/>
  <c r="L1101" i="7"/>
  <c r="E1101" i="7"/>
  <c r="L998" i="7"/>
  <c r="F997" i="7"/>
  <c r="L154" i="7"/>
  <c r="F153" i="7"/>
  <c r="L1114" i="7"/>
  <c r="F1113" i="7"/>
  <c r="L657" i="7"/>
  <c r="E657" i="7"/>
  <c r="F23" i="6"/>
  <c r="H26" i="5" s="1"/>
  <c r="L710" i="7"/>
  <c r="E710" i="7"/>
  <c r="L718" i="7"/>
  <c r="E718" i="7"/>
  <c r="L42" i="7"/>
  <c r="E42" i="7"/>
  <c r="F167" i="6"/>
  <c r="H170" i="5" s="1"/>
  <c r="F248" i="6"/>
  <c r="H251" i="5" s="1"/>
  <c r="L108" i="7"/>
  <c r="F107" i="7"/>
  <c r="L95" i="7"/>
  <c r="E95" i="7"/>
  <c r="L652" i="7"/>
  <c r="E652" i="7"/>
  <c r="F154" i="6"/>
  <c r="H157" i="5" s="1"/>
  <c r="L977" i="7"/>
  <c r="F975" i="7"/>
  <c r="L141" i="7"/>
  <c r="E141" i="7"/>
  <c r="L994" i="7"/>
  <c r="F992" i="7"/>
  <c r="F247" i="6"/>
  <c r="H250" i="5" s="1"/>
  <c r="L104" i="7"/>
  <c r="F103" i="7"/>
  <c r="L1066" i="7"/>
  <c r="F1064" i="7"/>
  <c r="L1259" i="7"/>
  <c r="F1257" i="7"/>
  <c r="F58" i="6"/>
  <c r="H61" i="5" s="1"/>
  <c r="L59" i="7"/>
  <c r="F57" i="7"/>
  <c r="F70" i="6"/>
  <c r="H73" i="5" s="1"/>
  <c r="L1306" i="7"/>
  <c r="F1305" i="7"/>
  <c r="F348" i="5"/>
  <c r="K348" i="5"/>
  <c r="G348" i="5" s="1"/>
  <c r="L617" i="7"/>
  <c r="E617" i="7"/>
  <c r="K293" i="5"/>
  <c r="K55" i="5"/>
  <c r="K257" i="5"/>
  <c r="F498" i="5"/>
  <c r="K498" i="5"/>
  <c r="G498" i="5" s="1"/>
  <c r="F474" i="5"/>
  <c r="K474" i="5"/>
  <c r="G474" i="5" s="1"/>
  <c r="L2226" i="7"/>
  <c r="F2224" i="7"/>
  <c r="L1215" i="7"/>
  <c r="F1213" i="7"/>
  <c r="L111" i="7"/>
  <c r="E111" i="7"/>
  <c r="F245" i="6"/>
  <c r="H248" i="5" s="1"/>
  <c r="F1041" i="7"/>
  <c r="E245" i="6" s="1"/>
  <c r="L274" i="7"/>
  <c r="F273" i="7"/>
  <c r="F119" i="5"/>
  <c r="K119" i="5"/>
  <c r="G119" i="5" s="1"/>
  <c r="K165" i="5"/>
  <c r="K261" i="5"/>
  <c r="F449" i="5"/>
  <c r="K449" i="5"/>
  <c r="G449" i="5" s="1"/>
  <c r="L1858" i="7"/>
  <c r="F1857" i="7"/>
  <c r="K310" i="5"/>
  <c r="L72" i="7"/>
  <c r="F71" i="7"/>
  <c r="L1059" i="7"/>
  <c r="E1059" i="7"/>
  <c r="K291" i="5"/>
  <c r="L1932" i="7"/>
  <c r="F1930" i="7"/>
  <c r="F71" i="6"/>
  <c r="H74" i="5" s="1"/>
  <c r="L1228" i="7"/>
  <c r="F1227" i="7"/>
  <c r="F536" i="5"/>
  <c r="K536" i="5"/>
  <c r="G536" i="5" s="1"/>
  <c r="K121" i="5"/>
  <c r="G121" i="5" s="1"/>
  <c r="F121" i="5"/>
  <c r="K407" i="5"/>
  <c r="G407" i="5" s="1"/>
  <c r="F407" i="5"/>
  <c r="F249" i="6"/>
  <c r="H252" i="5" s="1"/>
  <c r="L922" i="7"/>
  <c r="E922" i="7"/>
  <c r="K410" i="5"/>
  <c r="G410" i="5" s="1"/>
  <c r="F410" i="5"/>
  <c r="K309" i="5"/>
  <c r="F219" i="6"/>
  <c r="H222" i="5" s="1"/>
  <c r="L2070" i="7"/>
  <c r="F2069" i="7"/>
  <c r="K156" i="5"/>
  <c r="F63" i="6"/>
  <c r="H66" i="5" s="1"/>
  <c r="F448" i="5"/>
  <c r="K448" i="5"/>
  <c r="G448" i="5" s="1"/>
  <c r="L313" i="7"/>
  <c r="E313" i="7"/>
  <c r="F447" i="5"/>
  <c r="K447" i="5"/>
  <c r="G447" i="5" s="1"/>
  <c r="K168" i="5"/>
  <c r="L1955" i="7"/>
  <c r="F1954" i="7"/>
  <c r="M604" i="5"/>
  <c r="G604" i="5" s="1"/>
  <c r="F604" i="5"/>
  <c r="L1314" i="7"/>
  <c r="F1313" i="7"/>
  <c r="K301" i="5"/>
  <c r="K120" i="5"/>
  <c r="G120" i="5" s="1"/>
  <c r="F120" i="5"/>
  <c r="L1830" i="7"/>
  <c r="F1828" i="7"/>
  <c r="L1318" i="7"/>
  <c r="F1317" i="7"/>
  <c r="L14" i="7"/>
  <c r="F12" i="7"/>
  <c r="F157" i="6"/>
  <c r="H160" i="5" s="1"/>
  <c r="K25" i="5"/>
  <c r="F9" i="6"/>
  <c r="H12" i="5" s="1"/>
  <c r="F34" i="7"/>
  <c r="E9" i="6" s="1"/>
  <c r="L644" i="7"/>
  <c r="F642" i="7"/>
  <c r="L707" i="7"/>
  <c r="F706" i="7"/>
  <c r="L1262" i="7"/>
  <c r="E1262" i="7"/>
  <c r="K155" i="5"/>
  <c r="K245" i="5"/>
  <c r="L99" i="7"/>
  <c r="E99" i="7"/>
  <c r="F412" i="5"/>
  <c r="K412" i="5"/>
  <c r="G412" i="5" s="1"/>
  <c r="F21" i="6"/>
  <c r="H24" i="5" s="1"/>
  <c r="F88" i="7"/>
  <c r="E21" i="6" s="1"/>
  <c r="L1254" i="7"/>
  <c r="F1252" i="7"/>
  <c r="L39" i="7"/>
  <c r="F37" i="7"/>
  <c r="K16" i="5"/>
  <c r="K68" i="5"/>
  <c r="L699" i="7"/>
  <c r="F698" i="7"/>
  <c r="K154" i="5"/>
  <c r="K344" i="5"/>
  <c r="G344" i="5" s="1"/>
  <c r="F344" i="5"/>
  <c r="K124" i="5"/>
  <c r="G124" i="5" s="1"/>
  <c r="F124" i="5"/>
  <c r="F560" i="5"/>
  <c r="K560" i="5"/>
  <c r="G560" i="5" s="1"/>
  <c r="F240" i="6"/>
  <c r="H243" i="5" s="1"/>
  <c r="L29" i="7"/>
  <c r="F27" i="7"/>
  <c r="L1073" i="7"/>
  <c r="E1073" i="7"/>
  <c r="F522" i="5"/>
  <c r="K522" i="5"/>
  <c r="G522" i="5" s="1"/>
  <c r="K481" i="5"/>
  <c r="G481" i="5" s="1"/>
  <c r="F481" i="5"/>
  <c r="L1334" i="7"/>
  <c r="F1333" i="7"/>
  <c r="K8" i="5"/>
  <c r="K169" i="5"/>
  <c r="L2249" i="7"/>
  <c r="F2248" i="7"/>
  <c r="L130" i="7"/>
  <c r="F129" i="7"/>
  <c r="L1078" i="7"/>
  <c r="F1077" i="7"/>
  <c r="F22" i="5"/>
  <c r="K22" i="5"/>
  <c r="G22" i="5" s="1"/>
  <c r="F69" i="5"/>
  <c r="K69" i="5"/>
  <c r="G69" i="5" s="1"/>
  <c r="K249" i="5"/>
  <c r="K479" i="5"/>
  <c r="G479" i="5" s="1"/>
  <c r="F479" i="5"/>
  <c r="L145" i="7"/>
  <c r="E145" i="7"/>
  <c r="L84" i="7"/>
  <c r="F83" i="7"/>
  <c r="K411" i="5"/>
  <c r="G411" i="5" s="1"/>
  <c r="F411" i="5"/>
  <c r="F492" i="5"/>
  <c r="K492" i="5"/>
  <c r="G492" i="5" s="1"/>
  <c r="K18" i="5"/>
  <c r="K39" i="5"/>
  <c r="L639" i="7"/>
  <c r="F637" i="7"/>
  <c r="K247" i="5"/>
  <c r="L919" i="7"/>
  <c r="F917" i="7"/>
  <c r="L301" i="7"/>
  <c r="E301" i="7"/>
  <c r="F454" i="5"/>
  <c r="K454" i="5"/>
  <c r="G454" i="5" s="1"/>
  <c r="L2046" i="7"/>
  <c r="F2044" i="7"/>
  <c r="K67" i="5"/>
  <c r="K239" i="5"/>
  <c r="L1014" i="7"/>
  <c r="E1014" i="7"/>
  <c r="F516" i="5"/>
  <c r="K516" i="5"/>
  <c r="G516" i="5" s="1"/>
  <c r="L730" i="7"/>
  <c r="E730" i="7"/>
  <c r="K167" i="5"/>
  <c r="K311" i="5"/>
  <c r="K205" i="5"/>
  <c r="F500" i="5"/>
  <c r="K500" i="5"/>
  <c r="G500" i="5" s="1"/>
  <c r="L649" i="7"/>
  <c r="F647" i="7"/>
  <c r="L1294" i="7"/>
  <c r="F1292" i="7"/>
  <c r="K174" i="5"/>
  <c r="L926" i="7"/>
  <c r="E926" i="7"/>
  <c r="L157" i="7"/>
  <c r="E157" i="7"/>
  <c r="F261" i="6"/>
  <c r="H264" i="5" s="1"/>
  <c r="L912" i="7"/>
  <c r="E912" i="7"/>
  <c r="K164" i="5"/>
  <c r="K77" i="5"/>
  <c r="L682" i="7"/>
  <c r="E682" i="7"/>
  <c r="L1109" i="7"/>
  <c r="E1109" i="7"/>
  <c r="K290" i="5"/>
  <c r="F544" i="5"/>
  <c r="K544" i="5"/>
  <c r="G544" i="5" s="1"/>
  <c r="K308" i="5"/>
  <c r="L871" i="7"/>
  <c r="F870" i="7"/>
  <c r="F122" i="5"/>
  <c r="K122" i="5"/>
  <c r="G122" i="5" s="1"/>
  <c r="K253" i="5"/>
  <c r="F424" i="5"/>
  <c r="K424" i="5"/>
  <c r="G424" i="5" s="1"/>
  <c r="F160" i="6"/>
  <c r="H163" i="5" s="1"/>
  <c r="F170" i="6"/>
  <c r="H173" i="5" s="1"/>
  <c r="K564" i="5"/>
  <c r="G564" i="5" s="1"/>
  <c r="F564" i="5"/>
  <c r="L1269" i="7"/>
  <c r="F1267" i="7"/>
  <c r="L855" i="7"/>
  <c r="F853" i="7"/>
  <c r="F257" i="6"/>
  <c r="H260" i="5" s="1"/>
  <c r="F1094" i="7"/>
  <c r="E257" i="6" s="1"/>
  <c r="K223" i="5"/>
  <c r="K152" i="5"/>
  <c r="L722" i="7"/>
  <c r="E722" i="7"/>
  <c r="K406" i="5"/>
  <c r="G406" i="5" s="1"/>
  <c r="F406" i="5"/>
  <c r="L1326" i="7"/>
  <c r="F1325" i="7"/>
  <c r="K298" i="5"/>
  <c r="L1036" i="7"/>
  <c r="F1034" i="7"/>
  <c r="F518" i="5"/>
  <c r="K518" i="5"/>
  <c r="G518" i="5" s="1"/>
  <c r="L1284" i="7"/>
  <c r="F1282" i="7"/>
  <c r="F32" i="6"/>
  <c r="H35" i="5" s="1"/>
  <c r="F134" i="7"/>
  <c r="E32" i="6" s="1"/>
  <c r="K108" i="5"/>
  <c r="G108" i="5" s="1"/>
  <c r="F108" i="5"/>
  <c r="K72" i="5"/>
  <c r="L2152" i="7"/>
  <c r="F2151" i="7"/>
  <c r="M606" i="5"/>
  <c r="G606" i="5" s="1"/>
  <c r="F606" i="5"/>
  <c r="K429" i="5"/>
  <c r="G429" i="5" s="1"/>
  <c r="F429" i="5"/>
  <c r="K259" i="5"/>
  <c r="L231" i="7"/>
  <c r="F229" i="7"/>
  <c r="L294" i="7"/>
  <c r="F293" i="7"/>
  <c r="K17" i="5"/>
  <c r="K153" i="5"/>
  <c r="G153" i="5" s="1"/>
  <c r="F153" i="5"/>
  <c r="L958" i="7"/>
  <c r="E958" i="7"/>
  <c r="K453" i="5"/>
  <c r="G453" i="5" s="1"/>
  <c r="F453" i="5"/>
  <c r="F110" i="5"/>
  <c r="K110" i="5"/>
  <c r="G110" i="5" s="1"/>
  <c r="L907" i="7"/>
  <c r="E907" i="7"/>
  <c r="K234" i="5"/>
  <c r="K256" i="5"/>
  <c r="F109" i="5"/>
  <c r="K109" i="5"/>
  <c r="G109" i="5" s="1"/>
  <c r="F215" i="6"/>
  <c r="H218" i="5" s="1"/>
  <c r="K346" i="5"/>
  <c r="G346" i="5" s="1"/>
  <c r="F346" i="5"/>
  <c r="L209" i="7"/>
  <c r="E209" i="7"/>
  <c r="K41" i="5"/>
  <c r="M605" i="5"/>
  <c r="G605" i="5" s="1"/>
  <c r="F605" i="5"/>
  <c r="K30" i="5"/>
  <c r="K33" i="5"/>
  <c r="F431" i="5"/>
  <c r="K431" i="5"/>
  <c r="G431" i="5" s="1"/>
  <c r="F227" i="6"/>
  <c r="H230" i="5" s="1"/>
  <c r="F345" i="5"/>
  <c r="K345" i="5"/>
  <c r="G345" i="5" s="1"/>
  <c r="L92" i="7"/>
  <c r="F91" i="7"/>
  <c r="F493" i="5"/>
  <c r="K493" i="5"/>
  <c r="G493" i="5" s="1"/>
  <c r="F24" i="6"/>
  <c r="H27" i="5" s="1"/>
  <c r="F216" i="6"/>
  <c r="H219" i="5" s="1"/>
  <c r="K63" i="5"/>
  <c r="K29" i="5"/>
  <c r="F51" i="6"/>
  <c r="H54" i="5" s="1"/>
  <c r="K76" i="5"/>
  <c r="L1249" i="7"/>
  <c r="F1247" i="7"/>
  <c r="F430" i="5"/>
  <c r="K430" i="5"/>
  <c r="G430" i="5" s="1"/>
  <c r="K244" i="5"/>
  <c r="K517" i="5"/>
  <c r="G517" i="5" s="1"/>
  <c r="F517" i="5"/>
  <c r="K220" i="5"/>
  <c r="L7" i="7"/>
  <c r="E7" i="7"/>
  <c r="K75" i="5"/>
  <c r="L866" i="7"/>
  <c r="E866" i="7"/>
  <c r="K477" i="5"/>
  <c r="G477" i="5" s="1"/>
  <c r="F477" i="5"/>
  <c r="F425" i="5"/>
  <c r="K425" i="5"/>
  <c r="G425" i="5" s="1"/>
  <c r="K563" i="5"/>
  <c r="G563" i="5" s="1"/>
  <c r="F563" i="5"/>
  <c r="L2408" i="7"/>
  <c r="F2406" i="7"/>
  <c r="K565" i="5"/>
  <c r="G565" i="5" s="1"/>
  <c r="F565" i="5"/>
  <c r="K166" i="5"/>
  <c r="G166" i="5" s="1"/>
  <c r="F166" i="5"/>
  <c r="L269" i="7"/>
  <c r="E269" i="7"/>
  <c r="L47" i="7"/>
  <c r="E47" i="7"/>
  <c r="L1302" i="7"/>
  <c r="F1301" i="7"/>
  <c r="L848" i="7"/>
  <c r="E848" i="7"/>
  <c r="L249" i="7"/>
  <c r="E249" i="7"/>
  <c r="F205" i="6"/>
  <c r="H208" i="5" s="1"/>
  <c r="L1309" i="7"/>
  <c r="E1309" i="7"/>
  <c r="L241" i="7"/>
  <c r="F239" i="7"/>
  <c r="F499" i="5"/>
  <c r="K499" i="5"/>
  <c r="G499" i="5" s="1"/>
  <c r="K13" i="5"/>
  <c r="L1274" i="7"/>
  <c r="F1272" i="7"/>
  <c r="K36" i="5"/>
  <c r="F542" i="5"/>
  <c r="K542" i="5"/>
  <c r="G542" i="5" s="1"/>
  <c r="L687" i="7"/>
  <c r="F686" i="7"/>
  <c r="F16" i="6"/>
  <c r="H19" i="5" s="1"/>
  <c r="K452" i="5"/>
  <c r="G452" i="5" s="1"/>
  <c r="F452" i="5"/>
  <c r="F107" i="5"/>
  <c r="K107" i="5"/>
  <c r="G107" i="5" s="1"/>
  <c r="K28" i="5"/>
  <c r="F35" i="6"/>
  <c r="H38" i="5" s="1"/>
  <c r="L963" i="7"/>
  <c r="E963" i="7"/>
  <c r="K523" i="5"/>
  <c r="G523" i="5" s="1"/>
  <c r="F523" i="5"/>
  <c r="F10" i="5"/>
  <c r="K10" i="5"/>
  <c r="G10" i="5" s="1"/>
  <c r="L703" i="7"/>
  <c r="F702" i="7"/>
  <c r="K64" i="5"/>
  <c r="F535" i="5"/>
  <c r="K535" i="5"/>
  <c r="G535" i="5" s="1"/>
  <c r="L62" i="7"/>
  <c r="E62" i="7"/>
  <c r="F4" i="6"/>
  <c r="H7" i="5" s="1"/>
  <c r="L677" i="7"/>
  <c r="E677" i="7"/>
  <c r="K292" i="5"/>
  <c r="F59" i="6"/>
  <c r="H62" i="5" s="1"/>
  <c r="K11" i="5"/>
  <c r="L1224" i="7"/>
  <c r="F1223" i="7"/>
  <c r="L1776" i="7"/>
  <c r="F1775" i="7"/>
  <c r="K408" i="5"/>
  <c r="G408" i="5" s="1"/>
  <c r="F408" i="5"/>
  <c r="L1322" i="7"/>
  <c r="F1321" i="7"/>
  <c r="K541" i="5"/>
  <c r="G541" i="5" s="1"/>
  <c r="F541" i="5"/>
  <c r="K238" i="5"/>
  <c r="K209" i="5"/>
  <c r="F12" i="6"/>
  <c r="H15" i="5" s="1"/>
  <c r="L1220" i="7"/>
  <c r="F1218" i="7"/>
  <c r="F480" i="5"/>
  <c r="K480" i="5"/>
  <c r="G480" i="5" s="1"/>
  <c r="L1046" i="7"/>
  <c r="F1044" i="7"/>
  <c r="K21" i="5"/>
  <c r="F561" i="5"/>
  <c r="K561" i="5"/>
  <c r="G561" i="5" s="1"/>
  <c r="K423" i="5"/>
  <c r="G423" i="5" s="1"/>
  <c r="F423" i="5"/>
  <c r="K265" i="5"/>
  <c r="L286" i="7"/>
  <c r="F285" i="7"/>
  <c r="L67" i="7"/>
  <c r="E67" i="7"/>
  <c r="L667" i="7"/>
  <c r="E667" i="7"/>
  <c r="K476" i="5"/>
  <c r="G476" i="5" s="1"/>
  <c r="F476" i="5"/>
  <c r="L1090" i="7"/>
  <c r="F1089" i="7"/>
  <c r="L216" i="7"/>
  <c r="F214" i="7"/>
  <c r="L1021" i="7"/>
  <c r="F1019" i="7"/>
  <c r="K20" i="5"/>
  <c r="L2427" i="7"/>
  <c r="F2426" i="7"/>
  <c r="K70" i="5"/>
  <c r="K175" i="5"/>
  <c r="K56" i="5"/>
  <c r="F495" i="5"/>
  <c r="K495" i="5"/>
  <c r="G495" i="5" s="1"/>
  <c r="L1757" i="7"/>
  <c r="F1755" i="7"/>
  <c r="F68" i="6"/>
  <c r="H71" i="5" s="1"/>
  <c r="F290" i="7"/>
  <c r="E68" i="6" s="1"/>
  <c r="K538" i="5"/>
  <c r="G538" i="5" s="1"/>
  <c r="F538" i="5"/>
  <c r="F218" i="6"/>
  <c r="H221" i="5" s="1"/>
  <c r="L1330" i="7"/>
  <c r="F1329" i="7"/>
  <c r="K34" i="5"/>
  <c r="L1298" i="7"/>
  <c r="F1297" i="7"/>
  <c r="L931" i="7"/>
  <c r="F930" i="7"/>
  <c r="K40" i="5"/>
  <c r="K23" i="5"/>
  <c r="L1098" i="7"/>
  <c r="F1097" i="7"/>
  <c r="F559" i="5"/>
  <c r="K559" i="5"/>
  <c r="G559" i="5" s="1"/>
  <c r="L264" i="7"/>
  <c r="E264" i="7"/>
  <c r="L1289" i="7"/>
  <c r="F1287" i="7"/>
  <c r="F147" i="6"/>
  <c r="H150" i="5" s="1"/>
  <c r="K161" i="5"/>
  <c r="F56" i="6"/>
  <c r="H59" i="5" s="1"/>
  <c r="F236" i="7"/>
  <c r="E56" i="6" s="1"/>
  <c r="K300" i="5"/>
  <c r="F258" i="5"/>
  <c r="K258" i="5"/>
  <c r="G258" i="5" s="1"/>
  <c r="K521" i="5"/>
  <c r="G521" i="5" s="1"/>
  <c r="F521" i="5"/>
  <c r="K501" i="5"/>
  <c r="G501" i="5" s="1"/>
  <c r="F501" i="5"/>
  <c r="K494" i="5"/>
  <c r="G494" i="5" s="1"/>
  <c r="F494" i="5"/>
  <c r="K65" i="5"/>
  <c r="K475" i="5"/>
  <c r="G475" i="5" s="1"/>
  <c r="F475" i="5"/>
  <c r="F228" i="6"/>
  <c r="H231" i="5" s="1"/>
  <c r="K151" i="5"/>
  <c r="F252" i="6"/>
  <c r="H255" i="5" s="1"/>
  <c r="F57" i="5"/>
  <c r="K57" i="5"/>
  <c r="G57" i="5" s="1"/>
  <c r="K299" i="5"/>
  <c r="K235" i="5"/>
  <c r="K58" i="5"/>
  <c r="F112" i="5"/>
  <c r="K112" i="5"/>
  <c r="G112" i="5" s="1"/>
  <c r="L2124" i="7"/>
  <c r="F2122" i="7"/>
  <c r="L624" i="7"/>
  <c r="F622" i="7"/>
  <c r="L138" i="7"/>
  <c r="F137" i="7"/>
  <c r="K9" i="5"/>
  <c r="F201" i="6"/>
  <c r="H204" i="5" s="1"/>
  <c r="M600" i="5"/>
  <c r="G600" i="5" s="1"/>
  <c r="F600" i="5"/>
  <c r="K162" i="5"/>
  <c r="K60" i="5"/>
  <c r="H297" i="6" l="1"/>
  <c r="L300" i="5" s="1"/>
  <c r="F1259" i="7"/>
  <c r="E297" i="6" s="1"/>
  <c r="I251" i="5"/>
  <c r="L1051" i="7"/>
  <c r="F1049" i="7"/>
  <c r="L221" i="7"/>
  <c r="F219" i="7"/>
  <c r="L1106" i="7"/>
  <c r="F1105" i="7"/>
  <c r="H250" i="6"/>
  <c r="L253" i="5" s="1"/>
  <c r="F1066" i="7"/>
  <c r="E250" i="6" s="1"/>
  <c r="I170" i="5"/>
  <c r="L1026" i="7"/>
  <c r="F1024" i="7"/>
  <c r="L126" i="7"/>
  <c r="F125" i="7"/>
  <c r="L715" i="7"/>
  <c r="F714" i="7"/>
  <c r="I171" i="5"/>
  <c r="L278" i="7"/>
  <c r="F277" i="7"/>
  <c r="I250" i="5"/>
  <c r="L711" i="7"/>
  <c r="F710" i="7"/>
  <c r="L298" i="7"/>
  <c r="F297" i="7"/>
  <c r="L1082" i="7"/>
  <c r="F1081" i="7"/>
  <c r="H36" i="6"/>
  <c r="L39" i="5" s="1"/>
  <c r="F150" i="7"/>
  <c r="E36" i="6" s="1"/>
  <c r="H25" i="6"/>
  <c r="L28" i="5" s="1"/>
  <c r="F104" i="7"/>
  <c r="E25" i="6" s="1"/>
  <c r="L1056" i="7"/>
  <c r="F1054" i="7"/>
  <c r="L719" i="7"/>
  <c r="F718" i="7"/>
  <c r="H235" i="6"/>
  <c r="L238" i="5" s="1"/>
  <c r="F994" i="7"/>
  <c r="E235" i="6" s="1"/>
  <c r="I26" i="5"/>
  <c r="L691" i="7"/>
  <c r="F690" i="7"/>
  <c r="L44" i="7"/>
  <c r="F42" i="7"/>
  <c r="I158" i="5"/>
  <c r="H158" i="6"/>
  <c r="L161" i="5" s="1"/>
  <c r="F674" i="7"/>
  <c r="E158" i="6" s="1"/>
  <c r="I172" i="5"/>
  <c r="I73" i="5"/>
  <c r="H231" i="6"/>
  <c r="L234" i="5" s="1"/>
  <c r="F977" i="7"/>
  <c r="E231" i="6" s="1"/>
  <c r="H262" i="6"/>
  <c r="L265" i="5" s="1"/>
  <c r="F1114" i="7"/>
  <c r="E262" i="6" s="1"/>
  <c r="L76" i="7"/>
  <c r="F75" i="7"/>
  <c r="I159" i="5"/>
  <c r="H13" i="6"/>
  <c r="L16" i="5" s="1"/>
  <c r="F54" i="7"/>
  <c r="E13" i="6" s="1"/>
  <c r="I157" i="5"/>
  <c r="H37" i="6"/>
  <c r="L40" i="5" s="1"/>
  <c r="F154" i="7"/>
  <c r="E37" i="6" s="1"/>
  <c r="H232" i="6"/>
  <c r="L235" i="5" s="1"/>
  <c r="F981" i="7"/>
  <c r="E232" i="6" s="1"/>
  <c r="L659" i="7"/>
  <c r="F657" i="7"/>
  <c r="H14" i="6"/>
  <c r="L17" i="5" s="1"/>
  <c r="F59" i="7"/>
  <c r="E14" i="6" s="1"/>
  <c r="L664" i="7"/>
  <c r="F662" i="7"/>
  <c r="H171" i="6"/>
  <c r="L174" i="5" s="1"/>
  <c r="F727" i="7"/>
  <c r="E171" i="6" s="1"/>
  <c r="H60" i="6"/>
  <c r="L63" i="5" s="1"/>
  <c r="F256" i="7"/>
  <c r="E60" i="6" s="1"/>
  <c r="L654" i="7"/>
  <c r="F652" i="7"/>
  <c r="H236" i="6"/>
  <c r="L239" i="5" s="1"/>
  <c r="F998" i="7"/>
  <c r="E236" i="6" s="1"/>
  <c r="L246" i="7"/>
  <c r="F244" i="7"/>
  <c r="H307" i="6"/>
  <c r="L310" i="5" s="1"/>
  <c r="F1306" i="7"/>
  <c r="E307" i="6" s="1"/>
  <c r="I263" i="5"/>
  <c r="I14" i="5"/>
  <c r="I262" i="5"/>
  <c r="L19" i="7"/>
  <c r="F17" i="7"/>
  <c r="L96" i="7"/>
  <c r="F95" i="7"/>
  <c r="L1102" i="7"/>
  <c r="F1101" i="7"/>
  <c r="I61" i="5"/>
  <c r="H61" i="6"/>
  <c r="L64" i="5" s="1"/>
  <c r="F261" i="7"/>
  <c r="E61" i="6" s="1"/>
  <c r="H73" i="6"/>
  <c r="L76" i="5" s="1"/>
  <c r="F310" i="7"/>
  <c r="E73" i="6" s="1"/>
  <c r="H26" i="6"/>
  <c r="L29" i="5" s="1"/>
  <c r="F108" i="7"/>
  <c r="E26" i="6" s="1"/>
  <c r="I37" i="5"/>
  <c r="H72" i="6"/>
  <c r="L75" i="5" s="1"/>
  <c r="F306" i="7"/>
  <c r="E72" i="6" s="1"/>
  <c r="L142" i="7"/>
  <c r="F141" i="7"/>
  <c r="L629" i="7"/>
  <c r="F627" i="7"/>
  <c r="H443" i="6"/>
  <c r="L446" i="5" s="1"/>
  <c r="F1932" i="7"/>
  <c r="E443" i="6" s="1"/>
  <c r="I264" i="5"/>
  <c r="L1264" i="7"/>
  <c r="F1262" i="7"/>
  <c r="H494" i="6"/>
  <c r="L497" i="5" s="1"/>
  <c r="F2152" i="7"/>
  <c r="E494" i="6" s="1"/>
  <c r="L909" i="7"/>
  <c r="F907" i="7"/>
  <c r="I38" i="5"/>
  <c r="L679" i="7"/>
  <c r="F677" i="7"/>
  <c r="H304" i="6"/>
  <c r="L307" i="5" s="1"/>
  <c r="F1294" i="7"/>
  <c r="E304" i="6" s="1"/>
  <c r="H402" i="6"/>
  <c r="L405" i="5" s="1"/>
  <c r="F1757" i="7"/>
  <c r="E402" i="6" s="1"/>
  <c r="H148" i="6"/>
  <c r="L151" i="5" s="1"/>
  <c r="F624" i="7"/>
  <c r="E148" i="6" s="1"/>
  <c r="L669" i="7"/>
  <c r="F667" i="7"/>
  <c r="L251" i="7"/>
  <c r="F249" i="7"/>
  <c r="H67" i="6"/>
  <c r="L70" i="5" s="1"/>
  <c r="F286" i="7"/>
  <c r="E67" i="6" s="1"/>
  <c r="H306" i="6"/>
  <c r="L309" i="5" s="1"/>
  <c r="F1302" i="7"/>
  <c r="E306" i="6" s="1"/>
  <c r="L211" i="7"/>
  <c r="F209" i="7"/>
  <c r="H244" i="6"/>
  <c r="L247" i="5" s="1"/>
  <c r="F1036" i="7"/>
  <c r="E244" i="6" s="1"/>
  <c r="I173" i="5"/>
  <c r="L683" i="7"/>
  <c r="F682" i="7"/>
  <c r="H8" i="6"/>
  <c r="L11" i="5" s="1"/>
  <c r="F29" i="7"/>
  <c r="E8" i="6" s="1"/>
  <c r="H5" i="6"/>
  <c r="L8" i="5" s="1"/>
  <c r="F14" i="7"/>
  <c r="E5" i="6" s="1"/>
  <c r="L314" i="7"/>
  <c r="F313" i="7"/>
  <c r="H475" i="6"/>
  <c r="L478" i="5" s="1"/>
  <c r="F2070" i="7"/>
  <c r="E475" i="6" s="1"/>
  <c r="L723" i="7"/>
  <c r="F722" i="7"/>
  <c r="H295" i="6"/>
  <c r="L298" i="5" s="1"/>
  <c r="F1249" i="7"/>
  <c r="E295" i="6" s="1"/>
  <c r="L1061" i="7"/>
  <c r="F1059" i="7"/>
  <c r="I231" i="5"/>
  <c r="L923" i="7"/>
  <c r="F922" i="7"/>
  <c r="H448" i="6"/>
  <c r="L451" i="5" s="1"/>
  <c r="F1955" i="7"/>
  <c r="E448" i="6" s="1"/>
  <c r="I252" i="5"/>
  <c r="L867" i="7"/>
  <c r="F866" i="7"/>
  <c r="L64" i="7"/>
  <c r="F62" i="7"/>
  <c r="H488" i="6"/>
  <c r="L491" i="5" s="1"/>
  <c r="F2124" i="7"/>
  <c r="E488" i="6" s="1"/>
  <c r="L68" i="7"/>
  <c r="F67" i="7"/>
  <c r="H217" i="6"/>
  <c r="L220" i="5" s="1"/>
  <c r="F919" i="7"/>
  <c r="E217" i="6" s="1"/>
  <c r="H311" i="6"/>
  <c r="L314" i="5" s="1"/>
  <c r="F1322" i="7"/>
  <c r="E311" i="6" s="1"/>
  <c r="H161" i="6"/>
  <c r="L164" i="5" s="1"/>
  <c r="F687" i="7"/>
  <c r="E161" i="6" s="1"/>
  <c r="I27" i="5"/>
  <c r="H246" i="6"/>
  <c r="L249" i="5" s="1"/>
  <c r="F1046" i="7"/>
  <c r="E246" i="6" s="1"/>
  <c r="H555" i="6"/>
  <c r="L558" i="5" s="1"/>
  <c r="F2408" i="7"/>
  <c r="E555" i="6" s="1"/>
  <c r="H309" i="6"/>
  <c r="L312" i="5" s="1"/>
  <c r="F1314" i="7"/>
  <c r="E309" i="6" s="1"/>
  <c r="I62" i="5"/>
  <c r="H303" i="6"/>
  <c r="L306" i="5" s="1"/>
  <c r="F1289" i="7"/>
  <c r="E303" i="6" s="1"/>
  <c r="I260" i="5"/>
  <c r="G260" i="5" s="1"/>
  <c r="F260" i="5"/>
  <c r="H470" i="6"/>
  <c r="L473" i="5" s="1"/>
  <c r="F2046" i="7"/>
  <c r="E470" i="6" s="1"/>
  <c r="H153" i="6"/>
  <c r="L156" i="5" s="1"/>
  <c r="F649" i="7"/>
  <c r="E153" i="6" s="1"/>
  <c r="L1110" i="7"/>
  <c r="F1109" i="7"/>
  <c r="L850" i="7"/>
  <c r="F848" i="7"/>
  <c r="H69" i="6"/>
  <c r="L72" i="5" s="1"/>
  <c r="F294" i="7"/>
  <c r="E69" i="6" s="1"/>
  <c r="I163" i="5"/>
  <c r="I243" i="5"/>
  <c r="L100" i="7"/>
  <c r="F99" i="7"/>
  <c r="L112" i="7"/>
  <c r="F111" i="7"/>
  <c r="I221" i="5"/>
  <c r="H166" i="6"/>
  <c r="L169" i="5" s="1"/>
  <c r="F707" i="7"/>
  <c r="E166" i="6" s="1"/>
  <c r="H288" i="6"/>
  <c r="L291" i="5" s="1"/>
  <c r="F1220" i="7"/>
  <c r="E288" i="6" s="1"/>
  <c r="L1310" i="7"/>
  <c r="F1309" i="7"/>
  <c r="H202" i="6"/>
  <c r="L205" i="5" s="1"/>
  <c r="F855" i="7"/>
  <c r="E202" i="6" s="1"/>
  <c r="H33" i="6"/>
  <c r="L36" i="5" s="1"/>
  <c r="F138" i="7"/>
  <c r="E33" i="6" s="1"/>
  <c r="I208" i="5"/>
  <c r="I12" i="5"/>
  <c r="G12" i="5" s="1"/>
  <c r="F12" i="5"/>
  <c r="H299" i="6"/>
  <c r="L302" i="5" s="1"/>
  <c r="F1269" i="7"/>
  <c r="E299" i="6" s="1"/>
  <c r="I24" i="5"/>
  <c r="G24" i="5" s="1"/>
  <c r="F24" i="5"/>
  <c r="I219" i="5"/>
  <c r="L49" i="7"/>
  <c r="F47" i="7"/>
  <c r="H151" i="6"/>
  <c r="L154" i="5" s="1"/>
  <c r="F639" i="7"/>
  <c r="E151" i="6" s="1"/>
  <c r="H253" i="6"/>
  <c r="L256" i="5" s="1"/>
  <c r="F1078" i="7"/>
  <c r="E253" i="6" s="1"/>
  <c r="K6" i="5"/>
  <c r="K5" i="5" s="1"/>
  <c r="K1025" i="5" s="1"/>
  <c r="F4" i="4" s="1"/>
  <c r="D5" i="3" s="1"/>
  <c r="H310" i="6"/>
  <c r="L313" i="5" s="1"/>
  <c r="F1318" i="7"/>
  <c r="E310" i="6" s="1"/>
  <c r="H313" i="6"/>
  <c r="L316" i="5" s="1"/>
  <c r="F1330" i="7"/>
  <c r="E313" i="6" s="1"/>
  <c r="I222" i="5"/>
  <c r="I255" i="5"/>
  <c r="H287" i="6"/>
  <c r="L290" i="5" s="1"/>
  <c r="F1215" i="7"/>
  <c r="E287" i="6" s="1"/>
  <c r="H164" i="6"/>
  <c r="L167" i="5" s="1"/>
  <c r="F699" i="7"/>
  <c r="E164" i="6" s="1"/>
  <c r="H57" i="6"/>
  <c r="L60" i="5" s="1"/>
  <c r="F241" i="7"/>
  <c r="E57" i="6" s="1"/>
  <c r="H52" i="6"/>
  <c r="L55" i="5" s="1"/>
  <c r="F216" i="7"/>
  <c r="E52" i="6" s="1"/>
  <c r="H256" i="6"/>
  <c r="L259" i="5" s="1"/>
  <c r="F1090" i="7"/>
  <c r="E256" i="6" s="1"/>
  <c r="H152" i="6"/>
  <c r="L155" i="5" s="1"/>
  <c r="F644" i="7"/>
  <c r="E152" i="6" s="1"/>
  <c r="L146" i="7"/>
  <c r="F145" i="7"/>
  <c r="I35" i="5"/>
  <c r="G35" i="5" s="1"/>
  <c r="F35" i="5"/>
  <c r="H302" i="6"/>
  <c r="L305" i="5" s="1"/>
  <c r="F1284" i="7"/>
  <c r="E302" i="6" s="1"/>
  <c r="L1074" i="7"/>
  <c r="F1073" i="7"/>
  <c r="H220" i="6"/>
  <c r="L223" i="5" s="1"/>
  <c r="F931" i="7"/>
  <c r="E220" i="6" s="1"/>
  <c r="I218" i="5"/>
  <c r="H55" i="6"/>
  <c r="L58" i="5" s="1"/>
  <c r="F231" i="7"/>
  <c r="E55" i="6" s="1"/>
  <c r="H312" i="6"/>
  <c r="L315" i="5" s="1"/>
  <c r="F1326" i="7"/>
  <c r="E312" i="6" s="1"/>
  <c r="I66" i="5"/>
  <c r="H290" i="6"/>
  <c r="L293" i="5" s="1"/>
  <c r="F1228" i="7"/>
  <c r="E290" i="6" s="1"/>
  <c r="I59" i="5"/>
  <c r="G59" i="5" s="1"/>
  <c r="F59" i="5"/>
  <c r="H517" i="6"/>
  <c r="L520" i="5" s="1"/>
  <c r="F2249" i="7"/>
  <c r="E517" i="6" s="1"/>
  <c r="I230" i="5"/>
  <c r="L964" i="7"/>
  <c r="F963" i="7"/>
  <c r="H206" i="6"/>
  <c r="L209" i="5" s="1"/>
  <c r="F871" i="7"/>
  <c r="E206" i="6" s="1"/>
  <c r="H17" i="6"/>
  <c r="L20" i="5" s="1"/>
  <c r="F72" i="7"/>
  <c r="E17" i="6" s="1"/>
  <c r="H20" i="6"/>
  <c r="L23" i="5" s="1"/>
  <c r="F84" i="7"/>
  <c r="E20" i="6" s="1"/>
  <c r="I15" i="5"/>
  <c r="L266" i="7"/>
  <c r="F264" i="7"/>
  <c r="I54" i="5"/>
  <c r="L960" i="7"/>
  <c r="F958" i="7"/>
  <c r="H258" i="6"/>
  <c r="L261" i="5" s="1"/>
  <c r="F1098" i="7"/>
  <c r="E258" i="6" s="1"/>
  <c r="H406" i="6"/>
  <c r="L409" i="5" s="1"/>
  <c r="F1776" i="7"/>
  <c r="E406" i="6" s="1"/>
  <c r="L270" i="7"/>
  <c r="F269" i="7"/>
  <c r="H22" i="6"/>
  <c r="L25" i="5" s="1"/>
  <c r="F92" i="7"/>
  <c r="E22" i="6" s="1"/>
  <c r="H31" i="6"/>
  <c r="L34" i="5" s="1"/>
  <c r="F130" i="7"/>
  <c r="E31" i="6" s="1"/>
  <c r="H419" i="6"/>
  <c r="L422" i="5" s="1"/>
  <c r="F1830" i="7"/>
  <c r="E419" i="6" s="1"/>
  <c r="H64" i="6"/>
  <c r="L67" i="5" s="1"/>
  <c r="F274" i="7"/>
  <c r="E64" i="6" s="1"/>
  <c r="L619" i="7"/>
  <c r="F617" i="7"/>
  <c r="L1016" i="7"/>
  <c r="F1014" i="7"/>
  <c r="H512" i="6"/>
  <c r="L515" i="5" s="1"/>
  <c r="F2226" i="7"/>
  <c r="E512" i="6" s="1"/>
  <c r="I204" i="5"/>
  <c r="H314" i="6"/>
  <c r="L317" i="5" s="1"/>
  <c r="F1334" i="7"/>
  <c r="E314" i="6" s="1"/>
  <c r="I71" i="5"/>
  <c r="G71" i="5" s="1"/>
  <c r="F71" i="5"/>
  <c r="H10" i="6"/>
  <c r="L13" i="5" s="1"/>
  <c r="F39" i="7"/>
  <c r="E10" i="6" s="1"/>
  <c r="H296" i="6"/>
  <c r="L299" i="5" s="1"/>
  <c r="F1254" i="7"/>
  <c r="E296" i="6" s="1"/>
  <c r="L302" i="7"/>
  <c r="F301" i="7"/>
  <c r="I19" i="5"/>
  <c r="L9" i="7"/>
  <c r="F7" i="7"/>
  <c r="H559" i="6"/>
  <c r="L562" i="5" s="1"/>
  <c r="F2427" i="7"/>
  <c r="E559" i="6" s="1"/>
  <c r="H305" i="6"/>
  <c r="L308" i="5" s="1"/>
  <c r="F1298" i="7"/>
  <c r="E305" i="6" s="1"/>
  <c r="L914" i="7"/>
  <c r="F912" i="7"/>
  <c r="L731" i="7"/>
  <c r="F730" i="7"/>
  <c r="I74" i="5"/>
  <c r="H241" i="6"/>
  <c r="L244" i="5" s="1"/>
  <c r="F1021" i="7"/>
  <c r="E241" i="6" s="1"/>
  <c r="L158" i="7"/>
  <c r="F157" i="7"/>
  <c r="I150" i="5"/>
  <c r="L927" i="7"/>
  <c r="F926" i="7"/>
  <c r="H425" i="6"/>
  <c r="L428" i="5" s="1"/>
  <c r="F1858" i="7"/>
  <c r="E425" i="6" s="1"/>
  <c r="I7" i="5"/>
  <c r="I160" i="5"/>
  <c r="H165" i="6"/>
  <c r="L168" i="5" s="1"/>
  <c r="F703" i="7"/>
  <c r="E165" i="6" s="1"/>
  <c r="H289" i="6"/>
  <c r="L292" i="5" s="1"/>
  <c r="F1224" i="7"/>
  <c r="E289" i="6" s="1"/>
  <c r="H300" i="6"/>
  <c r="L303" i="5" s="1"/>
  <c r="F1274" i="7"/>
  <c r="E300" i="6" s="1"/>
  <c r="I248" i="5"/>
  <c r="G248" i="5" s="1"/>
  <c r="F248" i="5"/>
  <c r="M174" i="5" l="1"/>
  <c r="G174" i="5" s="1"/>
  <c r="F174" i="5"/>
  <c r="H34" i="6"/>
  <c r="L37" i="5" s="1"/>
  <c r="F142" i="7"/>
  <c r="E34" i="6" s="1"/>
  <c r="H6" i="6"/>
  <c r="L9" i="5" s="1"/>
  <c r="F19" i="7"/>
  <c r="E6" i="6" s="1"/>
  <c r="M234" i="5"/>
  <c r="G234" i="5" s="1"/>
  <c r="F234" i="5"/>
  <c r="H248" i="6"/>
  <c r="L251" i="5" s="1"/>
  <c r="F1056" i="7"/>
  <c r="E248" i="6" s="1"/>
  <c r="H168" i="6"/>
  <c r="L171" i="5" s="1"/>
  <c r="F715" i="7"/>
  <c r="E168" i="6" s="1"/>
  <c r="H156" i="6"/>
  <c r="L159" i="5" s="1"/>
  <c r="F664" i="7"/>
  <c r="E156" i="6" s="1"/>
  <c r="M161" i="5"/>
  <c r="G161" i="5" s="1"/>
  <c r="F161" i="5"/>
  <c r="M29" i="5"/>
  <c r="G29" i="5" s="1"/>
  <c r="F29" i="5"/>
  <c r="H155" i="6"/>
  <c r="L158" i="5" s="1"/>
  <c r="F659" i="7"/>
  <c r="E155" i="6" s="1"/>
  <c r="H254" i="6"/>
  <c r="L257" i="5" s="1"/>
  <c r="F1082" i="7"/>
  <c r="E254" i="6" s="1"/>
  <c r="M253" i="5"/>
  <c r="G253" i="5" s="1"/>
  <c r="F253" i="5"/>
  <c r="M76" i="5"/>
  <c r="G76" i="5" s="1"/>
  <c r="F76" i="5"/>
  <c r="M235" i="5"/>
  <c r="G235" i="5" s="1"/>
  <c r="F235" i="5"/>
  <c r="M75" i="5"/>
  <c r="G75" i="5" s="1"/>
  <c r="F75" i="5"/>
  <c r="H260" i="6"/>
  <c r="L263" i="5" s="1"/>
  <c r="F1106" i="7"/>
  <c r="E260" i="6" s="1"/>
  <c r="M64" i="5"/>
  <c r="G64" i="5" s="1"/>
  <c r="F64" i="5"/>
  <c r="M40" i="5"/>
  <c r="G40" i="5" s="1"/>
  <c r="F40" i="5"/>
  <c r="M17" i="5"/>
  <c r="G17" i="5" s="1"/>
  <c r="F17" i="5"/>
  <c r="M39" i="5"/>
  <c r="G39" i="5" s="1"/>
  <c r="F39" i="5"/>
  <c r="H70" i="6"/>
  <c r="L73" i="5" s="1"/>
  <c r="F298" i="7"/>
  <c r="E70" i="6" s="1"/>
  <c r="H167" i="6"/>
  <c r="L170" i="5" s="1"/>
  <c r="F711" i="7"/>
  <c r="E167" i="6" s="1"/>
  <c r="M310" i="5"/>
  <c r="G310" i="5" s="1"/>
  <c r="F310" i="5"/>
  <c r="H11" i="6"/>
  <c r="L14" i="5" s="1"/>
  <c r="F44" i="7"/>
  <c r="E11" i="6" s="1"/>
  <c r="H53" i="6"/>
  <c r="L56" i="5" s="1"/>
  <c r="F221" i="7"/>
  <c r="E53" i="6" s="1"/>
  <c r="H58" i="6"/>
  <c r="L61" i="5" s="1"/>
  <c r="F246" i="7"/>
  <c r="E58" i="6" s="1"/>
  <c r="H162" i="6"/>
  <c r="L165" i="5" s="1"/>
  <c r="F691" i="7"/>
  <c r="E162" i="6" s="1"/>
  <c r="M16" i="5"/>
  <c r="G16" i="5" s="1"/>
  <c r="F16" i="5"/>
  <c r="H65" i="6"/>
  <c r="L68" i="5" s="1"/>
  <c r="F278" i="7"/>
  <c r="E65" i="6" s="1"/>
  <c r="H247" i="6"/>
  <c r="L250" i="5" s="1"/>
  <c r="F1051" i="7"/>
  <c r="E247" i="6" s="1"/>
  <c r="M239" i="5"/>
  <c r="G239" i="5" s="1"/>
  <c r="F239" i="5"/>
  <c r="H259" i="6"/>
  <c r="L262" i="5" s="1"/>
  <c r="F1102" i="7"/>
  <c r="E259" i="6" s="1"/>
  <c r="H242" i="6"/>
  <c r="L245" i="5" s="1"/>
  <c r="F1026" i="7"/>
  <c r="E242" i="6" s="1"/>
  <c r="H154" i="6"/>
  <c r="L157" i="5" s="1"/>
  <c r="F654" i="7"/>
  <c r="E154" i="6" s="1"/>
  <c r="M238" i="5"/>
  <c r="G238" i="5" s="1"/>
  <c r="F238" i="5"/>
  <c r="H23" i="6"/>
  <c r="L26" i="5" s="1"/>
  <c r="F96" i="7"/>
  <c r="E23" i="6" s="1"/>
  <c r="H18" i="6"/>
  <c r="L21" i="5" s="1"/>
  <c r="F76" i="7"/>
  <c r="E18" i="6" s="1"/>
  <c r="M300" i="5"/>
  <c r="G300" i="5" s="1"/>
  <c r="F300" i="5"/>
  <c r="H149" i="6"/>
  <c r="L152" i="5" s="1"/>
  <c r="F629" i="7"/>
  <c r="E149" i="6" s="1"/>
  <c r="M63" i="5"/>
  <c r="G63" i="5" s="1"/>
  <c r="F63" i="5"/>
  <c r="H169" i="6"/>
  <c r="L172" i="5" s="1"/>
  <c r="F719" i="7"/>
  <c r="E169" i="6" s="1"/>
  <c r="M28" i="5"/>
  <c r="G28" i="5" s="1"/>
  <c r="F28" i="5"/>
  <c r="H30" i="6"/>
  <c r="L33" i="5" s="1"/>
  <c r="F126" i="7"/>
  <c r="E30" i="6" s="1"/>
  <c r="M265" i="5"/>
  <c r="G265" i="5" s="1"/>
  <c r="F265" i="5"/>
  <c r="M290" i="5"/>
  <c r="G290" i="5" s="1"/>
  <c r="F290" i="5"/>
  <c r="M422" i="5"/>
  <c r="G422" i="5" s="1"/>
  <c r="F422" i="5"/>
  <c r="M491" i="5"/>
  <c r="G491" i="5" s="1"/>
  <c r="F491" i="5"/>
  <c r="M34" i="5"/>
  <c r="G34" i="5" s="1"/>
  <c r="F34" i="5"/>
  <c r="H228" i="6"/>
  <c r="L231" i="5" s="1"/>
  <c r="F964" i="7"/>
  <c r="E228" i="6" s="1"/>
  <c r="H205" i="6"/>
  <c r="L208" i="5" s="1"/>
  <c r="F867" i="7"/>
  <c r="E205" i="6" s="1"/>
  <c r="H172" i="6"/>
  <c r="L175" i="5" s="1"/>
  <c r="F731" i="7"/>
  <c r="E172" i="6" s="1"/>
  <c r="H159" i="6"/>
  <c r="L162" i="5" s="1"/>
  <c r="F679" i="7"/>
  <c r="E159" i="6" s="1"/>
  <c r="H160" i="6"/>
  <c r="L163" i="5" s="1"/>
  <c r="F683" i="7"/>
  <c r="E160" i="6" s="1"/>
  <c r="M291" i="5"/>
  <c r="G291" i="5" s="1"/>
  <c r="F291" i="5"/>
  <c r="M168" i="5"/>
  <c r="G168" i="5" s="1"/>
  <c r="F168" i="5"/>
  <c r="M515" i="5"/>
  <c r="G515" i="5" s="1"/>
  <c r="F515" i="5"/>
  <c r="M259" i="5"/>
  <c r="G259" i="5" s="1"/>
  <c r="F259" i="5"/>
  <c r="H12" i="6"/>
  <c r="L15" i="5" s="1"/>
  <c r="F49" i="7"/>
  <c r="E12" i="6" s="1"/>
  <c r="M164" i="5"/>
  <c r="G164" i="5" s="1"/>
  <c r="F164" i="5"/>
  <c r="H249" i="6"/>
  <c r="L252" i="5" s="1"/>
  <c r="F1061" i="7"/>
  <c r="E249" i="6" s="1"/>
  <c r="H51" i="6"/>
  <c r="L54" i="5" s="1"/>
  <c r="F211" i="7"/>
  <c r="E51" i="6" s="1"/>
  <c r="M497" i="5"/>
  <c r="G497" i="5" s="1"/>
  <c r="F497" i="5"/>
  <c r="M244" i="5"/>
  <c r="G244" i="5" s="1"/>
  <c r="F244" i="5"/>
  <c r="M25" i="5"/>
  <c r="G25" i="5" s="1"/>
  <c r="F25" i="5"/>
  <c r="M11" i="5"/>
  <c r="G11" i="5" s="1"/>
  <c r="F11" i="5"/>
  <c r="M72" i="5"/>
  <c r="G72" i="5" s="1"/>
  <c r="F72" i="5"/>
  <c r="M205" i="5"/>
  <c r="G205" i="5" s="1"/>
  <c r="F205" i="5"/>
  <c r="M451" i="5"/>
  <c r="G451" i="5" s="1"/>
  <c r="F451" i="5"/>
  <c r="H216" i="6"/>
  <c r="L219" i="5" s="1"/>
  <c r="F914" i="7"/>
  <c r="E216" i="6" s="1"/>
  <c r="M256" i="5"/>
  <c r="G256" i="5" s="1"/>
  <c r="F256" i="5"/>
  <c r="M154" i="5"/>
  <c r="G154" i="5" s="1"/>
  <c r="F154" i="5"/>
  <c r="H240" i="6"/>
  <c r="L243" i="5" s="1"/>
  <c r="F1016" i="7"/>
  <c r="E240" i="6" s="1"/>
  <c r="M156" i="5"/>
  <c r="G156" i="5" s="1"/>
  <c r="F156" i="5"/>
  <c r="D8" i="3"/>
  <c r="H201" i="6"/>
  <c r="L204" i="5" s="1"/>
  <c r="F850" i="7"/>
  <c r="E201" i="6" s="1"/>
  <c r="M155" i="5"/>
  <c r="G155" i="5" s="1"/>
  <c r="F155" i="5"/>
  <c r="H261" i="6"/>
  <c r="L264" i="5" s="1"/>
  <c r="F1110" i="7"/>
  <c r="E261" i="6" s="1"/>
  <c r="M314" i="5"/>
  <c r="G314" i="5" s="1"/>
  <c r="F314" i="5"/>
  <c r="M298" i="5"/>
  <c r="G298" i="5" s="1"/>
  <c r="F298" i="5"/>
  <c r="M309" i="5"/>
  <c r="G309" i="5" s="1"/>
  <c r="F309" i="5"/>
  <c r="H298" i="6"/>
  <c r="L301" i="5" s="1"/>
  <c r="F1264" i="7"/>
  <c r="E298" i="6" s="1"/>
  <c r="H74" i="6"/>
  <c r="L77" i="5" s="1"/>
  <c r="F314" i="7"/>
  <c r="E74" i="6" s="1"/>
  <c r="H15" i="6"/>
  <c r="L18" i="5" s="1"/>
  <c r="F64" i="7"/>
  <c r="E15" i="6" s="1"/>
  <c r="M13" i="5"/>
  <c r="G13" i="5" s="1"/>
  <c r="F13" i="5"/>
  <c r="M303" i="5"/>
  <c r="G303" i="5" s="1"/>
  <c r="F303" i="5"/>
  <c r="M312" i="5"/>
  <c r="G312" i="5" s="1"/>
  <c r="F312" i="5"/>
  <c r="M305" i="5"/>
  <c r="G305" i="5" s="1"/>
  <c r="F305" i="5"/>
  <c r="M307" i="5"/>
  <c r="G307" i="5" s="1"/>
  <c r="F307" i="5"/>
  <c r="M292" i="5"/>
  <c r="G292" i="5" s="1"/>
  <c r="F292" i="5"/>
  <c r="M409" i="5"/>
  <c r="G409" i="5" s="1"/>
  <c r="F409" i="5"/>
  <c r="M520" i="5"/>
  <c r="G520" i="5" s="1"/>
  <c r="F520" i="5"/>
  <c r="M249" i="5"/>
  <c r="G249" i="5" s="1"/>
  <c r="F249" i="5"/>
  <c r="H35" i="6"/>
  <c r="L38" i="5" s="1"/>
  <c r="F146" i="7"/>
  <c r="E35" i="6" s="1"/>
  <c r="H227" i="6"/>
  <c r="L230" i="5" s="1"/>
  <c r="F960" i="7"/>
  <c r="E227" i="6" s="1"/>
  <c r="M293" i="5"/>
  <c r="G293" i="5" s="1"/>
  <c r="F293" i="5"/>
  <c r="I6" i="5"/>
  <c r="I5" i="5" s="1"/>
  <c r="I1025" i="5" s="1"/>
  <c r="E4" i="4" s="1"/>
  <c r="H62" i="6"/>
  <c r="L65" i="5" s="1"/>
  <c r="F266" i="7"/>
  <c r="E62" i="6" s="1"/>
  <c r="M55" i="5"/>
  <c r="G55" i="5" s="1"/>
  <c r="F55" i="5"/>
  <c r="M428" i="5"/>
  <c r="G428" i="5" s="1"/>
  <c r="F428" i="5"/>
  <c r="H4" i="6"/>
  <c r="L7" i="5" s="1"/>
  <c r="F9" i="7"/>
  <c r="E4" i="6" s="1"/>
  <c r="H27" i="6"/>
  <c r="L30" i="5" s="1"/>
  <c r="F112" i="7"/>
  <c r="E27" i="6" s="1"/>
  <c r="M306" i="5"/>
  <c r="G306" i="5" s="1"/>
  <c r="F306" i="5"/>
  <c r="M8" i="5"/>
  <c r="G8" i="5" s="1"/>
  <c r="F8" i="5"/>
  <c r="M317" i="5"/>
  <c r="G317" i="5" s="1"/>
  <c r="F317" i="5"/>
  <c r="M313" i="5"/>
  <c r="G313" i="5" s="1"/>
  <c r="F313" i="5"/>
  <c r="M60" i="5"/>
  <c r="G60" i="5" s="1"/>
  <c r="F60" i="5"/>
  <c r="M473" i="5"/>
  <c r="G473" i="5" s="1"/>
  <c r="F473" i="5"/>
  <c r="M70" i="5"/>
  <c r="G70" i="5" s="1"/>
  <c r="F70" i="5"/>
  <c r="H71" i="6"/>
  <c r="L74" i="5" s="1"/>
  <c r="F302" i="7"/>
  <c r="E71" i="6" s="1"/>
  <c r="H157" i="6"/>
  <c r="L160" i="5" s="1"/>
  <c r="F669" i="7"/>
  <c r="E157" i="6" s="1"/>
  <c r="M151" i="5"/>
  <c r="G151" i="5" s="1"/>
  <c r="F151" i="5"/>
  <c r="M405" i="5"/>
  <c r="G405" i="5" s="1"/>
  <c r="F405" i="5"/>
  <c r="H63" i="6"/>
  <c r="L66" i="5" s="1"/>
  <c r="F270" i="7"/>
  <c r="E63" i="6" s="1"/>
  <c r="M308" i="5"/>
  <c r="G308" i="5" s="1"/>
  <c r="F308" i="5"/>
  <c r="M315" i="5"/>
  <c r="G315" i="5" s="1"/>
  <c r="F315" i="5"/>
  <c r="M220" i="5"/>
  <c r="G220" i="5" s="1"/>
  <c r="F220" i="5"/>
  <c r="M20" i="5"/>
  <c r="G20" i="5" s="1"/>
  <c r="F20" i="5"/>
  <c r="M209" i="5"/>
  <c r="G209" i="5" s="1"/>
  <c r="F209" i="5"/>
  <c r="M36" i="5"/>
  <c r="G36" i="5" s="1"/>
  <c r="F36" i="5"/>
  <c r="M558" i="5"/>
  <c r="G558" i="5" s="1"/>
  <c r="F558" i="5"/>
  <c r="M261" i="5"/>
  <c r="G261" i="5" s="1"/>
  <c r="F261" i="5"/>
  <c r="H215" i="6"/>
  <c r="L218" i="5" s="1"/>
  <c r="F909" i="7"/>
  <c r="E215" i="6" s="1"/>
  <c r="M169" i="5"/>
  <c r="G169" i="5" s="1"/>
  <c r="F169" i="5"/>
  <c r="M562" i="5"/>
  <c r="G562" i="5" s="1"/>
  <c r="F562" i="5"/>
  <c r="H219" i="6"/>
  <c r="L222" i="5" s="1"/>
  <c r="F927" i="7"/>
  <c r="E219" i="6" s="1"/>
  <c r="M67" i="5"/>
  <c r="G67" i="5" s="1"/>
  <c r="F67" i="5"/>
  <c r="M23" i="5"/>
  <c r="G23" i="5" s="1"/>
  <c r="F23" i="5"/>
  <c r="M167" i="5"/>
  <c r="G167" i="5" s="1"/>
  <c r="F167" i="5"/>
  <c r="M302" i="5"/>
  <c r="G302" i="5" s="1"/>
  <c r="F302" i="5"/>
  <c r="H24" i="6"/>
  <c r="L27" i="5" s="1"/>
  <c r="F100" i="7"/>
  <c r="E24" i="6" s="1"/>
  <c r="H170" i="6"/>
  <c r="L173" i="5" s="1"/>
  <c r="F723" i="7"/>
  <c r="E170" i="6" s="1"/>
  <c r="M478" i="5"/>
  <c r="G478" i="5" s="1"/>
  <c r="F478" i="5"/>
  <c r="M299" i="5"/>
  <c r="G299" i="5" s="1"/>
  <c r="F299" i="5"/>
  <c r="H38" i="6"/>
  <c r="L41" i="5" s="1"/>
  <c r="F158" i="7"/>
  <c r="E38" i="6" s="1"/>
  <c r="M223" i="5"/>
  <c r="G223" i="5" s="1"/>
  <c r="F223" i="5"/>
  <c r="H252" i="6"/>
  <c r="L255" i="5" s="1"/>
  <c r="F1074" i="7"/>
  <c r="E252" i="6" s="1"/>
  <c r="M316" i="5"/>
  <c r="G316" i="5" s="1"/>
  <c r="F316" i="5"/>
  <c r="H308" i="6"/>
  <c r="L311" i="5" s="1"/>
  <c r="F1310" i="7"/>
  <c r="E308" i="6" s="1"/>
  <c r="H218" i="6"/>
  <c r="L221" i="5" s="1"/>
  <c r="F923" i="7"/>
  <c r="E218" i="6" s="1"/>
  <c r="M247" i="5"/>
  <c r="G247" i="5" s="1"/>
  <c r="F247" i="5"/>
  <c r="H147" i="6"/>
  <c r="L150" i="5" s="1"/>
  <c r="F619" i="7"/>
  <c r="E147" i="6" s="1"/>
  <c r="M58" i="5"/>
  <c r="G58" i="5" s="1"/>
  <c r="F58" i="5"/>
  <c r="H16" i="6"/>
  <c r="L19" i="5" s="1"/>
  <c r="F68" i="7"/>
  <c r="E16" i="6" s="1"/>
  <c r="H59" i="6"/>
  <c r="L62" i="5" s="1"/>
  <c r="F251" i="7"/>
  <c r="E59" i="6" s="1"/>
  <c r="M446" i="5"/>
  <c r="G446" i="5" s="1"/>
  <c r="F446" i="5"/>
  <c r="M172" i="5" l="1"/>
  <c r="G172" i="5" s="1"/>
  <c r="F172" i="5"/>
  <c r="M73" i="5"/>
  <c r="G73" i="5" s="1"/>
  <c r="F73" i="5"/>
  <c r="M158" i="5"/>
  <c r="G158" i="5" s="1"/>
  <c r="F158" i="5"/>
  <c r="M152" i="5"/>
  <c r="G152" i="5" s="1"/>
  <c r="F152" i="5"/>
  <c r="M68" i="5"/>
  <c r="G68" i="5" s="1"/>
  <c r="F68" i="5"/>
  <c r="M250" i="5"/>
  <c r="G250" i="5" s="1"/>
  <c r="F250" i="5"/>
  <c r="M21" i="5"/>
  <c r="G21" i="5" s="1"/>
  <c r="F21" i="5"/>
  <c r="M165" i="5"/>
  <c r="G165" i="5" s="1"/>
  <c r="F165" i="5"/>
  <c r="M159" i="5"/>
  <c r="G159" i="5" s="1"/>
  <c r="F159" i="5"/>
  <c r="M171" i="5"/>
  <c r="G171" i="5" s="1"/>
  <c r="F171" i="5"/>
  <c r="M56" i="5"/>
  <c r="G56" i="5" s="1"/>
  <c r="F56" i="5"/>
  <c r="M251" i="5"/>
  <c r="G251" i="5" s="1"/>
  <c r="F251" i="5"/>
  <c r="M61" i="5"/>
  <c r="G61" i="5" s="1"/>
  <c r="F61" i="5"/>
  <c r="M245" i="5"/>
  <c r="G245" i="5" s="1"/>
  <c r="F245" i="5"/>
  <c r="M14" i="5"/>
  <c r="G14" i="5" s="1"/>
  <c r="F14" i="5"/>
  <c r="M9" i="5"/>
  <c r="G9" i="5" s="1"/>
  <c r="F9" i="5"/>
  <c r="M263" i="5"/>
  <c r="G263" i="5" s="1"/>
  <c r="F263" i="5"/>
  <c r="M33" i="5"/>
  <c r="G33" i="5" s="1"/>
  <c r="F33" i="5"/>
  <c r="M37" i="5"/>
  <c r="G37" i="5" s="1"/>
  <c r="F37" i="5"/>
  <c r="M26" i="5"/>
  <c r="G26" i="5" s="1"/>
  <c r="F26" i="5"/>
  <c r="M257" i="5"/>
  <c r="G257" i="5" s="1"/>
  <c r="F257" i="5"/>
  <c r="M157" i="5"/>
  <c r="G157" i="5" s="1"/>
  <c r="F157" i="5"/>
  <c r="M262" i="5"/>
  <c r="G262" i="5" s="1"/>
  <c r="F262" i="5"/>
  <c r="M170" i="5"/>
  <c r="G170" i="5" s="1"/>
  <c r="F170" i="5"/>
  <c r="M77" i="5"/>
  <c r="G77" i="5" s="1"/>
  <c r="F77" i="5"/>
  <c r="M15" i="5"/>
  <c r="G15" i="5" s="1"/>
  <c r="F15" i="5"/>
  <c r="M204" i="5"/>
  <c r="G204" i="5" s="1"/>
  <c r="F204" i="5"/>
  <c r="M162" i="5"/>
  <c r="G162" i="5" s="1"/>
  <c r="F162" i="5"/>
  <c r="M255" i="5"/>
  <c r="G255" i="5" s="1"/>
  <c r="F255" i="5"/>
  <c r="M30" i="5"/>
  <c r="G30" i="5" s="1"/>
  <c r="F30" i="5"/>
  <c r="M163" i="5"/>
  <c r="G163" i="5" s="1"/>
  <c r="F163" i="5"/>
  <c r="M301" i="5"/>
  <c r="G301" i="5" s="1"/>
  <c r="F301" i="5"/>
  <c r="M219" i="5"/>
  <c r="G219" i="5" s="1"/>
  <c r="F219" i="5"/>
  <c r="M150" i="5"/>
  <c r="G150" i="5" s="1"/>
  <c r="F150" i="5"/>
  <c r="M66" i="5"/>
  <c r="G66" i="5" s="1"/>
  <c r="F66" i="5"/>
  <c r="M218" i="5"/>
  <c r="G218" i="5" s="1"/>
  <c r="F218" i="5"/>
  <c r="M264" i="5"/>
  <c r="G264" i="5" s="1"/>
  <c r="F264" i="5"/>
  <c r="M74" i="5"/>
  <c r="G74" i="5" s="1"/>
  <c r="F74" i="5"/>
  <c r="M65" i="5"/>
  <c r="G65" i="5" s="1"/>
  <c r="F65" i="5"/>
  <c r="M221" i="5"/>
  <c r="G221" i="5" s="1"/>
  <c r="F221" i="5"/>
  <c r="M311" i="5"/>
  <c r="G311" i="5" s="1"/>
  <c r="F311" i="5"/>
  <c r="M54" i="5"/>
  <c r="G54" i="5" s="1"/>
  <c r="F54" i="5"/>
  <c r="M208" i="5"/>
  <c r="G208" i="5" s="1"/>
  <c r="F208" i="5"/>
  <c r="M19" i="5"/>
  <c r="G19" i="5" s="1"/>
  <c r="F19" i="5"/>
  <c r="D9" i="3"/>
  <c r="J12" i="4"/>
  <c r="D5" i="4"/>
  <c r="D10" i="3" s="1"/>
  <c r="J8" i="4"/>
  <c r="D8" i="4"/>
  <c r="J11" i="4"/>
  <c r="J10" i="4"/>
  <c r="D11" i="4"/>
  <c r="D18" i="3" s="1"/>
  <c r="D12" i="4"/>
  <c r="D10" i="4"/>
  <c r="D17" i="3" s="1"/>
  <c r="M230" i="5"/>
  <c r="G230" i="5" s="1"/>
  <c r="F230" i="5"/>
  <c r="M252" i="5"/>
  <c r="G252" i="5" s="1"/>
  <c r="F252" i="5"/>
  <c r="M231" i="5"/>
  <c r="G231" i="5" s="1"/>
  <c r="F231" i="5"/>
  <c r="M62" i="5"/>
  <c r="G62" i="5" s="1"/>
  <c r="F62" i="5"/>
  <c r="M7" i="5"/>
  <c r="F7" i="5"/>
  <c r="M27" i="5"/>
  <c r="G27" i="5" s="1"/>
  <c r="F27" i="5"/>
  <c r="M18" i="5"/>
  <c r="G18" i="5" s="1"/>
  <c r="F18" i="5"/>
  <c r="M243" i="5"/>
  <c r="G243" i="5" s="1"/>
  <c r="F243" i="5"/>
  <c r="M160" i="5"/>
  <c r="G160" i="5" s="1"/>
  <c r="F160" i="5"/>
  <c r="M175" i="5"/>
  <c r="G175" i="5" s="1"/>
  <c r="F175" i="5"/>
  <c r="M38" i="5"/>
  <c r="G38" i="5" s="1"/>
  <c r="F38" i="5"/>
  <c r="M222" i="5"/>
  <c r="G222" i="5" s="1"/>
  <c r="F222" i="5"/>
  <c r="M41" i="5"/>
  <c r="G41" i="5" s="1"/>
  <c r="F41" i="5"/>
  <c r="M173" i="5"/>
  <c r="G173" i="5" s="1"/>
  <c r="F173" i="5"/>
  <c r="D16" i="4" l="1"/>
  <c r="D23" i="3" s="1"/>
  <c r="D13" i="4"/>
  <c r="D20" i="3" s="1"/>
  <c r="M6" i="5"/>
  <c r="M5" i="5" s="1"/>
  <c r="M1025" i="5" s="1"/>
  <c r="G4" i="4" s="1"/>
  <c r="D12" i="3" s="1"/>
  <c r="G7" i="5"/>
  <c r="G6" i="5" s="1"/>
  <c r="G5" i="5" s="1"/>
  <c r="G1025" i="5" s="1"/>
  <c r="D4" i="4" s="1"/>
  <c r="D6" i="4"/>
  <c r="D13" i="3" s="1"/>
  <c r="D17" i="4"/>
  <c r="D24" i="3" s="1"/>
  <c r="D11" i="3"/>
  <c r="D19" i="3"/>
  <c r="E12" i="4"/>
  <c r="F19" i="3" s="1"/>
  <c r="D15" i="3"/>
  <c r="D9" i="4"/>
  <c r="D16" i="3" s="1"/>
  <c r="J9" i="4"/>
  <c r="D7" i="4"/>
  <c r="D14" i="3" s="1"/>
  <c r="D14" i="4" l="1"/>
  <c r="D21" i="3" s="1"/>
  <c r="D15" i="4"/>
  <c r="D22" i="3" s="1"/>
  <c r="D25" i="3" s="1"/>
  <c r="D18" i="4" l="1"/>
  <c r="D19" i="4"/>
  <c r="D26" i="3" s="1"/>
  <c r="D20" i="4" l="1"/>
  <c r="J20" i="4" l="1"/>
  <c r="D21" i="4"/>
  <c r="D27" i="3" s="1"/>
  <c r="L20" i="4"/>
  <c r="L21" i="4" l="1"/>
  <c r="L22" i="4" s="1"/>
  <c r="D22" i="4"/>
  <c r="J21" i="4"/>
  <c r="E21" i="4" s="1"/>
  <c r="L23" i="4" l="1"/>
  <c r="L24" i="4"/>
  <c r="D28" i="3"/>
  <c r="D23" i="4"/>
  <c r="D29" i="3" s="1"/>
  <c r="J22" i="4"/>
  <c r="D24" i="4" l="1"/>
  <c r="D30" i="3" s="1"/>
  <c r="J23" i="4"/>
  <c r="J24" i="4" s="1"/>
  <c r="D31" i="3" l="1"/>
  <c r="E30" i="3"/>
  <c r="E6" i="3" l="1"/>
  <c r="E7" i="3"/>
  <c r="E5" i="3"/>
  <c r="E8" i="3"/>
  <c r="E23" i="3"/>
  <c r="E17" i="3"/>
  <c r="E10" i="3"/>
  <c r="E18" i="3"/>
  <c r="E9" i="3"/>
  <c r="E14" i="3"/>
  <c r="E12" i="3"/>
  <c r="E11" i="3"/>
  <c r="E20" i="3"/>
  <c r="E13" i="3"/>
  <c r="E19" i="3"/>
  <c r="E24" i="3"/>
  <c r="E16" i="3"/>
  <c r="E15" i="3"/>
  <c r="E25" i="3"/>
  <c r="E21" i="3"/>
  <c r="E22" i="3"/>
  <c r="E26" i="3"/>
  <c r="E27" i="3"/>
  <c r="E29" i="3"/>
  <c r="E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34559538-3F8E-4390-AAB8-53B0D5DA89BA}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883E515B-B161-4A0E-B47D-0BCB5FF331AE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B8" authorId="0" shapeId="0" xr:uid="{97F48093-E051-4CB8-B34D-79E6646B57A7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4B884823-59EC-41DB-9207-0AD6E04849C5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01939503-C0FC-4880-9EA1-6D1815CF2E29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Q3" authorId="0" shapeId="0" xr:uid="{63E794B2-FEEB-47A4-AAEF-353A152491E4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I21" authorId="0" shapeId="0" xr:uid="{371F12C7-1892-4A47-894B-1985F7BB8C54}">
      <text>
        <r>
          <rPr>
            <sz val="9"/>
            <color theme="1"/>
            <rFont val="굴림체"/>
            <family val="3"/>
            <charset val="129"/>
          </rPr>
          <t>이윤보정액 : 총공사비 금액이 다를경우 임의조정(±α) 하십시요</t>
        </r>
      </text>
    </comment>
    <comment ref="I23" authorId="0" shapeId="0" xr:uid="{73E2DB98-2789-4DF5-8187-5D997F2FE778}">
      <text>
        <r>
          <rPr>
            <sz val="9"/>
            <color theme="1"/>
            <rFont val="굴림체"/>
            <family val="3"/>
            <charset val="129"/>
          </rPr>
          <t>부가세보정 : 총공사비 금액에 1원 차이 발생할 경우 부가세 조정(+1) 하십시요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79FED14-DA9E-4E86-BE76-093A7AE7F9B8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AC4" authorId="0" shapeId="0" xr:uid="{4668FA95-761F-454E-A621-36444F0E5ECD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14F9C730-DFDB-4ED6-97AF-1CE65CC812C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82FC85A1-EBFC-44BE-ACBD-2E9568B8F529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4" authorId="0" shapeId="0" xr:uid="{7B41922B-26ED-4816-B01B-50841643F5D5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 xr:uid="{6A7DEAFE-7E3A-4942-800B-F232E277D6BE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138C3DBA-BA37-4A87-B6B2-8C8EC48F6C9D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5EE65381-4011-4D6F-AEAB-8E0AF60A8DA1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" authorId="0" shapeId="0" xr:uid="{59CE9E7D-49E0-4FA8-AFD4-3DB51CED8C81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Y4" authorId="0" shapeId="0" xr:uid="{3163C31B-8BC2-4C91-A144-103D8230E7B1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1" authorId="0" shapeId="0" xr:uid="{225FF437-A728-402C-A65E-75169F3BA475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FFF3D31B-8DCD-4C93-98BD-98A7E71592CC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EB6CF145-49F1-45CD-A7D9-2FCD419D8B90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4" authorId="0" shapeId="0" xr:uid="{FE41CA53-D92F-4329-9231-1662BD27E0BA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 xr:uid="{6C2A6C63-FF3C-4BD9-ABC7-78BCB8E8260D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B8F33DDE-BD59-41AA-9A14-6A159C87790B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 xr:uid="{B23C8D8E-548E-4991-9818-A111822EE386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F0019B24-B328-41D1-91AA-B802A8C93062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 xr:uid="{189CB31D-70E3-4638-A4E9-40FD7A7694D5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B667626A-FE9D-40E2-A3F4-75CC1DD154B1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 xr:uid="{C58C5375-AD7B-49C4-B23E-763A062F1EF5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D11DA44C-11C1-459F-A389-CE784C671F6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2436DD4D-45B7-4836-A06F-920AECB72B2B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4" authorId="0" shapeId="0" xr:uid="{92E0C245-C793-481B-B99F-A122300A561C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S4" authorId="0" shapeId="0" xr:uid="{F2380668-1024-417F-B487-3B1FF40914E5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<sst xmlns="http://schemas.openxmlformats.org/spreadsheetml/2006/main" count="29861" uniqueCount="9216">
  <si>
    <t>일위대가 목록표</t>
  </si>
  <si>
    <t>공사명 : 2026년도 무인화시설물 유지보수(기계) 연간단가공사(1권역)</t>
  </si>
  <si>
    <t>호표</t>
  </si>
  <si>
    <t>명      칭</t>
  </si>
  <si>
    <t>규      격</t>
  </si>
  <si>
    <t>단위</t>
  </si>
  <si>
    <t>합  계</t>
  </si>
  <si>
    <t>노 무 비</t>
  </si>
  <si>
    <t>재 료 비</t>
  </si>
  <si>
    <t>경    비</t>
  </si>
  <si>
    <t>비  고</t>
  </si>
  <si>
    <t>제   1호표</t>
  </si>
  <si>
    <t>라인가압펌프(일체형스텐레스)</t>
  </si>
  <si>
    <t>2HP(25-200m)0.01-0.188㎥/min</t>
  </si>
  <si>
    <t>대</t>
  </si>
  <si>
    <t xml:space="preserve"> 제    2 호표  라인가압펌프(일체형스텐레스)  3HP(25~200m)0.01~0.25㎥/min  /  대</t>
  </si>
  <si>
    <t>제   2호표</t>
  </si>
  <si>
    <t>3HP(25~200m)0.01~0.25㎥/min</t>
  </si>
  <si>
    <t xml:space="preserve"> 제    3 호표  라인가압펌프(일체형스텐레스)  5HP(25~200m)0.01~0.25㎥/min  /  대</t>
  </si>
  <si>
    <t>제   3호표</t>
  </si>
  <si>
    <t>5HP(25~200m)0.01~0.25㎥/min</t>
  </si>
  <si>
    <t xml:space="preserve"> 제    4 호표  라인가압펌프(일체형스텐레스)  7.5HP(25~200m)0.09~0.25㎥/min  /  대</t>
  </si>
  <si>
    <t>제   4호표</t>
  </si>
  <si>
    <t>7.5HP(25~200m)0.09~0.25㎥/min</t>
  </si>
  <si>
    <t xml:space="preserve"> 제    5 호표  라인가압펌프(일체형스텐레스)  10HP(25~200m)0.05~1.35㎥/min  /  대</t>
  </si>
  <si>
    <t>제   5호표</t>
  </si>
  <si>
    <t>10HP(25~200m)0.05~1.35㎥/min</t>
  </si>
  <si>
    <t xml:space="preserve"> 제    6 호표  라인가압펌프(일체형스텐레스)  15HP(25~200m)0.25~1.25㎥/min  /  대</t>
  </si>
  <si>
    <t>제   6호표</t>
  </si>
  <si>
    <t>15HP(25~200m)0.25~1.25㎥/min</t>
  </si>
  <si>
    <t xml:space="preserve"> 제    7 호표  라인가압펌프(일체형스텐레스)  20HP(25~200m)0.25~1.25㎥/min  /  대</t>
  </si>
  <si>
    <t>제   7호표</t>
  </si>
  <si>
    <t>20HP(25~200m)0.25~1.25㎥/min</t>
  </si>
  <si>
    <t xml:space="preserve"> 제    8 호표  라인가압펌프(일체형스텐레스)  30HP(25~200m)0.25~1.35㎥/min  /  대</t>
  </si>
  <si>
    <t>제   8호표</t>
  </si>
  <si>
    <t>30HP(25~200m)0.25~1.35㎥/min</t>
  </si>
  <si>
    <t xml:space="preserve"> 제    9 호표  라인가압펌프(일체형스텐레스)  40HP(25~200m)0.25~3.5㎥/min  /  대</t>
  </si>
  <si>
    <t>제   9호표</t>
  </si>
  <si>
    <t>40HP(25~200m)0.25~3.5㎥/min</t>
  </si>
  <si>
    <t xml:space="preserve"> 제   10 호표  라인가압펌프(일체형스텐레스)  50HP(25~200m)0.3~3.5㎥/min  /  대</t>
  </si>
  <si>
    <t>제  10호표</t>
  </si>
  <si>
    <t>50HP(25~200m)0.3~3.5㎥/min</t>
  </si>
  <si>
    <t xml:space="preserve"> 제   11 호표  라인가압펌프(일체형스텐레스)  60HP(25~200m)2.0~3.5㎥/min  /  대</t>
  </si>
  <si>
    <t>제  11호표</t>
  </si>
  <si>
    <t>60HP(25~200m)2.0~3.5㎥/min</t>
  </si>
  <si>
    <t xml:space="preserve"> 제   12 호표  라인가압펌프(일체형스텐레스)  150HP(25~200m)1.0~7.2㎥/min  /  대</t>
  </si>
  <si>
    <t>제  12호표</t>
  </si>
  <si>
    <t>150HP(25~200m)1.0~7.2㎥/min</t>
  </si>
  <si>
    <t xml:space="preserve"> 제   13 호표  라인가압펌프(일체형스텐레스) 철거 및 설치  2HP(25-200m)0.01-0.188㎥/min  /  대</t>
  </si>
  <si>
    <t>제  13호표</t>
  </si>
  <si>
    <t>라인가압펌프(일체형스텐레스) 철거 및 설치</t>
  </si>
  <si>
    <t xml:space="preserve"> 제   14 호표  라인가압펌프(일체형스텐레스) 철거 및 설치  3HP(25~200m)0.01~0.25㎥/min  /  대</t>
  </si>
  <si>
    <t>제  14호표</t>
  </si>
  <si>
    <t xml:space="preserve"> 제   15 호표  라인가압펌프(일체형스텐레스) 철거 및 설치  5HP(25~200m)0.01~0.25㎥/min  /  대</t>
  </si>
  <si>
    <t>제  15호표</t>
  </si>
  <si>
    <t xml:space="preserve"> 제   16 호표  라인가압펌프(일체형스텐레스) 철거 및 설치  7.5HP(25~200m)0.09~0.25㎥/min  /  대</t>
  </si>
  <si>
    <t>제  16호표</t>
  </si>
  <si>
    <t xml:space="preserve"> 제   17 호표  라인가압펌프(일체형스텐레스) 철거 및 설치  10HP(25~200m)0.05~1.35㎥/min  /  대</t>
  </si>
  <si>
    <t>제  17호표</t>
  </si>
  <si>
    <t xml:space="preserve"> 제   18 호표  라인가압펌프(일체형스텐레스) 철거 및 설치  15HP(25~200m)0.25~1.25㎥/min  /  대</t>
  </si>
  <si>
    <t>제  18호표</t>
  </si>
  <si>
    <t xml:space="preserve"> 제   19 호표  라인가압펌프(일체형스텐레스) 철거 및 설치  20HP(25~200m)0.25~1.25㎥/min  /  대</t>
  </si>
  <si>
    <t>제  19호표</t>
  </si>
  <si>
    <t xml:space="preserve"> 제   20 호표  라인가압펌프(일체형스텐레스) 철거 및 설치  30HP(25~200m)0.25~1.35㎥/min  /  대</t>
  </si>
  <si>
    <t>제  20호표</t>
  </si>
  <si>
    <t xml:space="preserve"> 제   21 호표  라인가압펌프(일체형스텐레스) 철거 및 설치  40HP(25~200m)0.25~3.5㎥/min  /  대</t>
  </si>
  <si>
    <t>제  21호표</t>
  </si>
  <si>
    <t xml:space="preserve"> 제   22 호표  라인가압펌프(일체형스텐레스) 철거 및 설치  50HP(25~200m)0.3~3.5㎥/min  /  대</t>
  </si>
  <si>
    <t>제  22호표</t>
  </si>
  <si>
    <t xml:space="preserve"> 제   23 호표  라인가압펌프(일체형스텐레스) 철거 및 설치  60HP(25~200m)2.0~3.5㎥/min  /  대</t>
  </si>
  <si>
    <t>제  23호표</t>
  </si>
  <si>
    <t xml:space="preserve"> 제   24 호표  라인가압펌프(일체형스텐레스) 철거 및 설치  150HP(25~200m)1.0~7.2㎥/min  /  대</t>
  </si>
  <si>
    <t>제  24호표</t>
  </si>
  <si>
    <t xml:space="preserve"> 제   25 호표  라인가압펌프(일체형스텐레스) 설치  2HP(25-200m)0.01-0.188㎥/min  /  대</t>
  </si>
  <si>
    <t>제  25호표</t>
  </si>
  <si>
    <t>라인가압펌프(일체형스텐레스) 설치</t>
  </si>
  <si>
    <t xml:space="preserve"> 제   26 호표  라인가압펌프(일체형스텐레스) 설치  3HP(25~200m)0.01~0.25㎥/min  /  대</t>
  </si>
  <si>
    <t>제  26호표</t>
  </si>
  <si>
    <t xml:space="preserve"> 제   27 호표  라인가압펌프(일체형스텐레스) 설치  5HP(25~200m)0.01~0.25㎥/min  /  대</t>
  </si>
  <si>
    <t>제  27호표</t>
  </si>
  <si>
    <t xml:space="preserve"> 제   28 호표  라인가압펌프(일체형스텐레스) 설치  10HP(25~200m)0.05~1.35㎥/min  /  대</t>
  </si>
  <si>
    <t>제  28호표</t>
  </si>
  <si>
    <t xml:space="preserve"> 제   29 호표  라인가압펌프(일체형스텐레스) 설치  15HP(25~200m)0.25~1.25㎥/min  /  대</t>
  </si>
  <si>
    <t>제  29호표</t>
  </si>
  <si>
    <t xml:space="preserve"> 제   30 호표  라인가압펌프(일체형스텐레스) 설치  20HP(25~200m)0.25~1.25㎥/min  /  대</t>
  </si>
  <si>
    <t>제  30호표</t>
  </si>
  <si>
    <t xml:space="preserve"> 제   31 호표  라인가압펌프(일체형스텐레스) 설치  30HP(25~200m)0.25~1.35㎥/min  /  대</t>
  </si>
  <si>
    <t>제  31호표</t>
  </si>
  <si>
    <t xml:space="preserve"> 제   32 호표  라인가압펌프(일체형스텐레스) 설치  40HP(25~200m)0.25~3.5㎥/min  /  대</t>
  </si>
  <si>
    <t>제  32호표</t>
  </si>
  <si>
    <t xml:space="preserve"> 제   33 호표  라인가압펌프(일체형스텐레스) 설치  50HP(25~200m)0.3~3.5㎥/min  /  대</t>
  </si>
  <si>
    <t>제  33호표</t>
  </si>
  <si>
    <t xml:space="preserve"> 제   34 호표  라인가압펌프(일체형스텐레스) 설치  60HP(25~200m)2.0~3.5㎥/min  /  대</t>
  </si>
  <si>
    <t>제  34호표</t>
  </si>
  <si>
    <t xml:space="preserve"> 제   35 호표  라인가압펌프(일체형스텐레스) 설치  150HP(25~200m)1.0~7.2㎥/min  /  대</t>
  </si>
  <si>
    <t>제  35호표</t>
  </si>
  <si>
    <t xml:space="preserve"> 제   36 호표  라인가압펌프(일체형스텐레스) 철거  2HP(25-200m)0.01-0.188㎥/min  /  대</t>
  </si>
  <si>
    <t>제  36호표</t>
  </si>
  <si>
    <t>라인가압펌프(일체형스텐레스) 철거</t>
  </si>
  <si>
    <t xml:space="preserve"> 제   37 호표  라인가압펌프(일체형스텐레스) 철거  3HP(25~200m)0.01~0.25㎥/min  /  대</t>
  </si>
  <si>
    <t>제  37호표</t>
  </si>
  <si>
    <t xml:space="preserve"> 제   38 호표  라인가압펌프(일체형스텐레스) 철거  5HP(25~200m)0.01~0.25㎥/min  /  대</t>
  </si>
  <si>
    <t>제  38호표</t>
  </si>
  <si>
    <t xml:space="preserve"> 제   39 호표  라인가압펌프(일체형스텐레스) 철거  7.5HP(25~200m)0.09~0.25㎥/min  /  대</t>
  </si>
  <si>
    <t>제  39호표</t>
  </si>
  <si>
    <t xml:space="preserve"> 제   40 호표  라인가압펌프(일체형스텐레스) 철거  10HP(25~200m)0.05~1.35㎥/min  /  대</t>
  </si>
  <si>
    <t>제  40호표</t>
  </si>
  <si>
    <t xml:space="preserve"> 제   41 호표  라인가압펌프(일체형스텐레스) 철거  15HP(25~200m)0.25~1.25㎥/min  /  대</t>
  </si>
  <si>
    <t>제  41호표</t>
  </si>
  <si>
    <t xml:space="preserve"> 제   42 호표  라인가압펌프(일체형스텐레스) 철거  20HP(25~200m)0.25~1.25㎥/min  /  대</t>
  </si>
  <si>
    <t>제  42호표</t>
  </si>
  <si>
    <t xml:space="preserve"> 제   43 호표  라인가압펌프(일체형스텐레스) 철거  30HP(25~200m)0.25~1.35㎥/min  /  대</t>
  </si>
  <si>
    <t>제  43호표</t>
  </si>
  <si>
    <t xml:space="preserve"> 제   44 호표  라인가압펌프(일체형스텐레스) 철거  40HP(25~200m)0.25~3.5㎥/min  /  대</t>
  </si>
  <si>
    <t>제  44호표</t>
  </si>
  <si>
    <t xml:space="preserve"> 제   45 호표  라인가압펌프(일체형스텐레스) 철거  50HP(25~200m)0.3~3.5㎥/min  /  대</t>
  </si>
  <si>
    <t>제  45호표</t>
  </si>
  <si>
    <t xml:space="preserve"> 제   46 호표  라인가압펌프(일체형스텐레스) 철거  60HP(25~200m)2.0~3.5㎥/min  /  대</t>
  </si>
  <si>
    <t>제  46호표</t>
  </si>
  <si>
    <t xml:space="preserve"> 제   47 호표  라인가압펌프(일체형스텐레스) 철거  150HP(25~200m)1.0~7.2㎥/min  /  대</t>
  </si>
  <si>
    <t>제  47호표</t>
  </si>
  <si>
    <t xml:space="preserve"> 제   48 호표  라인가압펌프(일체형스텐레스)내부기기  2HP(25-200m)0.01-0.188㎥/min  /  대</t>
  </si>
  <si>
    <t>제  48호표</t>
  </si>
  <si>
    <t>라인가압펌프(일체형스텐레스)내부기기</t>
  </si>
  <si>
    <t xml:space="preserve"> 제   49 호표  라인가압펌프(일체형스텐레스)내부기기  3HP(25~200m)0.01~0.25㎥/min  /  대</t>
  </si>
  <si>
    <t>제  49호표</t>
  </si>
  <si>
    <t xml:space="preserve"> 제   50 호표  라인가압펌프(일체형스텐레스)내부기기  5HP(25~200m)0.01~0.25㎥/min  /  대</t>
  </si>
  <si>
    <t>제  50호표</t>
  </si>
  <si>
    <t xml:space="preserve"> 제   51 호표  라인가압펌프(일체형스텐레스)내부기기  7.5HP(25~200m)0.09~0.25㎥/min  /  대</t>
  </si>
  <si>
    <t>제  51호표</t>
  </si>
  <si>
    <t xml:space="preserve"> 제   52 호표  라인가압펌프(일체형스텐레스)내부기기  10HP(25~200m)0.05~1.35㎥/min  /  대</t>
  </si>
  <si>
    <t>제  52호표</t>
  </si>
  <si>
    <t xml:space="preserve"> 제   53 호표  라인가압펌프(일체형스텐레스)내부기기  15HP(25~200m)0.25~1.25㎥/min  /  대</t>
  </si>
  <si>
    <t>제  53호표</t>
  </si>
  <si>
    <t xml:space="preserve"> 제   54 호표  라인가압펌프(일체형스텐레스)내부기기  20HP(25~200m)0.25~1.25㎥/min  /  대</t>
  </si>
  <si>
    <t>제  54호표</t>
  </si>
  <si>
    <t xml:space="preserve"> 제   55 호표  라인가압펌프(일체형스텐레스)내부기기  30HP(25~200m)0.25~1.35㎥/min  /  대</t>
  </si>
  <si>
    <t>제  55호표</t>
  </si>
  <si>
    <t xml:space="preserve"> 제   56 호표  라인가압펌프(일체형스텐레스)내부기기  40HP(25~200m)0.25~3.5㎥/min  /  대</t>
  </si>
  <si>
    <t>제  56호표</t>
  </si>
  <si>
    <t xml:space="preserve"> 제   57 호표  라인가압펌프(일체형스텐레스)내부기기  50HP(25~200m)0.3~3.5㎥/min  /  대</t>
  </si>
  <si>
    <t>제  57호표</t>
  </si>
  <si>
    <t xml:space="preserve"> 제   58 호표  라인가압펌프(일체형스텐레스)내부기기  60HP(25~200m)2.0~3.5㎥/min  /  대</t>
  </si>
  <si>
    <t>제  58호표</t>
  </si>
  <si>
    <t xml:space="preserve"> 제   59 호표  라인가압펌프(일체형스텐레스)내부기기  150HP(25~200m)1.0~7.2㎥/min  /  대</t>
  </si>
  <si>
    <t>제  59호표</t>
  </si>
  <si>
    <t xml:space="preserve"> 제   60 호표  라인가압펌프(일체형스텐레스)내부기기 철거 및 설치  2HP(25-200m)0.01-0.188㎥/min  /  대</t>
  </si>
  <si>
    <t>제  60호표</t>
  </si>
  <si>
    <t>라인가압펌프(일체형스텐레스)내부기기 철거 및 설치</t>
  </si>
  <si>
    <t xml:space="preserve"> 제   61 호표  라인가압펌프(일체형스텐레스)내부기기 철거 및 설치  3HP(25~200m)0.01~0.25㎥/min  /  대</t>
  </si>
  <si>
    <t>제  61호표</t>
  </si>
  <si>
    <t xml:space="preserve"> 제   62 호표  라인가압펌프(일체형스텐레스)내부기기 철거 및 설치  5HP(25~200m)0.01~0.25㎥/min  /  대</t>
  </si>
  <si>
    <t>제  62호표</t>
  </si>
  <si>
    <t xml:space="preserve"> 제   63 호표  라인가압펌프(일체형스텐레스)내부기기 철거 및 설치  7.5HP(25~200m)0.09~0.25㎥/min  /  대</t>
  </si>
  <si>
    <t>제  63호표</t>
  </si>
  <si>
    <t xml:space="preserve"> 제   64 호표  라인가압펌프(일체형스텐레스)내부기기 철거 및 설치  10HP(25~200m)0.05~1.35㎥/min  /  대</t>
  </si>
  <si>
    <t>제  64호표</t>
  </si>
  <si>
    <t xml:space="preserve"> 제   65 호표  라인가압펌프(일체형스텐레스)내부기기 철거 및 설치  15HP(25~200m)0.25~1.25㎥/min  /  대</t>
  </si>
  <si>
    <t>제  65호표</t>
  </si>
  <si>
    <t xml:space="preserve"> 제   66 호표  라인가압펌프(일체형스텐레스)내부기기 철거 및 설치  20HP(25~200m)0.25~1.25㎥/min  /  대</t>
  </si>
  <si>
    <t>제  66호표</t>
  </si>
  <si>
    <t xml:space="preserve"> 제   67 호표  라인가압펌프(일체형스텐레스)내부기기 철거 및 설치  30HP(25~200m)0.25~1.35㎥/min  /  대</t>
  </si>
  <si>
    <t>제  67호표</t>
  </si>
  <si>
    <t xml:space="preserve"> 제   68 호표  라인가압펌프(일체형스텐레스)내부기기 철거 및 설치  40HP(25~200m)0.25~3.5㎥/min  /  대</t>
  </si>
  <si>
    <t>제  68호표</t>
  </si>
  <si>
    <t xml:space="preserve"> 제   69 호표  라인가압펌프(일체형스텐레스)내부기기 철거 및 설치  50HP(25~200m)0.3~3.5㎥/min  /  대</t>
  </si>
  <si>
    <t>제  69호표</t>
  </si>
  <si>
    <t xml:space="preserve"> 제   70 호표  라인가압펌프(일체형스텐레스)내부기기 철거 및 설치  60HP(25~200m)2.0~3.5㎥/min  /  대</t>
  </si>
  <si>
    <t>제  70호표</t>
  </si>
  <si>
    <t xml:space="preserve"> 제   71 호표  라인가압펌프(일체형스텐레스)내부기기 철거 및 설치  150HP(25~200m)1.0~7.2㎥/min  /  대</t>
  </si>
  <si>
    <t>제  71호표</t>
  </si>
  <si>
    <t xml:space="preserve"> 제   72 호표  라인가압펌프(일체형스텐레스)내부기기 설치  2HP(25-200m)0.01-0.188㎥/min  /  대</t>
  </si>
  <si>
    <t>제  72호표</t>
  </si>
  <si>
    <t>라인가압펌프(일체형스텐레스)내부기기 설치</t>
  </si>
  <si>
    <t xml:space="preserve"> 제   73 호표  라인가압펌프(일체형스텐레스)내부기기 설치  3HP(25~200m)0.01~0.25㎥/min  /  대</t>
  </si>
  <si>
    <t>제  73호표</t>
  </si>
  <si>
    <t xml:space="preserve"> 제   74 호표  라인가압펌프(일체형스텐레스)내부기기 설치  5HP(25~200m)0.01~0.25㎥/min  /  대</t>
  </si>
  <si>
    <t>제  74호표</t>
  </si>
  <si>
    <t xml:space="preserve"> 제   75 호표  라인가압펌프(일체형스텐레스)내부기기 설치  7.5HP(25~200m)0.09~0.25㎥/min  /  대</t>
  </si>
  <si>
    <t>제  75호표</t>
  </si>
  <si>
    <t xml:space="preserve"> 제   76 호표  라인가압펌프(일체형스텐레스)내부기기 설치  10HP(25~200m)0.05~1.35㎥/min  /  대</t>
  </si>
  <si>
    <t>제  76호표</t>
  </si>
  <si>
    <t xml:space="preserve"> 제   77 호표  라인가압펌프(일체형스텐레스)내부기기 설치  15HP(25~200m)0.25~1.25㎥/min  /  대</t>
  </si>
  <si>
    <t>제  77호표</t>
  </si>
  <si>
    <t xml:space="preserve"> 제   78 호표  라인가압펌프(일체형스텐레스)내부기기 설치  20HP(25~200m)0.25~1.25㎥/min  /  대</t>
  </si>
  <si>
    <t>제  78호표</t>
  </si>
  <si>
    <t xml:space="preserve"> 제   79 호표  라인가압펌프(일체형스텐레스)내부기기 설치  30HP(25~200m)0.25~1.35㎥/min  /  대</t>
  </si>
  <si>
    <t>제  79호표</t>
  </si>
  <si>
    <t xml:space="preserve"> 제   80 호표  라인가압펌프(일체형스텐레스)내부기기 설치  40HP(25~200m)0.25~3.5㎥/min  /  대</t>
  </si>
  <si>
    <t>제  80호표</t>
  </si>
  <si>
    <t xml:space="preserve"> 제   81 호표  라인가압펌프(일체형스텐레스)내부기기 설치  50HP(25~200m)0.3~3.5㎥/min  /  대</t>
  </si>
  <si>
    <t>제  81호표</t>
  </si>
  <si>
    <t xml:space="preserve"> 제   82 호표  라인가압펌프(일체형스텐레스)내부기기 설치  60HP(25~200m)2.0~3.5㎥/min  /  대</t>
  </si>
  <si>
    <t>제  82호표</t>
  </si>
  <si>
    <t xml:space="preserve"> 제   83 호표  라인가압펌프(일체형스텐레스)내부기기 설치  150HP(25~200m)1.0~7.2㎥/min  /  대</t>
  </si>
  <si>
    <t>제  83호표</t>
  </si>
  <si>
    <t xml:space="preserve"> 제   84 호표  라인가압펌프(일체형스텐레스)내부기기 철거  2HP(25-200m)0.01-0.188㎥/min  /  대</t>
  </si>
  <si>
    <t>제  84호표</t>
  </si>
  <si>
    <t>라인가압펌프(일체형스텐레스)내부기기 철거</t>
  </si>
  <si>
    <t xml:space="preserve"> 제   85 호표  라인가압펌프(일체형스텐레스)내부기기 철거  3HP(25~200m)0.01~0.25㎥/min  /  대</t>
  </si>
  <si>
    <t>제  85호표</t>
  </si>
  <si>
    <t xml:space="preserve"> 제   86 호표  라인가압펌프(일체형스텐레스)내부기기 철거  5HP(25~200m)0.01~0.25㎥/min  /  대</t>
  </si>
  <si>
    <t>제  86호표</t>
  </si>
  <si>
    <t xml:space="preserve"> 제   87 호표  라인가압펌프(일체형스텐레스)내부기기 철거  7.5HP(25~200m)0.09~0.25㎥/min  /  대</t>
  </si>
  <si>
    <t>제  87호표</t>
  </si>
  <si>
    <t xml:space="preserve"> 제   88 호표  라인가압펌프(일체형스텐레스)내부기기 철거  10HP(25~200m)0.05~1.35㎥/min  /  대</t>
  </si>
  <si>
    <t>제  88호표</t>
  </si>
  <si>
    <t xml:space="preserve"> 제   89 호표  라인가압펌프(일체형스텐레스)내부기기 철거  15HP(25~200m)0.25~1.25㎥/min  /  대</t>
  </si>
  <si>
    <t>제  89호표</t>
  </si>
  <si>
    <t xml:space="preserve"> 제   90 호표  라인가압펌프(일체형스텐레스)내부기기 철거  20HP(25~200m)0.25~1.25㎥/min  /  대</t>
  </si>
  <si>
    <t>제  90호표</t>
  </si>
  <si>
    <t xml:space="preserve"> 제   91 호표  라인가압펌프(일체형스텐레스)내부기기 철거  30HP(25~200m)0.25~1.35㎥/min  /  대</t>
  </si>
  <si>
    <t>제  91호표</t>
  </si>
  <si>
    <t xml:space="preserve"> 제   92 호표  라인가압펌프(일체형스텐레스)내부기기 철거  40HP(25~200m)0.25~3.5㎥/min  /  대</t>
  </si>
  <si>
    <t>제  92호표</t>
  </si>
  <si>
    <t xml:space="preserve"> 제   93 호표  라인가압펌프(일체형스텐레스)내부기기 철거  50HP(25~200m)0.3~3.5㎥/min  /  대</t>
  </si>
  <si>
    <t>제  93호표</t>
  </si>
  <si>
    <t xml:space="preserve"> 제   94 호표  라인가압펌프(일체형스텐레스)내부기기 철거  60HP(25~200m)2.0~3.5㎥/min  /  대</t>
  </si>
  <si>
    <t>제  94호표</t>
  </si>
  <si>
    <t xml:space="preserve"> 제   95 호표  라인가압펌프(일체형스텐레스)내부기기 철거  150HP(25~200m)1.0~7.2㎥/min  /  대</t>
  </si>
  <si>
    <t>제  95호표</t>
  </si>
  <si>
    <t xml:space="preserve"> 제   96 호표  수중모터  2HP(380V)4"  /  대</t>
  </si>
  <si>
    <t>제  96호표</t>
  </si>
  <si>
    <t>수중모터</t>
  </si>
  <si>
    <t>2HP(380V)4"</t>
  </si>
  <si>
    <t xml:space="preserve"> 제   97 호표  수중모터  3HP(380V)4"  /  대</t>
  </si>
  <si>
    <t>제  97호표</t>
  </si>
  <si>
    <t>3HP(380V)4"</t>
  </si>
  <si>
    <t xml:space="preserve"> 제   98 호표  수중모터  5HP(380V)4"  /  대</t>
  </si>
  <si>
    <t>제  98호표</t>
  </si>
  <si>
    <t>5HP(380V)4"</t>
  </si>
  <si>
    <t xml:space="preserve"> 제   99 호표  수중모터  7.5HP(380V)6"  /  대</t>
  </si>
  <si>
    <t>제  99호표</t>
  </si>
  <si>
    <t>7.5HP(380V)6"</t>
  </si>
  <si>
    <t xml:space="preserve"> 제  100 호표  수중모터  10HP(380V)6"  /  대</t>
  </si>
  <si>
    <t>제 100호표</t>
  </si>
  <si>
    <t>10HP(380V)6"</t>
  </si>
  <si>
    <t xml:space="preserve"> 제  101 호표  수중모터  20HP(380V)6"  /  대</t>
  </si>
  <si>
    <t>제 101호표</t>
  </si>
  <si>
    <t>20HP(380V)6"</t>
  </si>
  <si>
    <t xml:space="preserve"> 제  102 호표  수중모터  25HP(380V)6"  /  대</t>
  </si>
  <si>
    <t>제 102호표</t>
  </si>
  <si>
    <t>25HP(380V)6"</t>
  </si>
  <si>
    <t xml:space="preserve"> 제  103 호표  수중모터  30HP(380V)6"  /  대</t>
  </si>
  <si>
    <t>제 103호표</t>
  </si>
  <si>
    <t>30HP(380V)6"</t>
  </si>
  <si>
    <t xml:space="preserve"> 제  104 호표  수중모터  40HP(380V)6"  /  대</t>
  </si>
  <si>
    <t>제 104호표</t>
  </si>
  <si>
    <t>40HP(380V)6"</t>
  </si>
  <si>
    <t xml:space="preserve"> 제  105 호표  수중모터  50HP(380V)6"  /  대</t>
  </si>
  <si>
    <t>제 105호표</t>
  </si>
  <si>
    <t>50HP(380V)6"</t>
  </si>
  <si>
    <t xml:space="preserve"> 제  106 호표  수중모터  60HP(380V)6"  /  대</t>
  </si>
  <si>
    <t>제 106호표</t>
  </si>
  <si>
    <t>60HP(380V)6"</t>
  </si>
  <si>
    <t xml:space="preserve"> 제  107 호표  수중모터  150HP(380V)6"  /  대</t>
  </si>
  <si>
    <t>제 107호표</t>
  </si>
  <si>
    <t>150HP(380V)6"</t>
  </si>
  <si>
    <t xml:space="preserve"> 제  108 호표  수중모터 철거 및 설치  2HP(380V)4"  /  대</t>
  </si>
  <si>
    <t>제 108호표</t>
  </si>
  <si>
    <t>수중모터 철거 및 설치</t>
  </si>
  <si>
    <t xml:space="preserve"> 제  109 호표  수중모터 철거 및 설치  3HP(380V)4"  /  대</t>
  </si>
  <si>
    <t>제 109호표</t>
  </si>
  <si>
    <t xml:space="preserve"> 제  110 호표  수중모터 철거 및 설치  5HP(380V)4"  /  대</t>
  </si>
  <si>
    <t>제 110호표</t>
  </si>
  <si>
    <t xml:space="preserve"> 제  111 호표  수중모터 철거 및 설치  7.5HP(380V)6"  /  대</t>
  </si>
  <si>
    <t>제 111호표</t>
  </si>
  <si>
    <t xml:space="preserve"> 제  112 호표  수중모터 철거 및 설치  10HP(380V)6"  /  대</t>
  </si>
  <si>
    <t>제 112호표</t>
  </si>
  <si>
    <t xml:space="preserve"> 제  113 호표  수중모터 철거 및 설치  15HP(380V)6"  /  대</t>
  </si>
  <si>
    <t>제 113호표</t>
  </si>
  <si>
    <t>15HP(380V)6"</t>
  </si>
  <si>
    <t xml:space="preserve"> 제  114 호표  수중모터 철거 및 설치  20HP(380V)6"  /  대</t>
  </si>
  <si>
    <t>제 114호표</t>
  </si>
  <si>
    <t xml:space="preserve"> 제  115 호표  수중모터 철거 및 설치  30HP(380V)6"  /  대</t>
  </si>
  <si>
    <t>제 115호표</t>
  </si>
  <si>
    <t xml:space="preserve"> 제  116 호표  수중모터 철거 및 설치  40HP(380V)6"  /  대</t>
  </si>
  <si>
    <t>제 116호표</t>
  </si>
  <si>
    <t xml:space="preserve"> 제  117 호표  수중모터 철거 및 설치  50HP(380V)6"  /  대</t>
  </si>
  <si>
    <t>제 117호표</t>
  </si>
  <si>
    <t xml:space="preserve"> 제  118 호표  수중모터 철거 및 설치  60HP(380V)6"  /  대</t>
  </si>
  <si>
    <t>제 118호표</t>
  </si>
  <si>
    <t xml:space="preserve"> 제  119 호표  수중모터 철거 및 설치  150HP(380V)6"  /  대</t>
  </si>
  <si>
    <t>제 119호표</t>
  </si>
  <si>
    <t xml:space="preserve"> 제  120 호표  수중모터 설치  2HP(380V)4"  /  대</t>
  </si>
  <si>
    <t>제 120호표</t>
  </si>
  <si>
    <t>수중모터 설치</t>
  </si>
  <si>
    <t xml:space="preserve"> 제  121 호표  수중모터 설치  3HP(380V)4"  /  대</t>
  </si>
  <si>
    <t>제 121호표</t>
  </si>
  <si>
    <t xml:space="preserve"> 제  122 호표  수중모터 설치  5HP(380V)4"  /  대</t>
  </si>
  <si>
    <t>제 122호표</t>
  </si>
  <si>
    <t xml:space="preserve"> 제  123 호표  수중모터 설치  7.5HP(380V)6"  /  대</t>
  </si>
  <si>
    <t>제 123호표</t>
  </si>
  <si>
    <t xml:space="preserve"> 제  124 호표  수중모터 설치  10HP(380V)6"  /  대</t>
  </si>
  <si>
    <t>제 124호표</t>
  </si>
  <si>
    <t xml:space="preserve"> 제  125 호표  수중모터 설치  15HP(380V)6"  /  대</t>
  </si>
  <si>
    <t>제 125호표</t>
  </si>
  <si>
    <t xml:space="preserve"> 제  126 호표  수중모터 설치  20HP(380V)6"  /  대</t>
  </si>
  <si>
    <t>제 126호표</t>
  </si>
  <si>
    <t xml:space="preserve"> 제  127 호표  수중모터 설치  30HP(380V)6"  /  대</t>
  </si>
  <si>
    <t>제 127호표</t>
  </si>
  <si>
    <t xml:space="preserve"> 제  128 호표  수중모터 설치  40HP(380V)6"  /  대</t>
  </si>
  <si>
    <t>제 128호표</t>
  </si>
  <si>
    <t xml:space="preserve"> 제  129 호표  수중모터 설치  50HP(380V)6"  /  대</t>
  </si>
  <si>
    <t>제 129호표</t>
  </si>
  <si>
    <t xml:space="preserve"> 제  130 호표  수중모터 설치  60HP(380V)6"  /  대</t>
  </si>
  <si>
    <t>제 130호표</t>
  </si>
  <si>
    <t xml:space="preserve"> 제  131 호표  수중모터 설치  150HP(380V)6"  /  대</t>
  </si>
  <si>
    <t>제 131호표</t>
  </si>
  <si>
    <t xml:space="preserve"> 제  132 호표  수중모터 철거  2HP(380V)4"  /  대</t>
  </si>
  <si>
    <t>제 132호표</t>
  </si>
  <si>
    <t>수중모터 철거</t>
  </si>
  <si>
    <t xml:space="preserve"> 제  133 호표  수중모터 철거  3HP(380V)4"  /  대</t>
  </si>
  <si>
    <t>제 133호표</t>
  </si>
  <si>
    <t xml:space="preserve"> 제  134 호표  수중모터 철거  5HP(380V)4"  /  대</t>
  </si>
  <si>
    <t>제 134호표</t>
  </si>
  <si>
    <t xml:space="preserve"> 제  135 호표  수중모터 철거  7.5HP(380V)6"  /  대</t>
  </si>
  <si>
    <t>제 135호표</t>
  </si>
  <si>
    <t xml:space="preserve"> 제  136 호표  수중모터 철거  10HP(380V)6"  /  대</t>
  </si>
  <si>
    <t>제 136호표</t>
  </si>
  <si>
    <t xml:space="preserve"> 제  137 호표  수중모터 철거  15HP(380V)6"  /  대</t>
  </si>
  <si>
    <t>제 137호표</t>
  </si>
  <si>
    <t xml:space="preserve"> 제  138 호표  수중모터 철거  20HP(380V)6"  /  대</t>
  </si>
  <si>
    <t>제 138호표</t>
  </si>
  <si>
    <t xml:space="preserve"> 제  139 호표  수중모터 철거  30HP(380V)6"  /  대</t>
  </si>
  <si>
    <t>제 139호표</t>
  </si>
  <si>
    <t xml:space="preserve"> 제  140 호표  수중모터 철거  40HP(380V)6"  /  대</t>
  </si>
  <si>
    <t>제 140호표</t>
  </si>
  <si>
    <t xml:space="preserve"> 제  141 호표  수중모터 철거  50HP(380V)6"  /  대</t>
  </si>
  <si>
    <t>제 141호표</t>
  </si>
  <si>
    <t xml:space="preserve"> 제  142 호표  수중모터 철거  60HP(380V)6"  /  대</t>
  </si>
  <si>
    <t>제 142호표</t>
  </si>
  <si>
    <t xml:space="preserve"> 제  143 호표  수중모터 철거  150HP(380V)6"  /  대</t>
  </si>
  <si>
    <t>제 143호표</t>
  </si>
  <si>
    <t xml:space="preserve"> 제  144 호표  수중펌프  2HP(70m)272㎥/D  /  대</t>
  </si>
  <si>
    <t>제 144호표</t>
  </si>
  <si>
    <t>수중펌프</t>
  </si>
  <si>
    <t>2HP(70m)272㎥/D</t>
  </si>
  <si>
    <t xml:space="preserve"> 제  145 호표  수중펌프  3HP(50m)494㎥/D  /  대</t>
  </si>
  <si>
    <t>제 145호표</t>
  </si>
  <si>
    <t>3HP(50m)494㎥/D</t>
  </si>
  <si>
    <t xml:space="preserve"> 제  146 호표  수중펌프  5HP(160m)287㎥/D  /  대</t>
  </si>
  <si>
    <t>제 146호표</t>
  </si>
  <si>
    <t>5HP(160m)287㎥/D</t>
  </si>
  <si>
    <t xml:space="preserve"> 제  147 호표  수중펌프  7.5HP(160m)366㎥/D  /  대</t>
  </si>
  <si>
    <t>제 147호표</t>
  </si>
  <si>
    <t>7.5HP(160m)366㎥/D</t>
  </si>
  <si>
    <t xml:space="preserve"> 제  148 호표  수중펌프  10HP(180m)482㎥/D  /  대</t>
  </si>
  <si>
    <t>제 148호표</t>
  </si>
  <si>
    <t>10HP(180m)482㎥/D</t>
  </si>
  <si>
    <t xml:space="preserve"> 제  149 호표  수중펌프  15HP(150m)780㎥/D  /  대</t>
  </si>
  <si>
    <t>제 149호표</t>
  </si>
  <si>
    <t>15HP(150m)780㎥/D</t>
  </si>
  <si>
    <t xml:space="preserve"> 제  150 호표  수중펌프  20HP(220m)785㎥/D  /  대</t>
  </si>
  <si>
    <t>제 150호표</t>
  </si>
  <si>
    <t>20HP(220m)785㎥/D</t>
  </si>
  <si>
    <t xml:space="preserve"> 제  151 호표  수중펌프  25HP(190m)1195㎥/D  /  대</t>
  </si>
  <si>
    <t>제 151호표</t>
  </si>
  <si>
    <t>25HP(190m)1195㎥/D</t>
  </si>
  <si>
    <t xml:space="preserve"> 제  152 호표  수중펌프  30HP(150m)2328㎥/D  /  대</t>
  </si>
  <si>
    <t>제 152호표</t>
  </si>
  <si>
    <t>30HP(150m)2328㎥/D</t>
  </si>
  <si>
    <t xml:space="preserve"> 제  153 호표  수중펌프  40HP(170m)2330㎥/D  /  대</t>
  </si>
  <si>
    <t>제 153호표</t>
  </si>
  <si>
    <t>40HP(170m)2330㎥/D</t>
  </si>
  <si>
    <t xml:space="preserve"> 제  154 호표  수중펌프  50HP(170m)3540㎥/D  /  대</t>
  </si>
  <si>
    <t>제 154호표</t>
  </si>
  <si>
    <t>50HP(170m)3540㎥/D</t>
  </si>
  <si>
    <t xml:space="preserve"> 제  155 호표  수중펌프  60HP(210m)3528㎥/D  /  대</t>
  </si>
  <si>
    <t>제 155호표</t>
  </si>
  <si>
    <t>60HP(210m)3528㎥/D</t>
  </si>
  <si>
    <t xml:space="preserve"> 제  156 호표  수중펌프  150HP(500m)3576㎥/D  /  대</t>
  </si>
  <si>
    <t>제 156호표</t>
  </si>
  <si>
    <t>150HP(500m)3576㎥/D</t>
  </si>
  <si>
    <t xml:space="preserve"> 제  157 호표  수중펌프 철거 및 설치  2HP(70m)272㎥/D  /  대</t>
  </si>
  <si>
    <t>제 157호표</t>
  </si>
  <si>
    <t>수중펌프 철거 및 설치</t>
  </si>
  <si>
    <t xml:space="preserve"> 제  158 호표  수중펌프 철거 및 설치  3HP(50m)494㎥/D  /  대</t>
  </si>
  <si>
    <t>제 158호표</t>
  </si>
  <si>
    <t xml:space="preserve"> 제  159 호표  수중펌프 철거 및 설치  5HP(160m)287㎥/D  /  대</t>
  </si>
  <si>
    <t>제 159호표</t>
  </si>
  <si>
    <t xml:space="preserve"> 제  160 호표  수중펌프 철거 및 설치  7.5HP(160m)366㎥/D  /  대</t>
  </si>
  <si>
    <t>제 160호표</t>
  </si>
  <si>
    <t xml:space="preserve"> 제  161 호표  수중펌프 철거 및 설치  10HP(180m)482㎥/D  /  대</t>
  </si>
  <si>
    <t>제 161호표</t>
  </si>
  <si>
    <t xml:space="preserve"> 제  162 호표  수중펌프 철거 및 설치  15HP(150m)780㎥/D  /  대</t>
  </si>
  <si>
    <t>제 162호표</t>
  </si>
  <si>
    <t xml:space="preserve"> 제  163 호표  수중펌프 철거 및 설치  20HP(220m)785㎥/D  /  대</t>
  </si>
  <si>
    <t>제 163호표</t>
  </si>
  <si>
    <t xml:space="preserve"> 제  164 호표  수중펌프 철거 및 설치  25HP(190m)1195㎥/D  /  대</t>
  </si>
  <si>
    <t>제 164호표</t>
  </si>
  <si>
    <t xml:space="preserve"> 제  165 호표  수중펌프 철거 및 설치  30HP(150m)2328㎥/D  /  대</t>
  </si>
  <si>
    <t>제 165호표</t>
  </si>
  <si>
    <t xml:space="preserve"> 제  166 호표  수중펌프 철거 및 설치  40HP(170m)2330㎥/D  /  대</t>
  </si>
  <si>
    <t>제 166호표</t>
  </si>
  <si>
    <t xml:space="preserve"> 제  167 호표  수중펌프 철거 및 설치  50HP(170m)3540㎥/D  /  대</t>
  </si>
  <si>
    <t>제 167호표</t>
  </si>
  <si>
    <t xml:space="preserve"> 제  168 호표  수중펌프 철거 및 설치  60HP(210m)3528㎥/D  /  대</t>
  </si>
  <si>
    <t>제 168호표</t>
  </si>
  <si>
    <t xml:space="preserve"> 제  169 호표  수중펌프 철거 및 설치  150HP(500m)3576㎥/D  /  대</t>
  </si>
  <si>
    <t>제 169호표</t>
  </si>
  <si>
    <t xml:space="preserve"> 제  170 호표  수중펌프 설치  2HP(70m)272㎥/D  /  대</t>
  </si>
  <si>
    <t>제 170호표</t>
  </si>
  <si>
    <t>수중펌프 설치</t>
  </si>
  <si>
    <t xml:space="preserve"> 제  171 호표  수중펌프 설치  3HP(50m)494㎥/D  /  대</t>
  </si>
  <si>
    <t>제 171호표</t>
  </si>
  <si>
    <t xml:space="preserve"> 제  172 호표  수중펌프 설치  5HP(160m)287㎥/D  /  대</t>
  </si>
  <si>
    <t>제 172호표</t>
  </si>
  <si>
    <t xml:space="preserve"> 제  173 호표  수중펌프 설치  7.5HP(160m)366㎥/D  /  대</t>
  </si>
  <si>
    <t>제 173호표</t>
  </si>
  <si>
    <t xml:space="preserve"> 제  174 호표  수중펌프 설치  10HP(180m)482㎥/D  /  대</t>
  </si>
  <si>
    <t>제 174호표</t>
  </si>
  <si>
    <t xml:space="preserve"> 제  175 호표  수중펌프 설치  15HP(150m)780㎥/D  /  대</t>
  </si>
  <si>
    <t>제 175호표</t>
  </si>
  <si>
    <t xml:space="preserve"> 제  176 호표  수중펌프 설치  20HP(220m)785㎥/D  /  대</t>
  </si>
  <si>
    <t>제 176호표</t>
  </si>
  <si>
    <t xml:space="preserve"> 제  177 호표  수중펌프 설치  25HP(190m)1195㎥/D  /  대</t>
  </si>
  <si>
    <t>제 177호표</t>
  </si>
  <si>
    <t xml:space="preserve"> 제  178 호표  수중펌프 설치  30HP(150m)2328㎥/D  /  대</t>
  </si>
  <si>
    <t>제 178호표</t>
  </si>
  <si>
    <t xml:space="preserve"> 제  179 호표  수중펌프 설치  40HP(170m)2330㎥/D  /  대</t>
  </si>
  <si>
    <t>제 179호표</t>
  </si>
  <si>
    <t xml:space="preserve"> 제  180 호표  수중펌프 설치  50HP(170m)3540㎥/D  /  대</t>
  </si>
  <si>
    <t>제 180호표</t>
  </si>
  <si>
    <t xml:space="preserve"> 제  181 호표  수중펌프 설치  60HP(210m)3528㎥/D  /  대</t>
  </si>
  <si>
    <t>제 181호표</t>
  </si>
  <si>
    <t xml:space="preserve"> 제  182 호표  수중펌프 설치  150HP(500m)3576㎥/D  /  대</t>
  </si>
  <si>
    <t>제 182호표</t>
  </si>
  <si>
    <t xml:space="preserve"> 제  183 호표  수중펌프 철거  2HP(70m)272㎥/D  /  대</t>
  </si>
  <si>
    <t>제 183호표</t>
  </si>
  <si>
    <t>수중펌프 철거</t>
  </si>
  <si>
    <t xml:space="preserve"> 제  184 호표  수중펌프 철거  3HP(50m)494㎥/D  /  대</t>
  </si>
  <si>
    <t>제 184호표</t>
  </si>
  <si>
    <t xml:space="preserve"> 제  185 호표  수중펌프 철거  5HP(160m)287㎥/D  /  대</t>
  </si>
  <si>
    <t>제 185호표</t>
  </si>
  <si>
    <t xml:space="preserve"> 제  186 호표  수중펌프 철거  7.5HP(160m)366㎥/D  /  대</t>
  </si>
  <si>
    <t>제 186호표</t>
  </si>
  <si>
    <t xml:space="preserve"> 제  187 호표  수중펌프 철거  10HP(180m)482㎥/D  /  대</t>
  </si>
  <si>
    <t>제 187호표</t>
  </si>
  <si>
    <t xml:space="preserve"> 제  188 호표  수중펌프 철거  15HP(150m)780㎥/D  /  대</t>
  </si>
  <si>
    <t>제 188호표</t>
  </si>
  <si>
    <t xml:space="preserve"> 제  189 호표  수중펌프 철거  20HP(220m)785㎥/D  /  대</t>
  </si>
  <si>
    <t>제 189호표</t>
  </si>
  <si>
    <t xml:space="preserve"> 제  190 호표  수중펌프 철거  25HP(190m)1195㎥/D  /  대</t>
  </si>
  <si>
    <t>제 190호표</t>
  </si>
  <si>
    <t xml:space="preserve"> 제  191 호표  수중펌프 철거  30HP(150m)2328㎥/D  /  대</t>
  </si>
  <si>
    <t>제 191호표</t>
  </si>
  <si>
    <t xml:space="preserve"> 제  192 호표  수중펌프 철거  40HP(170m)2330㎥/D  /  대</t>
  </si>
  <si>
    <t>제 192호표</t>
  </si>
  <si>
    <t xml:space="preserve"> 제  193 호표  수중펌프 철거  50HP(170m)3540㎥/D  /  대</t>
  </si>
  <si>
    <t>제 193호표</t>
  </si>
  <si>
    <t xml:space="preserve"> 제  194 호표  수중펌프 철거  60HP(210m)3528㎥/D  /  대</t>
  </si>
  <si>
    <t>제 194호표</t>
  </si>
  <si>
    <t xml:space="preserve"> 제  195 호표  수중펌프 철거  150HP(500m)3576㎥/D  /  대</t>
  </si>
  <si>
    <t>제 195호표</t>
  </si>
  <si>
    <t xml:space="preserve"> 제  196 호표  가압펌프  0.5HP 12m 0.02㎥/min  /  대</t>
  </si>
  <si>
    <t>제 196호표</t>
  </si>
  <si>
    <t>가압펌프</t>
  </si>
  <si>
    <t>0.5HP 12m 0.02㎥/min</t>
  </si>
  <si>
    <t xml:space="preserve"> 제  197 호표  가압펌프  1HP 30m 0.05㎥/min  /  대</t>
  </si>
  <si>
    <t>제 197호표</t>
  </si>
  <si>
    <t>1HP 30m 0.05㎥/min</t>
  </si>
  <si>
    <t xml:space="preserve"> 제  198 호표  가압펌프  1.2HP 25m 0.05㎥/min  /  대</t>
  </si>
  <si>
    <t>제 198호표</t>
  </si>
  <si>
    <t>1.2HP 25m 0.05㎥/min</t>
  </si>
  <si>
    <t xml:space="preserve"> 제  199 호표  가압펌프  3HP 50m 0.05㎥/min  /  대</t>
  </si>
  <si>
    <t>제 199호표</t>
  </si>
  <si>
    <t>3HP 50m 0.05㎥/min</t>
  </si>
  <si>
    <t xml:space="preserve"> 제  200 호표  가압펌프 철거 및 설치  0.5HP 12m 0.02㎥/min  /  대</t>
  </si>
  <si>
    <t>제 200호표</t>
  </si>
  <si>
    <t>가압펌프 철거 및 설치</t>
  </si>
  <si>
    <t xml:space="preserve"> 제  201 호표  가압펌프 철거 및 설치  1HP 30m 0.05㎥/min  /  대</t>
  </si>
  <si>
    <t>제 201호표</t>
  </si>
  <si>
    <t xml:space="preserve"> 제  202 호표  가압펌프 철거 및 설치  1.5HP 40m 0.05㎥/min  /  대</t>
  </si>
  <si>
    <t>제 202호표</t>
  </si>
  <si>
    <t>1.5HP 40m 0.05㎥/min</t>
  </si>
  <si>
    <t xml:space="preserve"> 제  203 호표  가압펌프 철거 및 설치  3HP 50m 0.05㎥/min  /  대</t>
  </si>
  <si>
    <t>제 203호표</t>
  </si>
  <si>
    <t xml:space="preserve"> 제  204 호표  가압펌프 설치  0.5HP 12m 0.02㎥/min  /  대</t>
  </si>
  <si>
    <t>제 204호표</t>
  </si>
  <si>
    <t>가압펌프 설치</t>
  </si>
  <si>
    <t xml:space="preserve"> 제  205 호표  가압펌프 설치  1HP 30m 0.05㎥/min  /  대</t>
  </si>
  <si>
    <t>제 205호표</t>
  </si>
  <si>
    <t xml:space="preserve"> 제  206 호표  가압펌프 설치  1.5HP 10m 0.13㎥/min  /  대</t>
  </si>
  <si>
    <t>제 206호표</t>
  </si>
  <si>
    <t>1.5HP 10m 0.13㎥/min</t>
  </si>
  <si>
    <t xml:space="preserve"> 제  207 호표  가압펌프 설치  3HP 30m 0.05㎥/min  /  대</t>
  </si>
  <si>
    <t>제 207호표</t>
  </si>
  <si>
    <t>3HP 30m 0.05㎥/min</t>
  </si>
  <si>
    <t xml:space="preserve"> 제  208 호표  가압펌프 철거  0.5HP 12m 0.02㎥/min  /  대</t>
  </si>
  <si>
    <t>제 208호표</t>
  </si>
  <si>
    <t>가압펌프 철거</t>
  </si>
  <si>
    <t xml:space="preserve"> 제  209 호표  가압펌프 철거  1HP 30m 0.05㎥/min  /  대</t>
  </si>
  <si>
    <t>제 209호표</t>
  </si>
  <si>
    <t xml:space="preserve"> 제  210 호표  가압펌프 철거  1.5HP 40m 0.05㎥/min  /  대</t>
  </si>
  <si>
    <t>제 210호표</t>
  </si>
  <si>
    <t xml:space="preserve"> 제  211 호표  가압펌프 철거  3HP 50m 0.05㎥/min  /  대</t>
  </si>
  <si>
    <t>제 211호표</t>
  </si>
  <si>
    <t xml:space="preserve"> 제  212 호표  횡형편흡입펌프  1.5HP 40m 0.09㎥/min  /  대</t>
  </si>
  <si>
    <t>제 212호표</t>
  </si>
  <si>
    <t>횡형편흡입펌프</t>
  </si>
  <si>
    <t>1.5HP 40m 0.09㎥/min</t>
  </si>
  <si>
    <t xml:space="preserve"> 제  213 호표  횡형편흡입펌프  2.0HP 40m 0.09㎥/min  /  대</t>
  </si>
  <si>
    <t>제 213호표</t>
  </si>
  <si>
    <t>2.0HP 40m 0.09㎥/min</t>
  </si>
  <si>
    <t xml:space="preserve"> 제  214 호표  횡형편흡입펌프  3.0HP 40m 0.09㎥/min  /  대</t>
  </si>
  <si>
    <t>제 214호표</t>
  </si>
  <si>
    <t>3.0HP 40m 0.09㎥/min</t>
  </si>
  <si>
    <t xml:space="preserve"> 제  215 호표  횡형편흡입펌프 철거 및 설치  1.5HP 40m 0.09㎥/min  /  대</t>
  </si>
  <si>
    <t>제 215호표</t>
  </si>
  <si>
    <t>횡형편흡입펌프 철거 및 설치</t>
  </si>
  <si>
    <t xml:space="preserve"> 제  216 호표  횡형편흡입펌프 철거 및 설치  2.0HP 40m 0.09㎥/min  /  대</t>
  </si>
  <si>
    <t>제 216호표</t>
  </si>
  <si>
    <t xml:space="preserve"> 제  217 호표  횡형편흡입펌프 철거 및 설치  3.0HP 40m 0.09㎥/min  /  개소</t>
  </si>
  <si>
    <t>제 217호표</t>
  </si>
  <si>
    <t>개소</t>
  </si>
  <si>
    <t xml:space="preserve"> 제  218 호표  횡형편흡입펌프 설치  1.5HP 40m 0.09㎥/min  /  대</t>
  </si>
  <si>
    <t>제 218호표</t>
  </si>
  <si>
    <t>횡형편흡입펌프 설치</t>
  </si>
  <si>
    <t xml:space="preserve"> 제  219 호표  횡형편흡입펌프 설치  2.0HP 40m 0.09㎥/min  /  대</t>
  </si>
  <si>
    <t>제 219호표</t>
  </si>
  <si>
    <t xml:space="preserve"> 제  220 호표  횡형편흡입펌프 설치  3.0HP 40m 0.09㎥/min  /  개소</t>
  </si>
  <si>
    <t>제 220호표</t>
  </si>
  <si>
    <t xml:space="preserve"> 제  221 호표  횡형편흡입펌프 철거  1.5HP 40m 0.09㎥/min  /  대</t>
  </si>
  <si>
    <t>제 221호표</t>
  </si>
  <si>
    <t>횡형편흡입펌프 철거</t>
  </si>
  <si>
    <t xml:space="preserve"> 제  222 호표  횡형편흡입펌프 철거  2.0HP 40m 0.09㎥/min  /  대</t>
  </si>
  <si>
    <t>제 222호표</t>
  </si>
  <si>
    <t xml:space="preserve"> 제  223 호표  횡형편흡입펌프 철거  3.0HP 40m 0.09㎥/min  /  개소</t>
  </si>
  <si>
    <t>제 223호표</t>
  </si>
  <si>
    <t xml:space="preserve"> 제  224 호표  인버터펌프  1.5HP 45m 0.12㎥/min  /  대</t>
  </si>
  <si>
    <t>제 224호표</t>
  </si>
  <si>
    <t>인버터펌프</t>
  </si>
  <si>
    <t>1.5HP 45m 0.12㎥/min</t>
  </si>
  <si>
    <t xml:space="preserve"> 제  225 호표  인버터펌프 철거 및 설치  1.5HP 45m 0.12㎥/min  /  대</t>
  </si>
  <si>
    <t>제 225호표</t>
  </si>
  <si>
    <t>인버터펌프 철거 및 설치</t>
  </si>
  <si>
    <t xml:space="preserve"> 제  226 호표  인버터펌프 설치  1.5HP 45m 0.12㎥/min  /  대</t>
  </si>
  <si>
    <t>제 226호표</t>
  </si>
  <si>
    <t>인버터펌프 설치</t>
  </si>
  <si>
    <t xml:space="preserve"> 제  227 호표  인버터펌프 철거  1.5HP 45m 0.12㎥/min  /  대</t>
  </si>
  <si>
    <t>제 227호표</t>
  </si>
  <si>
    <t>인버터펌프 철거</t>
  </si>
  <si>
    <t xml:space="preserve"> 제  228 호표  다단터어빈펌프  60HP 89m 2.0㎥/min  /  대</t>
  </si>
  <si>
    <t>제 228호표</t>
  </si>
  <si>
    <t>다단터어빈펌프</t>
  </si>
  <si>
    <t>60HP 89m 2.0㎥/min</t>
  </si>
  <si>
    <t xml:space="preserve"> 제  229 호표  다단터어빈펌프 철거 및 설치  60HP 89m 2.0㎥/min  /  대</t>
  </si>
  <si>
    <t>제 229호표</t>
  </si>
  <si>
    <t>다단터어빈펌프 철거 및 설치</t>
  </si>
  <si>
    <t xml:space="preserve"> 제  230 호표  다단터어빈펌프 설치  60HP 89m 2.0㎥/min  /  대</t>
  </si>
  <si>
    <t>제 230호표</t>
  </si>
  <si>
    <t>다단터어빈펌프 설치</t>
  </si>
  <si>
    <t xml:space="preserve"> 제  231 호표  다단터어빈펌프 철거  60HP 89m 2.0㎥/min  /  대</t>
  </si>
  <si>
    <t>제 231호표</t>
  </si>
  <si>
    <t>다단터어빈펌프 철거</t>
  </si>
  <si>
    <t xml:space="preserve"> 제  232 호표  다단보류트펌프  75HP 75m 1.5㎥/min  /  대</t>
  </si>
  <si>
    <t>제 232호표</t>
  </si>
  <si>
    <t>다단보류트펌프</t>
  </si>
  <si>
    <t>75HP 75m 1.5㎥/min</t>
  </si>
  <si>
    <t xml:space="preserve"> 제  233 호표  다단보류트펌프 철거 및 설치  75HP 75m 1.5㎥/min  /  대</t>
  </si>
  <si>
    <t>제 233호표</t>
  </si>
  <si>
    <t>다단보류트펌프 철거 및 설치</t>
  </si>
  <si>
    <t xml:space="preserve"> 제  234 호표  다단보류트펌프 설치  75HP 75m 1.5㎥/min  /  대</t>
  </si>
  <si>
    <t>제 234호표</t>
  </si>
  <si>
    <t>다단보류트펌프 설치</t>
  </si>
  <si>
    <t xml:space="preserve"> 제  235 호표  다단보류트펌프 철거  75HP 75m 1.5㎥/min  /  대</t>
  </si>
  <si>
    <t>제 235호표</t>
  </si>
  <si>
    <t>다단보류트펌프 철거</t>
  </si>
  <si>
    <t xml:space="preserve"> 제  236 호표  부스타 펌프  1HP CR 3-5  /  대</t>
  </si>
  <si>
    <t>제 236호표</t>
  </si>
  <si>
    <t>부스타 펌프</t>
  </si>
  <si>
    <t>1HP CR 3-5</t>
  </si>
  <si>
    <t xml:space="preserve"> 제  237 호표  부스타 펌프  2HP CR 3-9  /  대</t>
  </si>
  <si>
    <t>제 237호표</t>
  </si>
  <si>
    <t>2HP CR 3-9</t>
  </si>
  <si>
    <t xml:space="preserve"> 제  238 호표  부스타 펌프  3HP CR 32-1-1  /  대</t>
  </si>
  <si>
    <t>제 238호표</t>
  </si>
  <si>
    <t>3HP CR 32-1-1</t>
  </si>
  <si>
    <t xml:space="preserve"> 제  239 호표  부스타 펌프  5HP CR 20-2  /  대</t>
  </si>
  <si>
    <t>제 239호표</t>
  </si>
  <si>
    <t>5HP CR 20-2</t>
  </si>
  <si>
    <t xml:space="preserve"> 제  240 호표  부스타 펌프  7.5HP CR 45-1-1  /  대</t>
  </si>
  <si>
    <t>제 240호표</t>
  </si>
  <si>
    <t>7.5HP CR 45-1-1</t>
  </si>
  <si>
    <t xml:space="preserve"> 제  241 호표  부스타 펌프  10HP CR 32-2  /  대</t>
  </si>
  <si>
    <t>제 241호표</t>
  </si>
  <si>
    <t>10HP CR 32-2</t>
  </si>
  <si>
    <t xml:space="preserve"> 제  242 호표  부스타 펌프  15HP CR 64-1  /  대</t>
  </si>
  <si>
    <t>제 242호표</t>
  </si>
  <si>
    <t>15HP CR 64-1</t>
  </si>
  <si>
    <t xml:space="preserve"> 제  243 호표  부스타 펌프  20HP CR 9-1  /  대</t>
  </si>
  <si>
    <t>제 243호표</t>
  </si>
  <si>
    <t>20HP CR 9-1</t>
  </si>
  <si>
    <t xml:space="preserve"> 제  244 호표  부스타 펌프  30HP CR 90-2-1  /  대</t>
  </si>
  <si>
    <t>제 244호표</t>
  </si>
  <si>
    <t>30HP CR 90-2-1</t>
  </si>
  <si>
    <t xml:space="preserve"> 제  245 호표  부스타 펌프  40HP CR 64-3-1  /  대</t>
  </si>
  <si>
    <t>제 245호표</t>
  </si>
  <si>
    <t>40HP CR 64-3-1</t>
  </si>
  <si>
    <t xml:space="preserve"> 제  246 호표  부스타 펌프  50HP CR 64-4-1  /  대</t>
  </si>
  <si>
    <t>제 246호표</t>
  </si>
  <si>
    <t>50HP CR 64-4-1</t>
  </si>
  <si>
    <t xml:space="preserve"> 제  247 호표  부스타 펌프  60HP CR 90-4-2  /  대</t>
  </si>
  <si>
    <t>제 247호표</t>
  </si>
  <si>
    <t>60HP CR 90-4-2</t>
  </si>
  <si>
    <t xml:space="preserve"> 제  248 호표  부스타 펌프 철거 및 설치  1HP CR 3-5  /  대</t>
  </si>
  <si>
    <t>제 248호표</t>
  </si>
  <si>
    <t>부스타 펌프 철거 및 설치</t>
  </si>
  <si>
    <t xml:space="preserve"> 제  249 호표  부스타 펌프 철거 및 설치  2HP CR 3-9  /  대</t>
  </si>
  <si>
    <t>제 249호표</t>
  </si>
  <si>
    <t xml:space="preserve"> 제  250 호표  부스타 펌프 철거 및 설치  3HP CR 32-1-1  /  대</t>
  </si>
  <si>
    <t>제 250호표</t>
  </si>
  <si>
    <t xml:space="preserve"> 제  251 호표  부스타 펌프 철거 및 설치  5HP CR 20-2  /  대</t>
  </si>
  <si>
    <t>제 251호표</t>
  </si>
  <si>
    <t xml:space="preserve"> 제  252 호표  부스타 펌프 철거 및 설치  7.5HP CR 45-1-1  /  대</t>
  </si>
  <si>
    <t>제 252호표</t>
  </si>
  <si>
    <t xml:space="preserve"> 제  253 호표  부스타 펌프 철거 및 설치  10HP CR 32-2  /  대</t>
  </si>
  <si>
    <t>제 253호표</t>
  </si>
  <si>
    <t xml:space="preserve"> 제  254 호표  부스타 펌프 철거 및 설치  15HP CR 64-1  /  대</t>
  </si>
  <si>
    <t>제 254호표</t>
  </si>
  <si>
    <t xml:space="preserve"> 제  255 호표  부스타 펌프 철거 및 설치  20HP CR 9-1  /  대</t>
  </si>
  <si>
    <t>제 255호표</t>
  </si>
  <si>
    <t xml:space="preserve"> 제  256 호표  부스타 펌프 철거 및 설치  30HP CR 90-2-1  /  대</t>
  </si>
  <si>
    <t>제 256호표</t>
  </si>
  <si>
    <t xml:space="preserve"> 제  257 호표  부스타 펌프 철거 및 설치  40HP CR 64-3-1  /  대</t>
  </si>
  <si>
    <t>제 257호표</t>
  </si>
  <si>
    <t xml:space="preserve"> 제  258 호표  부스타 펌프 철거 및 설치  50HP CR 64-4-1  /  대</t>
  </si>
  <si>
    <t>제 258호표</t>
  </si>
  <si>
    <t xml:space="preserve"> 제  259 호표  부스타 펌프 철거 및 설치  60HP CR 90-4-2  /  대</t>
  </si>
  <si>
    <t>제 259호표</t>
  </si>
  <si>
    <t xml:space="preserve"> 제  260 호표  부스타 펌프 설치  1HP CR 3-5  /  대</t>
  </si>
  <si>
    <t>제 260호표</t>
  </si>
  <si>
    <t>부스타 펌프 설치</t>
  </si>
  <si>
    <t xml:space="preserve"> 제  261 호표  부스타 펌프 설치  2HP CR 3-9  /  대</t>
  </si>
  <si>
    <t>제 261호표</t>
  </si>
  <si>
    <t xml:space="preserve"> 제  262 호표  부스타 펌프 설치  3HP CR 32-1-1  /  대</t>
  </si>
  <si>
    <t>제 262호표</t>
  </si>
  <si>
    <t xml:space="preserve"> 제  263 호표  부스타 펌프 설치  5HP CR 20-2  /  대</t>
  </si>
  <si>
    <t>제 263호표</t>
  </si>
  <si>
    <t xml:space="preserve"> 제  264 호표  부스타 펌프 설치  7.5HP CR 45-1-1  /  대</t>
  </si>
  <si>
    <t>제 264호표</t>
  </si>
  <si>
    <t xml:space="preserve"> 제  265 호표  부스타 펌프 설치  10HP CR 32-2  /  대</t>
  </si>
  <si>
    <t>제 265호표</t>
  </si>
  <si>
    <t xml:space="preserve"> 제  266 호표  부스타 펌프 설치  15HP CR 64-1  /  대</t>
  </si>
  <si>
    <t>제 266호표</t>
  </si>
  <si>
    <t xml:space="preserve"> 제  267 호표  부스타 펌프 설치  20HP CR 9-1  /  대</t>
  </si>
  <si>
    <t>제 267호표</t>
  </si>
  <si>
    <t xml:space="preserve"> 제  268 호표  부스타 펌프 설치  30HP CR 90-2-1  /  대</t>
  </si>
  <si>
    <t>제 268호표</t>
  </si>
  <si>
    <t xml:space="preserve"> 제  269 호표  부스타 펌프 설치  40HP CR 64-3-1  /  대</t>
  </si>
  <si>
    <t>제 269호표</t>
  </si>
  <si>
    <t xml:space="preserve"> 제  270 호표  부스타 펌프 설치  50HP CR 64-4-1  /  대</t>
  </si>
  <si>
    <t>제 270호표</t>
  </si>
  <si>
    <t xml:space="preserve"> 제  271 호표  부스타 펌프 설치  60HP CR 90-4-2  /  대</t>
  </si>
  <si>
    <t>제 271호표</t>
  </si>
  <si>
    <t xml:space="preserve"> 제  272 호표  부스타 펌프 철거  1HP CR 3-5  /  대</t>
  </si>
  <si>
    <t>제 272호표</t>
  </si>
  <si>
    <t>부스타 펌프 철거</t>
  </si>
  <si>
    <t xml:space="preserve"> 제  273 호표  부스타 펌프 철거  2HP CR 3-9  /  대</t>
  </si>
  <si>
    <t>제 273호표</t>
  </si>
  <si>
    <t xml:space="preserve"> 제  274 호표  부스타 펌프 철거  3HP CR 32-1-1  /  대</t>
  </si>
  <si>
    <t>제 274호표</t>
  </si>
  <si>
    <t xml:space="preserve"> 제  275 호표  부스타 펌프 철거  5HP CR 20-2  /  대</t>
  </si>
  <si>
    <t>제 275호표</t>
  </si>
  <si>
    <t xml:space="preserve"> 제  276 호표  부스타 펌프 철거  7.5HP CR 45-1-1  /  대</t>
  </si>
  <si>
    <t>제 276호표</t>
  </si>
  <si>
    <t xml:space="preserve"> 제  277 호표  부스타 펌프 철거  10HP CR 32-2  /  대</t>
  </si>
  <si>
    <t>제 277호표</t>
  </si>
  <si>
    <t xml:space="preserve"> 제  278 호표  부스타 펌프 철거  15HP CR 64-1  /  대</t>
  </si>
  <si>
    <t>제 278호표</t>
  </si>
  <si>
    <t xml:space="preserve"> 제  279 호표  부스타 펌프 철거  20HP CR 9-1  /  대</t>
  </si>
  <si>
    <t>제 279호표</t>
  </si>
  <si>
    <t xml:space="preserve"> 제  280 호표  부스타 펌프 철거  30HP CR 90-2-1  /  대</t>
  </si>
  <si>
    <t>제 280호표</t>
  </si>
  <si>
    <t xml:space="preserve"> 제  281 호표  부스타 펌프 철거  40HP CR 64-3-1  /  대</t>
  </si>
  <si>
    <t>제 281호표</t>
  </si>
  <si>
    <t xml:space="preserve"> 제  282 호표  부스타 펌프 철거  50HP CR 64-4-1  /  대</t>
  </si>
  <si>
    <t>제 282호표</t>
  </si>
  <si>
    <t xml:space="preserve"> 제  283 호표  부스타 펌프 철거  60HP CR 90-4-2  /  대</t>
  </si>
  <si>
    <t>제 283호표</t>
  </si>
  <si>
    <t xml:space="preserve"> 제  284 호표  단상배수펌프  0.5HP(11m) 0.15㎥  /  대</t>
  </si>
  <si>
    <t>제 284호표</t>
  </si>
  <si>
    <t>단상배수펌프</t>
  </si>
  <si>
    <t>0.5HP(11m) 0.15㎥</t>
  </si>
  <si>
    <t xml:space="preserve"> 제  285 호표  단상배수펌프  1HP(11m) 0.15㎥  /  대</t>
  </si>
  <si>
    <t>제 285호표</t>
  </si>
  <si>
    <t>1HP(11m) 0.15㎥</t>
  </si>
  <si>
    <t xml:space="preserve"> 제  286 호표  단상배수펌프 철거 및 설치  0.5HP(11m) 0.15㎥  /  대</t>
  </si>
  <si>
    <t>제 286호표</t>
  </si>
  <si>
    <t>단상배수펌프 철거 및 설치</t>
  </si>
  <si>
    <t xml:space="preserve"> 제  287 호표  단상배수펌프 철거 및 설치  1HP(11m) 0.15㎥  /  대</t>
  </si>
  <si>
    <t>제 287호표</t>
  </si>
  <si>
    <t xml:space="preserve"> 제  288 호표  단상배수펌프 설치  0.5HP(11m) 0.15㎥  /  대</t>
  </si>
  <si>
    <t>제 288호표</t>
  </si>
  <si>
    <t>단상배수펌프 설치</t>
  </si>
  <si>
    <t xml:space="preserve"> 제  289 호표  단상배수펌프 설치  1HP(11m) 0.15㎥  /  대</t>
  </si>
  <si>
    <t>제 289호표</t>
  </si>
  <si>
    <t xml:space="preserve"> 제  290 호표  단상배수펌프 철거  0.5HP(11m) 0.15㎥  /  대</t>
  </si>
  <si>
    <t>제 290호표</t>
  </si>
  <si>
    <t>단상배수펌프 철거</t>
  </si>
  <si>
    <t xml:space="preserve"> 제  291 호표  단상배수펌프 철거  1HP(11m) 0.15㎥  /  대</t>
  </si>
  <si>
    <t>제 291호표</t>
  </si>
  <si>
    <t xml:space="preserve"> 제  292 호표  배수펌프  1HP(12m) 0.16㎥  /  대</t>
  </si>
  <si>
    <t>제 292호표</t>
  </si>
  <si>
    <t>배수펌프</t>
  </si>
  <si>
    <t>1HP(12m) 0.16㎥</t>
  </si>
  <si>
    <t xml:space="preserve"> 제  293 호표  배수펌프  2HP(15m) 0.25㎥  /  대</t>
  </si>
  <si>
    <t>제 293호표</t>
  </si>
  <si>
    <t>2HP(15m) 0.25㎥</t>
  </si>
  <si>
    <t xml:space="preserve"> 제  294 호표  배수펌프  3HP(20m) 0.30㎥  /  대</t>
  </si>
  <si>
    <t>제 294호표</t>
  </si>
  <si>
    <t>3HP(20m) 0.30㎥</t>
  </si>
  <si>
    <t xml:space="preserve"> 제  295 호표  배수펌프  5HP(20m) 0.50㎥  /  대</t>
  </si>
  <si>
    <t>제 295호표</t>
  </si>
  <si>
    <t>5HP(20m) 0.50㎥</t>
  </si>
  <si>
    <t xml:space="preserve"> 제  296 호표  배수펌프  7.5HP(20m) 0.60㎥  /  대</t>
  </si>
  <si>
    <t>제 296호표</t>
  </si>
  <si>
    <t>7.5HP(20m) 0.60㎥</t>
  </si>
  <si>
    <t xml:space="preserve"> 제  297 호표  배수펌프  10HP(30m) 0.80㎥  /  대</t>
  </si>
  <si>
    <t>제 297호표</t>
  </si>
  <si>
    <t>10HP(30m) 0.80㎥</t>
  </si>
  <si>
    <t xml:space="preserve"> 제  298 호표  배수펌프(대용량)  20HP(15m) 7.0㎥ 250A  /  대</t>
  </si>
  <si>
    <t>제 298호표</t>
  </si>
  <si>
    <t>배수펌프(대용량)</t>
  </si>
  <si>
    <t>20HP(15m) 7.0㎥ 250A</t>
  </si>
  <si>
    <t xml:space="preserve"> 제  299 호표  배수펌프(대용량)  30HP(22m) 10.0㎥ 300A  /  대</t>
  </si>
  <si>
    <t>제 299호표</t>
  </si>
  <si>
    <t>30HP(22m) 10.0㎥ 300A</t>
  </si>
  <si>
    <t xml:space="preserve"> 제  300 호표  배수펌프(대용량)  40HP(30m) 15.0㎥ 350A  /  대</t>
  </si>
  <si>
    <t>제 300호표</t>
  </si>
  <si>
    <t>40HP(30m) 15.0㎥ 350A</t>
  </si>
  <si>
    <t xml:space="preserve"> 제  301 호표  배수펌프(대용량)  500HP(37m) 20.0㎥ 400A  /  대</t>
  </si>
  <si>
    <t>제 301호표</t>
  </si>
  <si>
    <t>500HP(37m) 20.0㎥ 400A</t>
  </si>
  <si>
    <t xml:space="preserve"> 제  302 호표  배수펌프 철거 및 설치  1HP(12m) 0.16㎥  /  대</t>
  </si>
  <si>
    <t>제 302호표</t>
  </si>
  <si>
    <t>배수펌프 철거 및 설치</t>
  </si>
  <si>
    <t xml:space="preserve"> 제  303 호표  배수펌프 철거 및 설치  2HP(15m) 0.25㎥  /  대</t>
  </si>
  <si>
    <t>제 303호표</t>
  </si>
  <si>
    <t xml:space="preserve"> 제  304 호표  배수펌프 철거 및 설치  3HP(20m) 0.30㎥  /  대</t>
  </si>
  <si>
    <t>제 304호표</t>
  </si>
  <si>
    <t xml:space="preserve"> 제  305 호표  배수펌프 철거 및 설치  5HP(20m) 0.50㎥  /  대</t>
  </si>
  <si>
    <t>제 305호표</t>
  </si>
  <si>
    <t xml:space="preserve"> 제  306 호표  배수펌프 철거 및 설치  7.5HP(20m) 0.60㎥  /  대</t>
  </si>
  <si>
    <t>제 306호표</t>
  </si>
  <si>
    <t xml:space="preserve"> 제  307 호표  배수펌프 철거 및 설치  10HP(30m) 0.80㎥  /  대</t>
  </si>
  <si>
    <t>제 307호표</t>
  </si>
  <si>
    <t xml:space="preserve"> 제  308 호표  배수펌프(대용량) 철거 및 설치  20HP(15m) 7.0㎥ 250A  /  대</t>
  </si>
  <si>
    <t>제 308호표</t>
  </si>
  <si>
    <t>배수펌프(대용량) 철거 및 설치</t>
  </si>
  <si>
    <t xml:space="preserve"> 제  309 호표  배수펌프(대용량) 철거 및 설치  30HP(22m) 10.0㎥ 300A  /  대</t>
  </si>
  <si>
    <t>제 309호표</t>
  </si>
  <si>
    <t xml:space="preserve"> 제  310 호표  배수펌프(대용량) 철거 및 설치  40HP(30m) 15.0㎥ 350A  /  대</t>
  </si>
  <si>
    <t>제 310호표</t>
  </si>
  <si>
    <t xml:space="preserve"> 제  311 호표  배수펌프(대용량) 철거 및 설치  500HP(37m) 20.0㎥ 400A  /  대</t>
  </si>
  <si>
    <t>제 311호표</t>
  </si>
  <si>
    <t xml:space="preserve"> 제  312 호표  배수펌프 설치  1HP(12m) 0.16㎥  /  대</t>
  </si>
  <si>
    <t>제 312호표</t>
  </si>
  <si>
    <t>배수펌프 설치</t>
  </si>
  <si>
    <t xml:space="preserve"> 제  313 호표  배수펌프 설치  2HP(15m) 0.25㎥  /  대</t>
  </si>
  <si>
    <t>제 313호표</t>
  </si>
  <si>
    <t xml:space="preserve"> 제  314 호표  배수펌프 설치  3HP(20m) 0.30㎥  /  대</t>
  </si>
  <si>
    <t>제 314호표</t>
  </si>
  <si>
    <t xml:space="preserve"> 제  315 호표  배수펌프 설치  5HP(20m) 0.50㎥  /  대</t>
  </si>
  <si>
    <t>제 315호표</t>
  </si>
  <si>
    <t xml:space="preserve"> 제  316 호표  배수펌프 설치  7.5HP(20m) 0.60㎥  /  대</t>
  </si>
  <si>
    <t>제 316호표</t>
  </si>
  <si>
    <t xml:space="preserve"> 제  317 호표  배수펌프 설치  10HP(30m) 0.80㎥  /  대</t>
  </si>
  <si>
    <t>제 317호표</t>
  </si>
  <si>
    <t xml:space="preserve"> 제  318 호표  배수펌프(대용량) 설치  20HP(15m) 7.0㎥ 250A  /  대</t>
  </si>
  <si>
    <t>제 318호표</t>
  </si>
  <si>
    <t>배수펌프(대용량) 설치</t>
  </si>
  <si>
    <t xml:space="preserve"> 제  319 호표  배수펌프(대용량) 설치  30HP(22m) 10.0㎥ 300A  /  대</t>
  </si>
  <si>
    <t>제 319호표</t>
  </si>
  <si>
    <t xml:space="preserve"> 제  320 호표  배수펌프(대용량) 설치  40HP(30m) 15.0㎥ 350A  /  대</t>
  </si>
  <si>
    <t>제 320호표</t>
  </si>
  <si>
    <t xml:space="preserve"> 제  321 호표  배수펌프(대용량) 설치  500HP(37m) 20.0㎥ 400A  /  대</t>
  </si>
  <si>
    <t>제 321호표</t>
  </si>
  <si>
    <t xml:space="preserve"> 제  322 호표  배수펌프 철거  1HP(12m) 0.16㎥  /  대</t>
  </si>
  <si>
    <t>제 322호표</t>
  </si>
  <si>
    <t>배수펌프 철거</t>
  </si>
  <si>
    <t xml:space="preserve"> 제  323 호표  배수펌프 철거  2HP(15m) 0.25㎥  /  대</t>
  </si>
  <si>
    <t>제 323호표</t>
  </si>
  <si>
    <t xml:space="preserve"> 제  324 호표  배수펌프 철거  3HP(20m) 0.30㎥  /  대</t>
  </si>
  <si>
    <t>제 324호표</t>
  </si>
  <si>
    <t xml:space="preserve"> 제  325 호표  배수펌프 철거  5HP(20m) 0.50㎥  /  대</t>
  </si>
  <si>
    <t>제 325호표</t>
  </si>
  <si>
    <t xml:space="preserve"> 제  326 호표  배수펌프 철거  7.5HP(20m) 0.60㎥  /  대</t>
  </si>
  <si>
    <t>제 326호표</t>
  </si>
  <si>
    <t xml:space="preserve"> 제  327 호표  배수펌프 철거  10HP(30m) 0.80㎥  /  대</t>
  </si>
  <si>
    <t>제 327호표</t>
  </si>
  <si>
    <t xml:space="preserve"> 제  328 호표  배수펌프(대용량) 철거  20HP(15m) 7.0㎥ 250A  /  대</t>
  </si>
  <si>
    <t>제 328호표</t>
  </si>
  <si>
    <t>배수펌프(대용량) 철거</t>
  </si>
  <si>
    <t xml:space="preserve"> 제  329 호표  배수펌프(대용량) 철거  30HP(22m) 10.0㎥ 300A  /  대</t>
  </si>
  <si>
    <t>제 329호표</t>
  </si>
  <si>
    <t xml:space="preserve"> 제  330 호표  배수펌프(대용량) 철거  40HP(30m) 15.0㎥ 350A  /  대</t>
  </si>
  <si>
    <t>제 330호표</t>
  </si>
  <si>
    <t xml:space="preserve"> 제  331 호표  배수펌프(대용량) 철거  500HP(37m) 20.0㎥ 400A  /  대</t>
  </si>
  <si>
    <t>제 331호표</t>
  </si>
  <si>
    <t xml:space="preserve"> 제  332 호표  유도전동기  2HP(2P, 삼상전폐)  /  대</t>
  </si>
  <si>
    <t>제 332호표</t>
  </si>
  <si>
    <t>유도전동기</t>
  </si>
  <si>
    <t>2HP(2P, 삼상전폐)</t>
  </si>
  <si>
    <t xml:space="preserve"> 제  333 호표  유도전동기  3HP(2P, 삼상전폐)  /  대</t>
  </si>
  <si>
    <t>제 333호표</t>
  </si>
  <si>
    <t>3HP(2P, 삼상전폐)</t>
  </si>
  <si>
    <t xml:space="preserve"> 제  334 호표  유도전동기  5HP(2P, 삼상전폐)  /  대</t>
  </si>
  <si>
    <t>제 334호표</t>
  </si>
  <si>
    <t>5HP(2P, 삼상전폐)</t>
  </si>
  <si>
    <t xml:space="preserve"> 제  335 호표  유도전동기  7.5HP(2P, 삼상전폐)  /  대</t>
  </si>
  <si>
    <t>제 335호표</t>
  </si>
  <si>
    <t>7.5HP(2P, 삼상전폐)</t>
  </si>
  <si>
    <t xml:space="preserve"> 제  336 호표  유도전동기  10HP(2P, 삼상전폐)  /  대</t>
  </si>
  <si>
    <t>제 336호표</t>
  </si>
  <si>
    <t>10HP(2P, 삼상전폐)</t>
  </si>
  <si>
    <t xml:space="preserve"> 제  337 호표  유도전동기  15HP(2P, 삼상전폐)  /  대</t>
  </si>
  <si>
    <t>제 337호표</t>
  </si>
  <si>
    <t>15HP(2P, 삼상전폐)</t>
  </si>
  <si>
    <t xml:space="preserve"> 제  338 호표  유도전동기  20HP(2P, 삼상전폐)  /  대</t>
  </si>
  <si>
    <t>제 338호표</t>
  </si>
  <si>
    <t>20HP(2P, 삼상전폐)</t>
  </si>
  <si>
    <t xml:space="preserve"> 제  339 호표  유도전동기  30HP(2P, 삼상전폐)  /  대</t>
  </si>
  <si>
    <t>제 339호표</t>
  </si>
  <si>
    <t>30HP(2P, 삼상전폐)</t>
  </si>
  <si>
    <t xml:space="preserve"> 제  340 호표  유도전동기  40HP(2P, 삼상전폐)  /  대</t>
  </si>
  <si>
    <t>제 340호표</t>
  </si>
  <si>
    <t>40HP(2P, 삼상전폐)</t>
  </si>
  <si>
    <t xml:space="preserve"> 제  341 호표  유도전동기  50HP(2P, 삼상전폐)  /  대</t>
  </si>
  <si>
    <t>제 341호표</t>
  </si>
  <si>
    <t>50HP(2P, 삼상전폐)</t>
  </si>
  <si>
    <t xml:space="preserve"> 제  342 호표  유도전동기  60HP(2P, 삼상전폐)  /  대</t>
  </si>
  <si>
    <t>제 342호표</t>
  </si>
  <si>
    <t>60HP(2P, 삼상전폐)</t>
  </si>
  <si>
    <t xml:space="preserve"> 제  343 호표  유도전동기  75HP(2P, 삼상전폐)  /  대</t>
  </si>
  <si>
    <t>제 343호표</t>
  </si>
  <si>
    <t>75HP(2P, 삼상전폐)</t>
  </si>
  <si>
    <t xml:space="preserve"> 제  344 호표  유도전동기 철거 및 설치  2~3hp - 철거40%  /  대</t>
  </si>
  <si>
    <t>제 344호표</t>
  </si>
  <si>
    <t>유도전동기 철거 및 설치</t>
  </si>
  <si>
    <t>2~3hp - 철거40%</t>
  </si>
  <si>
    <t xml:space="preserve"> 제  345 호표  유도전동기 철거 및 설치  5hp - 철거40%  /  대</t>
  </si>
  <si>
    <t>제 345호표</t>
  </si>
  <si>
    <t>5hp - 철거40%</t>
  </si>
  <si>
    <t xml:space="preserve"> 제  346 호표  유도전동기 철거 및 설치  7.5hp - 철거40%  /  대</t>
  </si>
  <si>
    <t>제 346호표</t>
  </si>
  <si>
    <t>7.5hp - 철거40%</t>
  </si>
  <si>
    <t xml:space="preserve"> 제  347 호표  유도전동기 철거 및 설치  10hp - 철거40%  /  대</t>
  </si>
  <si>
    <t>제 347호표</t>
  </si>
  <si>
    <t>10hp - 철거40%</t>
  </si>
  <si>
    <t xml:space="preserve"> 제  348 호표  유도전동기 철거 및 설치  15hp - 철거40%  /  대</t>
  </si>
  <si>
    <t>제 348호표</t>
  </si>
  <si>
    <t>15hp - 철거40%</t>
  </si>
  <si>
    <t xml:space="preserve"> 제  349 호표  유도전동기 철거 및 설치  20hp - 철거40%  /  대</t>
  </si>
  <si>
    <t>제 349호표</t>
  </si>
  <si>
    <t>20hp - 철거40%</t>
  </si>
  <si>
    <t xml:space="preserve"> 제  350 호표  유도전동기 철거 및 설치  30hp - 철거40%  /  대</t>
  </si>
  <si>
    <t>제 350호표</t>
  </si>
  <si>
    <t>30hp - 철거40%</t>
  </si>
  <si>
    <t xml:space="preserve"> 제  351 호표  유도전동기 철거 및 설치  40hp - 철거40%  /  대</t>
  </si>
  <si>
    <t>제 351호표</t>
  </si>
  <si>
    <t>40hp - 철거40%</t>
  </si>
  <si>
    <t xml:space="preserve"> 제  352 호표  유도전동기 철거 및 설치  50hp - 철거40%  /  대</t>
  </si>
  <si>
    <t>제 352호표</t>
  </si>
  <si>
    <t>50hp - 철거40%</t>
  </si>
  <si>
    <t xml:space="preserve"> 제  353 호표  유도전동기 철거 및 설치  60hp - 철거40%  /  대</t>
  </si>
  <si>
    <t>제 353호표</t>
  </si>
  <si>
    <t>60hp - 철거40%</t>
  </si>
  <si>
    <t xml:space="preserve"> 제  354 호표  유도전동기 철거 및 설치  75hp - 철거40%  /  대</t>
  </si>
  <si>
    <t>제 354호표</t>
  </si>
  <si>
    <t>75hp - 철거40%</t>
  </si>
  <si>
    <t xml:space="preserve"> 제  355 호표  유도전동기 철거 및 설치  150hp - 철거40%  /  대</t>
  </si>
  <si>
    <t>제 355호표</t>
  </si>
  <si>
    <t>150hp - 철거40%</t>
  </si>
  <si>
    <t xml:space="preserve"> 제  356 호표  유도전동기 설치  2~3hp  /  대</t>
  </si>
  <si>
    <t>제 356호표</t>
  </si>
  <si>
    <t>유도전동기 설치</t>
  </si>
  <si>
    <t>2~3hp</t>
  </si>
  <si>
    <t xml:space="preserve"> 제  357 호표  유도전동기 설치  5hp  /  대</t>
  </si>
  <si>
    <t>제 357호표</t>
  </si>
  <si>
    <t>5hp</t>
  </si>
  <si>
    <t xml:space="preserve"> 제  358 호표  유도전동기 설치  7.5hp  /  대</t>
  </si>
  <si>
    <t>제 358호표</t>
  </si>
  <si>
    <t>7.5hp</t>
  </si>
  <si>
    <t xml:space="preserve"> 제  359 호표  유도전동기 설치  10hp  /  대</t>
  </si>
  <si>
    <t>제 359호표</t>
  </si>
  <si>
    <t>10hp</t>
  </si>
  <si>
    <t xml:space="preserve"> 제  360 호표  유도전동기 설치  15hp  /  대</t>
  </si>
  <si>
    <t>제 360호표</t>
  </si>
  <si>
    <t>15hp</t>
  </si>
  <si>
    <t xml:space="preserve"> 제  361 호표  유도전동기 설치  20hp  /  대</t>
  </si>
  <si>
    <t>제 361호표</t>
  </si>
  <si>
    <t>20hp</t>
  </si>
  <si>
    <t xml:space="preserve"> 제  362 호표  유도전동기 설치  30hp  /  대</t>
  </si>
  <si>
    <t>제 362호표</t>
  </si>
  <si>
    <t>30hp</t>
  </si>
  <si>
    <t xml:space="preserve"> 제  363 호표  유도전동기 설치  40hp  /  대</t>
  </si>
  <si>
    <t>제 363호표</t>
  </si>
  <si>
    <t>40hp</t>
  </si>
  <si>
    <t xml:space="preserve"> 제  364 호표  유도전동기 설치  50hp  /  대</t>
  </si>
  <si>
    <t>제 364호표</t>
  </si>
  <si>
    <t>50hp</t>
  </si>
  <si>
    <t xml:space="preserve"> 제  365 호표  유도전동기 설치  60hp  /  대</t>
  </si>
  <si>
    <t>제 365호표</t>
  </si>
  <si>
    <t>60hp</t>
  </si>
  <si>
    <t xml:space="preserve"> 제  366 호표  유도전동기 설치  75hp  /  대</t>
  </si>
  <si>
    <t>제 366호표</t>
  </si>
  <si>
    <t>75hp</t>
  </si>
  <si>
    <t xml:space="preserve"> 제  367 호표  유도전동기 설치  150hp  /  대</t>
  </si>
  <si>
    <t>제 367호표</t>
  </si>
  <si>
    <t>150hp</t>
  </si>
  <si>
    <t xml:space="preserve"> 제  368 호표  유도전동기 철거  2~3hp - 설치비의 40%  /  대</t>
  </si>
  <si>
    <t>제 368호표</t>
  </si>
  <si>
    <t>유도전동기 철거</t>
  </si>
  <si>
    <t>2~3hp - 설치비의 40%</t>
  </si>
  <si>
    <t xml:space="preserve"> 제  369 호표  유도전동기 철거  5hp - 설치비의 40%  /  대</t>
  </si>
  <si>
    <t>제 369호표</t>
  </si>
  <si>
    <t>5hp - 설치비의 40%</t>
  </si>
  <si>
    <t xml:space="preserve"> 제  370 호표  유도전동기 철거  7.5hp - 설치비의 40%  /  대</t>
  </si>
  <si>
    <t>제 370호표</t>
  </si>
  <si>
    <t>7.5hp - 설치비의 40%</t>
  </si>
  <si>
    <t xml:space="preserve"> 제  371 호표  유도전동기 철거  10hp - 설치비의 40%  /  대</t>
  </si>
  <si>
    <t>제 371호표</t>
  </si>
  <si>
    <t>10hp - 설치비의 40%</t>
  </si>
  <si>
    <t xml:space="preserve"> 제  372 호표  유도전동기 철거  15hp - 설치비의 40%  /  대</t>
  </si>
  <si>
    <t>제 372호표</t>
  </si>
  <si>
    <t>15hp - 설치비의 40%</t>
  </si>
  <si>
    <t xml:space="preserve"> 제  373 호표  유도전동기 철거  20hp - 설치비의 40%  /  대</t>
  </si>
  <si>
    <t>제 373호표</t>
  </si>
  <si>
    <t>20hp - 설치비의 40%</t>
  </si>
  <si>
    <t xml:space="preserve"> 제  374 호표  유도전동기 철거  30hp - 설치비의 40%  /  대</t>
  </si>
  <si>
    <t>제 374호표</t>
  </si>
  <si>
    <t>30hp - 설치비의 40%</t>
  </si>
  <si>
    <t xml:space="preserve"> 제  375 호표  유도전동기 철거  40hp - 설치비의 40%  /  대</t>
  </si>
  <si>
    <t>제 375호표</t>
  </si>
  <si>
    <t>40hp - 설치비의 40%</t>
  </si>
  <si>
    <t xml:space="preserve"> 제  376 호표  유도전동기 철거  50hp - 설치비의 40%  /  대</t>
  </si>
  <si>
    <t>제 376호표</t>
  </si>
  <si>
    <t>50hp - 설치비의 40%</t>
  </si>
  <si>
    <t xml:space="preserve"> 제  377 호표  유도전동기 철거  60hp - 설치비의 40%  /  대</t>
  </si>
  <si>
    <t>제 377호표</t>
  </si>
  <si>
    <t>60hp - 설치비의 40%</t>
  </si>
  <si>
    <t xml:space="preserve"> 제  378 호표  유도전동기 철거  75hp - 설치비의 70%  /  대</t>
  </si>
  <si>
    <t>제 378호표</t>
  </si>
  <si>
    <t>75hp - 설치비의 70%</t>
  </si>
  <si>
    <t xml:space="preserve"> 제  379 호표  유도전동기 철거  150hp - 설치비의 70%  /  대</t>
  </si>
  <si>
    <t>제 379호표</t>
  </si>
  <si>
    <t>150hp - 설치비의 70%</t>
  </si>
  <si>
    <t xml:space="preserve"> 제  380 호표  밀폐식팽창탱크  60L  /  대</t>
  </si>
  <si>
    <t>제 380호표</t>
  </si>
  <si>
    <t>밀폐식팽창탱크</t>
  </si>
  <si>
    <t>60L</t>
  </si>
  <si>
    <t xml:space="preserve"> 제  381 호표  밀폐식팽창탱크  100L  /  대</t>
  </si>
  <si>
    <t>제 381호표</t>
  </si>
  <si>
    <t>100L</t>
  </si>
  <si>
    <t xml:space="preserve"> 제  382 호표  밀폐식팽창탱크  200L  /  대</t>
  </si>
  <si>
    <t>제 382호표</t>
  </si>
  <si>
    <t>200L</t>
  </si>
  <si>
    <t xml:space="preserve"> 제  383 호표  밀폐식팽창탱크  300L  /  대</t>
  </si>
  <si>
    <t>제 383호표</t>
  </si>
  <si>
    <t>300L</t>
  </si>
  <si>
    <t xml:space="preserve"> 제  384 호표  밀폐식팽창탱크  400L  /  대</t>
  </si>
  <si>
    <t>제 384호표</t>
  </si>
  <si>
    <t>400L</t>
  </si>
  <si>
    <t xml:space="preserve"> 제  385 호표  밀폐식팽창탱크  500L  /  대</t>
  </si>
  <si>
    <t>제 385호표</t>
  </si>
  <si>
    <t>500L</t>
  </si>
  <si>
    <t xml:space="preserve"> 제  386 호표  밀폐식팽창탱크 교체  60L~100L  /  대</t>
  </si>
  <si>
    <t>제 386호표</t>
  </si>
  <si>
    <t>밀폐식팽창탱크 교체</t>
  </si>
  <si>
    <t>60L~100L</t>
  </si>
  <si>
    <t xml:space="preserve"> 제  387 호표  밀폐식팽창탱크 교체  200L  /  대</t>
  </si>
  <si>
    <t>제 387호표</t>
  </si>
  <si>
    <t xml:space="preserve"> 제  388 호표  밀폐식팽창탱크 교체  300L  /  대</t>
  </si>
  <si>
    <t>제 388호표</t>
  </si>
  <si>
    <t xml:space="preserve"> 제  389 호표  밀폐식팽창탱크 교체  400L  /  대</t>
  </si>
  <si>
    <t>제 389호표</t>
  </si>
  <si>
    <t xml:space="preserve"> 제  390 호표  밀폐식팽창탱크 교체  500L  /  대</t>
  </si>
  <si>
    <t>제 390호표</t>
  </si>
  <si>
    <t xml:space="preserve"> 제  391 호표  밸브액츄에이터  버터밸브용 0.5HP  /  대</t>
  </si>
  <si>
    <t>제 391호표</t>
  </si>
  <si>
    <t>밸브액츄에이터</t>
  </si>
  <si>
    <t>버터밸브용 0.5HP</t>
  </si>
  <si>
    <t xml:space="preserve"> 제  392 호표  밸브액츄에이터  버터밸브용 1HP  /  대</t>
  </si>
  <si>
    <t>제 392호표</t>
  </si>
  <si>
    <t>버터밸브용 1HP</t>
  </si>
  <si>
    <t xml:space="preserve"> 제  393 호표  밸브액츄에이터  버터밸브용 2HP  /  대</t>
  </si>
  <si>
    <t>제 393호표</t>
  </si>
  <si>
    <t>버터밸브용 2HP</t>
  </si>
  <si>
    <t xml:space="preserve"> 제  394 호표  밸브액츄에이터  버터밸브용 3HP  /  대</t>
  </si>
  <si>
    <t>제 394호표</t>
  </si>
  <si>
    <t>버터밸브용 3HP</t>
  </si>
  <si>
    <t xml:space="preserve"> 제  395 호표  밸브액츄에이터 교체  0.5HP  /  대</t>
  </si>
  <si>
    <t>제 395호표</t>
  </si>
  <si>
    <t>밸브액츄에이터 교체</t>
  </si>
  <si>
    <t>0.5HP</t>
  </si>
  <si>
    <t xml:space="preserve"> 제  396 호표  밸브액츄에이터 교체  1HP  /  대</t>
  </si>
  <si>
    <t>제 396호표</t>
  </si>
  <si>
    <t>1HP</t>
  </si>
  <si>
    <t xml:space="preserve"> 제  397 호표  밸브액츄에이터 교체  2HP  /  대</t>
  </si>
  <si>
    <t>제 397호표</t>
  </si>
  <si>
    <t>2HP</t>
  </si>
  <si>
    <t xml:space="preserve"> 제  398 호표  밸브액츄에이터 교체  3HP  /  대</t>
  </si>
  <si>
    <t>제 398호표</t>
  </si>
  <si>
    <t>3HP</t>
  </si>
  <si>
    <t xml:space="preserve"> 제  399 호표  소프트실제수밸브  공기변부착 D80mm  /  개</t>
  </si>
  <si>
    <t>제 399호표</t>
  </si>
  <si>
    <t>소프트실제수밸브</t>
  </si>
  <si>
    <t>공기변부착 D80mm</t>
  </si>
  <si>
    <t>개</t>
  </si>
  <si>
    <t xml:space="preserve"> 제  400 호표  소프트실제수밸브  공기변부착 D100mm  /  개</t>
  </si>
  <si>
    <t>제 400호표</t>
  </si>
  <si>
    <t>공기변부착 D100mm</t>
  </si>
  <si>
    <t xml:space="preserve"> 제  401 호표  소프트실제수밸브  공기변부착 D150mm  /  개</t>
  </si>
  <si>
    <t>제 401호표</t>
  </si>
  <si>
    <t>공기변부착 D150mm</t>
  </si>
  <si>
    <t xml:space="preserve"> 제  402 호표  소프트실제수밸브  공기변부착 D200mm  /  개</t>
  </si>
  <si>
    <t>제 402호표</t>
  </si>
  <si>
    <t>공기변부착 D200mm</t>
  </si>
  <si>
    <t xml:space="preserve"> 제  403 호표  소프트실 제수밸브 철거 및 설치  공기변부착 D80mm  /  대</t>
  </si>
  <si>
    <t>제 403호표</t>
  </si>
  <si>
    <t>소프트실 제수밸브 철거 및 설치</t>
  </si>
  <si>
    <t xml:space="preserve"> 제  404 호표  소프트실 제수밸브 철거 및 설치  공기변부착 D100mm  /  대</t>
  </si>
  <si>
    <t>제 404호표</t>
  </si>
  <si>
    <t xml:space="preserve"> 제  405 호표  소프트실 제수밸브 철거 및 설치  공기변부착 D150mm  /  대</t>
  </si>
  <si>
    <t>제 405호표</t>
  </si>
  <si>
    <t xml:space="preserve"> 제  406 호표  소프트실 제수밸브 철거 및 설치  공기변부착 D200mm  /  대</t>
  </si>
  <si>
    <t>제 406호표</t>
  </si>
  <si>
    <t xml:space="preserve"> 제  407 호표  소프트실 제수밸브 설치  공기변부착 D80mm  /  대</t>
  </si>
  <si>
    <t>제 407호표</t>
  </si>
  <si>
    <t>소프트실 제수밸브 설치</t>
  </si>
  <si>
    <t xml:space="preserve"> 제  408 호표  소프트실 제수밸브 설치  공기변부착 D100mm  /  대</t>
  </si>
  <si>
    <t>제 408호표</t>
  </si>
  <si>
    <t xml:space="preserve"> 제  409 호표  소프트실 제수밸브 설치  공기변부착 D150mm  /  대</t>
  </si>
  <si>
    <t>제 409호표</t>
  </si>
  <si>
    <t xml:space="preserve"> 제  410 호표  소프트실 제수밸브 설치  공기변부착 D200mm  /  대</t>
  </si>
  <si>
    <t>제 410호표</t>
  </si>
  <si>
    <t xml:space="preserve"> 제  411 호표  소프트실 제수밸브 철거  공기변부착 D80mm  /  대</t>
  </si>
  <si>
    <t>제 411호표</t>
  </si>
  <si>
    <t>소프트실 제수밸브 철거</t>
  </si>
  <si>
    <t xml:space="preserve"> 제  412 호표  소프트실 제수밸브 철거  공기변부착 D100mm  /  대</t>
  </si>
  <si>
    <t>제 412호표</t>
  </si>
  <si>
    <t xml:space="preserve"> 제  413 호표  소프트실 제수밸브 철거  공기변부착 D150mm  /  대</t>
  </si>
  <si>
    <t>제 413호표</t>
  </si>
  <si>
    <t xml:space="preserve"> 제  414 호표  소프트실 제수밸브 철거  공기변부착 D200mm  /  대</t>
  </si>
  <si>
    <t>제 414호표</t>
  </si>
  <si>
    <t xml:space="preserve"> 제  415 호표  스텐레스첵크밸브  10kg D50mm BB  /  개</t>
  </si>
  <si>
    <t>제 415호표</t>
  </si>
  <si>
    <t>스텐레스첵크밸브</t>
  </si>
  <si>
    <t>10kg D50mm BB</t>
  </si>
  <si>
    <t xml:space="preserve"> 제  416 호표  스텐레스첵크밸브  10kg D80mm BB  /  개</t>
  </si>
  <si>
    <t>제 416호표</t>
  </si>
  <si>
    <t>10kg D80mm BB</t>
  </si>
  <si>
    <t xml:space="preserve"> 제  417 호표  스텐레스첵크밸브  10kg D100mm BB  /  개</t>
  </si>
  <si>
    <t>제 417호표</t>
  </si>
  <si>
    <t>10kg D100mm BB</t>
  </si>
  <si>
    <t xml:space="preserve"> 제  418 호표  스텐레스첵크밸브  10kg D150mm BB  /  개</t>
  </si>
  <si>
    <t>제 418호표</t>
  </si>
  <si>
    <t>10kg D150mm BB</t>
  </si>
  <si>
    <t xml:space="preserve"> 제  419 호표  스텐레스첵크밸브  10kg D200mm BB  /  개</t>
  </si>
  <si>
    <t>제 419호표</t>
  </si>
  <si>
    <t>10kg D200mm BB</t>
  </si>
  <si>
    <t xml:space="preserve"> 제  420 호표  스텐레스첵크밸브  10kg D250mm BB  /  개</t>
  </si>
  <si>
    <t>제 420호표</t>
  </si>
  <si>
    <t>10kg D250mm BB</t>
  </si>
  <si>
    <t xml:space="preserve"> 제  421 호표  스텐레스첵크밸브 철거 및 설치  10kg D50mm BB  /  개</t>
  </si>
  <si>
    <t>제 421호표</t>
  </si>
  <si>
    <t>스텐레스첵크밸브 철거 및 설치</t>
  </si>
  <si>
    <t xml:space="preserve"> 제  422 호표  스텐레스첵크밸브 철거 및 설치  10kg D80mm BB  /  개</t>
  </si>
  <si>
    <t>제 422호표</t>
  </si>
  <si>
    <t xml:space="preserve"> 제  423 호표  스텐레스첵크밸브 철거 및 설치  10kg D100mm BB  /  개</t>
  </si>
  <si>
    <t>제 423호표</t>
  </si>
  <si>
    <t xml:space="preserve"> 제  424 호표  스텐레스첵크밸브 철거 및 설치  10kg D150mm BB  /  개</t>
  </si>
  <si>
    <t>제 424호표</t>
  </si>
  <si>
    <t xml:space="preserve"> 제  425 호표  스텐레스첵크밸브 철거 및 설치  10kg D200mm BB  /  개</t>
  </si>
  <si>
    <t>제 425호표</t>
  </si>
  <si>
    <t xml:space="preserve"> 제  426 호표  스텐레스첵크밸브 철거 및 설치  10kg D250mm BB  /  개</t>
  </si>
  <si>
    <t>제 426호표</t>
  </si>
  <si>
    <t xml:space="preserve"> 제  427 호표  스텐레스첵크밸브 설치  10kg D50mm BB  /  개</t>
  </si>
  <si>
    <t>제 427호표</t>
  </si>
  <si>
    <t>스텐레스첵크밸브 설치</t>
  </si>
  <si>
    <t xml:space="preserve"> 제  428 호표  스텐레스첵크밸브 설치  10kg D80mm BB  /  개</t>
  </si>
  <si>
    <t>제 428호표</t>
  </si>
  <si>
    <t xml:space="preserve"> 제  429 호표  스텐레스첵크밸브 설치  10kg D100mm BB  /  개</t>
  </si>
  <si>
    <t>제 429호표</t>
  </si>
  <si>
    <t xml:space="preserve"> 제  430 호표  스텐레스첵크밸브 설치  10kg D150mm BB  /  개</t>
  </si>
  <si>
    <t>제 430호표</t>
  </si>
  <si>
    <t xml:space="preserve"> 제  431 호표  스텐레스첵크밸브 설치  10kg D200mm BB  /  개</t>
  </si>
  <si>
    <t>제 431호표</t>
  </si>
  <si>
    <t xml:space="preserve"> 제  432 호표  스텐레스첵크밸브 설치  10kg D250mm BB  /  개</t>
  </si>
  <si>
    <t>제 432호표</t>
  </si>
  <si>
    <t xml:space="preserve"> 제  433 호표  스텐레스첵크밸브 철거  10kg D50mm BB  /  개</t>
  </si>
  <si>
    <t>제 433호표</t>
  </si>
  <si>
    <t>스텐레스첵크밸브 철거</t>
  </si>
  <si>
    <t xml:space="preserve"> 제  434 호표  스텐레스첵크밸브 철거  10kg D80mm BB  /  개</t>
  </si>
  <si>
    <t>제 434호표</t>
  </si>
  <si>
    <t xml:space="preserve"> 제  435 호표  스텐레스첵크밸브 철거  10kg D100mm BB  /  개</t>
  </si>
  <si>
    <t>제 435호표</t>
  </si>
  <si>
    <t xml:space="preserve"> 제  436 호표  스텐레스첵크밸브 철거  10kg D150mm BB  /  개</t>
  </si>
  <si>
    <t>제 436호표</t>
  </si>
  <si>
    <t xml:space="preserve"> 제  437 호표  스텐레스첵크밸브 철거  10kg D200mm BB  /  개</t>
  </si>
  <si>
    <t>제 437호표</t>
  </si>
  <si>
    <t xml:space="preserve"> 제  438 호표  스텐레스첵크밸브 철거  10kg D250mm BB  /  개</t>
  </si>
  <si>
    <t>제 438호표</t>
  </si>
  <si>
    <t xml:space="preserve"> 제  439 호표  첵크(5in1)밸브  10kg D50mm  /  개</t>
  </si>
  <si>
    <t>제 439호표</t>
  </si>
  <si>
    <t>첵크(5in1)밸브</t>
  </si>
  <si>
    <t>10kg D50mm</t>
  </si>
  <si>
    <t xml:space="preserve"> 제  440 호표  첵크(5in1)밸브  10kg D80mm  /  개</t>
  </si>
  <si>
    <t>제 440호표</t>
  </si>
  <si>
    <t>10kg D80mm</t>
  </si>
  <si>
    <t xml:space="preserve"> 제  441 호표  첵크(5in1)밸브  10kg D100mm  /  개</t>
  </si>
  <si>
    <t>제 441호표</t>
  </si>
  <si>
    <t>10kg D100mm</t>
  </si>
  <si>
    <t xml:space="preserve"> 제  442 호표  첵크(5in1)밸브  10kg D150mm  /  개</t>
  </si>
  <si>
    <t>제 442호표</t>
  </si>
  <si>
    <t>10kg D150mm</t>
  </si>
  <si>
    <t xml:space="preserve"> 제  443 호표  첵크(5in1)밸브  10kg D200mm  /  개</t>
  </si>
  <si>
    <t>제 443호표</t>
  </si>
  <si>
    <t>10kg D200mm</t>
  </si>
  <si>
    <t xml:space="preserve"> 제  444 호표  첵크(5in1)밸브 철거 및 설치  10kg D50mm  /  개</t>
  </si>
  <si>
    <t>제 444호표</t>
  </si>
  <si>
    <t>첵크(5in1)밸브 철거 및 설치</t>
  </si>
  <si>
    <t xml:space="preserve"> 제  445 호표  첵크(5in1)밸브 철거 및 설치  10kg D80mm  /  개</t>
  </si>
  <si>
    <t>제 445호표</t>
  </si>
  <si>
    <t xml:space="preserve"> 제  446 호표  첵크(5in1)밸브 철거 및 설치  10kg D100mm  /  개</t>
  </si>
  <si>
    <t>제 446호표</t>
  </si>
  <si>
    <t xml:space="preserve"> 제  447 호표  첵크(5in1)밸브 철거 및 설치  10kg D150mm  /  개</t>
  </si>
  <si>
    <t>제 447호표</t>
  </si>
  <si>
    <t xml:space="preserve"> 제  448 호표  첵크(5in1)밸브 철거 및 설치  10kg D200mm  /  개</t>
  </si>
  <si>
    <t>제 448호표</t>
  </si>
  <si>
    <t xml:space="preserve"> 제  449 호표  첵크(5in1)밸브 설치  10kg D50mm  /  개</t>
  </si>
  <si>
    <t>제 449호표</t>
  </si>
  <si>
    <t>첵크(5in1)밸브 설치</t>
  </si>
  <si>
    <t xml:space="preserve"> 제  450 호표  첵크(5in1)밸브 설치  10kg D80mm  /  개</t>
  </si>
  <si>
    <t>제 450호표</t>
  </si>
  <si>
    <t xml:space="preserve"> 제  451 호표  첵크(5in1)밸브 설치  10kg D100mm  /  개</t>
  </si>
  <si>
    <t>제 451호표</t>
  </si>
  <si>
    <t xml:space="preserve"> 제  452 호표  첵크(5in1)밸브 설치  10kg D150mm  /  개</t>
  </si>
  <si>
    <t>제 452호표</t>
  </si>
  <si>
    <t xml:space="preserve"> 제  453 호표  첵크(5in1)밸브 설치  10kg D200mm  /  개</t>
  </si>
  <si>
    <t>제 453호표</t>
  </si>
  <si>
    <t xml:space="preserve"> 제  454 호표  첵크(5in1)밸브 철거  10kg D50mm  /  개</t>
  </si>
  <si>
    <t>제 454호표</t>
  </si>
  <si>
    <t>첵크(5in1)밸브 철거</t>
  </si>
  <si>
    <t xml:space="preserve"> 제  455 호표  첵크(5in1)밸브 철거  10kg D80mm  /  개</t>
  </si>
  <si>
    <t>제 455호표</t>
  </si>
  <si>
    <t xml:space="preserve"> 제  456 호표  첵크(5in1)밸브 철거  10kg D100mm  /  개</t>
  </si>
  <si>
    <t>제 456호표</t>
  </si>
  <si>
    <t xml:space="preserve"> 제  457 호표  첵크(5in1)밸브 철거  10kg D150mm  /  개</t>
  </si>
  <si>
    <t>제 457호표</t>
  </si>
  <si>
    <t xml:space="preserve"> 제  458 호표  첵크(5in1)밸브 철거  10kg D200mm  /  개</t>
  </si>
  <si>
    <t>제 458호표</t>
  </si>
  <si>
    <t xml:space="preserve"> 제  459 호표  판첵크밸브  10kg D32mm STS  /  개</t>
  </si>
  <si>
    <t>제 459호표</t>
  </si>
  <si>
    <t>판첵크밸브</t>
  </si>
  <si>
    <t>10kg D32mm STS</t>
  </si>
  <si>
    <t xml:space="preserve"> 제  460 호표  판첵크밸브  10kg D50mm STS  /  개</t>
  </si>
  <si>
    <t>제 460호표</t>
  </si>
  <si>
    <t>10kg D50mm STS</t>
  </si>
  <si>
    <t xml:space="preserve"> 제  461 호표  판첵크밸브 철거 및 설치  10kg D32mm STS  /  개</t>
  </si>
  <si>
    <t>제 461호표</t>
  </si>
  <si>
    <t>판첵크밸브 철거 및 설치</t>
  </si>
  <si>
    <t xml:space="preserve"> 제  462 호표  판첵크밸브 철거 및 설치  10kg D50mm STS  /  개</t>
  </si>
  <si>
    <t>제 462호표</t>
  </si>
  <si>
    <t xml:space="preserve"> 제  463 호표  판첵크밸브 설치  10kg D32mm STS  /  개</t>
  </si>
  <si>
    <t>제 463호표</t>
  </si>
  <si>
    <t>판첵크밸브 설치</t>
  </si>
  <si>
    <t xml:space="preserve"> 제  464 호표  판첵크밸브 설치  10kg D50mm STS  /  개</t>
  </si>
  <si>
    <t>제 464호표</t>
  </si>
  <si>
    <t xml:space="preserve"> 제  465 호표  판첵크밸브 철거  10kg D32mm STS  /  개</t>
  </si>
  <si>
    <t>제 465호표</t>
  </si>
  <si>
    <t>판첵크밸브 철거</t>
  </si>
  <si>
    <t xml:space="preserve"> 제  466 호표  판첵크밸브 철거  10kg D50mm STS  /  개</t>
  </si>
  <si>
    <t>제 466호표</t>
  </si>
  <si>
    <t xml:space="preserve"> 제  467 호표  스트레이너밸브  10kg D80mm BB  /  개</t>
  </si>
  <si>
    <t>제 467호표</t>
  </si>
  <si>
    <t>스트레이너밸브</t>
  </si>
  <si>
    <t xml:space="preserve"> 제  468 호표  스트레이너밸브  10kg D100mm BB  /  개</t>
  </si>
  <si>
    <t>제 468호표</t>
  </si>
  <si>
    <t xml:space="preserve"> 제  469 호표  스트레이너밸브  10kg D150mm BB  /  개</t>
  </si>
  <si>
    <t>제 469호표</t>
  </si>
  <si>
    <t xml:space="preserve"> 제  470 호표  스트레이너밸브  10kg D200mm BB  /  개</t>
  </si>
  <si>
    <t>제 470호표</t>
  </si>
  <si>
    <t xml:space="preserve"> 제  471 호표  스트레이너밸브  10kg D250mm BB  /  개</t>
  </si>
  <si>
    <t>제 471호표</t>
  </si>
  <si>
    <t xml:space="preserve"> 제  472 호표  스트레이너밸브 철거 및 설치  10kg D80mm BB  /  개</t>
  </si>
  <si>
    <t>제 472호표</t>
  </si>
  <si>
    <t>스트레이너밸브 철거 및 설치</t>
  </si>
  <si>
    <t xml:space="preserve"> 제  473 호표  스트레이너밸브 철거 및 설치  10kg D100mm BB  /  개</t>
  </si>
  <si>
    <t>제 473호표</t>
  </si>
  <si>
    <t xml:space="preserve"> 제  474 호표  스트레이너밸브 철거 및 설치  10kg D150mm BB  /  개</t>
  </si>
  <si>
    <t>제 474호표</t>
  </si>
  <si>
    <t xml:space="preserve"> 제  475 호표  스트레이너밸브 철거 및 설치  10kg D200mm BB  /  개</t>
  </si>
  <si>
    <t>제 475호표</t>
  </si>
  <si>
    <t xml:space="preserve"> 제  476 호표  스트레이너밸브 설치  10kg D80mm BB  /  개</t>
  </si>
  <si>
    <t>제 476호표</t>
  </si>
  <si>
    <t>스트레이너밸브 설치</t>
  </si>
  <si>
    <t xml:space="preserve"> 제  477 호표  스트레이너밸브 설치  10kg D100mm BB  /  개</t>
  </si>
  <si>
    <t>제 477호표</t>
  </si>
  <si>
    <t xml:space="preserve"> 제  478 호표  스트레이너밸브 설치  10kg D150mm BB  /  개</t>
  </si>
  <si>
    <t>제 478호표</t>
  </si>
  <si>
    <t xml:space="preserve"> 제  479 호표  스트레이너밸브 설치  10kg D200mm BB  /  개</t>
  </si>
  <si>
    <t>제 479호표</t>
  </si>
  <si>
    <t xml:space="preserve"> 제  480 호표  스트레이너밸브 철거  10kg D80mm BB  /  개</t>
  </si>
  <si>
    <t>제 480호표</t>
  </si>
  <si>
    <t>스트레이너밸브 철거</t>
  </si>
  <si>
    <t xml:space="preserve"> 제  481 호표  스트레이너밸브 철거  10kg D100mm BB  /  개</t>
  </si>
  <si>
    <t>제 481호표</t>
  </si>
  <si>
    <t xml:space="preserve"> 제  482 호표  스트레이너밸브 철거  10kg D150mm BB  /  개</t>
  </si>
  <si>
    <t>제 482호표</t>
  </si>
  <si>
    <t xml:space="preserve"> 제  483 호표  스트레이너밸브 철거  10kg D200mm BB  /  개</t>
  </si>
  <si>
    <t>제 483호표</t>
  </si>
  <si>
    <t xml:space="preserve"> 제  484 호표  스텐레스 게이트밸브  10kg D50mm BB  /  개</t>
  </si>
  <si>
    <t>제 484호표</t>
  </si>
  <si>
    <t>스텐레스 게이트밸브</t>
  </si>
  <si>
    <t xml:space="preserve"> 제  485 호표  스텐레스 게이트밸브  10kg D80mm BB  /  개</t>
  </si>
  <si>
    <t>제 485호표</t>
  </si>
  <si>
    <t xml:space="preserve"> 제  486 호표  스텐레스 게이트밸브  10kg D100mm BB  /  개</t>
  </si>
  <si>
    <t>제 486호표</t>
  </si>
  <si>
    <t xml:space="preserve"> 제  487 호표  스텐레스 게이트밸브  10kg D150mm BB  /  개</t>
  </si>
  <si>
    <t>제 487호표</t>
  </si>
  <si>
    <t xml:space="preserve"> 제  488 호표  스텐레스 게이트밸브  10kg D200mm BB  /  개</t>
  </si>
  <si>
    <t>제 488호표</t>
  </si>
  <si>
    <t xml:space="preserve"> 제  489 호표  스텐레스 게이트밸브  10kg D250mm BB  /  개</t>
  </si>
  <si>
    <t>제 489호표</t>
  </si>
  <si>
    <t xml:space="preserve"> 제  490 호표  스텐레스 게이트밸브 철거 및 설치  10kg D50mm BB  /  개</t>
  </si>
  <si>
    <t>제 490호표</t>
  </si>
  <si>
    <t>스텐레스 게이트밸브 철거 및 설치</t>
  </si>
  <si>
    <t xml:space="preserve"> 제  491 호표  스텐레스 게이트밸브 철거 및 설치  10kg D80mm BB  /  개</t>
  </si>
  <si>
    <t>제 491호표</t>
  </si>
  <si>
    <t xml:space="preserve"> 제  492 호표  스텐레스 게이트밸브 철거 및 설치  10kg D100mm BB  /  개</t>
  </si>
  <si>
    <t>제 492호표</t>
  </si>
  <si>
    <t xml:space="preserve"> 제  493 호표  스텐레스 게이트밸브 철거 및 설치  10kg D150mm BB  /  개</t>
  </si>
  <si>
    <t>제 493호표</t>
  </si>
  <si>
    <t xml:space="preserve"> 제  494 호표  스텐레스 게이트밸브 철거 및 설치  10kg D200mm BB  /  개</t>
  </si>
  <si>
    <t>제 494호표</t>
  </si>
  <si>
    <t xml:space="preserve"> 제  495 호표  스텐레스 게이트밸브 철거 및 설치  10kg D250mm BB  /  개</t>
  </si>
  <si>
    <t>제 495호표</t>
  </si>
  <si>
    <t xml:space="preserve"> 제  496 호표  스텐레스 게이트밸브 설치  10kg D50mm BB  /  개</t>
  </si>
  <si>
    <t>제 496호표</t>
  </si>
  <si>
    <t>스텐레스 게이트밸브 설치</t>
  </si>
  <si>
    <t xml:space="preserve"> 제  497 호표  스텐레스 게이트밸브 설치  10kg D80mm BB  /  개</t>
  </si>
  <si>
    <t>제 497호표</t>
  </si>
  <si>
    <t xml:space="preserve"> 제  498 호표  스텐레스 게이트밸브 설치  10kg D100mm BB  /  개</t>
  </si>
  <si>
    <t>제 498호표</t>
  </si>
  <si>
    <t xml:space="preserve"> 제  499 호표  스텐레스 게이트밸브 설치  10kg D150mm BB  /  개</t>
  </si>
  <si>
    <t>제 499호표</t>
  </si>
  <si>
    <t xml:space="preserve"> 제  500 호표  스텐레스 게이트밸브 설치  10kg D200mm BB  /  개</t>
  </si>
  <si>
    <t>제 500호표</t>
  </si>
  <si>
    <t xml:space="preserve"> 제  501 호표  스텐레스 게이트밸브 설치  10kg D250mm BB  /  개</t>
  </si>
  <si>
    <t>제 501호표</t>
  </si>
  <si>
    <t xml:space="preserve"> 제  502 호표  스텐레스 게이트밸브 철거  10kg D50mm BB  /  개</t>
  </si>
  <si>
    <t>제 502호표</t>
  </si>
  <si>
    <t>스텐레스 게이트밸브 철거</t>
  </si>
  <si>
    <t xml:space="preserve"> 제  503 호표  스텐레스 게이트밸브 철거  10kg D80mm BB  /  개</t>
  </si>
  <si>
    <t>제 503호표</t>
  </si>
  <si>
    <t xml:space="preserve"> 제  504 호표  스텐레스 게이트밸브 철거  10kg D100mm BB  /  개</t>
  </si>
  <si>
    <t>제 504호표</t>
  </si>
  <si>
    <t xml:space="preserve"> 제  505 호표  스텐레스 게이트밸브 철거  10kg D150mm BB  /  개</t>
  </si>
  <si>
    <t>제 505호표</t>
  </si>
  <si>
    <t xml:space="preserve"> 제  506 호표  스텐레스 게이트밸브 철거  10kg D200mm BB  /  개</t>
  </si>
  <si>
    <t>제 506호표</t>
  </si>
  <si>
    <t xml:space="preserve"> 제  507 호표  스텐레스 게이트밸브 철거  10kg D250mm BB  /  개</t>
  </si>
  <si>
    <t>제 507호표</t>
  </si>
  <si>
    <t xml:space="preserve"> 제  508 호표  버터플라이 밸브  SS304 레버식수동 10kg 50mm  /  개</t>
  </si>
  <si>
    <t>제 508호표</t>
  </si>
  <si>
    <t>버터플라이 밸브</t>
  </si>
  <si>
    <t>SS304 레버식수동 10kg 50mm</t>
  </si>
  <si>
    <t xml:space="preserve"> 제  509 호표  버터플라이 밸브  SS304 레버식수동 10kg 80mm  /  개</t>
  </si>
  <si>
    <t>제 509호표</t>
  </si>
  <si>
    <t>SS304 레버식수동 10kg 80mm</t>
  </si>
  <si>
    <t xml:space="preserve"> 제  510 호표  버터플라이 밸브  SS304 레버식수동 10kg 100mm  /  개</t>
  </si>
  <si>
    <t>제 510호표</t>
  </si>
  <si>
    <t>SS304 레버식수동 10kg 100mm</t>
  </si>
  <si>
    <t xml:space="preserve"> 제  511 호표  버터플라이 밸브  SS304 레버식수동 10kg 150mm  /  개</t>
  </si>
  <si>
    <t>제 511호표</t>
  </si>
  <si>
    <t>SS304 레버식수동 10kg 150mm</t>
  </si>
  <si>
    <t xml:space="preserve"> 제  512 호표  버터플라이 밸브  SS304 레버식수동 10kg 200mm  /  개</t>
  </si>
  <si>
    <t>제 512호표</t>
  </si>
  <si>
    <t>SS304 레버식수동 10kg 200mm</t>
  </si>
  <si>
    <t xml:space="preserve"> 제  513 호표  버터플라이 밸브 철거 및 설치  SS304 레버식수동 10kg 50mm  /  개</t>
  </si>
  <si>
    <t>제 513호표</t>
  </si>
  <si>
    <t>버터플라이 밸브 철거 및 설치</t>
  </si>
  <si>
    <t xml:space="preserve"> 제  514 호표  버터플라이 밸브 철거 및 설치  SS304 레버식수동 10kg 80mm  /  개</t>
  </si>
  <si>
    <t>제 514호표</t>
  </si>
  <si>
    <t xml:space="preserve"> 제  515 호표  버터플라이 밸브 철거 및 설치  SS304 레버식수동 10kg 100mm  /  개</t>
  </si>
  <si>
    <t>제 515호표</t>
  </si>
  <si>
    <t xml:space="preserve"> 제  516 호표  버터플라이 밸브 철거 및 설치  SS304 레버식수동 10kg 150mm  /  개</t>
  </si>
  <si>
    <t>제 516호표</t>
  </si>
  <si>
    <t xml:space="preserve"> 제  517 호표  버터플라이 밸브 철거 및 설치  SS304 레버식수동 10kg 200mm  /  개</t>
  </si>
  <si>
    <t>제 517호표</t>
  </si>
  <si>
    <t xml:space="preserve"> 제  518 호표  버터플라이 밸브 설치  SS304 레버식수동 10kg 50mm  /  개</t>
  </si>
  <si>
    <t>제 518호표</t>
  </si>
  <si>
    <t>버터플라이 밸브 설치</t>
  </si>
  <si>
    <t xml:space="preserve"> 제  519 호표  버터플라이 밸브 설치  SS304 레버식수동 10kg 80mm  /  개</t>
  </si>
  <si>
    <t>제 519호표</t>
  </si>
  <si>
    <t xml:space="preserve"> 제  520 호표  버터플라이 밸브 설치  SS304 레버식수동 10kg 100mm  /  개</t>
  </si>
  <si>
    <t>제 520호표</t>
  </si>
  <si>
    <t xml:space="preserve"> 제  521 호표  버터플라이 밸브 설치  SS304 레버식수동 10kg 150mm  /  개</t>
  </si>
  <si>
    <t>제 521호표</t>
  </si>
  <si>
    <t xml:space="preserve"> 제  522 호표  버터플라이 밸브 설치  SS304 레버식수동 10kg 200mm  /  개</t>
  </si>
  <si>
    <t>제 522호표</t>
  </si>
  <si>
    <t xml:space="preserve"> 제  523 호표  버터플라이 밸브 철거  SS304 레버식수동 10kg 50mm  /  개</t>
  </si>
  <si>
    <t>제 523호표</t>
  </si>
  <si>
    <t>버터플라이 밸브 철거</t>
  </si>
  <si>
    <t xml:space="preserve"> 제  524 호표  버터플라이 밸브 철거  SS304 레버식수동 10kg 80mm  /  개</t>
  </si>
  <si>
    <t>제 524호표</t>
  </si>
  <si>
    <t xml:space="preserve"> 제  525 호표  버터플라이 밸브 철거  SS304 레버식수동 10kg 100mm  /  개</t>
  </si>
  <si>
    <t>제 525호표</t>
  </si>
  <si>
    <t xml:space="preserve"> 제  526 호표  버터플라이 밸브 철거  SS304 레버식수동 10kg 150mm  /  개</t>
  </si>
  <si>
    <t>제 526호표</t>
  </si>
  <si>
    <t xml:space="preserve"> 제  527 호표  버터플라이 밸브 철거  SS304 레버식수동 10kg 200mm  /  개</t>
  </si>
  <si>
    <t>제 527호표</t>
  </si>
  <si>
    <t xml:space="preserve"> 제  528 호표  후렉시블 조인트  STS 10kg 50A  /  개</t>
  </si>
  <si>
    <t>제 528호표</t>
  </si>
  <si>
    <t>후렉시블 조인트</t>
  </si>
  <si>
    <t>STS 10kg 50A</t>
  </si>
  <si>
    <t xml:space="preserve"> 제  529 호표  후렉시블 조인트  STS 10kg 80A  /  개</t>
  </si>
  <si>
    <t>제 529호표</t>
  </si>
  <si>
    <t>STS 10kg 80A</t>
  </si>
  <si>
    <t xml:space="preserve"> 제  530 호표  후렉시블 조인트  STS 10kg 100A  /  개</t>
  </si>
  <si>
    <t>제 530호표</t>
  </si>
  <si>
    <t>STS 10kg 100A</t>
  </si>
  <si>
    <t xml:space="preserve"> 제  531 호표  후렉시블 조인트  STS 10kg 150A  /  개</t>
  </si>
  <si>
    <t>제 531호표</t>
  </si>
  <si>
    <t>STS 10kg 150A</t>
  </si>
  <si>
    <t xml:space="preserve"> 제  532 호표  후렉시블 조인트  STS 10kg 200A  /  개</t>
  </si>
  <si>
    <t>제 532호표</t>
  </si>
  <si>
    <t>STS 10kg 200A</t>
  </si>
  <si>
    <t xml:space="preserve"> 제  533 호표  후렉시블 조인트  STS 10kg 250A  /  개</t>
  </si>
  <si>
    <t>제 533호표</t>
  </si>
  <si>
    <t>STS 10kg 250A</t>
  </si>
  <si>
    <t xml:space="preserve"> 제  534 호표  후렉시블 조인트 철거 및 설치  STS 10kg 50A  /  개</t>
  </si>
  <si>
    <t>제 534호표</t>
  </si>
  <si>
    <t>후렉시블 조인트 철거 및 설치</t>
  </si>
  <si>
    <t xml:space="preserve"> 제  535 호표  후렉시블 조인트 철거 및 설치  STS 10kg 80A  /  개</t>
  </si>
  <si>
    <t>제 535호표</t>
  </si>
  <si>
    <t xml:space="preserve"> 제  536 호표  후렉시블 조인트 철거 및 설치  STS 10kg 100A  /  개</t>
  </si>
  <si>
    <t>제 536호표</t>
  </si>
  <si>
    <t xml:space="preserve"> 제  537 호표  후렉시블 조인트 철거 및 설치  STS 10kg 150A  /  개</t>
  </si>
  <si>
    <t>제 537호표</t>
  </si>
  <si>
    <t xml:space="preserve"> 제  538 호표  후렉시블 조인트 철거 및 설치  STS 10kg 200A  /  개</t>
  </si>
  <si>
    <t>제 538호표</t>
  </si>
  <si>
    <t xml:space="preserve"> 제  539 호표  후렉시블 조인트 철거 및 설치  STS 10kg 250A  /  개</t>
  </si>
  <si>
    <t>제 539호표</t>
  </si>
  <si>
    <t xml:space="preserve"> 제  540 호표  후렉시블 조인트 설치  STS 10kg 50A  /  개</t>
  </si>
  <si>
    <t>제 540호표</t>
  </si>
  <si>
    <t>후렉시블 조인트 설치</t>
  </si>
  <si>
    <t xml:space="preserve"> 제  541 호표  후렉시블 조인트 설치  STS 10kg 80A  /  개</t>
  </si>
  <si>
    <t>제 541호표</t>
  </si>
  <si>
    <t xml:space="preserve"> 제  542 호표  후렉시블 조인트 설치  STS 10kg 100A  /  개</t>
  </si>
  <si>
    <t>제 542호표</t>
  </si>
  <si>
    <t xml:space="preserve"> 제  543 호표  후렉시블 조인트 설치  STS 10kg 150A  /  개</t>
  </si>
  <si>
    <t>제 543호표</t>
  </si>
  <si>
    <t xml:space="preserve"> 제  544 호표  후렉시블 조인트 설치  STS 10kg 200A  /  개</t>
  </si>
  <si>
    <t>제 544호표</t>
  </si>
  <si>
    <t xml:space="preserve"> 제  545 호표  후렉시블 조인트 설치  STS 10kg 250A  /  개</t>
  </si>
  <si>
    <t>제 545호표</t>
  </si>
  <si>
    <t xml:space="preserve"> 제  546 호표  후렉시블 조인트 철거  STS 10kg 50A  /  개</t>
  </si>
  <si>
    <t>제 546호표</t>
  </si>
  <si>
    <t>후렉시블 조인트 철거</t>
  </si>
  <si>
    <t xml:space="preserve"> 제  547 호표  후렉시블 조인트 철거  STS 10kg 80A  /  개</t>
  </si>
  <si>
    <t>제 547호표</t>
  </si>
  <si>
    <t xml:space="preserve"> 제  548 호표  후렉시블 조인트 철거  STS 10kg 100A  /  개</t>
  </si>
  <si>
    <t>제 548호표</t>
  </si>
  <si>
    <t xml:space="preserve"> 제  549 호표  후렉시블 조인트 철거  STS 10kg 150A  /  개</t>
  </si>
  <si>
    <t>제 549호표</t>
  </si>
  <si>
    <t xml:space="preserve"> 제  550 호표  후렉시블 조인트 철거  STS 10kg 200A  /  개</t>
  </si>
  <si>
    <t>제 550호표</t>
  </si>
  <si>
    <t xml:space="preserve"> 제  551 호표  후렉시블 조인트 철거  STS 10kg 250A  /  개</t>
  </si>
  <si>
    <t>제 551호표</t>
  </si>
  <si>
    <t xml:space="preserve"> 제  552 호표  파이프커플링  RCD - L 80mm  /  개</t>
  </si>
  <si>
    <t>제 552호표</t>
  </si>
  <si>
    <t>파이프커플링</t>
  </si>
  <si>
    <t>RCD - L 80mm</t>
  </si>
  <si>
    <t xml:space="preserve"> 제  553 호표  파이프커플링  RCD - L 100mm  /  개</t>
  </si>
  <si>
    <t>제 553호표</t>
  </si>
  <si>
    <t>RCD - L 100mm</t>
  </si>
  <si>
    <t xml:space="preserve"> 제  554 호표  파이프커플링  RCD - L 150mm  /  개</t>
  </si>
  <si>
    <t>제 554호표</t>
  </si>
  <si>
    <t>RCD - L 150mm</t>
  </si>
  <si>
    <t xml:space="preserve"> 제  555 호표  파이프커플링  RCD - L 200mm  /  개</t>
  </si>
  <si>
    <t>제 555호표</t>
  </si>
  <si>
    <t>RCD - L 200mm</t>
  </si>
  <si>
    <t xml:space="preserve"> 제  556 호표  파이프커플링 철거 및 설치  RCD - L 80mm  /  개</t>
  </si>
  <si>
    <t>제 556호표</t>
  </si>
  <si>
    <t>파이프커플링 철거 및 설치</t>
  </si>
  <si>
    <t xml:space="preserve"> 제  557 호표  파이프커플링 철거 및 설치  RCD - L 100mm  /  개</t>
  </si>
  <si>
    <t>제 557호표</t>
  </si>
  <si>
    <t xml:space="preserve"> 제  558 호표  파이프커플링 철거 및 설치  RCD - L 150mm  /  개</t>
  </si>
  <si>
    <t>제 558호표</t>
  </si>
  <si>
    <t xml:space="preserve"> 제  559 호표  파이프커플링 철거 및 설치  RCD - L 200mm  /  개</t>
  </si>
  <si>
    <t>제 559호표</t>
  </si>
  <si>
    <t xml:space="preserve"> 제  560 호표  파이프커플링 설치  RCD - L 80mm  /  개</t>
  </si>
  <si>
    <t>제 560호표</t>
  </si>
  <si>
    <t>파이프커플링 설치</t>
  </si>
  <si>
    <t xml:space="preserve"> 제  561 호표  파이프커플링 설치  RCD - L 100mm  /  개</t>
  </si>
  <si>
    <t>제 561호표</t>
  </si>
  <si>
    <t xml:space="preserve"> 제  562 호표  파이프커플링 설치  RCD - L 150mm  /  개</t>
  </si>
  <si>
    <t>제 562호표</t>
  </si>
  <si>
    <t xml:space="preserve"> 제  563 호표  파이프커플링 설치  RCD - L 200mm  /  개</t>
  </si>
  <si>
    <t>제 563호표</t>
  </si>
  <si>
    <t xml:space="preserve"> 제  564 호표  파이프커플링 철거  RCD - L 80mm  /  개</t>
  </si>
  <si>
    <t>제 564호표</t>
  </si>
  <si>
    <t>파이프커플링 철거</t>
  </si>
  <si>
    <t xml:space="preserve"> 제  565 호표  파이프커플링 철거  RCD - L 100mm  /  개</t>
  </si>
  <si>
    <t>제 565호표</t>
  </si>
  <si>
    <t xml:space="preserve"> 제  566 호표  파이프커플링 철거  RCD - L 150mm  /  개</t>
  </si>
  <si>
    <t>제 566호표</t>
  </si>
  <si>
    <t xml:space="preserve"> 제  567 호표  파이프커플링 철거  RCD - L 200mm  /  개</t>
  </si>
  <si>
    <t>제 567호표</t>
  </si>
  <si>
    <t xml:space="preserve"> 제  568 호표  안전밸브  20A  /  개</t>
  </si>
  <si>
    <t>제 568호표</t>
  </si>
  <si>
    <t>안전밸브</t>
  </si>
  <si>
    <t>20A</t>
  </si>
  <si>
    <t xml:space="preserve"> 제  569 호표  안전밸브  32A  /  개</t>
  </si>
  <si>
    <t>제 569호표</t>
  </si>
  <si>
    <t>32A</t>
  </si>
  <si>
    <t xml:space="preserve"> 제  570 호표  안전밸브 철거 및 설치  20A  /  개</t>
  </si>
  <si>
    <t>제 570호표</t>
  </si>
  <si>
    <t>안전밸브 철거 및 설치</t>
  </si>
  <si>
    <t xml:space="preserve"> 제  571 호표  안전밸브 철거 및 설치  32A  /  개</t>
  </si>
  <si>
    <t>제 571호표</t>
  </si>
  <si>
    <t xml:space="preserve"> 제  572 호표  안전밸브 설치  20A  /  개</t>
  </si>
  <si>
    <t>제 572호표</t>
  </si>
  <si>
    <t>안전밸브 설치</t>
  </si>
  <si>
    <t xml:space="preserve"> 제  573 호표  안전밸브 설치  32A  /  개</t>
  </si>
  <si>
    <t>제 573호표</t>
  </si>
  <si>
    <t xml:space="preserve"> 제  574 호표  안전밸브 철거  20A  /  개</t>
  </si>
  <si>
    <t>제 574호표</t>
  </si>
  <si>
    <t>안전밸브 철거</t>
  </si>
  <si>
    <t xml:space="preserve"> 제  575 호표  안전밸브 철거  32A  /  개</t>
  </si>
  <si>
    <t>제 575호표</t>
  </si>
  <si>
    <t xml:space="preserve"> 제  576 호표  플랜지조인트 철거 및 접합  (D80㎜)- 설치비의40%  /  개소</t>
  </si>
  <si>
    <t>제 576호표</t>
  </si>
  <si>
    <t>플랜지조인트 철거 및 접합</t>
  </si>
  <si>
    <t>(D80㎜)- 설치비의40%</t>
  </si>
  <si>
    <t xml:space="preserve"> 제  577 호표  플랜지조인트 철거 및 접합  (D100㎜)- 설치비의40%  /  개소</t>
  </si>
  <si>
    <t>제 577호표</t>
  </si>
  <si>
    <t>(D100㎜)- 설치비의40%</t>
  </si>
  <si>
    <t xml:space="preserve"> 제  578 호표  플랜지조인트 철거 및 접합  (D150㎜)- 설치비의40%  /  개소</t>
  </si>
  <si>
    <t>제 578호표</t>
  </si>
  <si>
    <t>(D150㎜)- 설치비의40%</t>
  </si>
  <si>
    <t xml:space="preserve"> 제  579 호표  플랜지조인트 철거 및 접합  (D200㎜)- 설치비의40%  /  개소</t>
  </si>
  <si>
    <t>제 579호표</t>
  </si>
  <si>
    <t>(D200㎜)- 설치비의40%</t>
  </si>
  <si>
    <t xml:space="preserve"> 제  580 호표  플랜지조인트 철거 및 접합  (D250㎜)- 설치비의40%  /  개소</t>
  </si>
  <si>
    <t>제 580호표</t>
  </si>
  <si>
    <t>(D250㎜)- 설치비의40%</t>
  </si>
  <si>
    <t xml:space="preserve"> 제  581 호표  플랜지조인트 철거 및 접합  (D300㎜)- 설치비의40%  /  개소</t>
  </si>
  <si>
    <t>제 581호표</t>
  </si>
  <si>
    <t>(D300㎜)- 설치비의40%</t>
  </si>
  <si>
    <t xml:space="preserve"> 제  582 호표  플랜지조인트 접합  (D80㎜)  /  개소</t>
  </si>
  <si>
    <t>제 582호표</t>
  </si>
  <si>
    <t>플랜지조인트 접합</t>
  </si>
  <si>
    <t>(D80㎜)</t>
  </si>
  <si>
    <t xml:space="preserve"> 제  583 호표  플랜지조인트 접합  (D100㎜)  /  개소</t>
  </si>
  <si>
    <t>제 583호표</t>
  </si>
  <si>
    <t>(D100㎜)</t>
  </si>
  <si>
    <t xml:space="preserve"> 제  584 호표  플랜지조인트 접합  (D150㎜)  /  개소</t>
  </si>
  <si>
    <t>제 584호표</t>
  </si>
  <si>
    <t>(D150㎜)</t>
  </si>
  <si>
    <t xml:space="preserve"> 제  585 호표  플랜지조인트 접합  (D200㎜)  /  개소</t>
  </si>
  <si>
    <t>제 585호표</t>
  </si>
  <si>
    <t>(D200㎜)</t>
  </si>
  <si>
    <t xml:space="preserve"> 제  586 호표  플랜지조인트 접합  (D250㎜)  /  개소</t>
  </si>
  <si>
    <t>제 586호표</t>
  </si>
  <si>
    <t>(D250㎜)</t>
  </si>
  <si>
    <t xml:space="preserve"> 제  587 호표  플랜지조인트 접합  (D300㎜)  /  개소</t>
  </si>
  <si>
    <t>제 587호표</t>
  </si>
  <si>
    <t>(D300㎜)</t>
  </si>
  <si>
    <t xml:space="preserve"> 제  588 호표  플랜지조인트 철거  (D80㎜)- 설치비의40%  /  개소</t>
  </si>
  <si>
    <t>제 588호표</t>
  </si>
  <si>
    <t>플랜지조인트 철거</t>
  </si>
  <si>
    <t xml:space="preserve"> 제  589 호표  플랜지조인트 철거  (D100㎜)- 설치비의40%  /  개소</t>
  </si>
  <si>
    <t>제 589호표</t>
  </si>
  <si>
    <t xml:space="preserve"> 제  590 호표  플랜지조인트 철거  (D150㎜)- 설치비의40%  /  개소</t>
  </si>
  <si>
    <t>제 590호표</t>
  </si>
  <si>
    <t xml:space="preserve"> 제  591 호표  플랜지조인트 철거  (D200㎜)- 설치비의40%  /  개소</t>
  </si>
  <si>
    <t>제 591호표</t>
  </si>
  <si>
    <t xml:space="preserve"> 제  592 호표  플랜지조인트 철거  (D250㎜)- 설치비의40%  /  개소</t>
  </si>
  <si>
    <t>제 592호표</t>
  </si>
  <si>
    <t xml:space="preserve"> 제  593 호표  플랜지조인트 철거  (D300㎜)- 설치비의40%  /  개소</t>
  </si>
  <si>
    <t>제 593호표</t>
  </si>
  <si>
    <t xml:space="preserve"> 제  594 호표  공업배관용 스테인레스 강관  STS 10kg D50mm 2.8t  /  m</t>
  </si>
  <si>
    <t>제 594호표</t>
  </si>
  <si>
    <t>공업배관용 스테인레스 강관</t>
  </si>
  <si>
    <t>STS 10kg D50mm 2.8t</t>
  </si>
  <si>
    <t>m</t>
  </si>
  <si>
    <t xml:space="preserve"> 제  595 호표  공업배관용 스테인레스 강관  STS 10kg D80mm 3t  /  m</t>
  </si>
  <si>
    <t>제 595호표</t>
  </si>
  <si>
    <t>STS 10kg D80mm 3t</t>
  </si>
  <si>
    <t xml:space="preserve"> 제  596 호표  공업배관용 스테인레스 강관  STS 10kg D100mm 3t  /  m</t>
  </si>
  <si>
    <t>제 596호표</t>
  </si>
  <si>
    <t>STS 10kg D100mm 3t</t>
  </si>
  <si>
    <t xml:space="preserve"> 제  597 호표  공업배관용 스테인레스 강관  STS 10kg D150mm 4t  /  m</t>
  </si>
  <si>
    <t>제 597호표</t>
  </si>
  <si>
    <t>STS 10kg D150mm 4t</t>
  </si>
  <si>
    <t xml:space="preserve"> 제  598 호표  공업배관용 스테인레스 강관  STS 10kg D200mm 4t  /  m</t>
  </si>
  <si>
    <t>제 598호표</t>
  </si>
  <si>
    <t>STS 10kg D200mm 4t</t>
  </si>
  <si>
    <t xml:space="preserve"> 제  599 호표  공업배관용 스테인레스 강관  STS 10kg D250mm 4t  /  m</t>
  </si>
  <si>
    <t>제 599호표</t>
  </si>
  <si>
    <t>STS 10kg D250mm 4t</t>
  </si>
  <si>
    <t xml:space="preserve"> 제  600 호표  공업배관용 스테인레스 강관  STS 10kg D250mm 4.5t  /  m</t>
  </si>
  <si>
    <t>제 600호표</t>
  </si>
  <si>
    <t>STS 10kg D250mm 4.5t</t>
  </si>
  <si>
    <t xml:space="preserve"> 제  601 호표  스텐레스 강관배관(용접접합)  D50mm(용접식)  /  개소</t>
  </si>
  <si>
    <t>제 601호표</t>
  </si>
  <si>
    <t>스텐레스 강관배관(용접접합)</t>
  </si>
  <si>
    <t>D50mm(용접식)</t>
  </si>
  <si>
    <t xml:space="preserve"> 제  602 호표  스텐레스 강관배관(용접접합)  D65mm(용접식)  /  개소</t>
  </si>
  <si>
    <t>제 602호표</t>
  </si>
  <si>
    <t>D65mm(용접식)</t>
  </si>
  <si>
    <t xml:space="preserve"> 제  603 호표  스텐레스 강관배관(용접접합)  D80mm(용접식)  /  개소</t>
  </si>
  <si>
    <t>제 603호표</t>
  </si>
  <si>
    <t>D80mm(용접식)</t>
  </si>
  <si>
    <t xml:space="preserve"> 제  604 호표  스텐레스 강관배관(용접접합)  D100mm(용접식)  /  개소</t>
  </si>
  <si>
    <t>제 604호표</t>
  </si>
  <si>
    <t>D100mm(용접식)</t>
  </si>
  <si>
    <t xml:space="preserve"> 제  605 호표  스텐레스 강관배관(용접접합)  D150mm(용접식)  /  개소</t>
  </si>
  <si>
    <t>제 605호표</t>
  </si>
  <si>
    <t>D150mm(용접식)</t>
  </si>
  <si>
    <t xml:space="preserve"> 제  606 호표  스텐레스 강관배관(용접접합)  D200mm(용접식)  /  개소</t>
  </si>
  <si>
    <t>제 606호표</t>
  </si>
  <si>
    <t>D200mm(용접식)</t>
  </si>
  <si>
    <t xml:space="preserve"> 제  607 호표  스텐레스 강관배관(용접접합)  D250mm(용접식)  /  개소</t>
  </si>
  <si>
    <t>제 607호표</t>
  </si>
  <si>
    <t>D250mm(용접식)</t>
  </si>
  <si>
    <t xml:space="preserve"> 제  608 호표  감압밸브설치(밸브및콕류설치)  D15~25mm  /  개소</t>
  </si>
  <si>
    <t>제 608호표</t>
  </si>
  <si>
    <t>감압밸브설치(밸브및콕류설치)</t>
  </si>
  <si>
    <t>D15~25mm</t>
  </si>
  <si>
    <t xml:space="preserve"> 제  609 호표  감압밸브설치(밸브및콕류설치)  D32~50mm  /  개소</t>
  </si>
  <si>
    <t>제 609호표</t>
  </si>
  <si>
    <t>D32~50mm</t>
  </si>
  <si>
    <t xml:space="preserve"> 제  610 호표  감압밸브설치(밸브및콕류설치)  D65mm  /  개소</t>
  </si>
  <si>
    <t>제 610호표</t>
  </si>
  <si>
    <t>D65mm</t>
  </si>
  <si>
    <t xml:space="preserve"> 제  611 호표  감압밸브설치(밸브및콕류설치)  D80mm  /  개소</t>
  </si>
  <si>
    <t>제 611호표</t>
  </si>
  <si>
    <t>D80mm</t>
  </si>
  <si>
    <t xml:space="preserve"> 제  612 호표  감압밸브설치(밸브및콕류설치)  D100mm  /  개소</t>
  </si>
  <si>
    <t>제 612호표</t>
  </si>
  <si>
    <t>D100mm</t>
  </si>
  <si>
    <t xml:space="preserve"> 제  613 호표  멀티조인트 설치(밸브및콕류설치)  D15mm  /  개소</t>
  </si>
  <si>
    <t>제 613호표</t>
  </si>
  <si>
    <t>멀티조인트 설치(밸브및콕류설치)</t>
  </si>
  <si>
    <t>D15mm</t>
  </si>
  <si>
    <t xml:space="preserve"> 제  614 호표  멀티조인트 설치(밸브및콕류설치)  D20mm  /  개소</t>
  </si>
  <si>
    <t>제 614호표</t>
  </si>
  <si>
    <t>D20mm</t>
  </si>
  <si>
    <t xml:space="preserve"> 제  615 호표  멀티조인트 설치(밸브및콕류설치)  D32mm  /  개소</t>
  </si>
  <si>
    <t>제 615호표</t>
  </si>
  <si>
    <t>D32mm</t>
  </si>
  <si>
    <t xml:space="preserve"> 제  616 호표  멀티조인트 설치(밸브및콕류설치)  D40mm  /  개소</t>
  </si>
  <si>
    <t>제 616호표</t>
  </si>
  <si>
    <t>D40mm</t>
  </si>
  <si>
    <t xml:space="preserve"> 제  617 호표  멀티조인트 설치(밸브및콕류설치)  D50mm  /  개소</t>
  </si>
  <si>
    <t>제 617호표</t>
  </si>
  <si>
    <t>D50mm</t>
  </si>
  <si>
    <t xml:space="preserve"> 제  618 호표  멀티조인트 설치(밸브및콕류설치)  D80mm  /  개소</t>
  </si>
  <si>
    <t>제 618호표</t>
  </si>
  <si>
    <t xml:space="preserve"> 제  619 호표  멀티조인트 설치(밸브및콕류설치)  D100mm  /  개소</t>
  </si>
  <si>
    <t>제 619호표</t>
  </si>
  <si>
    <t xml:space="preserve"> 제  620 호표  멀티조인트 설치(밸브및콕류설치)  D150mm  /  개소</t>
  </si>
  <si>
    <t>제 620호표</t>
  </si>
  <si>
    <t>D150mm</t>
  </si>
  <si>
    <t xml:space="preserve"> 제  621 호표  멀티조인트 설치(밸브및콕류설치)  D200mm  /  개소</t>
  </si>
  <si>
    <t>제 621호표</t>
  </si>
  <si>
    <t>D200mm</t>
  </si>
  <si>
    <t xml:space="preserve"> 제  622 호표  일반밸브 및 콕류설치  D15~25mm  /  개</t>
  </si>
  <si>
    <t>제 622호표</t>
  </si>
  <si>
    <t>일반밸브 및 콕류설치</t>
  </si>
  <si>
    <t xml:space="preserve"> 제  623 호표  일반밸브 및 콕류설치  D32-50mm  /  개</t>
  </si>
  <si>
    <t>제 623호표</t>
  </si>
  <si>
    <t>D32-50mm</t>
  </si>
  <si>
    <t xml:space="preserve"> 제  624 호표  일반밸브 및 콕류설치  D80mm  /  개</t>
  </si>
  <si>
    <t>제 624호표</t>
  </si>
  <si>
    <t xml:space="preserve"> 제  625 호표  앵커볼트 설치  16mm  /  개</t>
  </si>
  <si>
    <t>제 625호표</t>
  </si>
  <si>
    <t>앵커볼트 설치</t>
  </si>
  <si>
    <t>16mm</t>
  </si>
  <si>
    <t xml:space="preserve"> 제  626 호표  일반기기 설치  /  Ton</t>
  </si>
  <si>
    <t>제 626호표</t>
  </si>
  <si>
    <t>일반기기 설치</t>
  </si>
  <si>
    <t>Ton</t>
  </si>
  <si>
    <t xml:space="preserve"> 제  627 호표  잡철물 제작 및 설치  일반철물(제품설치)  /  TON</t>
  </si>
  <si>
    <t>제 627호표</t>
  </si>
  <si>
    <t>잡철물 제작 및 설치</t>
  </si>
  <si>
    <t>일반철물(제품설치)</t>
  </si>
  <si>
    <t>TON</t>
  </si>
  <si>
    <t xml:space="preserve"> 제  628 호표  메쉬휀스 설치  W2.0m, H2.0m, 토공  /  경간</t>
  </si>
  <si>
    <t>제 628호표</t>
  </si>
  <si>
    <t>메쉬휀스 설치</t>
  </si>
  <si>
    <t>W2.0m, H2.0m, 토공</t>
  </si>
  <si>
    <t>경간</t>
  </si>
  <si>
    <t xml:space="preserve"> 제  629 호표  터파기(인력)  경질토사 적용  /  ㎥</t>
  </si>
  <si>
    <t>제 629호표</t>
  </si>
  <si>
    <t>터파기(인력)</t>
  </si>
  <si>
    <t>경질토사 적용</t>
  </si>
  <si>
    <t>㎥</t>
  </si>
  <si>
    <t xml:space="preserve"> 제  630 호표  터파기(인력)  경질토사 적용  /  ㎥</t>
  </si>
  <si>
    <t>제 630호표</t>
  </si>
  <si>
    <t xml:space="preserve"> 제  631 호표  배관을위한 구멍뚫기  300mm x Φ100/벽체  /  개소</t>
  </si>
  <si>
    <t>제 631호표</t>
  </si>
  <si>
    <t>배관을위한 구멍뚫기</t>
  </si>
  <si>
    <t>300mm x Φ100/벽체</t>
  </si>
  <si>
    <t xml:space="preserve"> 제  632 호표  배관을위한 구멍뚫기  300mm x Φ150/벽체  /  개소</t>
  </si>
  <si>
    <t>제 632호표</t>
  </si>
  <si>
    <t>300mm x Φ150/벽체</t>
  </si>
  <si>
    <t xml:space="preserve"> 제  633 호표  배관을위한 구멍뚫기  300mm x Φ200/벽체  /  개소</t>
  </si>
  <si>
    <t>제 633호표</t>
  </si>
  <si>
    <t>300mm x Φ200/벽체</t>
  </si>
  <si>
    <t xml:space="preserve"> 제  634 호표  배관을위한 구멍뚫기  300mm x Φ50/벽체  /  개소</t>
  </si>
  <si>
    <t>제 634호표</t>
  </si>
  <si>
    <t>300mm x Φ50/벽체</t>
  </si>
  <si>
    <t xml:space="preserve"> 제  635 호표  펌프분해조립  1.5HP  /  대</t>
  </si>
  <si>
    <t>제 635호표</t>
  </si>
  <si>
    <t>펌프분해조립</t>
  </si>
  <si>
    <t>1.5HP</t>
  </si>
  <si>
    <t xml:space="preserve"> 제  636 호표  펌프분해조립  2HP  /  대</t>
  </si>
  <si>
    <t>제 636호표</t>
  </si>
  <si>
    <t xml:space="preserve"> 제  637 호표  펌프분해조립  3HP  /  대</t>
  </si>
  <si>
    <t>제 637호표</t>
  </si>
  <si>
    <t xml:space="preserve"> 제  638 호표  펌프분해조립  5HP  /  대</t>
  </si>
  <si>
    <t>제 638호표</t>
  </si>
  <si>
    <t>5HP</t>
  </si>
  <si>
    <t xml:space="preserve"> 제  639 호표  펌프분해조립  7.5HP  /  대</t>
  </si>
  <si>
    <t>제 639호표</t>
  </si>
  <si>
    <t>7.5HP</t>
  </si>
  <si>
    <t xml:space="preserve"> 제  640 호표  펌프분해조립  10HP  /  대</t>
  </si>
  <si>
    <t>제 640호표</t>
  </si>
  <si>
    <t>10HP</t>
  </si>
  <si>
    <t xml:space="preserve"> 제  641 호표  펌프분해조립  15HP  /  대</t>
  </si>
  <si>
    <t>제 641호표</t>
  </si>
  <si>
    <t>15HP</t>
  </si>
  <si>
    <t xml:space="preserve"> 제  642 호표  펌프분해조립  20HP  /  대</t>
  </si>
  <si>
    <t>제 642호표</t>
  </si>
  <si>
    <t>20HP</t>
  </si>
  <si>
    <t xml:space="preserve"> 제  643 호표  펌프분해조립  25HP  /  대</t>
  </si>
  <si>
    <t>제 643호표</t>
  </si>
  <si>
    <t>25HP</t>
  </si>
  <si>
    <t xml:space="preserve"> 제  644 호표  펌프분해조립  30HP  /  대</t>
  </si>
  <si>
    <t>제 644호표</t>
  </si>
  <si>
    <t>30HP</t>
  </si>
  <si>
    <t xml:space="preserve"> 제  645 호표  펌프분해조립  40HP  /  대</t>
  </si>
  <si>
    <t>제 645호표</t>
  </si>
  <si>
    <t>40HP</t>
  </si>
  <si>
    <t xml:space="preserve"> 제  646 호표  펌프분해조립  50HP  /  대</t>
  </si>
  <si>
    <t>제 646호표</t>
  </si>
  <si>
    <t>50HP</t>
  </si>
  <si>
    <t xml:space="preserve"> 제  647 호표  펌프분해조립  60HP  /  대</t>
  </si>
  <si>
    <t>제 647호표</t>
  </si>
  <si>
    <t>60HP</t>
  </si>
  <si>
    <t xml:space="preserve"> 제  648 호표  펌프분해조립  75HP  /  대</t>
  </si>
  <si>
    <t>제 648호표</t>
  </si>
  <si>
    <t>75HP</t>
  </si>
  <si>
    <t xml:space="preserve"> 제  649 호표  펌프분해조립  150HP  /  대</t>
  </si>
  <si>
    <t>제 649호표</t>
  </si>
  <si>
    <t>150HP</t>
  </si>
  <si>
    <t xml:space="preserve"> 제  650 호표  배수펌프 점검  /  개소</t>
  </si>
  <si>
    <t>제 650호표</t>
  </si>
  <si>
    <t>배수펌프 점검</t>
  </si>
  <si>
    <t xml:space="preserve"> 제  651 호표  일반출장 점검  /  개소</t>
  </si>
  <si>
    <t>제 651호표</t>
  </si>
  <si>
    <t>일반출장 점검</t>
  </si>
  <si>
    <t xml:space="preserve"> 제  652 호표  단순출장 점검  /  개소</t>
  </si>
  <si>
    <t>제 652호표</t>
  </si>
  <si>
    <t>단순출장 점검</t>
  </si>
  <si>
    <t xml:space="preserve"> 제  653 호표  제초작업  잔디깍기(일반잔디지역 인력)  /   ㎡</t>
  </si>
  <si>
    <t>제 653호표</t>
  </si>
  <si>
    <t>제초작업</t>
  </si>
  <si>
    <t>잔디깍기(일반잔디지역 인력)</t>
  </si>
  <si>
    <t>㎡</t>
  </si>
  <si>
    <t xml:space="preserve"> 제  654 호표  제초작업  잔디깍기(지장물지역 인력)  /   ㎡</t>
  </si>
  <si>
    <t>제 654호표</t>
  </si>
  <si>
    <t>잔디깍기(지장물지역 인력)</t>
  </si>
  <si>
    <t xml:space="preserve"> 제  655 호표  펌프류 철거 및 설치  1.5KW 이하 - 철거40%  /  대</t>
  </si>
  <si>
    <t>제 655호표</t>
  </si>
  <si>
    <t>펌프류 철거 및 설치</t>
  </si>
  <si>
    <t>1.5KW 이하 - 철거40%</t>
  </si>
  <si>
    <t xml:space="preserve"> 제  656 호표  펌프류 철거  1.5KW 이하- 설치비의 40%  /  대</t>
  </si>
  <si>
    <t>제 656호표</t>
  </si>
  <si>
    <t>펌프류 철거</t>
  </si>
  <si>
    <t>1.5KW 이하- 설치비의 40%</t>
  </si>
  <si>
    <t xml:space="preserve"> 제  657 호표  펌프류 설치  1.5KW 이하  /  대</t>
  </si>
  <si>
    <t>제 657호표</t>
  </si>
  <si>
    <t>펌프류 설치</t>
  </si>
  <si>
    <t>1.5KW 이하</t>
  </si>
  <si>
    <t xml:space="preserve"> 제  658 호표  펌프류 철거 및 설치  2.2KW 이하 - 철거40%  /  대</t>
  </si>
  <si>
    <t>제 658호표</t>
  </si>
  <si>
    <t>2.2KW 이하 - 철거40%</t>
  </si>
  <si>
    <t xml:space="preserve"> 제  659 호표  펌프류 철거  2.2KW 이하- 설치비의 40%  /  대</t>
  </si>
  <si>
    <t>제 659호표</t>
  </si>
  <si>
    <t>2.2KW 이하- 설치비의 40%</t>
  </si>
  <si>
    <t xml:space="preserve"> 제  660 호표  펌프류 설치  2.2KW 이하  /  대</t>
  </si>
  <si>
    <t>제 660호표</t>
  </si>
  <si>
    <t>2.2KW 이하</t>
  </si>
  <si>
    <t xml:space="preserve"> 제  661 호표  펌프류 철거 및 설치  3.7KW 이하 - 철거40%  /  대</t>
  </si>
  <si>
    <t>제 661호표</t>
  </si>
  <si>
    <t>3.7KW 이하 - 철거40%</t>
  </si>
  <si>
    <t xml:space="preserve"> 제  662 호표  펌프류 철거  3.7KW 이하- 설치비의 40%  /  대</t>
  </si>
  <si>
    <t>제 662호표</t>
  </si>
  <si>
    <t>3.7KW 이하- 설치비의 40%</t>
  </si>
  <si>
    <t xml:space="preserve"> 제  663 호표  펌프류 설치  3.7KW 이하  /  대</t>
  </si>
  <si>
    <t>제 663호표</t>
  </si>
  <si>
    <t>3.7KW 이하</t>
  </si>
  <si>
    <t xml:space="preserve"> 제  664 호표  펌프류 철거 및 설치  5.5KW 이하 - 철거40%  /  대</t>
  </si>
  <si>
    <t>제 664호표</t>
  </si>
  <si>
    <t>5.5KW 이하 - 철거40%</t>
  </si>
  <si>
    <t xml:space="preserve"> 제  665 호표  펌프류 철거  5.5KW 이하- 설치비의 40%  /  대</t>
  </si>
  <si>
    <t>제 665호표</t>
  </si>
  <si>
    <t>5.5KW 이하- 설치비의 40%</t>
  </si>
  <si>
    <t xml:space="preserve"> 제  666 호표  펌프류 설치  5.5KW 이하  /  대</t>
  </si>
  <si>
    <t>제 666호표</t>
  </si>
  <si>
    <t>5.5KW 이하</t>
  </si>
  <si>
    <t xml:space="preserve"> 제  667 호표  펌프류 철거 및 설치  7.5KW 이하 - 철거40%  /  대</t>
  </si>
  <si>
    <t>제 667호표</t>
  </si>
  <si>
    <t>7.5KW 이하 - 철거40%</t>
  </si>
  <si>
    <t xml:space="preserve"> 제  668 호표  펌프류 철거  7.5KW 이하- 설치비의 40%  /  대</t>
  </si>
  <si>
    <t>제 668호표</t>
  </si>
  <si>
    <t>7.5KW 이하- 설치비의 40%</t>
  </si>
  <si>
    <t xml:space="preserve"> 제  669 호표  펌프류 설치  7.5KW 이하  /  대</t>
  </si>
  <si>
    <t>제 669호표</t>
  </si>
  <si>
    <t>7.5KW 이하</t>
  </si>
  <si>
    <t xml:space="preserve"> 제  670 호표  펌프류 철거 및 설치  11KW 이하 - 철거40%  /  대</t>
  </si>
  <si>
    <t>제 670호표</t>
  </si>
  <si>
    <t>11KW 이하 - 철거40%</t>
  </si>
  <si>
    <t xml:space="preserve"> 제  671 호표  펌프류 철거  11KW 이하- 설치비의 40%  /  대</t>
  </si>
  <si>
    <t>제 671호표</t>
  </si>
  <si>
    <t>11KW 이하- 설치비의 40%</t>
  </si>
  <si>
    <t xml:space="preserve"> 제  672 호표  펌프류 설치  11KW 이하  /  대</t>
  </si>
  <si>
    <t>제 672호표</t>
  </si>
  <si>
    <t>11KW 이하</t>
  </si>
  <si>
    <t xml:space="preserve"> 제  673 호표  펌프류 철거 및 설치  15KW 이하 - 철거40%  /  대</t>
  </si>
  <si>
    <t>제 673호표</t>
  </si>
  <si>
    <t>15KW 이하 - 철거40%</t>
  </si>
  <si>
    <t xml:space="preserve"> 제  674 호표  펌프류 철거  15KW 이하- 설치비의 40%  /  대</t>
  </si>
  <si>
    <t>제 674호표</t>
  </si>
  <si>
    <t>15KW 이하- 설치비의 40%</t>
  </si>
  <si>
    <t xml:space="preserve"> 제  675 호표  펌프류 설치  15KW 이하  /  대</t>
  </si>
  <si>
    <t>제 675호표</t>
  </si>
  <si>
    <t>15KW 이하</t>
  </si>
  <si>
    <t xml:space="preserve"> 제  676 호표  펌프류 철거 및 설치  22KW 이하 - 철거40%  /  대</t>
  </si>
  <si>
    <t>제 676호표</t>
  </si>
  <si>
    <t>22KW 이하 - 철거40%</t>
  </si>
  <si>
    <t xml:space="preserve"> 제  677 호표  펌프류 철거  22KW 이하- 설치비의 40%  /  대</t>
  </si>
  <si>
    <t>제 677호표</t>
  </si>
  <si>
    <t>22KW 이하- 설치비의 40%</t>
  </si>
  <si>
    <t xml:space="preserve"> 제  678 호표  펌프류 설치  22KW 이하  /  대</t>
  </si>
  <si>
    <t>제 678호표</t>
  </si>
  <si>
    <t>22KW 이하</t>
  </si>
  <si>
    <t xml:space="preserve"> 제  679 호표  펌프류 철거 및 설치  37KW 이하 - 철거40%  /  대</t>
  </si>
  <si>
    <t>제 679호표</t>
  </si>
  <si>
    <t>37KW 이하 - 철거40%</t>
  </si>
  <si>
    <t xml:space="preserve"> 제  680 호표  펌프류 철거  37KW 이하- 설치비의 40%  /  대</t>
  </si>
  <si>
    <t>제 680호표</t>
  </si>
  <si>
    <t>37KW 이하- 설치비의 40%</t>
  </si>
  <si>
    <t xml:space="preserve"> 제  681 호표  펌프류 설치  37KW 이하  /  대</t>
  </si>
  <si>
    <t>제 681호표</t>
  </si>
  <si>
    <t>37KW 이하</t>
  </si>
  <si>
    <t xml:space="preserve"> 제  682 호표  펌프류 철거 및 설치  55KW 이하 - 철거40%  /  대</t>
  </si>
  <si>
    <t>제 682호표</t>
  </si>
  <si>
    <t>55KW 이하 - 철거40%</t>
  </si>
  <si>
    <t xml:space="preserve"> 제  683 호표  펌프류 철거  55KW 이하- 설치비의 40%  /  대</t>
  </si>
  <si>
    <t>제 683호표</t>
  </si>
  <si>
    <t>55KW 이하- 설치비의 40%</t>
  </si>
  <si>
    <t xml:space="preserve"> 제  684 호표  펌프류 설치  55KW 이하  /  대</t>
  </si>
  <si>
    <t>제 684호표</t>
  </si>
  <si>
    <t>55KW 이하</t>
  </si>
  <si>
    <t xml:space="preserve"> 제  685 호표  펌프류 철거 및 설치  75KW 이하 - 철거40%  /  대</t>
  </si>
  <si>
    <t>제 685호표</t>
  </si>
  <si>
    <t>75KW 이하 - 철거40%</t>
  </si>
  <si>
    <t xml:space="preserve"> 제  686 호표  펌프류 철거  75KW 이하- 설치비의 40%  /  대</t>
  </si>
  <si>
    <t>제 686호표</t>
  </si>
  <si>
    <t>75KW 이하- 설치비의 40%</t>
  </si>
  <si>
    <t xml:space="preserve"> 제  687 호표  펌프류 설치  75KW 이하  /  대</t>
  </si>
  <si>
    <t>제 687호표</t>
  </si>
  <si>
    <t>75KW 이하</t>
  </si>
  <si>
    <t xml:space="preserve"> 제  688 호표  펌프류 철거 및 설치  0.75KW 이하 - 철거40%  /  대</t>
  </si>
  <si>
    <t>제 688호표</t>
  </si>
  <si>
    <t>0.75KW 이하 - 철거40%</t>
  </si>
  <si>
    <t xml:space="preserve"> 제  689 호표  펌프류 철거  0.75KW 이하- 설치비의 40%  /  대</t>
  </si>
  <si>
    <t>제 689호표</t>
  </si>
  <si>
    <t>0.75KW 이하- 설치비의 40%</t>
  </si>
  <si>
    <t xml:space="preserve"> 제  690 호표  펌프류 설치  0.75KW 이하  /  대</t>
  </si>
  <si>
    <t>제 690호표</t>
  </si>
  <si>
    <t>0.75KW 이하</t>
  </si>
  <si>
    <t xml:space="preserve"> 제  691 호표  집수정배수펌프 철거 및 설치  0.75KW 이하 - 철거40%  /  대</t>
  </si>
  <si>
    <t>제 691호표</t>
  </si>
  <si>
    <t>집수정배수펌프 철거 및 설치</t>
  </si>
  <si>
    <t xml:space="preserve"> 제  692 호표  집수정배수펌프 철거  0.75KW 이하, 설치비의 40%  /  대</t>
  </si>
  <si>
    <t>제 692호표</t>
  </si>
  <si>
    <t>집수정배수펌프 철거</t>
  </si>
  <si>
    <t>0.75KW 이하, 설치비의 40%</t>
  </si>
  <si>
    <t xml:space="preserve"> 제  693 호표  집수정배수펌프 설치  0.75KW 이하  /  대</t>
  </si>
  <si>
    <t>제 693호표</t>
  </si>
  <si>
    <t>집수정배수펌프 설치</t>
  </si>
  <si>
    <t xml:space="preserve"> 제  694 호표  집수정배수펌프 철거 및 설치  1.5KW 이하 - 철거40%  /  대</t>
  </si>
  <si>
    <t>제 694호표</t>
  </si>
  <si>
    <t xml:space="preserve"> 제  695 호표  집수정배수펌프 철거  1.5KW 이하, 설치비의 40%  /  대</t>
  </si>
  <si>
    <t>제 695호표</t>
  </si>
  <si>
    <t>1.5KW 이하, 설치비의 40%</t>
  </si>
  <si>
    <t xml:space="preserve"> 제  696 호표  집수정배수펌프 설치  1.5KW 이하  /  대</t>
  </si>
  <si>
    <t>제 696호표</t>
  </si>
  <si>
    <t xml:space="preserve"> 제  697 호표  집수정배수펌프 철거 및 설치  2.2KW 이하 - 철거40%  /  대</t>
  </si>
  <si>
    <t>제 697호표</t>
  </si>
  <si>
    <t xml:space="preserve"> 제  698 호표  집수정배수펌프 철거  2.2KW 이하, 설치비의 40%  /  대</t>
  </si>
  <si>
    <t>제 698호표</t>
  </si>
  <si>
    <t>2.2KW 이하, 설치비의 40%</t>
  </si>
  <si>
    <t xml:space="preserve"> 제  699 호표  집수정배수펌프 설치  2.2KW 이하  /  대</t>
  </si>
  <si>
    <t>제 699호표</t>
  </si>
  <si>
    <t xml:space="preserve"> 제  700 호표  집수정배수펌프 철거 및 설치  3.7KW 이하 - 철거40%  /  대</t>
  </si>
  <si>
    <t>제 700호표</t>
  </si>
  <si>
    <t xml:space="preserve"> 제  701 호표  집수정배수펌프 철거  3.7KW 이하, 설치비의 40%  /  대</t>
  </si>
  <si>
    <t>제 701호표</t>
  </si>
  <si>
    <t>3.7KW 이하, 설치비의 40%</t>
  </si>
  <si>
    <t xml:space="preserve"> 제  702 호표  집수정배수펌프 설치  3.7KW 이하  /  대</t>
  </si>
  <si>
    <t>제 702호표</t>
  </si>
  <si>
    <t xml:space="preserve"> 제  703 호표  집수정배수펌프 철거 및 설치  5.5KW 이하 - 철거40%  /  대</t>
  </si>
  <si>
    <t>제 703호표</t>
  </si>
  <si>
    <t xml:space="preserve"> 제  704 호표  집수정배수펌프 철거  5.5KW 이하, 설치비의 40%  /  대</t>
  </si>
  <si>
    <t>제 704호표</t>
  </si>
  <si>
    <t>5.5KW 이하, 설치비의 40%</t>
  </si>
  <si>
    <t xml:space="preserve"> 제  705 호표  집수정배수펌프 설치  5.5KW 이하  /  대</t>
  </si>
  <si>
    <t>제 705호표</t>
  </si>
  <si>
    <t xml:space="preserve"> 제  706 호표  집수정배수펌프 철거 및 설치  7.5KW 이하 - 철거40%  /  대</t>
  </si>
  <si>
    <t>제 706호표</t>
  </si>
  <si>
    <t xml:space="preserve"> 제  707 호표  집수정배수펌프 철거  7.5KW 이하, 설치비의 40%  /  대</t>
  </si>
  <si>
    <t>제 707호표</t>
  </si>
  <si>
    <t>7.5KW 이하, 설치비의 40%</t>
  </si>
  <si>
    <t xml:space="preserve"> 제  708 호표  집수정배수펌프 설치  7.5KW 이하  /  대</t>
  </si>
  <si>
    <t>제 708호표</t>
  </si>
  <si>
    <t xml:space="preserve"> 제  709 호표  밸브류 철거 및 설치  D80mm  - 철거40%  /  개</t>
  </si>
  <si>
    <t>제 709호표</t>
  </si>
  <si>
    <t>밸브류 철거 및 설치</t>
  </si>
  <si>
    <t>D80mm  - 철거40%</t>
  </si>
  <si>
    <t xml:space="preserve"> 제  710 호표  밸브류 철거  D80mm  - 철거40%  /  개</t>
  </si>
  <si>
    <t>제 710호표</t>
  </si>
  <si>
    <t>밸브류 철거</t>
  </si>
  <si>
    <t xml:space="preserve"> 제  711 호표  밸브류 설치  D80mm  /  개</t>
  </si>
  <si>
    <t>제 711호표</t>
  </si>
  <si>
    <t>밸브류 설치</t>
  </si>
  <si>
    <t xml:space="preserve"> 제  712 호표  밸브류 철거 및 설치  D100mm  - 철거40%  /  개</t>
  </si>
  <si>
    <t>제 712호표</t>
  </si>
  <si>
    <t>D100mm  - 철거40%</t>
  </si>
  <si>
    <t xml:space="preserve"> 제  713 호표  밸브류 철거  D100mm  - 철거40%  /  개</t>
  </si>
  <si>
    <t>제 713호표</t>
  </si>
  <si>
    <t xml:space="preserve"> 제  714 호표  밸브류 설치  D100mm  /  개</t>
  </si>
  <si>
    <t>제 714호표</t>
  </si>
  <si>
    <t xml:space="preserve"> 제  715 호표  밸브류 철거 및 설치  D150mm  - 철거40%  /  개</t>
  </si>
  <si>
    <t>제 715호표</t>
  </si>
  <si>
    <t>D150mm  - 철거40%</t>
  </si>
  <si>
    <t xml:space="preserve"> 제  716 호표  밸브류 철거  D150mm  - 철거40%  /  개</t>
  </si>
  <si>
    <t>제 716호표</t>
  </si>
  <si>
    <t xml:space="preserve"> 제  717 호표  밸브류 설치  D150mm  /  개</t>
  </si>
  <si>
    <t>제 717호표</t>
  </si>
  <si>
    <t xml:space="preserve"> 제  718 호표  밸브류 철거 및 설치  D200mm  - 철거40%  /  개</t>
  </si>
  <si>
    <t>제 718호표</t>
  </si>
  <si>
    <t>D200mm  - 철거40%</t>
  </si>
  <si>
    <t xml:space="preserve"> 제  719 호표  밸브류 철거  D200mm  - 철거40%  /  개</t>
  </si>
  <si>
    <t>제 719호표</t>
  </si>
  <si>
    <t xml:space="preserve"> 제  720 호표  밸브류 설치  D200mm  /  개</t>
  </si>
  <si>
    <t>제 720호표</t>
  </si>
  <si>
    <t xml:space="preserve"> 제  721 호표  밸브류 철거 및 설치  D50mm  - 철거40%  /  개</t>
  </si>
  <si>
    <t>제 721호표</t>
  </si>
  <si>
    <t>D50mm  - 철거40%</t>
  </si>
  <si>
    <t xml:space="preserve"> 제  722 호표  밸브류 철거  D50mm  - 철거40%  /  개</t>
  </si>
  <si>
    <t>제 722호표</t>
  </si>
  <si>
    <t xml:space="preserve"> 제  723 호표  밸브류 설치  D50mm  /  개</t>
  </si>
  <si>
    <t>제 723호표</t>
  </si>
  <si>
    <t xml:space="preserve"> 제  724 호표  밸브류 철거  D250mm  - 철거40%  /  개</t>
  </si>
  <si>
    <t>제 724호표</t>
  </si>
  <si>
    <t>D250mm  - 철거40%</t>
  </si>
  <si>
    <t xml:space="preserve"> 제  725 호표  밸브류 설치  D250mm  /  개</t>
  </si>
  <si>
    <t>제 725호표</t>
  </si>
  <si>
    <t>D250mm</t>
  </si>
  <si>
    <t xml:space="preserve"> 제  726 호표  밸브류 철거 및 설치  D30mm  - 철거40%  /  개</t>
  </si>
  <si>
    <t>제 726호표</t>
  </si>
  <si>
    <t>D30mm  - 철거40%</t>
  </si>
  <si>
    <t xml:space="preserve"> 제  727 호표  밸브류 철거 및 설치  D250mm  - 철거40%  /  개</t>
  </si>
  <si>
    <t>제 727호표</t>
  </si>
  <si>
    <t xml:space="preserve"> 제  728 호표  후렉시블커넥터 철거 및 설치  50Φ - 설치비의50%  /  개</t>
  </si>
  <si>
    <t>제 728호표</t>
  </si>
  <si>
    <t>후렉시블커넥터 철거 및 설치</t>
  </si>
  <si>
    <t>50Φ - 설치비의50%</t>
  </si>
  <si>
    <t xml:space="preserve"> 제  729 호표  후렉시블커넥터 철거  50Φ - 설치비의50%  /  개</t>
  </si>
  <si>
    <t>제 729호표</t>
  </si>
  <si>
    <t>후렉시블커넥터 철거</t>
  </si>
  <si>
    <t xml:space="preserve"> 제  730 호표  후렉시블커넥터 설치  50Φ  /  개</t>
  </si>
  <si>
    <t>제 730호표</t>
  </si>
  <si>
    <t>후렉시블커넥터 설치</t>
  </si>
  <si>
    <t>50Φ</t>
  </si>
  <si>
    <t xml:space="preserve"> 제  731 호표  후렉시블커넥터 철거 및 설치  80Φ - 설치비의50%  /  개</t>
  </si>
  <si>
    <t>제 731호표</t>
  </si>
  <si>
    <t>80Φ - 설치비의50%</t>
  </si>
  <si>
    <t xml:space="preserve"> 제  732 호표  후렉시블커넥터 철거  80Φ - 설치비의50%  /  개</t>
  </si>
  <si>
    <t>제 732호표</t>
  </si>
  <si>
    <t xml:space="preserve"> 제  733 호표  후렉시블커넥터 설치  80Φ  /  개</t>
  </si>
  <si>
    <t>제 733호표</t>
  </si>
  <si>
    <t>80Φ</t>
  </si>
  <si>
    <t xml:space="preserve"> 제  734 호표  후렉시블커넥터 철거 및 설치  100Φ - 설치비의50%  /  개</t>
  </si>
  <si>
    <t>제 734호표</t>
  </si>
  <si>
    <t>100Φ - 설치비의50%</t>
  </si>
  <si>
    <t xml:space="preserve"> 제  735 호표  후렉시블커넥터 철거  100Φ - 설치비의50%  /  개</t>
  </si>
  <si>
    <t>제 735호표</t>
  </si>
  <si>
    <t xml:space="preserve"> 제  736 호표  후렉시블커넥터 설치  100Φ  /  개</t>
  </si>
  <si>
    <t>제 736호표</t>
  </si>
  <si>
    <t>100Φ</t>
  </si>
  <si>
    <t xml:space="preserve"> 제  737 호표  후렉시블커넥터 철거 및 설치  150Φ - 설치비의50%  /  개</t>
  </si>
  <si>
    <t>제 737호표</t>
  </si>
  <si>
    <t>150Φ - 설치비의50%</t>
  </si>
  <si>
    <t xml:space="preserve"> 제  738 호표  후렉시블커넥터 철거  150Φ - 설치비의50%  /  개</t>
  </si>
  <si>
    <t>제 738호표</t>
  </si>
  <si>
    <t xml:space="preserve"> 제  739 호표  후렉시블커넥터 설치  150Φ  /  개</t>
  </si>
  <si>
    <t>제 739호표</t>
  </si>
  <si>
    <t>150Φ</t>
  </si>
  <si>
    <t xml:space="preserve"> 제  740 호표  후렉시블커넥터 철거 및 설치  200Φ - 설치비의50%  /  개</t>
  </si>
  <si>
    <t>제 740호표</t>
  </si>
  <si>
    <t>200Φ - 설치비의50%</t>
  </si>
  <si>
    <t xml:space="preserve"> 제  741 호표  후렉시블커넥터 철거  200Φ - 설치비의50%  /  개</t>
  </si>
  <si>
    <t>제 741호표</t>
  </si>
  <si>
    <t xml:space="preserve"> 제  742 호표  후렉시블커넥터 설치  200Φ  /  개</t>
  </si>
  <si>
    <t>제 742호표</t>
  </si>
  <si>
    <t>200Φ</t>
  </si>
  <si>
    <t xml:space="preserve"> 제  743 호표  후렉시블커넥터 철거 및 설치  250Φ - 설치비의50%  /  개</t>
  </si>
  <si>
    <t>제 743호표</t>
  </si>
  <si>
    <t>250Φ - 설치비의50%</t>
  </si>
  <si>
    <t xml:space="preserve"> 제  744 호표  후렉시블커넥터 철거  250Φ - 설치비의50%  /  개</t>
  </si>
  <si>
    <t>제 744호표</t>
  </si>
  <si>
    <t xml:space="preserve"> 제  745 호표  후렉시블커넥터 설치  250Φ  /  개</t>
  </si>
  <si>
    <t>제 745호표</t>
  </si>
  <si>
    <t>250Φ</t>
  </si>
  <si>
    <t xml:space="preserve"> 제  746 호표  스텐레스 강관배관  D50mm(용접식)  /  M</t>
  </si>
  <si>
    <t>제 746호표</t>
  </si>
  <si>
    <t>스텐레스 강관배관</t>
  </si>
  <si>
    <t>M</t>
  </si>
  <si>
    <t xml:space="preserve"> 제  747 호표  스텐레스 강관배관  D80mm(용접식)  /  M</t>
  </si>
  <si>
    <t>제 747호표</t>
  </si>
  <si>
    <t xml:space="preserve"> 제  748 호표  스텐레스 강관배관  D100mm(용접식)  /  M</t>
  </si>
  <si>
    <t>제 748호표</t>
  </si>
  <si>
    <t xml:space="preserve"> 제  749 호표  스텐레스 강관배관  D150mm(용접식)  /  M</t>
  </si>
  <si>
    <t>제 749호표</t>
  </si>
  <si>
    <t xml:space="preserve"> 제  750 호표  스텐레스 강관배관  D200mm(용접식)  /  M</t>
  </si>
  <si>
    <t>제 750호표</t>
  </si>
  <si>
    <t xml:space="preserve"> 제  751 호표  스텐레스 강관배관  D250mm(용접식)  /  M</t>
  </si>
  <si>
    <t>제 751호표</t>
  </si>
  <si>
    <t xml:space="preserve"> 제  752 호표  밸브 및 콕류설치  D15~D50mm  /  개소</t>
  </si>
  <si>
    <t>제 752호표</t>
  </si>
  <si>
    <t>밸브 및 콕류설치</t>
  </si>
  <si>
    <t>D15~D50mm</t>
  </si>
  <si>
    <t xml:space="preserve"> 제  753 호표  밸브 및 콕류설치  D80mm  /  개소</t>
  </si>
  <si>
    <t>제 753호표</t>
  </si>
  <si>
    <t xml:space="preserve"> 제  754 호표  밸브 및 콕류설치  D100mm  /  개소</t>
  </si>
  <si>
    <t>제 754호표</t>
  </si>
  <si>
    <t xml:space="preserve"> 제  755 호표  밸브 및 콕류설치  D150mm  /  개소</t>
  </si>
  <si>
    <t>제 755호표</t>
  </si>
  <si>
    <t xml:space="preserve"> 제  756 호표  밸브 및 콕류설치  D200mm  /  개소</t>
  </si>
  <si>
    <t>제 756호표</t>
  </si>
  <si>
    <t xml:space="preserve"> 제  757 호표  기초 콘크리트  ((1:3:6))  /  ㎥</t>
  </si>
  <si>
    <t>제 757호표</t>
  </si>
  <si>
    <t>기초 콘크리트</t>
  </si>
  <si>
    <t>((1:3:6))</t>
  </si>
  <si>
    <t xml:space="preserve"> 제  758 호표  합판거푸집  (6회)  /  ㎡</t>
  </si>
  <si>
    <t>제 758호표</t>
  </si>
  <si>
    <t>합판거푸집</t>
  </si>
  <si>
    <t>(6회)</t>
  </si>
  <si>
    <t xml:space="preserve"> 제  759 호표  터파기(인력)   보통토사 적용  /  ㎥</t>
  </si>
  <si>
    <t>제 759호표</t>
  </si>
  <si>
    <t xml:space="preserve"> 보통토사 적용</t>
  </si>
  <si>
    <t xml:space="preserve"> 제  760 호표  되메우기  (인력 100%)  /  ㎥</t>
  </si>
  <si>
    <t>제 760호표</t>
  </si>
  <si>
    <t>되메우기</t>
  </si>
  <si>
    <t>(인력 100%)</t>
  </si>
  <si>
    <t xml:space="preserve"> 제  761 호표  잔토처리  (인력)  /  ㎥</t>
  </si>
  <si>
    <t>제 761호표</t>
  </si>
  <si>
    <t>잔토처리</t>
  </si>
  <si>
    <t>(인력)</t>
  </si>
  <si>
    <t>단 가 산 출 근 거</t>
  </si>
  <si>
    <t>STmate</t>
  </si>
  <si>
    <t>단가산출근거 목록표</t>
  </si>
  <si>
    <t>맨홀준설 및 세정(흡입식, 처리비제외, 화성)</t>
  </si>
  <si>
    <t>스테인레스 강관 용접배관 D50㎜  / m</t>
  </si>
  <si>
    <t>스테인레스 강관 용접배관</t>
  </si>
  <si>
    <t>D50㎜</t>
  </si>
  <si>
    <t>스테인레스 강관 용접배관 D80㎜  / m</t>
  </si>
  <si>
    <t>D80㎜</t>
  </si>
  <si>
    <t>스테인레스 강관 용접배관 D100㎜  / m</t>
  </si>
  <si>
    <t>D100㎜</t>
  </si>
  <si>
    <t>스테인레스 강관 용접배관 D150㎜  / m</t>
  </si>
  <si>
    <t>D150㎜</t>
  </si>
  <si>
    <t>스테인레스 강관 용접배관 D200㎜  / m</t>
  </si>
  <si>
    <t>D200㎜</t>
  </si>
  <si>
    <t>스테인레스 강관 용접배관 D250㎜  / m</t>
  </si>
  <si>
    <t>D250㎜</t>
  </si>
  <si>
    <t>합판거푸집 (6회)  / ㎡</t>
  </si>
  <si>
    <t>터파기(인력, 보통토사) (굴착 인력100%)  / ㎥</t>
  </si>
  <si>
    <t>터파기(인력, 보통토사)</t>
  </si>
  <si>
    <t>(굴착 인력100%)</t>
  </si>
  <si>
    <t>되메우기 (인력100%)  / ㎥</t>
  </si>
  <si>
    <t>(인력100%)</t>
  </si>
  <si>
    <t>터파기(인력, 경질토사) (굴착 인력100%)  / ㎥</t>
  </si>
  <si>
    <t>터파기(인력, 경질토사)</t>
  </si>
  <si>
    <t>제초 일반잔디구역  / ㎡</t>
  </si>
  <si>
    <t>제초</t>
  </si>
  <si>
    <t>일반잔디구역</t>
  </si>
  <si>
    <t>제초 지장물지역  / ㎡</t>
  </si>
  <si>
    <t>지장물지역</t>
  </si>
  <si>
    <t>수량부분 값 수정은 아래의 연두색 부분에</t>
  </si>
  <si>
    <t>중기 목록표</t>
  </si>
  <si>
    <t>굴착기(무한궤도)</t>
  </si>
  <si>
    <t>0.4㎥</t>
  </si>
  <si>
    <t>시간</t>
  </si>
  <si>
    <t>중기1</t>
  </si>
  <si>
    <t xml:space="preserve"> 제    2 호표  물탱크(살수차)  5500ℓ  /  시간</t>
  </si>
  <si>
    <t>물탱크(살수차)</t>
  </si>
  <si>
    <t>5500ℓ</t>
  </si>
  <si>
    <t>중기2</t>
  </si>
  <si>
    <t xml:space="preserve"> 제    3 호표  진공흡입 준설차  25톤(7.64㎥적)  /  시간</t>
  </si>
  <si>
    <t>진공흡입 준설차</t>
  </si>
  <si>
    <t>25톤(7.64㎥적)</t>
  </si>
  <si>
    <t>중기3</t>
  </si>
  <si>
    <t xml:space="preserve"> 제    4 호표  코아드릴  15.24cm  /  시간</t>
  </si>
  <si>
    <t>코아드릴</t>
  </si>
  <si>
    <t>15.24cm</t>
  </si>
  <si>
    <t>중기4</t>
  </si>
  <si>
    <t xml:space="preserve"> 제    5 호표  크레인(타이어)  10톤  /  시간</t>
  </si>
  <si>
    <t>크레인(타이어)</t>
  </si>
  <si>
    <t>10톤</t>
  </si>
  <si>
    <t>중기5</t>
  </si>
  <si>
    <t>=== 엑셀파일에 작성에 대한 안내문(반드시 읽어보세요) ===</t>
  </si>
  <si>
    <t>재료비 목록표</t>
  </si>
  <si>
    <t>단   가</t>
  </si>
  <si>
    <t xml:space="preserve">   1</t>
  </si>
  <si>
    <t>ㄷ 형강(단중13.4kg)</t>
  </si>
  <si>
    <t>125mmx65mmx(13.4kg/m)</t>
  </si>
  <si>
    <t>KG</t>
  </si>
  <si>
    <t>_x0007_`COD|M06627_x0005_`QTY1|1_x0005_`BQC|_x0005_`EQC|_x0005_`JDC|_x0005_`WQC|_x0005_`EDT|_x0005_`</t>
  </si>
  <si>
    <t xml:space="preserve">   2</t>
  </si>
  <si>
    <t>0.5HP 30m 0.05㎥/min</t>
  </si>
  <si>
    <t>_x0007_`COD|M06844_x0005_`QTY1|1_x0005_`BQC|_x0005_`EQC|_x0005_`JDC|_x0005_`WQC|_x0005_`EDT|_x0005_`</t>
  </si>
  <si>
    <t xml:space="preserve">   3</t>
  </si>
  <si>
    <t>1.2HP 25m 0.15㎥/min</t>
  </si>
  <si>
    <t>_x0007_`COD|M06686_x0005_`QTY1|1_x0005_`BQC|_x0005_`EQC|_x0005_`JDC|_x0005_`WQC|_x0005_`EDT|_x0005_`</t>
  </si>
  <si>
    <t xml:space="preserve">   4</t>
  </si>
  <si>
    <t>1HP 33m 0.05㎥/min</t>
  </si>
  <si>
    <t>_x0007_`COD|M06505_x0005_`QTY1|1_x0005_`BQC|_x0005_`EQC|_x0005_`JDC|_x0005_`WQC|_x0005_`EDT|_x0005_`</t>
  </si>
  <si>
    <t xml:space="preserve">   5</t>
  </si>
  <si>
    <t>각재</t>
  </si>
  <si>
    <t>각재, 외송</t>
  </si>
  <si>
    <t>_x0007_`COD|M05530_x0005_`QTY1|1_x0005_`BQC|건축분야_x0005_`EQC|_x0005_`JDC|3010369820141038_x0005_`WQC|_x0005_`EDT|_x0005_`</t>
  </si>
  <si>
    <t xml:space="preserve">   6</t>
  </si>
  <si>
    <t>감압밸브</t>
  </si>
  <si>
    <t>D13(15)mm</t>
  </si>
  <si>
    <t>_x0007_`COD|M05093_x0005_`QTY1|1_x0005_`BQC|_x0005_`EQC|_x0005_`JDC|_x0005_`WQC|_x0005_`EDT|_x0005_`</t>
  </si>
  <si>
    <t xml:space="preserve">   7</t>
  </si>
  <si>
    <t>_x0007_`COD|M05094_x0005_`QTY1|1_x0005_`BQC|_x0005_`EQC|_x0005_`JDC|_x0005_`WQC|_x0005_`EDT|_x0005_`</t>
  </si>
  <si>
    <t xml:space="preserve">   8</t>
  </si>
  <si>
    <t>D25mm</t>
  </si>
  <si>
    <t>_x0007_`COD|M05095_x0005_`QTY1|1_x0005_`BQC|_x0005_`EQC|_x0005_`JDC|_x0005_`WQC|_x0005_`EDT|_x0005_`</t>
  </si>
  <si>
    <t xml:space="preserve">   9</t>
  </si>
  <si>
    <t>_x0007_`COD|M05265_x0005_`QTY1|1_x0005_`BQC|_x0005_`EQC|_x0005_`JDC|_x0005_`WQC|_x0005_`EDT|_x0005_`</t>
  </si>
  <si>
    <t xml:space="preserve">  10</t>
  </si>
  <si>
    <t>경유</t>
  </si>
  <si>
    <t>저유황</t>
  </si>
  <si>
    <t>L</t>
  </si>
  <si>
    <t>_x0007_`COD|M00258_x0005_`QTY1|1_x0005_`BQC|_x0005_`EQC|_x0005_`JDC|1510150520282163_x0005_`WQC|_x0005_`EDT|2026.01.06_x0005_`</t>
  </si>
  <si>
    <t xml:space="preserve">  11</t>
  </si>
  <si>
    <t>고무판(보호통받침)</t>
  </si>
  <si>
    <t>t=9.6mm, B=22.5</t>
  </si>
  <si>
    <t>_x0007_`COD|M04153_x0005_`QTY1|1_x0005_`BQC|_x0005_`EQC|_x0005_`JDC|_x0005_`WQC|_x0005_`EDT|_x0005_`</t>
  </si>
  <si>
    <t xml:space="preserve">  12</t>
  </si>
  <si>
    <t>고무패킹</t>
  </si>
  <si>
    <t>D100A</t>
  </si>
  <si>
    <t>_x0007_`COD|M05321_x0005_`QTY1|1_x0005_`BQC|_x0005_`EQC|_x0005_`JDC|_x0005_`WQC|_x0005_`EDT|_x0005_`</t>
  </si>
  <si>
    <t xml:space="preserve">  13</t>
  </si>
  <si>
    <t>D150A</t>
  </si>
  <si>
    <t>_x0007_`COD|M05377_x0005_`QTY1|1_x0005_`BQC|_x0005_`EQC|_x0005_`JDC|_x0005_`WQC|_x0005_`EDT|_x0005_`</t>
  </si>
  <si>
    <t xml:space="preserve">  14</t>
  </si>
  <si>
    <t>D200A</t>
  </si>
  <si>
    <t>_x0007_`COD|M06575_x0005_`QTY1|1_x0005_`BQC|_x0005_`EQC|_x0005_`JDC|_x0005_`WQC|_x0005_`EDT|_x0005_`</t>
  </si>
  <si>
    <t xml:space="preserve">  15</t>
  </si>
  <si>
    <t>D250A</t>
  </si>
  <si>
    <t>_x0007_`COD|M05376_x0005_`QTY1|1_x0005_`BQC|_x0005_`EQC|_x0005_`JDC|_x0005_`WQC|_x0005_`EDT|_x0005_`</t>
  </si>
  <si>
    <t xml:space="preserve">  16</t>
  </si>
  <si>
    <t>D300A</t>
  </si>
  <si>
    <t>_x0007_`COD|M05882_x0005_`QTY1|1_x0005_`BQC|_x0005_`EQC|_x0005_`JDC|_x0005_`WQC|_x0005_`EDT|_x0005_`</t>
  </si>
  <si>
    <t xml:space="preserve">  17</t>
  </si>
  <si>
    <t>D50A</t>
  </si>
  <si>
    <t>_x0007_`COD|M05521_x0005_`QTY1|1_x0005_`BQC|_x0005_`EQC|_x0005_`JDC|_x0005_`WQC|_x0005_`EDT|_x0005_`</t>
  </si>
  <si>
    <t xml:space="preserve">  18</t>
  </si>
  <si>
    <t>D80A</t>
  </si>
  <si>
    <t>_x0007_`COD|M05522_x0005_`QTY1|1_x0005_`BQC|_x0005_`EQC|_x0005_`JDC|_x0005_`WQC|_x0005_`EDT|_x0005_`</t>
  </si>
  <si>
    <t xml:space="preserve">  19</t>
  </si>
  <si>
    <t>고재(철)</t>
  </si>
  <si>
    <t>중량A</t>
  </si>
  <si>
    <t>㎏</t>
  </si>
  <si>
    <t>_x0007_`COD|M05532_x0005_`QTY1|1_x0005_`BQC|_x0005_`EQC|도로_x0005_`JDC|_x0005_`WQC|_x0005_`EDT|_x0005_`</t>
  </si>
  <si>
    <t xml:space="preserve">  20</t>
  </si>
  <si>
    <t>고재처리(스텐레스)</t>
  </si>
  <si>
    <t>_x0007_`COD|M05883_x0005_`QTY1|1_x0005_`BQC|_x0005_`EQC|_x0005_`JDC|_x0005_`WQC|_x0005_`EDT|_x0005_`</t>
  </si>
  <si>
    <t xml:space="preserve">  21</t>
  </si>
  <si>
    <t>_x0007_`COD|M06701_x0005_`QTY1|1_x0005_`BQC|_x0005_`EQC|_x0005_`JDC|_x0005_`WQC|_x0005_`EDT|_x0005_`</t>
  </si>
  <si>
    <t xml:space="preserve">  22</t>
  </si>
  <si>
    <t>STS 10kg D100mm 4t</t>
  </si>
  <si>
    <t>_x0007_`COD|M06571_x0005_`QTY1|1_x0005_`BQC|_x0005_`EQC|_x0005_`JDC|_x0005_`WQC|_x0005_`EDT|_x0005_`</t>
  </si>
  <si>
    <t xml:space="preserve">  23</t>
  </si>
  <si>
    <t>STS 10kg D150mm 3.5t</t>
  </si>
  <si>
    <t>_x0007_`COD|M06702_x0005_`QTY1|1_x0005_`BQC|_x0005_`EQC|_x0005_`JDC|_x0005_`WQC|_x0005_`EDT|_x0005_`</t>
  </si>
  <si>
    <t xml:space="preserve">  24</t>
  </si>
  <si>
    <t>_x0007_`COD|M06697_x0005_`QTY1|1_x0005_`BQC|_x0005_`EQC|_x0005_`JDC|_x0005_`WQC|_x0005_`EDT|_x0005_`</t>
  </si>
  <si>
    <t xml:space="preserve">  25</t>
  </si>
  <si>
    <t>_x0007_`COD|M06699_x0005_`QTY1|1_x0005_`BQC|_x0005_`EQC|_x0005_`JDC|_x0005_`WQC|_x0005_`EDT|_x0005_`</t>
  </si>
  <si>
    <t xml:space="preserve">  26</t>
  </si>
  <si>
    <t>_x0007_`COD|M06700_x0005_`QTY1|1_x0005_`BQC|_x0005_`EQC|_x0005_`JDC|_x0005_`WQC|_x0005_`EDT|_x0005_`</t>
  </si>
  <si>
    <t xml:space="preserve">  27</t>
  </si>
  <si>
    <t>그리스(분무형))</t>
  </si>
  <si>
    <t>WD-40</t>
  </si>
  <si>
    <t>Kg</t>
  </si>
  <si>
    <t>_x0007_`COD|M06738_x0005_`QTY1|1_x0005_`BQC|_x0005_`EQC|_x0005_`JDC|_x0005_`WQC|_x0005_`EDT|_x0005_`</t>
  </si>
  <si>
    <t xml:space="preserve">  28</t>
  </si>
  <si>
    <t>다단터빈 펌프</t>
  </si>
  <si>
    <t>_x0007_`COD|M06538_x0005_`QTY1|1_x0005_`BQC|_x0005_`EQC|_x0005_`JDC|_x0005_`WQC|_x0005_`EDT|_x0005_`</t>
  </si>
  <si>
    <t xml:space="preserve">  29</t>
  </si>
  <si>
    <t>단단 보류트 펌프</t>
  </si>
  <si>
    <t>70HP 70m 70㎥/min</t>
  </si>
  <si>
    <t>_x0007_`COD|M06665_x0005_`QTY1|1_x0005_`BQC|_x0005_`EQC|_x0005_`JDC|_x0005_`WQC|_x0005_`EDT|_x0005_`</t>
  </si>
  <si>
    <t xml:space="preserve">  30</t>
  </si>
  <si>
    <t>0.5HP(11M) 0.15㎥</t>
  </si>
  <si>
    <t>_x0007_`COD|M06688_x0005_`QTY1|1_x0005_`BQC|_x0005_`EQC|_x0005_`JDC|_x0005_`WQC|_x0005_`EDT|_x0005_`</t>
  </si>
  <si>
    <t xml:space="preserve">  31</t>
  </si>
  <si>
    <t>단열볼베어링</t>
  </si>
  <si>
    <t>6322K</t>
  </si>
  <si>
    <t>_x0007_`COD|M06581_x0005_`QTY1|1_x0005_`BQC|_x0005_`EQC|_x0005_`JDC|_x0005_`WQC|_x0005_`EDT|_x0005_`</t>
  </si>
  <si>
    <t xml:space="preserve">  32</t>
  </si>
  <si>
    <t>6322ZZ</t>
  </si>
  <si>
    <t>_x0007_`COD|M06582_x0005_`QTY1|1_x0005_`BQC|_x0005_`EQC|_x0005_`JDC|_x0005_`WQC|_x0005_`EDT|_x0005_`</t>
  </si>
  <si>
    <t xml:space="preserve">  33</t>
  </si>
  <si>
    <t>6324</t>
  </si>
  <si>
    <t>_x0007_`COD|M06583_x0005_`QTY1|1_x0005_`BQC|_x0005_`EQC|_x0005_`JDC|_x0005_`WQC|_x0005_`EDT|_x0005_`</t>
  </si>
  <si>
    <t xml:space="preserve">  34</t>
  </si>
  <si>
    <t>6324ZZ</t>
  </si>
  <si>
    <t>_x0007_`COD|M06584_x0005_`QTY1|1_x0005_`BQC|_x0005_`EQC|_x0005_`JDC|_x0005_`WQC|_x0005_`EDT|_x0005_`</t>
  </si>
  <si>
    <t xml:space="preserve">  35</t>
  </si>
  <si>
    <t>10HP(20~200m)0.05~1.35㎥/min</t>
  </si>
  <si>
    <t>_x0007_`COD|M06655_x0005_`QTY1|1_x0005_`BQC|_x0005_`EQC|_x0005_`JDC|_x0005_`WQC|_x0005_`EDT|_x0005_`</t>
  </si>
  <si>
    <t xml:space="preserve">  36</t>
  </si>
  <si>
    <t>_x0007_`COD|M06663_x0005_`QTY1|1_x0005_`BQC|_x0005_`EQC|_x0005_`JDC|_x0005_`WQC|_x0005_`EDT|_x0005_`</t>
  </si>
  <si>
    <t xml:space="preserve">  37</t>
  </si>
  <si>
    <t>15HP(25~200m)0.05~1.35㎥/min</t>
  </si>
  <si>
    <t>_x0007_`COD|M06656_x0005_`QTY1|1_x0005_`BQC|_x0005_`EQC|_x0005_`JDC|_x0005_`WQC|_x0005_`EDT|_x0005_`</t>
  </si>
  <si>
    <t xml:space="preserve">  38</t>
  </si>
  <si>
    <t>20HP(20~260m)0.05~1.35㎥/min</t>
  </si>
  <si>
    <t>_x0007_`COD|M06657_x0005_`QTY1|1_x0005_`BQC|_x0005_`EQC|_x0005_`JDC|_x0005_`WQC|_x0005_`EDT|_x0005_`</t>
  </si>
  <si>
    <t xml:space="preserve">  39</t>
  </si>
  <si>
    <t>25HP(25~200m)0.05~1.35㎥/min</t>
  </si>
  <si>
    <t>_x0007_`COD|M06658_x0005_`QTY1|1_x0005_`BQC|_x0005_`EQC|_x0005_`JDC|_x0005_`WQC|_x0005_`EDT|_x0005_`</t>
  </si>
  <si>
    <t xml:space="preserve">  40</t>
  </si>
  <si>
    <t>2HP(25~200m)0.01~0.188㎥/min</t>
  </si>
  <si>
    <t>_x0007_`COD|M06651_x0005_`QTY1|1_x0005_`BQC|_x0005_`EQC|_x0005_`JDC|_x0005_`WQC|_x0005_`EDT|_x0005_`</t>
  </si>
  <si>
    <t xml:space="preserve">  41</t>
  </si>
  <si>
    <t>30HP(25~200m)0.05~1.35㎥/min</t>
  </si>
  <si>
    <t>_x0007_`COD|M06659_x0005_`QTY1|1_x0005_`BQC|_x0005_`EQC|_x0005_`JDC|_x0005_`WQC|_x0005_`EDT|_x0005_`</t>
  </si>
  <si>
    <t xml:space="preserve">  42</t>
  </si>
  <si>
    <t>_x0007_`COD|M06652_x0005_`QTY1|1_x0005_`BQC|_x0005_`EQC|_x0005_`JDC|_x0005_`WQC|_x0005_`EDT|_x0005_`</t>
  </si>
  <si>
    <t xml:space="preserve">  43</t>
  </si>
  <si>
    <t>40HP(25~200m)0.05~0.25㎥/min</t>
  </si>
  <si>
    <t>_x0007_`COD|M06660_x0005_`QTY1|1_x0005_`BQC|_x0005_`EQC|_x0005_`JDC|_x0005_`WQC|_x0005_`EDT|_x0005_`</t>
  </si>
  <si>
    <t xml:space="preserve">  44</t>
  </si>
  <si>
    <t>50HP(25~200m)0.05~0.25㎥/min</t>
  </si>
  <si>
    <t>_x0007_`COD|M06661_x0005_`QTY1|1_x0005_`BQC|_x0005_`EQC|_x0005_`JDC|_x0005_`WQC|_x0005_`EDT|_x0005_`</t>
  </si>
  <si>
    <t xml:space="preserve">  45</t>
  </si>
  <si>
    <t>5HP(25~200m)0.05~0.25㎥/min</t>
  </si>
  <si>
    <t>_x0007_`COD|M06653_x0005_`QTY1|1_x0005_`BQC|_x0005_`EQC|_x0005_`JDC|_x0005_`WQC|_x0005_`EDT|_x0005_`</t>
  </si>
  <si>
    <t xml:space="preserve">  46</t>
  </si>
  <si>
    <t>60HP(25~200m)0.3~0.25㎥/min</t>
  </si>
  <si>
    <t>_x0007_`COD|M06662_x0005_`QTY1|1_x0005_`BQC|_x0005_`EQC|_x0005_`JDC|_x0005_`WQC|_x0005_`EDT|_x0005_`</t>
  </si>
  <si>
    <t xml:space="preserve">  47</t>
  </si>
  <si>
    <t>7.5HP(15~120m)0.05~0.4㎥/min</t>
  </si>
  <si>
    <t>_x0007_`COD|M06654_x0005_`QTY1|1_x0005_`BQC|_x0005_`EQC|_x0005_`JDC|_x0005_`WQC|_x0005_`EDT|_x0005_`</t>
  </si>
  <si>
    <t xml:space="preserve">  48</t>
  </si>
  <si>
    <t>_x0007_`COD|M06471_x0005_`QTY1|1_x0005_`BQC|_x0005_`EQC|_x0005_`JDC|_x0005_`WQC|_x0005_`EDT|_x0005_`</t>
  </si>
  <si>
    <t xml:space="preserve">  49</t>
  </si>
  <si>
    <t>_x0007_`COD|M06479_x0005_`QTY1|1_x0005_`BQC|_x0005_`EQC|_x0005_`JDC|_x0005_`WQC|_x0005_`EDT|_x0005_`</t>
  </si>
  <si>
    <t xml:space="preserve">  50</t>
  </si>
  <si>
    <t>_x0007_`COD|M06472_x0005_`QTY1|1_x0005_`BQC|_x0005_`EQC|_x0005_`JDC|_x0005_`WQC|_x0005_`EDT|_x0005_`</t>
  </si>
  <si>
    <t xml:space="preserve">  51</t>
  </si>
  <si>
    <t>_x0007_`COD|M06473_x0005_`QTY1|1_x0005_`BQC|_x0005_`EQC|_x0005_`JDC|_x0005_`WQC|_x0005_`EDT|_x0005_`</t>
  </si>
  <si>
    <t xml:space="preserve">  52</t>
  </si>
  <si>
    <t>_x0007_`COD|M06474_x0005_`QTY1|1_x0005_`BQC|_x0005_`EQC|_x0005_`JDC|_x0005_`WQC|_x0005_`EDT|_x0005_`</t>
  </si>
  <si>
    <t xml:space="preserve">  53</t>
  </si>
  <si>
    <t>_x0007_`COD|M06467_x0005_`QTY1|1_x0005_`BQC|_x0005_`EQC|_x0005_`JDC|_x0005_`WQC|_x0005_`EDT|_x0005_`</t>
  </si>
  <si>
    <t xml:space="preserve">  54</t>
  </si>
  <si>
    <t>_x0007_`COD|M06475_x0005_`QTY1|1_x0005_`BQC|_x0005_`EQC|_x0005_`JDC|_x0005_`WQC|_x0005_`EDT|_x0005_`</t>
  </si>
  <si>
    <t xml:space="preserve">  55</t>
  </si>
  <si>
    <t>_x0007_`COD|M06468_x0005_`QTY1|1_x0005_`BQC|_x0005_`EQC|_x0005_`JDC|_x0005_`WQC|_x0005_`EDT|_x0005_`</t>
  </si>
  <si>
    <t xml:space="preserve">  56</t>
  </si>
  <si>
    <t>_x0007_`COD|M06476_x0005_`QTY1|1_x0005_`BQC|_x0005_`EQC|_x0005_`JDC|_x0005_`WQC|_x0005_`EDT|_x0005_`</t>
  </si>
  <si>
    <t xml:space="preserve">  57</t>
  </si>
  <si>
    <t>_x0007_`COD|M06477_x0005_`QTY1|1_x0005_`BQC|_x0005_`EQC|_x0005_`JDC|_x0005_`WQC|_x0005_`EDT|_x0005_`</t>
  </si>
  <si>
    <t xml:space="preserve">  58</t>
  </si>
  <si>
    <t>5HP(20~260m)0.05~0.25㎥/min</t>
  </si>
  <si>
    <t>_x0007_`COD|M06469_x0005_`QTY1|1_x0005_`BQC|_x0005_`EQC|_x0005_`JDC|_x0005_`WQC|_x0005_`EDT|_x0005_`</t>
  </si>
  <si>
    <t xml:space="preserve">  59</t>
  </si>
  <si>
    <t>_x0007_`COD|M06478_x0005_`QTY1|1_x0005_`BQC|_x0005_`EQC|_x0005_`JDC|_x0005_`WQC|_x0005_`EDT|_x0005_`</t>
  </si>
  <si>
    <t xml:space="preserve">  60</t>
  </si>
  <si>
    <t>_x0007_`COD|M06470_x0005_`QTY1|1_x0005_`BQC|_x0005_`EQC|_x0005_`JDC|_x0005_`WQC|_x0005_`EDT|_x0005_`</t>
  </si>
  <si>
    <t xml:space="preserve">  61</t>
  </si>
  <si>
    <t>렌턴</t>
  </si>
  <si>
    <t>조</t>
  </si>
  <si>
    <t>_x0007_`COD|M06634_x0005_`QTY1|1_x0005_`BQC|_x0005_`EQC|_x0005_`JDC|_x0005_`WQC|_x0005_`EDT|_x0005_`</t>
  </si>
  <si>
    <t xml:space="preserve">  62</t>
  </si>
  <si>
    <t>렌턴베어링</t>
  </si>
  <si>
    <t>_x0007_`COD|M06722_x0005_`QTY1|1_x0005_`BQC|_x0005_`EQC|_x0005_`JDC|_x0005_`WQC|_x0005_`EDT|_x0005_`</t>
  </si>
  <si>
    <t xml:space="preserve">  63</t>
  </si>
  <si>
    <t>멀티조인트</t>
  </si>
  <si>
    <t>100A</t>
  </si>
  <si>
    <t>_x0007_`COD|M06730_x0005_`QTY1|1_x0005_`BQC|_x0005_`EQC|_x0005_`JDC|_x0005_`WQC|_x0005_`EDT|_x0005_`</t>
  </si>
  <si>
    <t xml:space="preserve">  64</t>
  </si>
  <si>
    <t>150A</t>
  </si>
  <si>
    <t>_x0007_`COD|M06731_x0005_`QTY1|1_x0005_`BQC|_x0005_`EQC|_x0005_`JDC|_x0005_`WQC|_x0005_`EDT|_x0005_`</t>
  </si>
  <si>
    <t xml:space="preserve">  65</t>
  </si>
  <si>
    <t>15A</t>
  </si>
  <si>
    <t>_x0007_`COD|M06723_x0005_`QTY1|1_x0005_`BQC|_x0005_`EQC|_x0005_`JDC|_x0005_`WQC|_x0005_`EDT|_x0005_`</t>
  </si>
  <si>
    <t xml:space="preserve">  66</t>
  </si>
  <si>
    <t>200A</t>
  </si>
  <si>
    <t>_x0007_`COD|M06732_x0005_`QTY1|1_x0005_`BQC|_x0005_`EQC|_x0005_`JDC|_x0005_`WQC|_x0005_`EDT|_x0005_`</t>
  </si>
  <si>
    <t xml:space="preserve">  67</t>
  </si>
  <si>
    <t>_x0007_`COD|M06724_x0005_`QTY1|1_x0005_`BQC|_x0005_`EQC|_x0005_`JDC|_x0005_`WQC|_x0005_`EDT|_x0005_`</t>
  </si>
  <si>
    <t xml:space="preserve">  68</t>
  </si>
  <si>
    <t>25A</t>
  </si>
  <si>
    <t>_x0007_`COD|M06725_x0005_`QTY1|1_x0005_`BQC|_x0005_`EQC|_x0005_`JDC|_x0005_`WQC|_x0005_`EDT|_x0005_`</t>
  </si>
  <si>
    <t xml:space="preserve">  69</t>
  </si>
  <si>
    <t>_x0007_`COD|M06726_x0005_`QTY1|1_x0005_`BQC|_x0005_`EQC|_x0005_`JDC|_x0005_`WQC|_x0005_`EDT|_x0005_`</t>
  </si>
  <si>
    <t xml:space="preserve">  70</t>
  </si>
  <si>
    <t>40A</t>
  </si>
  <si>
    <t>_x0007_`COD|M06727_x0005_`QTY1|1_x0005_`BQC|_x0005_`EQC|_x0005_`JDC|_x0005_`WQC|_x0005_`EDT|_x0005_`</t>
  </si>
  <si>
    <t xml:space="preserve">  71</t>
  </si>
  <si>
    <t>50A</t>
  </si>
  <si>
    <t>_x0007_`COD|M06728_x0005_`QTY1|1_x0005_`BQC|_x0005_`EQC|_x0005_`JDC|_x0005_`WQC|_x0005_`EDT|_x0005_`</t>
  </si>
  <si>
    <t xml:space="preserve">  72</t>
  </si>
  <si>
    <t>80A</t>
  </si>
  <si>
    <t>_x0007_`COD|M06729_x0005_`QTY1|1_x0005_`BQC|_x0005_`EQC|_x0005_`JDC|_x0005_`WQC|_x0005_`EDT|_x0005_`</t>
  </si>
  <si>
    <t xml:space="preserve">  73</t>
  </si>
  <si>
    <t>메쉬스크린</t>
  </si>
  <si>
    <t>Φ5x50x150</t>
  </si>
  <si>
    <t>_x0007_`COD|M06644_x0005_`QTY1|1_x0005_`BQC|_x0005_`EQC|_x0005_`JDC|_x0005_`WQC|_x0005_`EDT|_x0005_`</t>
  </si>
  <si>
    <t xml:space="preserve">  74</t>
  </si>
  <si>
    <t>메카니카씰</t>
  </si>
  <si>
    <t>35Φ</t>
  </si>
  <si>
    <t>_x0007_`COD|M06585_x0005_`QTY1|1_x0005_`BQC|_x0005_`EQC|_x0005_`JDC|_x0005_`WQC|_x0005_`EDT|_x0005_`</t>
  </si>
  <si>
    <t xml:space="preserve">  75</t>
  </si>
  <si>
    <t>40Φ</t>
  </si>
  <si>
    <t>_x0007_`COD|M06586_x0005_`QTY1|1_x0005_`BQC|_x0005_`EQC|_x0005_`JDC|_x0005_`WQC|_x0005_`EDT|_x0005_`</t>
  </si>
  <si>
    <t xml:space="preserve">  76</t>
  </si>
  <si>
    <t>_x0007_`COD|M06587_x0005_`QTY1|1_x0005_`BQC|_x0005_`EQC|_x0005_`JDC|_x0005_`WQC|_x0005_`EDT|_x0005_`</t>
  </si>
  <si>
    <t xml:space="preserve">  77</t>
  </si>
  <si>
    <t>60Φ</t>
  </si>
  <si>
    <t>_x0007_`COD|M06588_x0005_`QTY1|1_x0005_`BQC|_x0005_`EQC|_x0005_`JDC|_x0005_`WQC|_x0005_`EDT|_x0005_`</t>
  </si>
  <si>
    <t xml:space="preserve">  78</t>
  </si>
  <si>
    <t>모래</t>
  </si>
  <si>
    <t>시내도착도</t>
  </si>
  <si>
    <t>_x0007_`COD|M03575_x0005_`QTY1|1_x0005_`BQC|_x0005_`EQC|_x0005_`JDC|_x0005_`WQC|_x0005_`EDT|_x0005_`</t>
  </si>
  <si>
    <t xml:space="preserve">  79</t>
  </si>
  <si>
    <t>모터 펌프받침대</t>
  </si>
  <si>
    <t>(10HP 이하, 7.5KW)</t>
  </si>
  <si>
    <t>_x0007_`COD|M05489_x0005_`QTY1|1_x0005_`BQC|_x0005_`EQC|_x0005_`JDC|_x0005_`WQC|_x0005_`EDT|_x0005_`</t>
  </si>
  <si>
    <t xml:space="preserve">  80</t>
  </si>
  <si>
    <t>(30HP 이하, 7.5KW)</t>
  </si>
  <si>
    <t>_x0007_`COD|M06573_x0005_`QTY1|1_x0005_`BQC|_x0005_`EQC|_x0005_`JDC|_x0005_`WQC|_x0005_`EDT|_x0005_`</t>
  </si>
  <si>
    <t xml:space="preserve">  81</t>
  </si>
  <si>
    <t>모터버어링</t>
  </si>
  <si>
    <t>_x0007_`COD|M06636_x0005_`QTY1|1_x0005_`BQC|_x0005_`EQC|_x0005_`JDC|_x0005_`WQC|_x0005_`EDT|_x0005_`</t>
  </si>
  <si>
    <t xml:space="preserve">  82</t>
  </si>
  <si>
    <t>몰탈(일반미장용)</t>
  </si>
  <si>
    <t>40kg/포</t>
  </si>
  <si>
    <t>포</t>
  </si>
  <si>
    <t>_x0007_`COD|M06734_x0005_`QTY1|1_x0005_`BQC|_x0005_`EQC|_x0005_`JDC|_x0005_`WQC|_x0005_`EDT|_x0005_`</t>
  </si>
  <si>
    <t xml:space="preserve">  83</t>
  </si>
  <si>
    <t>밀폐식 압력탱크</t>
  </si>
  <si>
    <t>100L 10B</t>
  </si>
  <si>
    <t>_x0007_`COD|M06676_x0005_`QTY1|1_x0005_`BQC|_x0005_`EQC|_x0005_`JDC|_x0005_`WQC|_x0005_`EDT|_x0005_`</t>
  </si>
  <si>
    <t xml:space="preserve">  84</t>
  </si>
  <si>
    <t>200L 10B</t>
  </si>
  <si>
    <t>_x0007_`COD|M06677_x0005_`QTY1|1_x0005_`BQC|_x0005_`EQC|_x0005_`JDC|_x0005_`WQC|_x0005_`EDT|_x0005_`</t>
  </si>
  <si>
    <t xml:space="preserve">  85</t>
  </si>
  <si>
    <t>300L 10B</t>
  </si>
  <si>
    <t>_x0007_`COD|M06678_x0005_`QTY1|1_x0005_`BQC|_x0005_`EQC|_x0005_`JDC|_x0005_`WQC|_x0005_`EDT|_x0005_`</t>
  </si>
  <si>
    <t xml:space="preserve">  86</t>
  </si>
  <si>
    <t>400L 16B</t>
  </si>
  <si>
    <t>_x0007_`COD|M06680_x0005_`QTY1|1_x0005_`BQC|_x0005_`EQC|_x0005_`JDC|_x0005_`WQC|_x0005_`EDT|_x0005_`</t>
  </si>
  <si>
    <t xml:space="preserve">  87</t>
  </si>
  <si>
    <t>500L 16B</t>
  </si>
  <si>
    <t>_x0007_`COD|M06679_x0005_`QTY1|1_x0005_`BQC|_x0005_`EQC|_x0005_`JDC|_x0005_`WQC|_x0005_`EDT|_x0005_`</t>
  </si>
  <si>
    <t xml:space="preserve">  88</t>
  </si>
  <si>
    <t>60L 10B</t>
  </si>
  <si>
    <t>_x0007_`COD|M06675_x0005_`QTY1|1_x0005_`BQC|_x0005_`EQC|_x0005_`JDC|_x0005_`WQC|_x0005_`EDT|_x0005_`</t>
  </si>
  <si>
    <t xml:space="preserve">  89</t>
  </si>
  <si>
    <t>발수제</t>
  </si>
  <si>
    <t>ℓ</t>
  </si>
  <si>
    <t>_x0007_`COD|M06736_x0005_`QTY1|1_x0005_`BQC|_x0005_`EQC|_x0005_`JDC|_x0005_`WQC|_x0005_`EDT|_x0005_`</t>
  </si>
  <si>
    <t xml:space="preserve">  90</t>
  </si>
  <si>
    <t>방청윤활제</t>
  </si>
  <si>
    <t>K-1윤활이형제(360mℓ )</t>
  </si>
  <si>
    <t>EA</t>
  </si>
  <si>
    <t>_x0007_`COD|M06737_x0005_`QTY1|1_x0005_`BQC|_x0005_`EQC|_x0005_`JDC|_x0005_`WQC|_x0005_`EDT|_x0005_`</t>
  </si>
  <si>
    <t xml:space="preserve">  91</t>
  </si>
  <si>
    <t>배관받침대</t>
  </si>
  <si>
    <t xml:space="preserve"> 150A 이하</t>
  </si>
  <si>
    <t>_x0007_`COD|M06383_x0005_`QTY1|1_x0005_`BQC|_x0005_`EQC|_x0005_`JDC|_x0005_`WQC|_x0005_`EDT|_x0005_`</t>
  </si>
  <si>
    <t xml:space="preserve">  92</t>
  </si>
  <si>
    <t xml:space="preserve"> 300A 이하</t>
  </si>
  <si>
    <t>_x0007_`COD|M06572_x0005_`QTY1|1_x0005_`BQC|_x0005_`EQC|_x0005_`JDC|_x0005_`WQC|_x0005_`EDT|_x0005_`</t>
  </si>
  <si>
    <t xml:space="preserve">  93</t>
  </si>
  <si>
    <t>10HP (30m)0.80㎥</t>
  </si>
  <si>
    <t>_x0007_`COD|M06668_x0005_`QTY1|1_x0005_`BQC|_x0005_`EQC|_x0005_`JDC|_x0005_`WQC|_x0005_`EDT|_x0005_`</t>
  </si>
  <si>
    <t xml:space="preserve">  94</t>
  </si>
  <si>
    <t>1HP (12m)0.16㎥</t>
  </si>
  <si>
    <t>_x0007_`COD|M06522_x0005_`QTY1|1_x0005_`BQC|_x0005_`EQC|_x0005_`JDC|_x0005_`WQC|_x0005_`EDT|_x0005_`</t>
  </si>
  <si>
    <t xml:space="preserve">  95</t>
  </si>
  <si>
    <t>2HP (15m)0.25㎥</t>
  </si>
  <si>
    <t>_x0007_`COD|M06523_x0005_`QTY1|1_x0005_`BQC|_x0005_`EQC|_x0005_`JDC|_x0005_`WQC|_x0005_`EDT|_x0005_`</t>
  </si>
  <si>
    <t xml:space="preserve">  96</t>
  </si>
  <si>
    <t>3HP (20m)0.30㎥</t>
  </si>
  <si>
    <t>_x0007_`COD|M06524_x0005_`QTY1|1_x0005_`BQC|_x0005_`EQC|_x0005_`JDC|_x0005_`WQC|_x0005_`EDT|_x0005_`</t>
  </si>
  <si>
    <t xml:space="preserve">  97</t>
  </si>
  <si>
    <t>5HP (20m)0.50㎥</t>
  </si>
  <si>
    <t>_x0007_`COD|M06666_x0005_`QTY1|1_x0005_`BQC|_x0005_`EQC|_x0005_`JDC|_x0005_`WQC|_x0005_`EDT|_x0005_`</t>
  </si>
  <si>
    <t xml:space="preserve">  98</t>
  </si>
  <si>
    <t>7.5HP (20m)0.60㎥</t>
  </si>
  <si>
    <t>_x0007_`COD|M06667_x0005_`QTY1|1_x0005_`BQC|_x0005_`EQC|_x0005_`JDC|_x0005_`WQC|_x0005_`EDT|_x0005_`</t>
  </si>
  <si>
    <t xml:space="preserve">  99</t>
  </si>
  <si>
    <t>20HP (15m)7.0㎥ 250A</t>
  </si>
  <si>
    <t>_x0007_`COD|M06669_x0005_`QTY1|1_x0005_`BQC|_x0005_`EQC|_x0005_`JDC|_x0005_`WQC|_x0005_`EDT|_x0005_`</t>
  </si>
  <si>
    <t xml:space="preserve"> 100</t>
  </si>
  <si>
    <t>30HP (22m)10.0㎥ 300A</t>
  </si>
  <si>
    <t>_x0007_`COD|M06670_x0005_`QTY1|1_x0005_`BQC|_x0005_`EQC|_x0005_`JDC|_x0005_`WQC|_x0005_`EDT|_x0005_`</t>
  </si>
  <si>
    <t xml:space="preserve"> 101</t>
  </si>
  <si>
    <t>40HP (30m)15.0㎥ 350A</t>
  </si>
  <si>
    <t>_x0007_`COD|M06671_x0005_`QTY1|1_x0005_`BQC|_x0005_`EQC|_x0005_`JDC|_x0005_`WQC|_x0005_`EDT|_x0005_`</t>
  </si>
  <si>
    <t xml:space="preserve"> 102</t>
  </si>
  <si>
    <t>50HP (37m)20.0㎥ 400A</t>
  </si>
  <si>
    <t>_x0007_`COD|M06672_x0005_`QTY1|1_x0005_`BQC|_x0005_`EQC|_x0005_`JDC|_x0005_`WQC|_x0005_`EDT|_x0005_`</t>
  </si>
  <si>
    <t xml:space="preserve"> 103</t>
  </si>
  <si>
    <t>버터플라이 밸브용 0.5HP,80~150mm</t>
  </si>
  <si>
    <t>_x0007_`COD|M06535_x0005_`QTY1|1_x0005_`BQC|_x0005_`EQC|_x0005_`JDC|_x0005_`WQC|_x0005_`EDT|_x0005_`</t>
  </si>
  <si>
    <t xml:space="preserve"> 104</t>
  </si>
  <si>
    <t>버터플라이 밸브용 1HP,80~150mm</t>
  </si>
  <si>
    <t>_x0007_`COD|M06536_x0005_`QTY1|1_x0005_`BQC|_x0005_`EQC|_x0005_`JDC|_x0005_`WQC|_x0005_`EDT|_x0005_`</t>
  </si>
  <si>
    <t xml:space="preserve"> 105</t>
  </si>
  <si>
    <t>버터플라이 밸브용 2HP,80~150mm</t>
  </si>
  <si>
    <t>_x0007_`COD|M06537_x0005_`QTY1|1_x0005_`BQC|_x0005_`EQC|_x0005_`JDC|_x0005_`WQC|_x0005_`EDT|_x0005_`</t>
  </si>
  <si>
    <t xml:space="preserve"> 106</t>
  </si>
  <si>
    <t>버터플라이 밸브용 3HP,80~150mm</t>
  </si>
  <si>
    <t>_x0007_`COD|M06681_x0005_`QTY1|1_x0005_`BQC|_x0005_`EQC|_x0005_`JDC|_x0005_`WQC|_x0005_`EDT|_x0005_`</t>
  </si>
  <si>
    <t xml:space="preserve"> 107</t>
  </si>
  <si>
    <t>버터플라이밸브</t>
  </si>
  <si>
    <t>SUS304 래버식수동 10kg D100mm</t>
  </si>
  <si>
    <t>_x0007_`COD|M06559_x0005_`QTY1|1_x0005_`BQC|_x0005_`EQC|_x0005_`JDC|_x0005_`WQC|_x0005_`EDT|_x0005_`</t>
  </si>
  <si>
    <t xml:space="preserve"> 108</t>
  </si>
  <si>
    <t>SUS304 래버식수동 10kg D150mm</t>
  </si>
  <si>
    <t>_x0007_`COD|M06560_x0005_`QTY1|1_x0005_`BQC|_x0005_`EQC|_x0005_`JDC|_x0005_`WQC|_x0005_`EDT|_x0005_`</t>
  </si>
  <si>
    <t xml:space="preserve"> 109</t>
  </si>
  <si>
    <t>SUS304 래버식수동 10kg D200mm</t>
  </si>
  <si>
    <t>_x0007_`COD|M06561_x0005_`QTY1|1_x0005_`BQC|_x0005_`EQC|_x0005_`JDC|_x0005_`WQC|_x0005_`EDT|_x0005_`</t>
  </si>
  <si>
    <t xml:space="preserve"> 110</t>
  </si>
  <si>
    <t>SUS304 래버식수동 10kg D50mm</t>
  </si>
  <si>
    <t>_x0007_`COD|M06557_x0005_`QTY1|1_x0005_`BQC|_x0005_`EQC|_x0005_`JDC|_x0005_`WQC|_x0005_`EDT|_x0005_`</t>
  </si>
  <si>
    <t xml:space="preserve"> 111</t>
  </si>
  <si>
    <t>SUS304 래버식수동 10kg D80mm</t>
  </si>
  <si>
    <t>_x0007_`COD|M06558_x0005_`QTY1|1_x0005_`BQC|_x0005_`EQC|_x0005_`JDC|_x0005_`WQC|_x0005_`EDT|_x0005_`</t>
  </si>
  <si>
    <t xml:space="preserve"> 112</t>
  </si>
  <si>
    <t>보조밴드</t>
  </si>
  <si>
    <t>67x63x54x2.3t</t>
  </si>
  <si>
    <t>_x0007_`COD|M06649_x0005_`QTY1|1_x0005_`BQC|_x0005_`EQC|_x0005_`JDC|_x0005_`WQC|_x0005_`EDT|_x0005_`</t>
  </si>
  <si>
    <t xml:space="preserve"> 113</t>
  </si>
  <si>
    <t>보조볼트너트</t>
  </si>
  <si>
    <t>Φ8x12</t>
  </si>
  <si>
    <t>_x0007_`COD|M06650_x0005_`QTY1|1_x0005_`BQC|_x0005_`EQC|_x0005_`JDC|_x0005_`WQC|_x0005_`EDT|_x0005_`</t>
  </si>
  <si>
    <t xml:space="preserve"> 114</t>
  </si>
  <si>
    <t>보조지주</t>
  </si>
  <si>
    <t>_x0007_`COD|M06648_x0005_`QTY1|1_x0005_`BQC|_x0005_`EQC|_x0005_`JDC|_x0005_`WQC|_x0005_`EDT|_x0005_`</t>
  </si>
  <si>
    <t xml:space="preserve"> 115</t>
  </si>
  <si>
    <t>복열볼베어링</t>
  </si>
  <si>
    <t>2314K</t>
  </si>
  <si>
    <t>_x0007_`COD|M06579_x0005_`QTY1|1_x0005_`BQC|_x0005_`EQC|_x0005_`JDC|_x0005_`WQC|_x0005_`EDT|_x0005_`</t>
  </si>
  <si>
    <t xml:space="preserve"> 116</t>
  </si>
  <si>
    <t>2315K</t>
  </si>
  <si>
    <t>_x0007_`COD|M06580_x0005_`QTY1|1_x0005_`BQC|_x0005_`EQC|_x0005_`JDC|_x0005_`WQC|_x0005_`EDT|_x0005_`</t>
  </si>
  <si>
    <t xml:space="preserve"> 117</t>
  </si>
  <si>
    <t>볼밸브</t>
  </si>
  <si>
    <t>D=13mm</t>
  </si>
  <si>
    <t>_x0007_`COD|M03058_x0005_`QTY1|1_x0005_`BQC|_x0005_`EQC|_x0005_`JDC|_x0005_`WQC|_x0005_`EDT|_x0005_`</t>
  </si>
  <si>
    <t xml:space="preserve"> 118</t>
  </si>
  <si>
    <t>D=20mm</t>
  </si>
  <si>
    <t>_x0007_`COD|M01440_x0005_`QTY1|1_x0005_`BQC|_x0005_`EQC|_x0005_`JDC|_x0005_`WQC|_x0005_`EDT|_x0005_`</t>
  </si>
  <si>
    <t xml:space="preserve"> 119</t>
  </si>
  <si>
    <t>D=32mm</t>
  </si>
  <si>
    <t>_x0007_`COD|M05266_x0005_`QTY1|1_x0005_`BQC|_x0005_`EQC|_x0005_`JDC|_x0005_`WQC|_x0005_`EDT|_x0005_`</t>
  </si>
  <si>
    <t xml:space="preserve"> 120</t>
  </si>
  <si>
    <t>D=40mm</t>
  </si>
  <si>
    <t>_x0007_`COD|M03184_x0005_`QTY1|1_x0005_`BQC|_x0005_`EQC|_x0005_`JDC|_x0005_`WQC|_x0005_`EDT|_x0005_`</t>
  </si>
  <si>
    <t xml:space="preserve"> 121</t>
  </si>
  <si>
    <t>D=50mm</t>
  </si>
  <si>
    <t>_x0007_`COD|M03752_x0005_`QTY1|1_x0005_`BQC|_x0005_`EQC|_x0005_`JDC|_x0005_`WQC|_x0005_`EDT|_x0005_`</t>
  </si>
  <si>
    <t xml:space="preserve"> 122</t>
  </si>
  <si>
    <t>10HP SBI 32-2</t>
  </si>
  <si>
    <t>_x0007_`COD|M06515_x0005_`QTY1|1_x0005_`BQC|_x0005_`EQC|_x0005_`JDC|_x0005_`WQC|_x0005_`EDT|_x0005_`</t>
  </si>
  <si>
    <t xml:space="preserve"> 123</t>
  </si>
  <si>
    <t>15HP SBI 64-1</t>
  </si>
  <si>
    <t>_x0007_`COD|M06516_x0005_`QTY1|1_x0005_`BQC|_x0005_`EQC|_x0005_`JDC|_x0005_`WQC|_x0005_`EDT|_x0005_`</t>
  </si>
  <si>
    <t xml:space="preserve"> 124</t>
  </si>
  <si>
    <t>1HP SBI 3-5</t>
  </si>
  <si>
    <t>_x0007_`COD|M06510_x0005_`QTY1|1_x0005_`BQC|_x0005_`EQC|_x0005_`JDC|_x0005_`WQC|_x0005_`EDT|_x0005_`</t>
  </si>
  <si>
    <t xml:space="preserve"> 125</t>
  </si>
  <si>
    <t>20HP SBI 64-1</t>
  </si>
  <si>
    <t>_x0007_`COD|M06517_x0005_`QTY1|1_x0005_`BQC|_x0005_`EQC|_x0005_`JDC|_x0005_`WQC|_x0005_`EDT|_x0005_`</t>
  </si>
  <si>
    <t xml:space="preserve"> 126</t>
  </si>
  <si>
    <t>2HP SBI 3-9</t>
  </si>
  <si>
    <t>_x0007_`COD|M06511_x0005_`QTY1|1_x0005_`BQC|_x0005_`EQC|_x0005_`JDC|_x0005_`WQC|_x0005_`EDT|_x0005_`</t>
  </si>
  <si>
    <t xml:space="preserve"> 127</t>
  </si>
  <si>
    <t>30HP SBI 64-2</t>
  </si>
  <si>
    <t>_x0007_`COD|M06518_x0005_`QTY1|1_x0005_`BQC|_x0005_`EQC|_x0005_`JDC|_x0005_`WQC|_x0005_`EDT|_x0005_`</t>
  </si>
  <si>
    <t xml:space="preserve"> 128</t>
  </si>
  <si>
    <t>3HP SBI 32-1-1</t>
  </si>
  <si>
    <t>_x0007_`COD|M06512_x0005_`QTY1|1_x0005_`BQC|_x0005_`EQC|_x0005_`JDC|_x0005_`WQC|_x0005_`EDT|_x0005_`</t>
  </si>
  <si>
    <t xml:space="preserve"> 129</t>
  </si>
  <si>
    <t>40HP SBI 64-3-1</t>
  </si>
  <si>
    <t>_x0007_`COD|M06519_x0005_`QTY1|1_x0005_`BQC|_x0005_`EQC|_x0005_`JDC|_x0005_`WQC|_x0005_`EDT|_x0005_`</t>
  </si>
  <si>
    <t xml:space="preserve"> 130</t>
  </si>
  <si>
    <t>50HP SBI 64-3-1</t>
  </si>
  <si>
    <t>_x0007_`COD|M06520_x0005_`QTY1|1_x0005_`BQC|_x0005_`EQC|_x0005_`JDC|_x0005_`WQC|_x0005_`EDT|_x0005_`</t>
  </si>
  <si>
    <t xml:space="preserve"> 131</t>
  </si>
  <si>
    <t>5HP SBI 20-2</t>
  </si>
  <si>
    <t>_x0007_`COD|M06513_x0005_`QTY1|1_x0005_`BQC|_x0005_`EQC|_x0005_`JDC|_x0005_`WQC|_x0005_`EDT|_x0005_`</t>
  </si>
  <si>
    <t xml:space="preserve"> 132</t>
  </si>
  <si>
    <t>60HP SBI 64-5-2</t>
  </si>
  <si>
    <t>_x0007_`COD|M06521_x0005_`QTY1|1_x0005_`BQC|_x0005_`EQC|_x0005_`JDC|_x0005_`WQC|_x0005_`EDT|_x0005_`</t>
  </si>
  <si>
    <t xml:space="preserve"> 133</t>
  </si>
  <si>
    <t>7.5HP SBI 45-1-1</t>
  </si>
  <si>
    <t>_x0007_`COD|M06514_x0005_`QTY1|1_x0005_`BQC|_x0005_`EQC|_x0005_`JDC|_x0005_`WQC|_x0005_`EDT|_x0005_`</t>
  </si>
  <si>
    <t xml:space="preserve"> 134</t>
  </si>
  <si>
    <t>부시홀더</t>
  </si>
  <si>
    <t>_x0007_`COD|M06633_x0005_`QTY1|1_x0005_`BQC|_x0005_`EQC|_x0005_`JDC|_x0005_`WQC|_x0005_`EDT|_x0005_`</t>
  </si>
  <si>
    <t xml:space="preserve"> 135</t>
  </si>
  <si>
    <t>소켓</t>
  </si>
  <si>
    <t>STS 20A 원터치</t>
  </si>
  <si>
    <t>_x0007_`COD|M06614_x0005_`QTY1|1_x0005_`BQC|_x0005_`EQC|_x0005_`JDC|_x0005_`WQC|_x0005_`EDT|_x0005_`</t>
  </si>
  <si>
    <t xml:space="preserve"> 136</t>
  </si>
  <si>
    <t>STS 30A 원터치</t>
  </si>
  <si>
    <t>_x0007_`COD|M06615_x0005_`QTY1|1_x0005_`BQC|_x0005_`EQC|_x0005_`JDC|_x0005_`WQC|_x0005_`EDT|_x0005_`</t>
  </si>
  <si>
    <t xml:space="preserve"> 137</t>
  </si>
  <si>
    <t>STS 40A 원터치</t>
  </si>
  <si>
    <t>_x0007_`COD|M06719_x0005_`QTY1|1_x0005_`BQC|_x0005_`EQC|_x0005_`JDC|_x0005_`WQC|_x0005_`EDT|_x0005_`</t>
  </si>
  <si>
    <t xml:space="preserve"> 138</t>
  </si>
  <si>
    <t>STS 50A 원터치</t>
  </si>
  <si>
    <t>_x0007_`COD|M06616_x0005_`QTY1|1_x0005_`BQC|_x0005_`EQC|_x0005_`JDC|_x0005_`WQC|_x0005_`EDT|_x0005_`</t>
  </si>
  <si>
    <t xml:space="preserve"> 139</t>
  </si>
  <si>
    <t>소프트제수제수밸브</t>
  </si>
  <si>
    <t>_x0007_`COD|M06540_x0005_`QTY1|1_x0005_`BQC|_x0005_`EQC|_x0005_`JDC|_x0005_`WQC|_x0005_`EDT|_x0005_`</t>
  </si>
  <si>
    <t xml:space="preserve"> 140</t>
  </si>
  <si>
    <t>_x0007_`COD|M06541_x0005_`QTY1|1_x0005_`BQC|_x0005_`EQC|_x0005_`JDC|_x0005_`WQC|_x0005_`EDT|_x0005_`</t>
  </si>
  <si>
    <t xml:space="preserve"> 141</t>
  </si>
  <si>
    <t>_x0007_`COD|M06542_x0005_`QTY1|1_x0005_`BQC|_x0005_`EQC|_x0005_`JDC|_x0005_`WQC|_x0005_`EDT|_x0005_`</t>
  </si>
  <si>
    <t xml:space="preserve"> 142</t>
  </si>
  <si>
    <t>_x0007_`COD|M06539_x0005_`QTY1|1_x0005_`BQC|_x0005_`EQC|_x0005_`JDC|_x0005_`WQC|_x0005_`EDT|_x0005_`</t>
  </si>
  <si>
    <t xml:space="preserve"> 143</t>
  </si>
  <si>
    <t>10HP(380V) 6"</t>
  </si>
  <si>
    <t>_x0007_`COD|M06484_x0005_`QTY1|1_x0005_`BQC|_x0005_`EQC|_x0005_`JDC|_x0005_`WQC|_x0005_`EDT|_x0005_`</t>
  </si>
  <si>
    <t xml:space="preserve"> 144</t>
  </si>
  <si>
    <t>150HP(380V) 6"</t>
  </si>
  <si>
    <t>_x0007_`COD|M06492_x0005_`QTY1|1_x0005_`BQC|_x0005_`EQC|_x0005_`JDC|_x0005_`WQC|_x0005_`EDT|_x0005_`</t>
  </si>
  <si>
    <t xml:space="preserve"> 145</t>
  </si>
  <si>
    <t>15HP(380V) 6"</t>
  </si>
  <si>
    <t>_x0007_`COD|M06485_x0005_`QTY1|1_x0005_`BQC|_x0005_`EQC|_x0005_`JDC|_x0005_`WQC|_x0005_`EDT|_x0005_`</t>
  </si>
  <si>
    <t xml:space="preserve"> 146</t>
  </si>
  <si>
    <t>20HP(380V) 6"</t>
  </si>
  <si>
    <t>_x0007_`COD|M06486_x0005_`QTY1|1_x0005_`BQC|_x0005_`EQC|_x0005_`JDC|_x0005_`WQC|_x0005_`EDT|_x0005_`</t>
  </si>
  <si>
    <t xml:space="preserve"> 147</t>
  </si>
  <si>
    <t>25HP(380V) 6"</t>
  </si>
  <si>
    <t>_x0007_`COD|M06487_x0005_`QTY1|1_x0005_`BQC|_x0005_`EQC|_x0005_`JDC|_x0005_`WQC|_x0005_`EDT|_x0005_`</t>
  </si>
  <si>
    <t xml:space="preserve"> 148</t>
  </si>
  <si>
    <t>2HP(380V) 4"</t>
  </si>
  <si>
    <t>_x0007_`COD|M06480_x0005_`QTY1|1_x0005_`BQC|_x0005_`EQC|_x0005_`JDC|_x0005_`WQC|_x0005_`EDT|_x0005_`</t>
  </si>
  <si>
    <t xml:space="preserve"> 149</t>
  </si>
  <si>
    <t>30HP(380V) 6"</t>
  </si>
  <si>
    <t>_x0007_`COD|M06488_x0005_`QTY1|1_x0005_`BQC|_x0005_`EQC|_x0005_`JDC|_x0005_`WQC|_x0005_`EDT|_x0005_`</t>
  </si>
  <si>
    <t xml:space="preserve"> 150</t>
  </si>
  <si>
    <t>3HP(380V) 4"</t>
  </si>
  <si>
    <t>_x0007_`COD|M06481_x0005_`QTY1|1_x0005_`BQC|_x0005_`EQC|_x0005_`JDC|_x0005_`WQC|_x0005_`EDT|_x0005_`</t>
  </si>
  <si>
    <t xml:space="preserve"> 151</t>
  </si>
  <si>
    <t>40HP(380V) 6"</t>
  </si>
  <si>
    <t>_x0007_`COD|M06489_x0005_`QTY1|1_x0005_`BQC|_x0005_`EQC|_x0005_`JDC|_x0005_`WQC|_x0005_`EDT|_x0005_`</t>
  </si>
  <si>
    <t xml:space="preserve"> 152</t>
  </si>
  <si>
    <t>50HP(380V) 6"</t>
  </si>
  <si>
    <t>_x0007_`COD|M06490_x0005_`QTY1|1_x0005_`BQC|_x0005_`EQC|_x0005_`JDC|_x0005_`WQC|_x0005_`EDT|_x0005_`</t>
  </si>
  <si>
    <t xml:space="preserve"> 153</t>
  </si>
  <si>
    <t>5HP(380V) 4"</t>
  </si>
  <si>
    <t>_x0007_`COD|M06482_x0005_`QTY1|1_x0005_`BQC|_x0005_`EQC|_x0005_`JDC|_x0005_`WQC|_x0005_`EDT|_x0005_`</t>
  </si>
  <si>
    <t xml:space="preserve"> 154</t>
  </si>
  <si>
    <t>60HP(380V) 6"</t>
  </si>
  <si>
    <t>_x0007_`COD|M06491_x0005_`QTY1|1_x0005_`BQC|_x0005_`EQC|_x0005_`JDC|_x0005_`WQC|_x0005_`EDT|_x0005_`</t>
  </si>
  <si>
    <t xml:space="preserve"> 155</t>
  </si>
  <si>
    <t>7.5HP(380V) 6"</t>
  </si>
  <si>
    <t>_x0007_`COD|M06483_x0005_`QTY1|1_x0005_`BQC|_x0005_`EQC|_x0005_`JDC|_x0005_`WQC|_x0005_`EDT|_x0005_`</t>
  </si>
  <si>
    <t xml:space="preserve"> 156</t>
  </si>
  <si>
    <t>10HP(180m) 482㎥/D</t>
  </si>
  <si>
    <t>_x0007_`COD|M06664_x0005_`QTY1|1_x0005_`BQC|_x0005_`EQC|_x0005_`JDC|_x0005_`WQC|_x0005_`EDT|_x0005_`</t>
  </si>
  <si>
    <t xml:space="preserve"> 157</t>
  </si>
  <si>
    <t>_x0007_`COD|M06504_x0005_`QTY1|1_x0005_`BQC|_x0005_`EQC|_x0005_`JDC|_x0005_`WQC|_x0005_`EDT|_x0005_`</t>
  </si>
  <si>
    <t xml:space="preserve"> 158</t>
  </si>
  <si>
    <t>15HP(150m) 780㎥/D</t>
  </si>
  <si>
    <t>_x0007_`COD|M06497_x0005_`QTY1|1_x0005_`BQC|_x0005_`EQC|_x0005_`JDC|_x0005_`WQC|_x0005_`EDT|_x0005_`</t>
  </si>
  <si>
    <t xml:space="preserve"> 159</t>
  </si>
  <si>
    <t>20HP(220m) 785㎥/D</t>
  </si>
  <si>
    <t>_x0007_`COD|M06498_x0005_`QTY1|1_x0005_`BQC|_x0005_`EQC|_x0005_`JDC|_x0005_`WQC|_x0005_`EDT|_x0005_`</t>
  </si>
  <si>
    <t xml:space="preserve"> 160</t>
  </si>
  <si>
    <t>_x0007_`COD|M06499_x0005_`QTY1|1_x0005_`BQC|_x0005_`EQC|_x0005_`JDC|_x0005_`WQC|_x0005_`EDT|_x0005_`</t>
  </si>
  <si>
    <t xml:space="preserve"> 161</t>
  </si>
  <si>
    <t>2HP(70m) 272㎥/D</t>
  </si>
  <si>
    <t>_x0007_`COD|M06493_x0005_`QTY1|1_x0005_`BQC|_x0005_`EQC|_x0005_`JDC|_x0005_`WQC|_x0005_`EDT|_x0005_`</t>
  </si>
  <si>
    <t xml:space="preserve"> 162</t>
  </si>
  <si>
    <t>_x0007_`COD|M06500_x0005_`QTY1|1_x0005_`BQC|_x0005_`EQC|_x0005_`JDC|_x0005_`WQC|_x0005_`EDT|_x0005_`</t>
  </si>
  <si>
    <t xml:space="preserve"> 163</t>
  </si>
  <si>
    <t>3HP(50m) 494㎥/D</t>
  </si>
  <si>
    <t>_x0007_`COD|M06494_x0005_`QTY1|1_x0005_`BQC|_x0005_`EQC|_x0005_`JDC|_x0005_`WQC|_x0005_`EDT|_x0005_`</t>
  </si>
  <si>
    <t xml:space="preserve"> 164</t>
  </si>
  <si>
    <t>40HP(170m)3528㎥/D</t>
  </si>
  <si>
    <t>_x0007_`COD|M06501_x0005_`QTY1|1_x0005_`BQC|_x0005_`EQC|_x0005_`JDC|_x0005_`WQC|_x0005_`EDT|_x0005_`</t>
  </si>
  <si>
    <t xml:space="preserve"> 165</t>
  </si>
  <si>
    <t>50HP(150m)3540㎥/D</t>
  </si>
  <si>
    <t>_x0007_`COD|M06502_x0005_`QTY1|1_x0005_`BQC|_x0005_`EQC|_x0005_`JDC|_x0005_`WQC|_x0005_`EDT|_x0005_`</t>
  </si>
  <si>
    <t xml:space="preserve"> 166</t>
  </si>
  <si>
    <t>5HP(160m) 287㎥/D</t>
  </si>
  <si>
    <t>_x0007_`COD|M06495_x0005_`QTY1|1_x0005_`BQC|_x0005_`EQC|_x0005_`JDC|_x0005_`WQC|_x0005_`EDT|_x0005_`</t>
  </si>
  <si>
    <t xml:space="preserve"> 167</t>
  </si>
  <si>
    <t>_x0007_`COD|M06503_x0005_`QTY1|1_x0005_`BQC|_x0005_`EQC|_x0005_`JDC|_x0005_`WQC|_x0005_`EDT|_x0005_`</t>
  </si>
  <si>
    <t xml:space="preserve"> 168</t>
  </si>
  <si>
    <t>7.5HP(160m) 287㎥/D</t>
  </si>
  <si>
    <t>_x0007_`COD|M06496_x0005_`QTY1|1_x0005_`BQC|_x0005_`EQC|_x0005_`JDC|_x0005_`WQC|_x0005_`EDT|_x0005_`</t>
  </si>
  <si>
    <t xml:space="preserve"> 169</t>
  </si>
  <si>
    <t>수중펌프용 T.C베어링</t>
  </si>
  <si>
    <t>_x0007_`COD|M06771_x0005_`QTY1|1_x0005_`BQC|_x0005_`EQC|_x0005_`JDC|_x0005_`WQC|_x0005_`EDT|_x0005_`</t>
  </si>
  <si>
    <t xml:space="preserve"> 170</t>
  </si>
  <si>
    <t>_x0007_`COD|M06779_x0005_`QTY1|1_x0005_`BQC|_x0005_`EQC|_x0005_`JDC|_x0005_`WQC|_x0005_`EDT|_x0005_`</t>
  </si>
  <si>
    <t xml:space="preserve"> 171</t>
  </si>
  <si>
    <t>_x0007_`COD|M06772_x0005_`QTY1|1_x0005_`BQC|_x0005_`EQC|_x0005_`JDC|_x0005_`WQC|_x0005_`EDT|_x0005_`</t>
  </si>
  <si>
    <t xml:space="preserve"> 172</t>
  </si>
  <si>
    <t>_x0007_`COD|M06773_x0005_`QTY1|1_x0005_`BQC|_x0005_`EQC|_x0005_`JDC|_x0005_`WQC|_x0005_`EDT|_x0005_`</t>
  </si>
  <si>
    <t xml:space="preserve"> 173</t>
  </si>
  <si>
    <t>_x0007_`COD|M06774_x0005_`QTY1|1_x0005_`BQC|_x0005_`EQC|_x0005_`JDC|_x0005_`WQC|_x0005_`EDT|_x0005_`</t>
  </si>
  <si>
    <t xml:space="preserve"> 174</t>
  </si>
  <si>
    <t>_x0007_`COD|M06767_x0005_`QTY1|1_x0005_`BQC|_x0005_`EQC|_x0005_`JDC|_x0005_`WQC|_x0005_`EDT|_x0005_`</t>
  </si>
  <si>
    <t xml:space="preserve"> 175</t>
  </si>
  <si>
    <t>_x0007_`COD|M06775_x0005_`QTY1|1_x0005_`BQC|_x0005_`EQC|_x0005_`JDC|_x0005_`WQC|_x0005_`EDT|_x0005_`</t>
  </si>
  <si>
    <t xml:space="preserve"> 176</t>
  </si>
  <si>
    <t>_x0007_`COD|M06768_x0005_`QTY1|1_x0005_`BQC|_x0005_`EQC|_x0005_`JDC|_x0005_`WQC|_x0005_`EDT|_x0005_`</t>
  </si>
  <si>
    <t xml:space="preserve"> 177</t>
  </si>
  <si>
    <t>_x0007_`COD|M06776_x0005_`QTY1|1_x0005_`BQC|_x0005_`EQC|_x0005_`JDC|_x0005_`WQC|_x0005_`EDT|_x0005_`</t>
  </si>
  <si>
    <t xml:space="preserve"> 178</t>
  </si>
  <si>
    <t>50HP(150m)3576㎥/D</t>
  </si>
  <si>
    <t>_x0007_`COD|M06777_x0005_`QTY1|1_x0005_`BQC|_x0005_`EQC|_x0005_`JDC|_x0005_`WQC|_x0005_`EDT|_x0005_`</t>
  </si>
  <si>
    <t xml:space="preserve"> 179</t>
  </si>
  <si>
    <t>_x0007_`COD|M06769_x0005_`QTY1|1_x0005_`BQC|_x0005_`EQC|_x0005_`JDC|_x0005_`WQC|_x0005_`EDT|_x0005_`</t>
  </si>
  <si>
    <t xml:space="preserve"> 180</t>
  </si>
  <si>
    <t>60HP210m)3528㎥/D</t>
  </si>
  <si>
    <t>_x0007_`COD|M06778_x0005_`QTY1|1_x0005_`BQC|_x0005_`EQC|_x0005_`JDC|_x0005_`WQC|_x0005_`EDT|_x0005_`</t>
  </si>
  <si>
    <t xml:space="preserve"> 181</t>
  </si>
  <si>
    <t>_x0007_`COD|M06770_x0005_`QTY1|1_x0005_`BQC|_x0005_`EQC|_x0005_`JDC|_x0005_`WQC|_x0005_`EDT|_x0005_`</t>
  </si>
  <si>
    <t xml:space="preserve"> 182</t>
  </si>
  <si>
    <t>수중펌프용 샤프트</t>
  </si>
  <si>
    <t>_x0007_`COD|M06758_x0005_`QTY1|1_x0005_`BQC|_x0005_`EQC|_x0005_`JDC|_x0005_`WQC|_x0005_`EDT|_x0005_`</t>
  </si>
  <si>
    <t xml:space="preserve"> 183</t>
  </si>
  <si>
    <t>_x0007_`COD|M06766_x0005_`QTY1|1_x0005_`BQC|_x0005_`EQC|_x0005_`JDC|_x0005_`WQC|_x0005_`EDT|_x0005_`</t>
  </si>
  <si>
    <t xml:space="preserve"> 184</t>
  </si>
  <si>
    <t>_x0007_`COD|M06759_x0005_`QTY1|1_x0005_`BQC|_x0005_`EQC|_x0005_`JDC|_x0005_`WQC|_x0005_`EDT|_x0005_`</t>
  </si>
  <si>
    <t xml:space="preserve"> 185</t>
  </si>
  <si>
    <t>_x0007_`COD|M06760_x0005_`QTY1|1_x0005_`BQC|_x0005_`EQC|_x0005_`JDC|_x0005_`WQC|_x0005_`EDT|_x0005_`</t>
  </si>
  <si>
    <t xml:space="preserve"> 186</t>
  </si>
  <si>
    <t>_x0007_`COD|M06761_x0005_`QTY1|1_x0005_`BQC|_x0005_`EQC|_x0005_`JDC|_x0005_`WQC|_x0005_`EDT|_x0005_`</t>
  </si>
  <si>
    <t xml:space="preserve"> 187</t>
  </si>
  <si>
    <t>_x0007_`COD|M06754_x0005_`QTY1|1_x0005_`BQC|_x0005_`EQC|_x0005_`JDC|_x0005_`WQC|_x0005_`EDT|_x0005_`</t>
  </si>
  <si>
    <t xml:space="preserve"> 188</t>
  </si>
  <si>
    <t>_x0007_`COD|M06762_x0005_`QTY1|1_x0005_`BQC|_x0005_`EQC|_x0005_`JDC|_x0005_`WQC|_x0005_`EDT|_x0005_`</t>
  </si>
  <si>
    <t xml:space="preserve"> 189</t>
  </si>
  <si>
    <t>_x0007_`COD|M06755_x0005_`QTY1|1_x0005_`BQC|_x0005_`EQC|_x0005_`JDC|_x0005_`WQC|_x0005_`EDT|_x0005_`</t>
  </si>
  <si>
    <t xml:space="preserve"> 190</t>
  </si>
  <si>
    <t>_x0007_`COD|M06763_x0005_`QTY1|1_x0005_`BQC|_x0005_`EQC|_x0005_`JDC|_x0005_`WQC|_x0005_`EDT|_x0005_`</t>
  </si>
  <si>
    <t xml:space="preserve"> 191</t>
  </si>
  <si>
    <t>_x0007_`COD|M06764_x0005_`QTY1|1_x0005_`BQC|_x0005_`EQC|_x0005_`JDC|_x0005_`WQC|_x0005_`EDT|_x0005_`</t>
  </si>
  <si>
    <t xml:space="preserve"> 192</t>
  </si>
  <si>
    <t>_x0007_`COD|M06756_x0005_`QTY1|1_x0005_`BQC|_x0005_`EQC|_x0005_`JDC|_x0005_`WQC|_x0005_`EDT|_x0005_`</t>
  </si>
  <si>
    <t xml:space="preserve"> 193</t>
  </si>
  <si>
    <t>_x0007_`COD|M06765_x0005_`QTY1|1_x0005_`BQC|_x0005_`EQC|_x0005_`JDC|_x0005_`WQC|_x0005_`EDT|_x0005_`</t>
  </si>
  <si>
    <t xml:space="preserve"> 194</t>
  </si>
  <si>
    <t>_x0007_`COD|M06757_x0005_`QTY1|1_x0005_`BQC|_x0005_`EQC|_x0005_`JDC|_x0005_`WQC|_x0005_`EDT|_x0005_`</t>
  </si>
  <si>
    <t xml:space="preserve"> 195</t>
  </si>
  <si>
    <t>수중펌프용 임펠러</t>
  </si>
  <si>
    <t>_x0007_`COD|M06745_x0005_`QTY1|1_x0005_`BQC|_x0005_`EQC|_x0005_`JDC|_x0005_`WQC|_x0005_`EDT|_x0005_`</t>
  </si>
  <si>
    <t xml:space="preserve"> 196</t>
  </si>
  <si>
    <t>_x0007_`COD|M06753_x0005_`QTY1|1_x0005_`BQC|_x0005_`EQC|_x0005_`JDC|_x0005_`WQC|_x0005_`EDT|_x0005_`</t>
  </si>
  <si>
    <t xml:space="preserve"> 197</t>
  </si>
  <si>
    <t>_x0007_`COD|M06746_x0005_`QTY1|1_x0005_`BQC|_x0005_`EQC|_x0005_`JDC|_x0005_`WQC|_x0005_`EDT|_x0005_`</t>
  </si>
  <si>
    <t xml:space="preserve"> 198</t>
  </si>
  <si>
    <t>_x0007_`COD|M06747_x0005_`QTY1|1_x0005_`BQC|_x0005_`EQC|_x0005_`JDC|_x0005_`WQC|_x0005_`EDT|_x0005_`</t>
  </si>
  <si>
    <t xml:space="preserve"> 199</t>
  </si>
  <si>
    <t>_x0007_`COD|M06748_x0005_`QTY1|1_x0005_`BQC|_x0005_`EQC|_x0005_`JDC|_x0005_`WQC|_x0005_`EDT|_x0005_`</t>
  </si>
  <si>
    <t xml:space="preserve"> 200</t>
  </si>
  <si>
    <t>_x0007_`COD|M06741_x0005_`QTY1|1_x0005_`BQC|_x0005_`EQC|_x0005_`JDC|_x0005_`WQC|_x0005_`EDT|_x0005_`</t>
  </si>
  <si>
    <t xml:space="preserve"> 201</t>
  </si>
  <si>
    <t>_x0007_`COD|M06749_x0005_`QTY1|1_x0005_`BQC|_x0005_`EQC|_x0005_`JDC|_x0005_`WQC|_x0005_`EDT|_x0005_`</t>
  </si>
  <si>
    <t xml:space="preserve"> 202</t>
  </si>
  <si>
    <t>_x0007_`COD|M06742_x0005_`QTY1|1_x0005_`BQC|_x0005_`EQC|_x0005_`JDC|_x0005_`WQC|_x0005_`EDT|_x0005_`</t>
  </si>
  <si>
    <t xml:space="preserve"> 203</t>
  </si>
  <si>
    <t>_x0007_`COD|M06750_x0005_`QTY1|1_x0005_`BQC|_x0005_`EQC|_x0005_`JDC|_x0005_`WQC|_x0005_`EDT|_x0005_`</t>
  </si>
  <si>
    <t xml:space="preserve"> 204</t>
  </si>
  <si>
    <t>_x0007_`COD|M06751_x0005_`QTY1|1_x0005_`BQC|_x0005_`EQC|_x0005_`JDC|_x0005_`WQC|_x0005_`EDT|_x0005_`</t>
  </si>
  <si>
    <t xml:space="preserve"> 205</t>
  </si>
  <si>
    <t>_x0007_`COD|M06743_x0005_`QTY1|1_x0005_`BQC|_x0005_`EQC|_x0005_`JDC|_x0005_`WQC|_x0005_`EDT|_x0005_`</t>
  </si>
  <si>
    <t xml:space="preserve"> 206</t>
  </si>
  <si>
    <t>_x0007_`COD|M06752_x0005_`QTY1|1_x0005_`BQC|_x0005_`EQC|_x0005_`JDC|_x0005_`WQC|_x0005_`EDT|_x0005_`</t>
  </si>
  <si>
    <t xml:space="preserve"> 207</t>
  </si>
  <si>
    <t>_x0007_`COD|M06744_x0005_`QTY1|1_x0005_`BQC|_x0005_`EQC|_x0005_`JDC|_x0005_`WQC|_x0005_`EDT|_x0005_`</t>
  </si>
  <si>
    <t xml:space="preserve"> 208</t>
  </si>
  <si>
    <t>스테인레스 강판</t>
  </si>
  <si>
    <t>STS 304 ID</t>
  </si>
  <si>
    <t>kg</t>
  </si>
  <si>
    <t>_x0007_`COD|M06631_x0005_`QTY1|1_x0005_`BQC|_x0005_`EQC|_x0005_`JDC|_x0005_`WQC|_x0005_`EDT|_x0005_`</t>
  </si>
  <si>
    <t xml:space="preserve"> 209</t>
  </si>
  <si>
    <t>스테인에스세트앵커</t>
  </si>
  <si>
    <t>125mm x 16mm</t>
  </si>
  <si>
    <t>_x0007_`COD|M06629_x0005_`QTY1|1_x0005_`BQC|_x0005_`EQC|_x0005_`JDC|_x0005_`WQC|_x0005_`EDT|_x0005_`</t>
  </si>
  <si>
    <t xml:space="preserve"> 210</t>
  </si>
  <si>
    <t>스텐너트</t>
  </si>
  <si>
    <t>M18</t>
  </si>
  <si>
    <t>_x0007_`COD|M06577_x0005_`QTY1|1_x0005_`BQC|_x0005_`EQC|_x0005_`JDC|_x0005_`WQC|_x0005_`EDT|_x0005_`</t>
  </si>
  <si>
    <t xml:space="preserve"> 211</t>
  </si>
  <si>
    <t>스텐레스게이트밸브</t>
  </si>
  <si>
    <t>_x0007_`COD|M06555_x0005_`QTY1|1_x0005_`BQC|_x0005_`EQC|_x0005_`JDC|_x0005_`WQC|_x0005_`EDT|_x0005_`</t>
  </si>
  <si>
    <t xml:space="preserve"> 212</t>
  </si>
  <si>
    <t>_x0007_`COD|M06556_x0005_`QTY1|1_x0005_`BQC|_x0005_`EQC|_x0005_`JDC|_x0005_`WQC|_x0005_`EDT|_x0005_`</t>
  </si>
  <si>
    <t xml:space="preserve"> 213</t>
  </si>
  <si>
    <t>_x0007_`COD|M06682_x0005_`QTY1|1_x0005_`BQC|_x0005_`EQC|_x0005_`JDC|_x0005_`WQC|_x0005_`EDT|_x0005_`</t>
  </si>
  <si>
    <t xml:space="preserve"> 214</t>
  </si>
  <si>
    <t>_x0007_`COD|M06693_x0005_`QTY1|1_x0005_`BQC|_x0005_`EQC|_x0005_`JDC|_x0005_`WQC|_x0005_`EDT|_x0005_`</t>
  </si>
  <si>
    <t xml:space="preserve"> 215</t>
  </si>
  <si>
    <t>_x0007_`COD|M06553_x0005_`QTY1|1_x0005_`BQC|_x0005_`EQC|_x0005_`JDC|_x0005_`WQC|_x0005_`EDT|_x0005_`</t>
  </si>
  <si>
    <t xml:space="preserve"> 216</t>
  </si>
  <si>
    <t>_x0007_`COD|M06554_x0005_`QTY1|1_x0005_`BQC|_x0005_`EQC|_x0005_`JDC|_x0005_`WQC|_x0005_`EDT|_x0005_`</t>
  </si>
  <si>
    <t xml:space="preserve"> 217</t>
  </si>
  <si>
    <t>스텐레스체크밸브</t>
  </si>
  <si>
    <t>_x0007_`COD|M02950_x0005_`QTY1|1_x0005_`BQC|_x0005_`EQC|_x0005_`JDC|_x0005_`WQC|_x0005_`EDT|_x0005_`</t>
  </si>
  <si>
    <t xml:space="preserve"> 218</t>
  </si>
  <si>
    <t>_x0007_`COD|M06543_x0005_`QTY1|1_x0005_`BQC|_x0005_`EQC|_x0005_`JDC|_x0005_`WQC|_x0005_`EDT|_x0005_`</t>
  </si>
  <si>
    <t xml:space="preserve"> 219</t>
  </si>
  <si>
    <t>_x0007_`COD|M06544_x0005_`QTY1|1_x0005_`BQC|_x0005_`EQC|_x0005_`JDC|_x0005_`WQC|_x0005_`EDT|_x0005_`</t>
  </si>
  <si>
    <t xml:space="preserve"> 220</t>
  </si>
  <si>
    <t>_x0007_`COD|M06545_x0005_`QTY1|1_x0005_`BQC|_x0005_`EQC|_x0005_`JDC|_x0005_`WQC|_x0005_`EDT|_x0005_`</t>
  </si>
  <si>
    <t xml:space="preserve"> 221</t>
  </si>
  <si>
    <t>_x0007_`COD|M06690_x0005_`QTY1|1_x0005_`BQC|_x0005_`EQC|_x0005_`JDC|_x0005_`WQC|_x0005_`EDT|_x0005_`</t>
  </si>
  <si>
    <t xml:space="preserve"> 222</t>
  </si>
  <si>
    <t>_x0007_`COD|M02808_x0005_`QTY1|1_x0005_`BQC|_x0005_`EQC|_x0005_`JDC|_x0005_`WQC|_x0005_`EDT|_x0005_`</t>
  </si>
  <si>
    <t xml:space="preserve"> 223</t>
  </si>
  <si>
    <t>스텐육각볼트</t>
  </si>
  <si>
    <t>M18  100mm</t>
  </si>
  <si>
    <t>_x0007_`COD|M06576_x0005_`QTY1|1_x0005_`BQC|_x0005_`EQC|_x0005_`JDC|_x0005_`WQC|_x0005_`EDT|_x0005_`</t>
  </si>
  <si>
    <t xml:space="preserve"> 224</t>
  </si>
  <si>
    <t>_x0007_`COD|M06549_x0005_`QTY1|1_x0005_`BQC|_x0005_`EQC|_x0005_`JDC|_x0005_`WQC|_x0005_`EDT|_x0005_`</t>
  </si>
  <si>
    <t xml:space="preserve"> 225</t>
  </si>
  <si>
    <t>_x0007_`COD|M06551_x0005_`QTY1|1_x0005_`BQC|_x0005_`EQC|_x0005_`JDC|_x0005_`WQC|_x0005_`EDT|_x0005_`</t>
  </si>
  <si>
    <t xml:space="preserve"> 226</t>
  </si>
  <si>
    <t>_x0007_`COD|M06552_x0005_`QTY1|1_x0005_`BQC|_x0005_`EQC|_x0005_`JDC|_x0005_`WQC|_x0005_`EDT|_x0005_`</t>
  </si>
  <si>
    <t xml:space="preserve"> 227</t>
  </si>
  <si>
    <t>_x0007_`COD|M06692_x0005_`QTY1|1_x0005_`BQC|_x0005_`EQC|_x0005_`JDC|_x0005_`WQC|_x0005_`EDT|_x0005_`</t>
  </si>
  <si>
    <t xml:space="preserve"> 228</t>
  </si>
  <si>
    <t>_x0007_`COD|M06550_x0005_`QTY1|1_x0005_`BQC|_x0005_`EQC|_x0005_`JDC|_x0005_`WQC|_x0005_`EDT|_x0005_`</t>
  </si>
  <si>
    <t xml:space="preserve"> 229</t>
  </si>
  <si>
    <t>시멘트</t>
  </si>
  <si>
    <t>40kG/대</t>
  </si>
  <si>
    <t>_x0007_`COD|M02940_x0005_`QTY1|1_x0005_`BQC|_x0005_`EQC|_x0005_`JDC|_x0005_`WQC|_x0005_`EDT|_x0005_`</t>
  </si>
  <si>
    <t xml:space="preserve"> 230</t>
  </si>
  <si>
    <t>실리콘</t>
  </si>
  <si>
    <t>건축 토목용</t>
  </si>
  <si>
    <t>_x0007_`COD|M06739_x0005_`QTY1|1_x0005_`BQC|_x0005_`EQC|_x0005_`JDC|_x0005_`WQC|_x0005_`EDT|_x0005_`</t>
  </si>
  <si>
    <t xml:space="preserve"> 231</t>
  </si>
  <si>
    <t>_x0007_`COD|M06568_x0005_`QTY1|1_x0005_`BQC|_x0005_`EQC|_x0005_`JDC|_x0005_`WQC|_x0005_`EDT|_x0005_`</t>
  </si>
  <si>
    <t xml:space="preserve"> 232</t>
  </si>
  <si>
    <t>_x0007_`COD|M06569_x0005_`QTY1|1_x0005_`BQC|_x0005_`EQC|_x0005_`JDC|_x0005_`WQC|_x0005_`EDT|_x0005_`</t>
  </si>
  <si>
    <t xml:space="preserve"> 233</t>
  </si>
  <si>
    <t>알곤</t>
  </si>
  <si>
    <t>_x0007_`COD|M02784_x0005_`QTY1|1_x0005_`BQC|_x0005_`EQC|_x0005_`JDC|_x0005_`WQC|_x0005_`EDT|_x0005_`</t>
  </si>
  <si>
    <t xml:space="preserve"> 234</t>
  </si>
  <si>
    <t>압력검출기</t>
  </si>
  <si>
    <t>4~20MA</t>
  </si>
  <si>
    <t>_x0007_`COD|M06574_x0005_`QTY1|1_x0005_`BQC|_x0005_`EQC|_x0005_`JDC|_x0005_`WQC|_x0005_`EDT|_x0005_`</t>
  </si>
  <si>
    <t xml:space="preserve"> 235</t>
  </si>
  <si>
    <t>압력계</t>
  </si>
  <si>
    <t>STS D100mm(2-35Kg/㎠)</t>
  </si>
  <si>
    <t>_x0007_`COD|M01101_x0005_`QTY1|1_x0005_`BQC|_x0005_`EQC|_x0005_`JDC|_x0005_`WQC|_x0005_`EDT|_x0005_`</t>
  </si>
  <si>
    <t xml:space="preserve"> 236</t>
  </si>
  <si>
    <t>어댑소켓</t>
  </si>
  <si>
    <t>_x0007_`COD|M06617_x0005_`QTY1|1_x0005_`BQC|_x0005_`EQC|_x0005_`JDC|_x0005_`WQC|_x0005_`EDT|_x0005_`</t>
  </si>
  <si>
    <t xml:space="preserve"> 237</t>
  </si>
  <si>
    <t>_x0007_`COD|M06618_x0005_`QTY1|1_x0005_`BQC|_x0005_`EQC|_x0005_`JDC|_x0005_`WQC|_x0005_`EDT|_x0005_`</t>
  </si>
  <si>
    <t xml:space="preserve"> 238</t>
  </si>
  <si>
    <t>_x0007_`COD|M06721_x0005_`QTY1|1_x0005_`BQC|_x0005_`EQC|_x0005_`JDC|_x0005_`WQC|_x0005_`EDT|_x0005_`</t>
  </si>
  <si>
    <t xml:space="preserve"> 239</t>
  </si>
  <si>
    <t>_x0007_`COD|M06619_x0005_`QTY1|1_x0005_`BQC|_x0005_`EQC|_x0005_`JDC|_x0005_`WQC|_x0005_`EDT|_x0005_`</t>
  </si>
  <si>
    <t xml:space="preserve"> 240</t>
  </si>
  <si>
    <t>에나멜동선</t>
  </si>
  <si>
    <t>0.06mm</t>
  </si>
  <si>
    <t>_x0007_`COD|M06578_x0005_`QTY1|1_x0005_`BQC|_x0005_`EQC|_x0005_`JDC|_x0005_`WQC|_x0005_`EDT|_x0005_`</t>
  </si>
  <si>
    <t xml:space="preserve"> 241</t>
  </si>
  <si>
    <t>엘보</t>
  </si>
  <si>
    <t>_x0007_`COD|M06611_x0005_`QTY1|1_x0005_`BQC|_x0005_`EQC|_x0005_`JDC|_x0005_`WQC|_x0005_`EDT|_x0005_`</t>
  </si>
  <si>
    <t xml:space="preserve"> 242</t>
  </si>
  <si>
    <t>_x0007_`COD|M06612_x0005_`QTY1|1_x0005_`BQC|_x0005_`EQC|_x0005_`JDC|_x0005_`WQC|_x0005_`EDT|_x0005_`</t>
  </si>
  <si>
    <t xml:space="preserve"> 243</t>
  </si>
  <si>
    <t>_x0007_`COD|M06718_x0005_`QTY1|1_x0005_`BQC|_x0005_`EQC|_x0005_`JDC|_x0005_`WQC|_x0005_`EDT|_x0005_`</t>
  </si>
  <si>
    <t xml:space="preserve"> 244</t>
  </si>
  <si>
    <t>_x0007_`COD|M06613_x0005_`QTY1|1_x0005_`BQC|_x0005_`EQC|_x0005_`JDC|_x0005_`WQC|_x0005_`EDT|_x0005_`</t>
  </si>
  <si>
    <t xml:space="preserve"> 245</t>
  </si>
  <si>
    <t>연결밴드</t>
  </si>
  <si>
    <t>30x310x2.0t</t>
  </si>
  <si>
    <t>_x0007_`COD|M06645_x0005_`QTY1|1_x0005_`BQC|_x0005_`EQC|_x0005_`JDC|_x0005_`WQC|_x0005_`EDT|_x0005_`</t>
  </si>
  <si>
    <t xml:space="preserve"> 246</t>
  </si>
  <si>
    <t>열연강판</t>
  </si>
  <si>
    <t>3" x 6" x 5t(65.7kg/m)</t>
  </si>
  <si>
    <t>_x0007_`COD|M06628_x0005_`QTY1|1_x0005_`BQC|_x0005_`EQC|_x0005_`JDC|_x0005_`WQC|_x0005_`EDT|_x0005_`</t>
  </si>
  <si>
    <t xml:space="preserve"> 247</t>
  </si>
  <si>
    <t>용접봉</t>
  </si>
  <si>
    <t>스텐JISD308-16φ4.0</t>
  </si>
  <si>
    <t>_x0007_`COD|M00045_x0005_`QTY1|1_x0005_`BQC|_x0005_`EQC|_x0005_`JDC|_x0005_`WQC|_x0005_`EDT|_x0005_`</t>
  </si>
  <si>
    <t xml:space="preserve"> 248</t>
  </si>
  <si>
    <t>10HP (2P 삼상전폐)</t>
  </si>
  <si>
    <t>_x0007_`COD|M06529_x0005_`QTY1|1_x0005_`BQC|_x0005_`EQC|_x0005_`JDC|_x0005_`WQC|_x0005_`EDT|_x0005_`</t>
  </si>
  <si>
    <t xml:space="preserve"> 249</t>
  </si>
  <si>
    <t>15HP (2P 삼상전폐)</t>
  </si>
  <si>
    <t>_x0007_`COD|M06530_x0005_`QTY1|1_x0005_`BQC|_x0005_`EQC|_x0005_`JDC|_x0005_`WQC|_x0005_`EDT|_x0005_`</t>
  </si>
  <si>
    <t xml:space="preserve"> 250</t>
  </si>
  <si>
    <t>20HP (2P 삼상전폐)</t>
  </si>
  <si>
    <t>_x0007_`COD|M06531_x0005_`QTY1|1_x0005_`BQC|_x0005_`EQC|_x0005_`JDC|_x0005_`WQC|_x0005_`EDT|_x0005_`</t>
  </si>
  <si>
    <t xml:space="preserve"> 251</t>
  </si>
  <si>
    <t>2HP (2P, 삼상전폐)</t>
  </si>
  <si>
    <t>_x0007_`COD|M06525_x0005_`QTY1|1_x0005_`BQC|_x0005_`EQC|_x0005_`JDC|_x0005_`WQC|_x0005_`EDT|_x0005_`</t>
  </si>
  <si>
    <t xml:space="preserve"> 252</t>
  </si>
  <si>
    <t>30HP (2P 삼상전폐)</t>
  </si>
  <si>
    <t>_x0007_`COD|M06532_x0005_`QTY1|1_x0005_`BQC|_x0005_`EQC|_x0005_`JDC|_x0005_`WQC|_x0005_`EDT|_x0005_`</t>
  </si>
  <si>
    <t xml:space="preserve"> 253</t>
  </si>
  <si>
    <t>3HP (2P 삼상전폐)</t>
  </si>
  <si>
    <t>_x0007_`COD|M06526_x0005_`QTY1|1_x0005_`BQC|_x0005_`EQC|_x0005_`JDC|_x0005_`WQC|_x0005_`EDT|_x0005_`</t>
  </si>
  <si>
    <t xml:space="preserve"> 254</t>
  </si>
  <si>
    <t>40HP (2P 삼상전폐)</t>
  </si>
  <si>
    <t>_x0007_`COD|M06673_x0005_`QTY1|1_x0005_`BQC|_x0005_`EQC|_x0005_`JDC|_x0005_`WQC|_x0005_`EDT|_x0005_`</t>
  </si>
  <si>
    <t xml:space="preserve"> 255</t>
  </si>
  <si>
    <t>50HP (2P 삼상전폐)</t>
  </si>
  <si>
    <t>_x0007_`COD|M06674_x0005_`QTY1|1_x0005_`BQC|_x0005_`EQC|_x0005_`JDC|_x0005_`WQC|_x0005_`EDT|_x0005_`</t>
  </si>
  <si>
    <t xml:space="preserve"> 256</t>
  </si>
  <si>
    <t>5HP (2P 삼상전폐)</t>
  </si>
  <si>
    <t>_x0007_`COD|M06527_x0005_`QTY1|1_x0005_`BQC|_x0005_`EQC|_x0005_`JDC|_x0005_`WQC|_x0005_`EDT|_x0005_`</t>
  </si>
  <si>
    <t xml:space="preserve"> 257</t>
  </si>
  <si>
    <t>60HP (2P 삼상전폐)</t>
  </si>
  <si>
    <t>_x0007_`COD|M06533_x0005_`QTY1|1_x0005_`BQC|_x0005_`EQC|_x0005_`JDC|_x0005_`WQC|_x0005_`EDT|_x0005_`</t>
  </si>
  <si>
    <t xml:space="preserve"> 258</t>
  </si>
  <si>
    <t>7.5HP (2P 삼상전폐)</t>
  </si>
  <si>
    <t>_x0007_`COD|M06528_x0005_`QTY1|1_x0005_`BQC|_x0005_`EQC|_x0005_`JDC|_x0005_`WQC|_x0005_`EDT|_x0005_`</t>
  </si>
  <si>
    <t xml:space="preserve"> 259</t>
  </si>
  <si>
    <t>75HP (2P 삼상전폐)</t>
  </si>
  <si>
    <t>_x0007_`COD|M06534_x0005_`QTY1|1_x0005_`BQC|_x0005_`EQC|_x0005_`JDC|_x0005_`WQC|_x0005_`EDT|_x0005_`</t>
  </si>
  <si>
    <t xml:space="preserve"> 260</t>
  </si>
  <si>
    <t>윤활유</t>
  </si>
  <si>
    <t>기어오일</t>
  </si>
  <si>
    <t>_x0007_`COD|M03269_x0005_`QTY1|1_x0005_`BQC|_x0005_`EQC|_x0005_`JDC|_x0005_`WQC|_x0005_`EDT|_x0005_`</t>
  </si>
  <si>
    <t xml:space="preserve"> 261</t>
  </si>
  <si>
    <t>인버터 펌프</t>
  </si>
  <si>
    <t>_x0007_`COD|M06509_x0005_`QTY1|1_x0005_`BQC|_x0005_`EQC|_x0005_`JDC|_x0005_`WQC|_x0005_`EDT|_x0005_`</t>
  </si>
  <si>
    <t xml:space="preserve"> 262</t>
  </si>
  <si>
    <t>입형다단펌프</t>
  </si>
  <si>
    <t>_x0007_`COD|M06784_x0005_`QTY1|1_x0005_`BQC|_x0005_`EQC|_x0005_`JDC|_x0005_`WQC|_x0005_`EDT|_x0005_`</t>
  </si>
  <si>
    <t xml:space="preserve"> 263</t>
  </si>
  <si>
    <t>_x0007_`COD|M06785_x0005_`QTY1|1_x0005_`BQC|_x0005_`EQC|_x0005_`JDC|_x0005_`WQC|_x0005_`EDT|_x0005_`</t>
  </si>
  <si>
    <t xml:space="preserve"> 264</t>
  </si>
  <si>
    <t>_x0007_`COD|M06786_x0005_`QTY1|1_x0005_`BQC|_x0005_`EQC|_x0005_`JDC|_x0005_`WQC|_x0005_`EDT|_x0005_`</t>
  </si>
  <si>
    <t xml:space="preserve"> 265</t>
  </si>
  <si>
    <t>_x0007_`COD|M06780_x0005_`QTY1|1_x0005_`BQC|_x0005_`EQC|_x0005_`JDC|_x0005_`WQC|_x0005_`EDT|_x0005_`</t>
  </si>
  <si>
    <t xml:space="preserve"> 266</t>
  </si>
  <si>
    <t>_x0007_`COD|M06787_x0005_`QTY1|1_x0005_`BQC|_x0005_`EQC|_x0005_`JDC|_x0005_`WQC|_x0005_`EDT|_x0005_`</t>
  </si>
  <si>
    <t xml:space="preserve"> 267</t>
  </si>
  <si>
    <t>_x0007_`COD|M06781_x0005_`QTY1|1_x0005_`BQC|_x0005_`EQC|_x0005_`JDC|_x0005_`WQC|_x0005_`EDT|_x0005_`</t>
  </si>
  <si>
    <t xml:space="preserve"> 268</t>
  </si>
  <si>
    <t>_x0007_`COD|M06782_x0005_`QTY1|1_x0005_`BQC|_x0005_`EQC|_x0005_`JDC|_x0005_`WQC|_x0005_`EDT|_x0005_`</t>
  </si>
  <si>
    <t xml:space="preserve"> 269</t>
  </si>
  <si>
    <t>_x0007_`COD|M06788_x0005_`QTY1|1_x0005_`BQC|_x0005_`EQC|_x0005_`JDC|_x0005_`WQC|_x0005_`EDT|_x0005_`</t>
  </si>
  <si>
    <t xml:space="preserve"> 270</t>
  </si>
  <si>
    <t>_x0007_`COD|M06783_x0005_`QTY1|1_x0005_`BQC|_x0005_`EQC|_x0005_`JDC|_x0005_`WQC|_x0005_`EDT|_x0005_`</t>
  </si>
  <si>
    <t xml:space="preserve"> 271</t>
  </si>
  <si>
    <t>_x0007_`COD|M06789_x0005_`QTY1|1_x0005_`BQC|_x0005_`EQC|_x0005_`JDC|_x0005_`WQC|_x0005_`EDT|_x0005_`</t>
  </si>
  <si>
    <t xml:space="preserve"> 272</t>
  </si>
  <si>
    <t>입형다단펌프 임펠러</t>
  </si>
  <si>
    <t>_x0007_`COD|M06794_x0005_`QTY1|1_x0005_`BQC|_x0005_`EQC|_x0005_`JDC|_x0005_`WQC|_x0005_`EDT|_x0005_`</t>
  </si>
  <si>
    <t xml:space="preserve"> 273</t>
  </si>
  <si>
    <t>_x0007_`COD|M06795_x0005_`QTY1|1_x0005_`BQC|_x0005_`EQC|_x0005_`JDC|_x0005_`WQC|_x0005_`EDT|_x0005_`</t>
  </si>
  <si>
    <t xml:space="preserve"> 274</t>
  </si>
  <si>
    <t>_x0007_`COD|M06796_x0005_`QTY1|1_x0005_`BQC|_x0005_`EQC|_x0005_`JDC|_x0005_`WQC|_x0005_`EDT|_x0005_`</t>
  </si>
  <si>
    <t xml:space="preserve"> 275</t>
  </si>
  <si>
    <t>_x0007_`COD|M06790_x0005_`QTY1|1_x0005_`BQC|_x0005_`EQC|_x0005_`JDC|_x0005_`WQC|_x0005_`EDT|_x0005_`</t>
  </si>
  <si>
    <t xml:space="preserve"> 276</t>
  </si>
  <si>
    <t>_x0007_`COD|M06797_x0005_`QTY1|1_x0005_`BQC|_x0005_`EQC|_x0005_`JDC|_x0005_`WQC|_x0005_`EDT|_x0005_`</t>
  </si>
  <si>
    <t xml:space="preserve"> 277</t>
  </si>
  <si>
    <t>_x0007_`COD|M06791_x0005_`QTY1|1_x0005_`BQC|_x0005_`EQC|_x0005_`JDC|_x0005_`WQC|_x0005_`EDT|_x0005_`</t>
  </si>
  <si>
    <t xml:space="preserve"> 278</t>
  </si>
  <si>
    <t>_x0007_`COD|M06792_x0005_`QTY1|1_x0005_`BQC|_x0005_`EQC|_x0005_`JDC|_x0005_`WQC|_x0005_`EDT|_x0005_`</t>
  </si>
  <si>
    <t xml:space="preserve"> 279</t>
  </si>
  <si>
    <t>_x0007_`COD|M06798_x0005_`QTY1|1_x0005_`BQC|_x0005_`EQC|_x0005_`JDC|_x0005_`WQC|_x0005_`EDT|_x0005_`</t>
  </si>
  <si>
    <t xml:space="preserve"> 280</t>
  </si>
  <si>
    <t>_x0007_`COD|M06793_x0005_`QTY1|1_x0005_`BQC|_x0005_`EQC|_x0005_`JDC|_x0005_`WQC|_x0005_`EDT|_x0005_`</t>
  </si>
  <si>
    <t xml:space="preserve"> 281</t>
  </si>
  <si>
    <t>_x0007_`COD|M06799_x0005_`QTY1|1_x0005_`BQC|_x0005_`EQC|_x0005_`JDC|_x0005_`WQC|_x0005_`EDT|_x0005_`</t>
  </si>
  <si>
    <t xml:space="preserve"> 282</t>
  </si>
  <si>
    <t>입형다단펌프 축(샤프트)</t>
  </si>
  <si>
    <t>_x0007_`COD|M06804_x0005_`QTY1|1_x0005_`BQC|_x0005_`EQC|_x0005_`JDC|_x0005_`WQC|_x0005_`EDT|_x0005_`</t>
  </si>
  <si>
    <t xml:space="preserve"> 283</t>
  </si>
  <si>
    <t>_x0007_`COD|M06805_x0005_`QTY1|1_x0005_`BQC|_x0005_`EQC|_x0005_`JDC|_x0005_`WQC|_x0005_`EDT|_x0005_`</t>
  </si>
  <si>
    <t xml:space="preserve"> 284</t>
  </si>
  <si>
    <t>_x0007_`COD|M06806_x0005_`QTY1|1_x0005_`BQC|_x0005_`EQC|_x0005_`JDC|_x0005_`WQC|_x0005_`EDT|_x0005_`</t>
  </si>
  <si>
    <t xml:space="preserve"> 285</t>
  </si>
  <si>
    <t>25HP(2P, 삼상전폐)</t>
  </si>
  <si>
    <t>_x0007_`COD|M06807_x0005_`QTY1|1_x0005_`BQC|_x0005_`EQC|_x0005_`JDC|_x0005_`WQC|_x0005_`EDT|_x0005_`</t>
  </si>
  <si>
    <t xml:space="preserve"> 286</t>
  </si>
  <si>
    <t>_x0007_`COD|M06800_x0005_`QTY1|1_x0005_`BQC|_x0005_`EQC|_x0005_`JDC|_x0005_`WQC|_x0005_`EDT|_x0005_`</t>
  </si>
  <si>
    <t xml:space="preserve"> 287</t>
  </si>
  <si>
    <t>_x0007_`COD|M06808_x0005_`QTY1|1_x0005_`BQC|_x0005_`EQC|_x0005_`JDC|_x0005_`WQC|_x0005_`EDT|_x0005_`</t>
  </si>
  <si>
    <t xml:space="preserve"> 288</t>
  </si>
  <si>
    <t>_x0007_`COD|M06801_x0005_`QTY1|1_x0005_`BQC|_x0005_`EQC|_x0005_`JDC|_x0005_`WQC|_x0005_`EDT|_x0005_`</t>
  </si>
  <si>
    <t xml:space="preserve"> 289</t>
  </si>
  <si>
    <t>_x0007_`COD|M06802_x0005_`QTY1|1_x0005_`BQC|_x0005_`EQC|_x0005_`JDC|_x0005_`WQC|_x0005_`EDT|_x0005_`</t>
  </si>
  <si>
    <t xml:space="preserve"> 290</t>
  </si>
  <si>
    <t>_x0007_`COD|M06809_x0005_`QTY1|1_x0005_`BQC|_x0005_`EQC|_x0005_`JDC|_x0005_`WQC|_x0005_`EDT|_x0005_`</t>
  </si>
  <si>
    <t xml:space="preserve"> 291</t>
  </si>
  <si>
    <t>_x0007_`COD|M06810_x0005_`QTY1|1_x0005_`BQC|_x0005_`EQC|_x0005_`JDC|_x0005_`WQC|_x0005_`EDT|_x0005_`</t>
  </si>
  <si>
    <t xml:space="preserve"> 292</t>
  </si>
  <si>
    <t>자갈</t>
  </si>
  <si>
    <t>40mm(시내도착도)</t>
  </si>
  <si>
    <t>_x0007_`COD|M03596_x0005_`QTY1|1_x0005_`BQC|_x0005_`EQC|_x0005_`JDC|_x0005_`WQC|_x0005_`EDT|_x0005_`</t>
  </si>
  <si>
    <t xml:space="preserve"> 293</t>
  </si>
  <si>
    <t>첵크밸브(5in1) 밸브</t>
  </si>
  <si>
    <t>10kg D100mm(STS)</t>
  </si>
  <si>
    <t>_x0007_`COD|M03181_x0005_`QTY1|1_x0005_`BQC|_x0005_`EQC|_x0005_`JDC|_x0005_`WQC|_x0005_`EDT|_x0005_`</t>
  </si>
  <si>
    <t xml:space="preserve"> 294</t>
  </si>
  <si>
    <t>_x0007_`COD|M06547_x0005_`QTY1|1_x0005_`BQC|_x0005_`EQC|_x0005_`JDC|_x0005_`WQC|_x0005_`EDT|_x0005_`</t>
  </si>
  <si>
    <t xml:space="preserve"> 295</t>
  </si>
  <si>
    <t>_x0007_`COD|M06546_x0005_`QTY1|1_x0005_`BQC|_x0005_`EQC|_x0005_`JDC|_x0005_`WQC|_x0005_`EDT|_x0005_`</t>
  </si>
  <si>
    <t xml:space="preserve"> 296</t>
  </si>
  <si>
    <t>_x0007_`COD|M05499_x0005_`QTY1|1_x0005_`BQC|_x0005_`EQC|_x0005_`JDC|_x0005_`WQC|_x0005_`EDT|_x0005_`</t>
  </si>
  <si>
    <t xml:space="preserve"> 297</t>
  </si>
  <si>
    <t>_x0007_`COD|M02071_x0005_`QTY1|1_x0005_`BQC|_x0005_`EQC|_x0005_`JDC|_x0005_`WQC|_x0005_`EDT|_x0005_`</t>
  </si>
  <si>
    <t xml:space="preserve"> 298</t>
  </si>
  <si>
    <t>커플링 ASSY</t>
  </si>
  <si>
    <t>_x0007_`COD|M06635_x0005_`QTY1|1_x0005_`BQC|_x0005_`EQC|_x0005_`JDC|_x0005_`WQC|_x0005_`EDT|_x0005_`</t>
  </si>
  <si>
    <t xml:space="preserve"> 299</t>
  </si>
  <si>
    <t>콘크리트 블록</t>
  </si>
  <si>
    <t>6"(150x190x300</t>
  </si>
  <si>
    <t>_x0007_`COD|M06735_x0005_`QTY1|1_x0005_`BQC|_x0005_`EQC|_x0005_`JDC|_x0005_`WQC|_x0005_`EDT|_x0005_`</t>
  </si>
  <si>
    <t xml:space="preserve"> 300</t>
  </si>
  <si>
    <t>크로바주주</t>
  </si>
  <si>
    <t>65-63-54-2.3t</t>
  </si>
  <si>
    <t>_x0007_`COD|M06642_x0005_`QTY1|1_x0005_`BQC|_x0005_`EQC|_x0005_`JDC|_x0005_`WQC|_x0005_`EDT|_x0005_`</t>
  </si>
  <si>
    <t xml:space="preserve"> 301</t>
  </si>
  <si>
    <t>크로바주주캡</t>
  </si>
  <si>
    <t>65-58-53-2.3t</t>
  </si>
  <si>
    <t>_x0007_`COD|M06643_x0005_`QTY1|1_x0005_`BQC|_x0005_`EQC|_x0005_`JDC|_x0005_`WQC|_x0005_`EDT|_x0005_`</t>
  </si>
  <si>
    <t xml:space="preserve"> 302</t>
  </si>
  <si>
    <t>테프론 패킹</t>
  </si>
  <si>
    <t>_x0007_`COD|M06705_x0005_`QTY1|1_x0005_`BQC|_x0005_`EQC|_x0005_`JDC|_x0005_`WQC|_x0005_`EDT|_x0005_`</t>
  </si>
  <si>
    <t xml:space="preserve"> 303</t>
  </si>
  <si>
    <t>_x0007_`COD|M06706_x0005_`QTY1|1_x0005_`BQC|_x0005_`EQC|_x0005_`JDC|_x0005_`WQC|_x0005_`EDT|_x0005_`</t>
  </si>
  <si>
    <t xml:space="preserve"> 304</t>
  </si>
  <si>
    <t>_x0007_`COD|M06707_x0005_`QTY1|1_x0005_`BQC|_x0005_`EQC|_x0005_`JDC|_x0005_`WQC|_x0005_`EDT|_x0005_`</t>
  </si>
  <si>
    <t xml:space="preserve"> 305</t>
  </si>
  <si>
    <t>250A</t>
  </si>
  <si>
    <t>_x0007_`COD|M06708_x0005_`QTY1|1_x0005_`BQC|_x0005_`EQC|_x0005_`JDC|_x0005_`WQC|_x0005_`EDT|_x0005_`</t>
  </si>
  <si>
    <t xml:space="preserve"> 306</t>
  </si>
  <si>
    <t>300A</t>
  </si>
  <si>
    <t>_x0007_`COD|M06709_x0005_`QTY1|1_x0005_`BQC|_x0005_`EQC|_x0005_`JDC|_x0005_`WQC|_x0005_`EDT|_x0005_`</t>
  </si>
  <si>
    <t xml:space="preserve"> 307</t>
  </si>
  <si>
    <t>_x0007_`COD|M06703_x0005_`QTY1|1_x0005_`BQC|_x0005_`EQC|_x0005_`JDC|_x0005_`WQC|_x0005_`EDT|_x0005_`</t>
  </si>
  <si>
    <t xml:space="preserve"> 308</t>
  </si>
  <si>
    <t>_x0007_`COD|M06704_x0005_`QTY1|1_x0005_`BQC|_x0005_`EQC|_x0005_`JDC|_x0005_`WQC|_x0005_`EDT|_x0005_`</t>
  </si>
  <si>
    <t xml:space="preserve"> 309</t>
  </si>
  <si>
    <t>트로리</t>
  </si>
  <si>
    <t>NG-2.0</t>
  </si>
  <si>
    <t>_x0007_`COD|M06626_x0005_`QTY1|1_x0005_`BQC|_x0005_`EQC|_x0005_`JDC|_x0005_`WQC|_x0005_`EDT|_x0005_`</t>
  </si>
  <si>
    <t xml:space="preserve"> 310</t>
  </si>
  <si>
    <t xml:space="preserve"> RCD-L D100mm, 누수보수용</t>
  </si>
  <si>
    <t>_x0007_`COD|M06565_x0005_`QTY1|1_x0005_`BQC|_x0005_`EQC|_x0005_`JDC|_x0005_`WQC|_x0005_`EDT|_x0005_`</t>
  </si>
  <si>
    <t xml:space="preserve"> 311</t>
  </si>
  <si>
    <t xml:space="preserve"> RCD-L D150mm, 누수보수용</t>
  </si>
  <si>
    <t>_x0007_`COD|M06566_x0005_`QTY1|1_x0005_`BQC|_x0005_`EQC|_x0005_`JDC|_x0005_`WQC|_x0005_`EDT|_x0005_`</t>
  </si>
  <si>
    <t xml:space="preserve"> 312</t>
  </si>
  <si>
    <t xml:space="preserve"> RCD-L D200mm, 누수보수용</t>
  </si>
  <si>
    <t>_x0007_`COD|M06567_x0005_`QTY1|1_x0005_`BQC|_x0005_`EQC|_x0005_`JDC|_x0005_`WQC|_x0005_`EDT|_x0005_`</t>
  </si>
  <si>
    <t xml:space="preserve"> 313</t>
  </si>
  <si>
    <t xml:space="preserve"> RCD-L D80mm, 누수보수용</t>
  </si>
  <si>
    <t>_x0007_`COD|M06564_x0005_`QTY1|1_x0005_`BQC|_x0005_`EQC|_x0005_`JDC|_x0005_`WQC|_x0005_`EDT|_x0005_`</t>
  </si>
  <si>
    <t xml:space="preserve"> 314</t>
  </si>
  <si>
    <t>10kg D30mm, STS</t>
  </si>
  <si>
    <t>_x0007_`COD|M06691_x0005_`QTY1|1_x0005_`BQC|_x0005_`EQC|_x0005_`JDC|_x0005_`WQC|_x0005_`EDT|_x0005_`</t>
  </si>
  <si>
    <t xml:space="preserve"> 315</t>
  </si>
  <si>
    <t>10kg D50mm, STS</t>
  </si>
  <si>
    <t>_x0007_`COD|M06548_x0005_`QTY1|1_x0005_`BQC|_x0005_`EQC|_x0005_`JDC|_x0005_`WQC|_x0005_`EDT|_x0005_`</t>
  </si>
  <si>
    <t xml:space="preserve"> 316</t>
  </si>
  <si>
    <t>포대아스콘</t>
  </si>
  <si>
    <t>흑색(내수성)25kg</t>
  </si>
  <si>
    <t>_x0007_`COD|M06630_x0005_`QTY1|1_x0005_`BQC|_x0005_`EQC|도로_x0005_`JDC|_x0005_`WQC|_x0005_`EDT|_x0005_`</t>
  </si>
  <si>
    <t xml:space="preserve"> 317</t>
  </si>
  <si>
    <t>폴리우레탄폼</t>
  </si>
  <si>
    <t>발포보온재</t>
  </si>
  <si>
    <t>_x0007_`COD|M06740_x0005_`QTY1|1_x0005_`BQC|_x0005_`EQC|_x0005_`JDC|_x0005_`WQC|_x0005_`EDT|_x0005_`</t>
  </si>
  <si>
    <t xml:space="preserve"> 318</t>
  </si>
  <si>
    <t>플랜지 단관</t>
  </si>
  <si>
    <t xml:space="preserve"> STS 10kg D100A 0.5m이하</t>
  </si>
  <si>
    <t>_x0007_`COD|M06596_x0005_`QTY1|1_x0005_`BQC|_x0005_`EQC|_x0005_`JDC|_x0005_`WQC|_x0005_`EDT|_x0005_`</t>
  </si>
  <si>
    <t xml:space="preserve"> 319</t>
  </si>
  <si>
    <t xml:space="preserve"> STS 10kg D100A 1.5m이하</t>
  </si>
  <si>
    <t>_x0007_`COD|M06601_x0005_`QTY1|1_x0005_`BQC|_x0005_`EQC|_x0005_`JDC|_x0005_`WQC|_x0005_`EDT|_x0005_`</t>
  </si>
  <si>
    <t xml:space="preserve"> 320</t>
  </si>
  <si>
    <t xml:space="preserve"> STS 10kg D100A 2.5m이하</t>
  </si>
  <si>
    <t>_x0007_`COD|M06606_x0005_`QTY1|1_x0005_`BQC|_x0005_`EQC|_x0005_`JDC|_x0005_`WQC|_x0005_`EDT|_x0005_`</t>
  </si>
  <si>
    <t xml:space="preserve"> 321</t>
  </si>
  <si>
    <t xml:space="preserve"> STS 10kg D150A 0.5m이하</t>
  </si>
  <si>
    <t>_x0007_`COD|M06597_x0005_`QTY1|1_x0005_`BQC|_x0005_`EQC|_x0005_`JDC|_x0005_`WQC|_x0005_`EDT|_x0005_`</t>
  </si>
  <si>
    <t xml:space="preserve"> 322</t>
  </si>
  <si>
    <t xml:space="preserve"> STS 10kg D150A 1.5m이하</t>
  </si>
  <si>
    <t>_x0007_`COD|M06602_x0005_`QTY1|1_x0005_`BQC|_x0005_`EQC|_x0005_`JDC|_x0005_`WQC|_x0005_`EDT|_x0005_`</t>
  </si>
  <si>
    <t xml:space="preserve"> 323</t>
  </si>
  <si>
    <t xml:space="preserve"> STS 10kg D150A 2.5m이하</t>
  </si>
  <si>
    <t>_x0007_`COD|M06607_x0005_`QTY1|1_x0005_`BQC|_x0005_`EQC|_x0005_`JDC|_x0005_`WQC|_x0005_`EDT|_x0005_`</t>
  </si>
  <si>
    <t xml:space="preserve"> 324</t>
  </si>
  <si>
    <t xml:space="preserve"> STS 10kg D200A 0.5m이하</t>
  </si>
  <si>
    <t>_x0007_`COD|M06598_x0005_`QTY1|1_x0005_`BQC|_x0005_`EQC|_x0005_`JDC|_x0005_`WQC|_x0005_`EDT|_x0005_`</t>
  </si>
  <si>
    <t xml:space="preserve"> 325</t>
  </si>
  <si>
    <t xml:space="preserve"> STS 10kg D200A 1.5m이하</t>
  </si>
  <si>
    <t>_x0007_`COD|M06603_x0005_`QTY1|1_x0005_`BQC|_x0005_`EQC|_x0005_`JDC|_x0005_`WQC|_x0005_`EDT|_x0005_`</t>
  </si>
  <si>
    <t xml:space="preserve"> 326</t>
  </si>
  <si>
    <t xml:space="preserve"> STS 10kg D200A 2.5m이하</t>
  </si>
  <si>
    <t>_x0007_`COD|M06608_x0005_`QTY1|1_x0005_`BQC|_x0005_`EQC|_x0005_`JDC|_x0005_`WQC|_x0005_`EDT|_x0005_`</t>
  </si>
  <si>
    <t xml:space="preserve"> 327</t>
  </si>
  <si>
    <t xml:space="preserve"> STS 10kg D250A 0.5m이하</t>
  </si>
  <si>
    <t>_x0007_`COD|M06599_x0005_`QTY1|1_x0005_`BQC|_x0005_`EQC|_x0005_`JDC|_x0005_`WQC|_x0005_`EDT|_x0005_`</t>
  </si>
  <si>
    <t xml:space="preserve"> 328</t>
  </si>
  <si>
    <t xml:space="preserve"> STS 10kg D250A 1.5m이하</t>
  </si>
  <si>
    <t>_x0007_`COD|M06604_x0005_`QTY1|1_x0005_`BQC|_x0005_`EQC|_x0005_`JDC|_x0005_`WQC|_x0005_`EDT|_x0005_`</t>
  </si>
  <si>
    <t xml:space="preserve"> 329</t>
  </si>
  <si>
    <t xml:space="preserve"> STS 10kg D250A 2.5m이하</t>
  </si>
  <si>
    <t>_x0007_`COD|M06609_x0005_`QTY1|1_x0005_`BQC|_x0005_`EQC|_x0005_`JDC|_x0005_`WQC|_x0005_`EDT|_x0005_`</t>
  </si>
  <si>
    <t xml:space="preserve"> 330</t>
  </si>
  <si>
    <t xml:space="preserve"> STS 10kg D300A 0.5m이하</t>
  </si>
  <si>
    <t>_x0007_`COD|M06600_x0005_`QTY1|1_x0005_`BQC|_x0005_`EQC|_x0005_`JDC|_x0005_`WQC|_x0005_`EDT|_x0005_`</t>
  </si>
  <si>
    <t xml:space="preserve"> 331</t>
  </si>
  <si>
    <t xml:space="preserve"> STS 10kg D300A 1.5m이하</t>
  </si>
  <si>
    <t>_x0007_`COD|M06605_x0005_`QTY1|1_x0005_`BQC|_x0005_`EQC|_x0005_`JDC|_x0005_`WQC|_x0005_`EDT|_x0005_`</t>
  </si>
  <si>
    <t xml:space="preserve"> 332</t>
  </si>
  <si>
    <t xml:space="preserve"> STS 10kg D300A 2.5m이하</t>
  </si>
  <si>
    <t>_x0007_`COD|M06610_x0005_`QTY1|1_x0005_`BQC|_x0005_`EQC|_x0005_`JDC|_x0005_`WQC|_x0005_`EDT|_x0005_`</t>
  </si>
  <si>
    <t xml:space="preserve"> 333</t>
  </si>
  <si>
    <t>플랜지(BLFF)</t>
  </si>
  <si>
    <t>STS 10kg D100mm</t>
  </si>
  <si>
    <t>_x0007_`COD|M06623_x0005_`QTY1|1_x0005_`BQC|_x0005_`EQC|_x0005_`JDC|_x0005_`WQC|_x0005_`EDT|_x0005_`</t>
  </si>
  <si>
    <t xml:space="preserve"> 334</t>
  </si>
  <si>
    <t>STS 10kg D150mm</t>
  </si>
  <si>
    <t>_x0007_`COD|M06624_x0005_`QTY1|1_x0005_`BQC|_x0005_`EQC|_x0005_`JDC|_x0005_`WQC|_x0005_`EDT|_x0005_`</t>
  </si>
  <si>
    <t xml:space="preserve"> 335</t>
  </si>
  <si>
    <t>STS 10kg D200mm</t>
  </si>
  <si>
    <t>_x0007_`COD|M06625_x0005_`QTY1|1_x0005_`BQC|_x0005_`EQC|_x0005_`JDC|_x0005_`WQC|_x0005_`EDT|_x0005_`</t>
  </si>
  <si>
    <t xml:space="preserve"> 336</t>
  </si>
  <si>
    <t>플랜지(SOFF)</t>
  </si>
  <si>
    <t>_x0007_`COD|M06620_x0005_`QTY1|1_x0005_`BQC|_x0005_`EQC|_x0005_`JDC|_x0005_`WQC|_x0005_`EDT|_x0005_`</t>
  </si>
  <si>
    <t xml:space="preserve"> 337</t>
  </si>
  <si>
    <t>_x0007_`COD|M06621_x0005_`QTY1|1_x0005_`BQC|_x0005_`EQC|_x0005_`JDC|_x0005_`WQC|_x0005_`EDT|_x0005_`</t>
  </si>
  <si>
    <t xml:space="preserve"> 338</t>
  </si>
  <si>
    <t>_x0007_`COD|M06622_x0005_`QTY1|1_x0005_`BQC|_x0005_`EQC|_x0005_`JDC|_x0005_`WQC|_x0005_`EDT|_x0005_`</t>
  </si>
  <si>
    <t xml:space="preserve"> 339</t>
  </si>
  <si>
    <t>플랜지곡관, 레듀샤</t>
  </si>
  <si>
    <t xml:space="preserve"> STS 10kg D100A</t>
  </si>
  <si>
    <t>_x0007_`COD|M06590_x0005_`QTY1|1_x0005_`BQC|_x0005_`EQC|_x0005_`JDC|_x0005_`WQC|_x0005_`EDT|_x0005_`</t>
  </si>
  <si>
    <t xml:space="preserve"> 340</t>
  </si>
  <si>
    <t xml:space="preserve"> STS 10kg D150A</t>
  </si>
  <si>
    <t>_x0007_`COD|M06713_x0005_`QTY1|1_x0005_`BQC|_x0005_`EQC|_x0005_`JDC|_x0005_`WQC|_x0005_`EDT|_x0005_`</t>
  </si>
  <si>
    <t xml:space="preserve"> 341</t>
  </si>
  <si>
    <t xml:space="preserve"> STS 10kg D200A</t>
  </si>
  <si>
    <t>_x0007_`COD|M06591_x0005_`QTY1|1_x0005_`BQC|_x0005_`EQC|_x0005_`JDC|_x0005_`WQC|_x0005_`EDT|_x0005_`</t>
  </si>
  <si>
    <t xml:space="preserve"> 342</t>
  </si>
  <si>
    <t xml:space="preserve"> STS 10kg D250A</t>
  </si>
  <si>
    <t>_x0007_`COD|M06714_x0005_`QTY1|1_x0005_`BQC|_x0005_`EQC|_x0005_`JDC|_x0005_`WQC|_x0005_`EDT|_x0005_`</t>
  </si>
  <si>
    <t xml:space="preserve"> 343</t>
  </si>
  <si>
    <t xml:space="preserve"> STS 10kg D300A</t>
  </si>
  <si>
    <t>_x0007_`COD|M06592_x0005_`QTY1|1_x0005_`BQC|_x0005_`EQC|_x0005_`JDC|_x0005_`WQC|_x0005_`EDT|_x0005_`</t>
  </si>
  <si>
    <t xml:space="preserve"> 344</t>
  </si>
  <si>
    <t xml:space="preserve"> STS 10kg D50A</t>
  </si>
  <si>
    <t>_x0007_`COD|M06711_x0005_`QTY1|1_x0005_`BQC|_x0005_`EQC|_x0005_`JDC|_x0005_`WQC|_x0005_`EDT|_x0005_`</t>
  </si>
  <si>
    <t xml:space="preserve"> 345</t>
  </si>
  <si>
    <t xml:space="preserve"> STS 10kg D80A</t>
  </si>
  <si>
    <t>_x0007_`COD|M06712_x0005_`QTY1|1_x0005_`BQC|_x0005_`EQC|_x0005_`JDC|_x0005_`WQC|_x0005_`EDT|_x0005_`</t>
  </si>
  <si>
    <t xml:space="preserve"> 346</t>
  </si>
  <si>
    <t>플랜지십자관</t>
  </si>
  <si>
    <t>_x0007_`COD|M06593_x0005_`QTY1|1_x0005_`BQC|_x0005_`EQC|_x0005_`JDC|_x0005_`WQC|_x0005_`EDT|_x0005_`</t>
  </si>
  <si>
    <t xml:space="preserve"> 347</t>
  </si>
  <si>
    <t>_x0007_`COD|M06716_x0005_`QTY1|1_x0005_`BQC|_x0005_`EQC|_x0005_`JDC|_x0005_`WQC|_x0005_`EDT|_x0005_`</t>
  </si>
  <si>
    <t xml:space="preserve"> 348</t>
  </si>
  <si>
    <t>_x0007_`COD|M06594_x0005_`QTY1|1_x0005_`BQC|_x0005_`EQC|_x0005_`JDC|_x0005_`WQC|_x0005_`EDT|_x0005_`</t>
  </si>
  <si>
    <t xml:space="preserve"> 349</t>
  </si>
  <si>
    <t>_x0007_`COD|M06717_x0005_`QTY1|1_x0005_`BQC|_x0005_`EQC|_x0005_`JDC|_x0005_`WQC|_x0005_`EDT|_x0005_`</t>
  </si>
  <si>
    <t xml:space="preserve"> 350</t>
  </si>
  <si>
    <t>_x0007_`COD|M06595_x0005_`QTY1|1_x0005_`BQC|_x0005_`EQC|_x0005_`JDC|_x0005_`WQC|_x0005_`EDT|_x0005_`</t>
  </si>
  <si>
    <t xml:space="preserve"> 351</t>
  </si>
  <si>
    <t>_x0007_`COD|M06715_x0005_`QTY1|1_x0005_`BQC|_x0005_`EQC|_x0005_`JDC|_x0005_`WQC|_x0005_`EDT|_x0005_`</t>
  </si>
  <si>
    <t xml:space="preserve"> 352</t>
  </si>
  <si>
    <t>하이드로 유닉</t>
  </si>
  <si>
    <t>Set</t>
  </si>
  <si>
    <t>_x0007_`COD|M06632_x0005_`QTY1|1_x0005_`BQC|_x0005_`EQC|_x0005_`JDC|_x0005_`WQC|_x0005_`EDT|_x0005_`</t>
  </si>
  <si>
    <t xml:space="preserve"> 353</t>
  </si>
  <si>
    <t>합판</t>
  </si>
  <si>
    <t>내수합판, 1급, 15×1220×2440mm</t>
  </si>
  <si>
    <t>_x0007_`COD|M05556_x0005_`QTY1|1_x0005_`BQC|건축분야_x0005_`EQC|_x0005_`JDC|1112200120142458_x0005_`WQC|_x0005_`EDT|_x0005_`</t>
  </si>
  <si>
    <t xml:space="preserve"> 354</t>
  </si>
  <si>
    <t>횡형 편흡입펌프</t>
  </si>
  <si>
    <t>_x0007_`COD|M06506_x0005_`QTY1|1_x0005_`BQC|_x0005_`EQC|_x0005_`JDC|_x0005_`WQC|_x0005_`EDT|_x0005_`</t>
  </si>
  <si>
    <t xml:space="preserve"> 355</t>
  </si>
  <si>
    <t>2.0HP 32m 0.14㎥/min</t>
  </si>
  <si>
    <t>_x0007_`COD|M06507_x0005_`QTY1|1_x0005_`BQC|_x0005_`EQC|_x0005_`JDC|_x0005_`WQC|_x0005_`EDT|_x0005_`</t>
  </si>
  <si>
    <t xml:space="preserve"> 356</t>
  </si>
  <si>
    <t>3.0HP 35m 0.19㎥/min</t>
  </si>
  <si>
    <t>_x0007_`COD|M06508_x0005_`QTY1|1_x0005_`BQC|_x0005_`EQC|_x0005_`JDC|_x0005_`WQC|_x0005_`EDT|_x0005_`</t>
  </si>
  <si>
    <t xml:space="preserve"> 357</t>
  </si>
  <si>
    <t>횡형편흡입펌프(인버터펌프)</t>
  </si>
  <si>
    <t>0.5HP 30m 0.02㎥/min</t>
  </si>
  <si>
    <t>_x0007_`COD|M06685_x0005_`QTY1|1_x0005_`BQC|_x0005_`EQC|_x0005_`JDC|_x0005_`WQC|_x0005_`EDT|_x0005_`</t>
  </si>
  <si>
    <t xml:space="preserve"> 358</t>
  </si>
  <si>
    <t>_x0007_`COD|M06687_x0005_`QTY1|1_x0005_`BQC|_x0005_`EQC|_x0005_`JDC|_x0005_`WQC|_x0005_`EDT|_x0005_`</t>
  </si>
  <si>
    <t xml:space="preserve"> 359</t>
  </si>
  <si>
    <t>후렉시블조인트</t>
  </si>
  <si>
    <t>STS 100A, 10kg/㎠</t>
  </si>
  <si>
    <t>_x0007_`COD|M06386_x0005_`QTY1|1_x0005_`BQC|_x0005_`EQC|_x0005_`JDC|_x0005_`WQC|_x0005_`EDT|_x0005_`</t>
  </si>
  <si>
    <t xml:space="preserve"> 360</t>
  </si>
  <si>
    <t>STS 100A, 20kg/㎠</t>
  </si>
  <si>
    <t>_x0007_`COD|M06097_x0005_`QTY1|1_x0005_`BQC|_x0005_`EQC|_x0005_`JDC|_x0005_`WQC|_x0005_`EDT|_x0005_`</t>
  </si>
  <si>
    <t xml:space="preserve"> 361</t>
  </si>
  <si>
    <t>STS 150A, 10kg/㎠</t>
  </si>
  <si>
    <t>_x0007_`COD|M05493_x0005_`QTY1|1_x0005_`BQC|_x0005_`EQC|_x0005_`JDC|_x0005_`WQC|_x0005_`EDT|_x0005_`</t>
  </si>
  <si>
    <t xml:space="preserve"> 362</t>
  </si>
  <si>
    <t>후렉시블죠인트</t>
  </si>
  <si>
    <t>STS 200A, 10kg/㎠</t>
  </si>
  <si>
    <t>_x0007_`COD|M06562_x0005_`QTY1|1_x0005_`BQC|_x0005_`EQC|_x0005_`JDC|_x0005_`WQC|_x0005_`EDT|_x0005_`</t>
  </si>
  <si>
    <t xml:space="preserve"> 363</t>
  </si>
  <si>
    <t>STS 250A, 10kg/㎠</t>
  </si>
  <si>
    <t>_x0007_`COD|M05224_x0005_`QTY1|1_x0005_`BQC|_x0005_`EQC|_x0005_`JDC|_x0005_`WQC|_x0005_`EDT|_x0005_`</t>
  </si>
  <si>
    <t xml:space="preserve"> 364</t>
  </si>
  <si>
    <t>STS 50A, 10kg/㎠</t>
  </si>
  <si>
    <t>_x0007_`COD|M06683_x0005_`QTY1|1_x0005_`BQC|_x0005_`EQC|_x0005_`JDC|_x0005_`WQC|_x0005_`EDT|_x0005_`</t>
  </si>
  <si>
    <t xml:space="preserve"> 365</t>
  </si>
  <si>
    <t>STS 80A, 10kg/㎠</t>
  </si>
  <si>
    <t>_x0007_`COD|M05149_x0005_`QTY1|1_x0005_`BQC|_x0005_`EQC|_x0005_`JDC|_x0005_`WQC|_x0005_`EDT|_x0005_`</t>
  </si>
  <si>
    <t xml:space="preserve"> 366</t>
  </si>
  <si>
    <t>후렌지b/n</t>
  </si>
  <si>
    <t>Φ8x25(직선볼트너트)</t>
  </si>
  <si>
    <t>_x0007_`COD|M06647_x0005_`QTY1|1_x0005_`BQC|_x0005_`EQC|_x0005_`JDC|_x0005_`WQC|_x0005_`EDT|_x0005_`</t>
  </si>
  <si>
    <t xml:space="preserve"> 367</t>
  </si>
  <si>
    <t>Φ8x70(직선볼트너트)</t>
  </si>
  <si>
    <t>_x0007_`COD|M06646_x0005_`QTY1|1_x0005_`BQC|_x0005_`EQC|_x0005_`JDC|_x0005_`WQC|_x0005_`EDT|_x0005_`</t>
  </si>
  <si>
    <t>노무비 목록표</t>
  </si>
  <si>
    <t>건설기계운전사</t>
  </si>
  <si>
    <t>인</t>
  </si>
  <si>
    <t>_x0007_`COD|L00082_x0005_`QTY1|1_x0005_`BQC|01000000076_x0005_`EQC|01000001048_x0005_`JDC|L001010101000048_x0005_`WQC|_x0005_`EDT|2026.상_x0005_`</t>
  </si>
  <si>
    <t>계장공</t>
  </si>
  <si>
    <t>_x0007_`COD|L00065_x0005_`QTY1|1_x0005_`BQC|01000000065_x0005_`EQC|01000001084_x0005_`JDC|L001010101000084_x0005_`WQC|_x0005_`EDT|2026.상_x0005_`</t>
  </si>
  <si>
    <t>기계산업기사</t>
  </si>
  <si>
    <t>초급기술자(건설)</t>
  </si>
  <si>
    <t>_x0007_`COD|L00277_x0005_`QTY1|1_x0005_`BQC|01000000089_x0005_`EQC|01000001051_x0005_`JDC|_x0005_`WQC|_x0005_`EDT|2026.상_x0005_`</t>
  </si>
  <si>
    <t>기계설비공</t>
  </si>
  <si>
    <t>_x0007_`COD|L00095_x0005_`QTY1|1_x0005_`BQC|01000000089_x0005_`EQC|01000001051_x0005_`JDC|L001010101000051_x0005_`WQC|_x0005_`EDT|2026.상_x0005_`</t>
  </si>
  <si>
    <t>_x0007_`COD|L00094_x0005_`QTY1|1_x0005_`BQC|01000000089_x0005_`EQC|01000001051_x0005_`JDC|L001010101000051_x0005_`WQC|_x0005_`EDT|2026.상_x0005_`</t>
  </si>
  <si>
    <t>내선전공</t>
  </si>
  <si>
    <t>_x0007_`COD|L00060_x0005_`QTY1|1_x0005_`BQC|01000000060_x0005_`EQC|01000001075_x0005_`JDC|L001010101000075_x0005_`WQC|_x0005_`EDT|2026.상_x0005_`</t>
  </si>
  <si>
    <t>배관공</t>
  </si>
  <si>
    <t>_x0007_`COD|L00028_x0005_`QTY1|1_x0005_`BQC|01000000025_x0005_`EQC|01000001039_x0005_`JDC|L001010101000039_x0005_`WQC|_x0005_`EDT|2026.상_x0005_`</t>
  </si>
  <si>
    <t>배관공(수도)</t>
  </si>
  <si>
    <t>_x0007_`COD|L00027_x0005_`QTY1|1_x0005_`BQC|01000000026_x0005_`EQC|01000001040_x0005_`JDC|L001010101000040_x0005_`WQC|_x0005_`EDT|2026.상_x0005_`</t>
  </si>
  <si>
    <t>보통인부</t>
  </si>
  <si>
    <t>_x0007_`COD|L00001_x0005_`QTY1|1_x0005_`BQC|01000000075_x0005_`EQC|01000001002_x0005_`JDC|L001010101000002_x0005_`WQC|_x0005_`EDT|2026.상_x0005_`</t>
  </si>
  <si>
    <t>비계공</t>
  </si>
  <si>
    <t>_x0007_`COD|L00013_x0005_`QTY1|1_x0005_`BQC|01000000013_x0005_`EQC|01000001006_x0005_`JDC|L001010101000006_x0005_`WQC|_x0005_`EDT|2026.상_x0005_`</t>
  </si>
  <si>
    <t>용접공</t>
  </si>
  <si>
    <t>_x0007_`COD|L00043_x0005_`QTY1|1_x0005_`BQC|01000000098_x0005_`EQC|01000001012_x0005_`JDC|L001010101000012_x0005_`WQC|_x0005_`EDT|2026.상_x0005_`</t>
  </si>
  <si>
    <t>_x0007_`COD|L00105_x0005_`QTY1|1_x0005_`BQC|01000000098_x0005_`EQC|01000001012_x0005_`JDC|L001010101000012_x0005_`WQC|_x0005_`EDT|2026.상_x0005_`</t>
  </si>
  <si>
    <t>착암공</t>
  </si>
  <si>
    <t>_x0007_`COD|L00038_x0005_`QTY1|1_x0005_`BQC|01000000036_x0005_`EQC|01000001015_x0005_`JDC|L001010101000015_x0005_`WQC|_x0005_`EDT|2026.상_x0005_`</t>
  </si>
  <si>
    <t>철골공</t>
  </si>
  <si>
    <t>_x0007_`COD|L00006_x0005_`QTY1|1_x0005_`BQC|01000000005_x0005_`EQC|01000001011_x0005_`JDC|L001010101000011_x0005_`WQC|_x0005_`EDT|2026.상_x0005_`</t>
  </si>
  <si>
    <t>철공</t>
  </si>
  <si>
    <t>_x0007_`COD|L00007_x0005_`QTY1|1_x0005_`BQC|01000000006_x0005_`EQC|01000001009_x0005_`JDC|L001010101000009_x0005_`WQC|_x0005_`EDT|2026.상_x0005_`</t>
  </si>
  <si>
    <t>콘크리트공</t>
  </si>
  <si>
    <t>_x0007_`COD|L00024_x0005_`QTY1|1_x0005_`BQC|01000000023_x0005_`EQC|01000001013_x0005_`JDC|L001010101000013_x0005_`WQC|_x0005_`EDT|2026.상_x0005_`</t>
  </si>
  <si>
    <t>특별인부</t>
  </si>
  <si>
    <t>_x0007_`COD|L00079_x0005_`QTY1|1_x0005_`BQC|01000000074_x0005_`EQC|01000001003_x0005_`JDC|L001010101000003_x0005_`WQC|_x0005_`EDT|2026.상_x0005_`</t>
  </si>
  <si>
    <t>플랜트배관공</t>
  </si>
  <si>
    <t>_x0007_`COD|L00054_x0005_`QTY1|1_x0005_`BQC|01000000050_x0005_`EQC|01000001056_x0005_`JDC|L001010101000056_x0005_`WQC|_x0005_`EDT|2026.상_x0005_`</t>
  </si>
  <si>
    <t>플랜트전공</t>
  </si>
  <si>
    <t>_x0007_`COD|L00276_x0005_`QTY1|1_x0005_`BQC|01000000059_x0005_`EQC|01000001083_x0005_`JDC|L001010101000083_x0005_`WQC|_x0005_`EDT|2026.상_x0005_`</t>
  </si>
  <si>
    <t>형틀목공</t>
  </si>
  <si>
    <t>_x0007_`COD|L00004_x0005_`QTY1|1_x0005_`BQC|01000000003_x0005_`EQC|01000001007_x0005_`JDC|L001010101000007_x0005_`WQC|_x0005_`EDT|2026.상_x0005_`</t>
  </si>
  <si>
    <t>화물차운전사</t>
  </si>
  <si>
    <t>_x0007_`COD|L00083_x0005_`QTY1|1_x0005_`BQC|01000000078_x0005_`EQC|01000001049_x0005_`JDC|L001010101000049_x0005_`WQC|_x0005_`EDT|2026.상_x0005_`</t>
  </si>
  <si>
    <t>경비 목록표</t>
  </si>
  <si>
    <t>천원</t>
  </si>
  <si>
    <t>_x0007_`COD|S00125_x0005_`QTY1|1_x0005_`BQC|_x0005_`EQC|02020100400_x0005_`JDC|0000020100400000_x0005_`WQC|_x0005_`EDT|2026_x0005_`</t>
  </si>
  <si>
    <t>_x0007_`COD|S00049_x0005_`QTY1|1_x0005_`BQC|_x0005_`EQC|02720400550_x0005_`JDC|0000720400550000_x0005_`WQC|_x0005_`EDT|2026_x0005_`</t>
  </si>
  <si>
    <t>_x0007_`COD|S00134_x0005_`QTY1|1_x0005_`BQC|_x0005_`EQC|02711000250_x0005_`JDC|0000711000250000_x0005_`WQC|_x0005_`EDT|2026_x0005_`</t>
  </si>
  <si>
    <t>_x0007_`COD|S00160_x0005_`QTY1|1_x0005_`BQC|_x0005_`EQC|02590100060_x0005_`JDC|0000590100060000_x0005_`WQC|_x0005_`EDT|2026_x0005_`</t>
  </si>
  <si>
    <t>_x0007_`COD|S00029_x0005_`QTY1|1_x0005_`BQC|_x0005_`EQC|02210400100_x0005_`JDC|0000210400100000_x0005_`WQC|_x0005_`EDT|2026_x0005_`</t>
  </si>
  <si>
    <t>일식/견적 목록표</t>
  </si>
  <si>
    <t>_x0007_`COD|W00262_x0005_`QTY1|1_x0005_`BQC|_x0005_`EQC|_x0005_`JDC|_x0005_`WQC|_x0005_`EDT|_x0005_`ATP|0_x0005_`</t>
  </si>
  <si>
    <t>_x0007_`COD|W00263_x0005_`QTY1|1_x0005_`BQC|_x0005_`EQC|_x0005_`JDC|_x0005_`WQC|_x0005_`EDT|_x0005_`ATP|0_x0005_`</t>
  </si>
  <si>
    <t>_x0007_`COD|W00264_x0005_`QTY1|1_x0005_`BQC|_x0005_`EQC|_x0005_`JDC|_x0005_`WQC|_x0005_`EDT|_x0005_`ATP|0_x0005_`</t>
  </si>
  <si>
    <t>_x0007_`COD|W00265_x0005_`QTY1|1_x0005_`BQC|_x0005_`EQC|_x0005_`JDC|_x0005_`WQC|_x0005_`EDT|_x0005_`ATP|0_x0005_`</t>
  </si>
  <si>
    <t>~100L</t>
  </si>
  <si>
    <t>_x0007_`COD|W00261_x0005_`QTY1|1_x0005_`BQC|_x0005_`EQC|_x0005_`JDC|_x0005_`WQC|_x0005_`EDT|_x0005_`ATP|0_x0005_`</t>
  </si>
  <si>
    <t>0.5HP(교체,수리,점검)</t>
  </si>
  <si>
    <t>_x0007_`COD|W00266_x0005_`QTY1|1_x0005_`BQC|_x0005_`EQC|_x0005_`JDC|_x0005_`WQC|_x0005_`EDT|_x0005_`ATP|0_x0005_`</t>
  </si>
  <si>
    <t>1HP(교체,수리,점검)</t>
  </si>
  <si>
    <t>_x0007_`COD|W00267_x0005_`QTY1|1_x0005_`BQC|_x0005_`EQC|_x0005_`JDC|_x0005_`WQC|_x0005_`EDT|_x0005_`ATP|0_x0005_`</t>
  </si>
  <si>
    <t>2HP(교체,수리,점검)</t>
  </si>
  <si>
    <t>_x0007_`COD|W00268_x0005_`QTY1|1_x0005_`BQC|_x0005_`EQC|_x0005_`JDC|_x0005_`WQC|_x0005_`EDT|_x0005_`ATP|0_x0005_`</t>
  </si>
  <si>
    <t>3HP(교체,수리,점검)</t>
  </si>
  <si>
    <t>_x0007_`COD|W00269_x0005_`QTY1|1_x0005_`BQC|_x0005_`EQC|_x0005_`JDC|_x0005_`WQC|_x0005_`EDT|_x0005_`ATP|0_x0005_`</t>
  </si>
  <si>
    <t>20A(시운전포함)</t>
  </si>
  <si>
    <t>_x0007_`COD|W00270_x0005_`QTY1|1_x0005_`BQC|_x0005_`EQC|_x0005_`JDC|_x0005_`WQC|_x0005_`EDT|_x0005_`ATP|0_x0005_`</t>
  </si>
  <si>
    <t>32A(시운전포함)</t>
  </si>
  <si>
    <t>_x0007_`COD|W00271_x0005_`QTY1|1_x0005_`BQC|_x0005_`EQC|_x0005_`JDC|_x0005_`WQC|_x0005_`EDT|_x0005_`ATP|0_x0005_`</t>
  </si>
  <si>
    <t>준설토처리비</t>
  </si>
  <si>
    <t>김포시 월곶면</t>
  </si>
  <si>
    <t>ton</t>
  </si>
  <si>
    <t>_x0007_`COD|W00207_x0005_`QTY1|1_x0005_`BQC|진영기업_x0005_`EQC|2025_x0005_`JDC|_x0005_`WQC|_x0005_`EDT|_x0005_`ATP|0_x0005_`</t>
  </si>
  <si>
    <t>양주시 은현면</t>
  </si>
  <si>
    <t>_x0007_`COD|W00208_x0005_`QTY1|1_x0005_`BQC|산양환경산_x0005_`EQC|2025_x0005_`JDC|_x0005_`WQC|_x0005_`EDT|_x0005_`ATP|0_x0005_`</t>
  </si>
  <si>
    <t>화성시 송산면</t>
  </si>
  <si>
    <t>_x0007_`COD|W00203_x0005_`QTY1|1_x0005_`BQC|삼흥산업개_x0005_`EQC|2025_x0005_`JDC|_x0005_`WQC|_x0005_`EDT|_x0005_`ATP|0_x0005_`</t>
  </si>
  <si>
    <t>폐기물처리비및운반비</t>
  </si>
  <si>
    <t>(폐아스콘)</t>
  </si>
  <si>
    <t>_x0007_`COD|W00205_x0005_`QTY1|1_x0005_`BQC|견적참조_x0005_`EQC|2026_x0005_`JDC|_x0005_`WQC|_x0005_`EDT|_x0005_`ATP|0_x0005_`</t>
  </si>
  <si>
    <t>(폐콘트리트)</t>
  </si>
  <si>
    <t>_x0007_`COD|W00206_x0005_`QTY1|1_x0005_`BQC|견적참조_x0005_`EQC|2026_x0005_`JDC|_x0005_`WQC|_x0005_`EDT|_x0005_`ATP|0_x0005_`</t>
  </si>
  <si>
    <t>(혼합폐기물)</t>
  </si>
  <si>
    <t>_x0007_`COD|W00209_x0005_`QTY1|1_x0005_`BQC|견적참조_x0005_`EQC|2026_x0005_`JDC|_x0005_`WQC|_x0005_`EDT|_x0005_`ATP|0_x0005_`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</si>
  <si>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</si>
  <si>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</si>
  <si>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</si>
  <si>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</si>
  <si>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</si>
  <si>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</si>
  <si>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</si>
  <si>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노무1</t>
  </si>
  <si>
    <t>노무21</t>
  </si>
  <si>
    <t>3. 단가 및 재료비</t>
  </si>
  <si>
    <t>NO</t>
  </si>
  <si>
    <t>단 가 명</t>
  </si>
  <si>
    <t>규    격</t>
  </si>
  <si>
    <t>가  격</t>
  </si>
  <si>
    <t>1</t>
  </si>
  <si>
    <t>2</t>
  </si>
  <si>
    <t>3</t>
  </si>
  <si>
    <t>자재10</t>
  </si>
  <si>
    <t>자재단가 대비표</t>
  </si>
  <si>
    <t>가격 정보</t>
  </si>
  <si>
    <t>페이지</t>
  </si>
  <si>
    <t>물가 자료</t>
  </si>
  <si>
    <t>물가 정보</t>
  </si>
  <si>
    <t>견적단가1</t>
  </si>
  <si>
    <t>거래,유통</t>
  </si>
  <si>
    <t>적용 단가</t>
  </si>
  <si>
    <t>이전단가</t>
  </si>
  <si>
    <t>최소단가</t>
  </si>
  <si>
    <t>위치</t>
  </si>
  <si>
    <t>물가지명</t>
  </si>
  <si>
    <t>별명</t>
  </si>
  <si>
    <t>가.정</t>
  </si>
  <si>
    <t>물.자</t>
  </si>
  <si>
    <t>물.정</t>
  </si>
  <si>
    <t>견적 1</t>
  </si>
  <si>
    <t>거래</t>
  </si>
  <si>
    <t>6(25.12)</t>
  </si>
  <si>
    <t>55(25.12)거</t>
  </si>
  <si>
    <t>859(25.12)</t>
  </si>
  <si>
    <t>927(25.12)거</t>
  </si>
  <si>
    <t>건축분야</t>
  </si>
  <si>
    <t>2026.06</t>
  </si>
  <si>
    <t>98(26.06)</t>
  </si>
  <si>
    <t>85(26.06)</t>
  </si>
  <si>
    <t>147(26.06)거</t>
  </si>
  <si>
    <t>845(26.06)</t>
  </si>
  <si>
    <t>845(26.06)거</t>
  </si>
  <si>
    <t>833(26.06)</t>
  </si>
  <si>
    <t>2026.01</t>
  </si>
  <si>
    <t>833(26.01)</t>
  </si>
  <si>
    <t>845(26.01)거</t>
  </si>
  <si>
    <t>2026.07</t>
  </si>
  <si>
    <t>10(26.01)하</t>
  </si>
  <si>
    <t>1433(26.01)</t>
  </si>
  <si>
    <t>1464(26.01)</t>
  </si>
  <si>
    <t>737(25.12)</t>
  </si>
  <si>
    <t>912(25.12)거</t>
  </si>
  <si>
    <t>47(26.05)하</t>
  </si>
  <si>
    <t>83(26.06)하</t>
  </si>
  <si>
    <t>1472(2606)거</t>
  </si>
  <si>
    <t>83(26.05)하</t>
  </si>
  <si>
    <t>1472(26.05)</t>
  </si>
  <si>
    <t>744(25.12)</t>
  </si>
  <si>
    <t>701(25.12)</t>
  </si>
  <si>
    <t>782(25.12)거</t>
  </si>
  <si>
    <t>128(25.12)하</t>
  </si>
  <si>
    <t>76(25.12)하</t>
  </si>
  <si>
    <t>1349(25.12)</t>
  </si>
  <si>
    <t>1418(25.12)</t>
  </si>
  <si>
    <t>1069(25.12)</t>
  </si>
  <si>
    <t>643(25.12)유</t>
  </si>
  <si>
    <t>A사</t>
  </si>
  <si>
    <t>742(25.12)</t>
  </si>
  <si>
    <t>419(25.12)</t>
  </si>
  <si>
    <t>1343(25.12)</t>
  </si>
  <si>
    <t>759(25.12)</t>
  </si>
  <si>
    <t>62(26.06)</t>
  </si>
  <si>
    <t>55(26.06)</t>
  </si>
  <si>
    <t>61(26.06)거</t>
  </si>
  <si>
    <t>814(25.12)</t>
  </si>
  <si>
    <t>C사</t>
  </si>
  <si>
    <t>70(25.12)</t>
  </si>
  <si>
    <t>62(25.12)</t>
  </si>
  <si>
    <t>B사</t>
  </si>
  <si>
    <t>468(25.12)</t>
  </si>
  <si>
    <t>472(25.12)</t>
  </si>
  <si>
    <t>583(25.12)거</t>
  </si>
  <si>
    <t>1368(25.12)</t>
  </si>
  <si>
    <t>843(25.12)</t>
  </si>
  <si>
    <t>1368(26.03)</t>
  </si>
  <si>
    <t>843(26.03)</t>
  </si>
  <si>
    <t>912(26.03)거</t>
  </si>
  <si>
    <t>1368(26.01)</t>
  </si>
  <si>
    <t>826(26.01)</t>
  </si>
  <si>
    <t>644(26.01)유</t>
  </si>
  <si>
    <t>831(25.12)</t>
  </si>
  <si>
    <t>838(25.12)거</t>
  </si>
  <si>
    <t>842(25.12)</t>
  </si>
  <si>
    <t>775(25.12)</t>
  </si>
  <si>
    <t>418(25.12)</t>
  </si>
  <si>
    <t>1417(25.12)</t>
  </si>
  <si>
    <t>834(26.061)</t>
  </si>
  <si>
    <t>772(26.06)</t>
  </si>
  <si>
    <t>829(26.06)거</t>
  </si>
  <si>
    <t>1337(25.12)</t>
  </si>
  <si>
    <t>809(25.12)</t>
  </si>
  <si>
    <t>743(25.12)</t>
  </si>
  <si>
    <t>710(25.12)</t>
  </si>
  <si>
    <t>847(25.12)</t>
  </si>
  <si>
    <t>833(25.12)거</t>
  </si>
  <si>
    <t>33(25.12)</t>
  </si>
  <si>
    <t>52(25.12)</t>
  </si>
  <si>
    <t>48(25.12)</t>
  </si>
  <si>
    <t>95(25.12)거</t>
  </si>
  <si>
    <t>51(25.12)</t>
  </si>
  <si>
    <t>39(25.12)</t>
  </si>
  <si>
    <t>97(25.12)거</t>
  </si>
  <si>
    <t>834(25.12)</t>
  </si>
  <si>
    <t>829(25.12)거</t>
  </si>
  <si>
    <t>834(26.03)</t>
  </si>
  <si>
    <t>829(26.03)거</t>
  </si>
  <si>
    <t>771(25.12)</t>
  </si>
  <si>
    <t>41(25.12)</t>
  </si>
  <si>
    <t>65(26.06)</t>
  </si>
  <si>
    <t>58(26.06)</t>
  </si>
  <si>
    <t>102(26.01)거</t>
  </si>
  <si>
    <t>487(25.12)</t>
  </si>
  <si>
    <t>606(25.12)거</t>
  </si>
  <si>
    <t>828(25.12)</t>
  </si>
  <si>
    <t>779(25.12)</t>
  </si>
  <si>
    <t>850(25.12)거</t>
  </si>
  <si>
    <t>33(26.06)하</t>
  </si>
  <si>
    <t>1430(26.06)</t>
  </si>
  <si>
    <t>1451(2603)거</t>
  </si>
  <si>
    <t>794(25.12)</t>
  </si>
  <si>
    <t>1081(25.12)</t>
  </si>
  <si>
    <t>1181(25.12)</t>
  </si>
  <si>
    <t>1008(25.12)?</t>
  </si>
  <si>
    <t>13(25.12)</t>
  </si>
  <si>
    <t>63(25.12)거</t>
  </si>
  <si>
    <t>1387(26.06)</t>
  </si>
  <si>
    <t>1045(26.06)</t>
  </si>
  <si>
    <t>1326(2606)거</t>
  </si>
  <si>
    <t>1332(25.12)</t>
  </si>
  <si>
    <t>1042(2512)거</t>
  </si>
  <si>
    <t>38(25.12)하</t>
  </si>
  <si>
    <t>1444(25.12)</t>
  </si>
  <si>
    <t>1455(2512)거</t>
  </si>
  <si>
    <t>1374(25.12)</t>
  </si>
  <si>
    <t>1339(25.12)</t>
  </si>
  <si>
    <t>1338(25.12)</t>
  </si>
  <si>
    <t>62(26.01)</t>
  </si>
  <si>
    <t>833(25.12)</t>
  </si>
  <si>
    <t>435(25.12)</t>
  </si>
  <si>
    <t>553(25.12)거</t>
  </si>
  <si>
    <t>415(25.12)</t>
  </si>
  <si>
    <t>1099(26.01)</t>
  </si>
  <si>
    <t>738(25.12)</t>
  </si>
  <si>
    <t>666(25.12)</t>
  </si>
  <si>
    <t>774(25.12)</t>
  </si>
  <si>
    <t>117(25.12)</t>
  </si>
  <si>
    <t>475(25.12)</t>
  </si>
  <si>
    <t>910(26.06)거</t>
  </si>
  <si>
    <t>747(25.12)</t>
  </si>
  <si>
    <t>705(25.12)</t>
  </si>
  <si>
    <t>776(25.12)거</t>
  </si>
  <si>
    <t>670(26.06)</t>
  </si>
  <si>
    <t>667(26.06)거</t>
  </si>
  <si>
    <t>1344(25.12)</t>
  </si>
  <si>
    <t>806(25.12)</t>
  </si>
  <si>
    <t>811(25.12)</t>
  </si>
  <si>
    <t>753(25.12)</t>
  </si>
  <si>
    <t>826(25.12)거</t>
  </si>
  <si>
    <t>811(26.01)</t>
  </si>
  <si>
    <t>753(26.01)</t>
  </si>
  <si>
    <t>26-590-유통</t>
  </si>
  <si>
    <t>설 계 내 역 서</t>
  </si>
  <si>
    <t>공   종</t>
  </si>
  <si>
    <t>수   량</t>
  </si>
  <si>
    <t>금    액</t>
  </si>
  <si>
    <t>총 괄 내 역 서</t>
  </si>
  <si>
    <t>E10_1</t>
  </si>
  <si>
    <t>무인화시설물 유지보수 연간단가</t>
  </si>
  <si>
    <t>폐기물처리비</t>
  </si>
  <si>
    <t>E3_1</t>
  </si>
  <si>
    <t xml:space="preserve">   1.    □</t>
  </si>
  <si>
    <t>시설물 유지보수</t>
  </si>
  <si>
    <t>B04896_1</t>
  </si>
  <si>
    <t>E2_1</t>
  </si>
  <si>
    <t>_x0007_`COD|B04896_x0005_`QTY1|1_x0005_`EXI|0_x0005_`IPR|0_x0005_`BLA|F_x0005_`</t>
  </si>
  <si>
    <t>대가   1호표</t>
  </si>
  <si>
    <t>B04897_1</t>
  </si>
  <si>
    <t>_x0007_`COD|B04897_x0005_`QTY1|1_x0005_`EXI|0_x0005_`IPR|0_x0005_`BLA|F_x0005_`</t>
  </si>
  <si>
    <t>대가   2호표</t>
  </si>
  <si>
    <t>B04898_1</t>
  </si>
  <si>
    <t>_x0007_`COD|B04898_x0005_`QTY1|1_x0005_`EXI|0_x0005_`IPR|0_x0005_`BLA|F_x0005_`</t>
  </si>
  <si>
    <t>대가   3호표</t>
  </si>
  <si>
    <t>B04899_1</t>
  </si>
  <si>
    <t>_x0007_`COD|B04899_x0005_`QTY1|1_x0005_`EXI|0_x0005_`IPR|0_x0005_`BLA|F_x0005_`</t>
  </si>
  <si>
    <t>대가   4호표</t>
  </si>
  <si>
    <t>B04900_1</t>
  </si>
  <si>
    <t>_x0007_`COD|B04900_x0005_`QTY1|1_x0005_`EXI|0_x0005_`IPR|0_x0005_`BLA|F_x0005_`</t>
  </si>
  <si>
    <t>대가   5호표</t>
  </si>
  <si>
    <t>B04901_1</t>
  </si>
  <si>
    <t>_x0007_`COD|B04901_x0005_`QTY1|1_x0005_`EXI|0_x0005_`IPR|0_x0005_`BLA|F_x0005_`</t>
  </si>
  <si>
    <t>대가   6호표</t>
  </si>
  <si>
    <t>B04902_1</t>
  </si>
  <si>
    <t>_x0007_`COD|B04902_x0005_`QTY1|1_x0005_`EXI|0_x0005_`IPR|0_x0005_`BLA|F_x0005_`</t>
  </si>
  <si>
    <t>대가   7호표</t>
  </si>
  <si>
    <t>B04903_1</t>
  </si>
  <si>
    <t>_x0007_`COD|B04903_x0005_`QTY1|1_x0005_`EXI|0_x0005_`IPR|0_x0005_`BLA|F_x0005_`</t>
  </si>
  <si>
    <t>대가   8호표</t>
  </si>
  <si>
    <t>B04904_1</t>
  </si>
  <si>
    <t>_x0007_`COD|B04904_x0005_`QTY1|1_x0005_`EXI|0_x0005_`IPR|0_x0005_`BLA|F_x0005_`</t>
  </si>
  <si>
    <t>대가   9호표</t>
  </si>
  <si>
    <t>B04905_1</t>
  </si>
  <si>
    <t>_x0007_`COD|B04905_x0005_`QTY1|1_x0005_`EXI|0_x0005_`IPR|0_x0005_`BLA|F_x0005_`</t>
  </si>
  <si>
    <t>대가  10호표</t>
  </si>
  <si>
    <t>B04906_1</t>
  </si>
  <si>
    <t>_x0007_`COD|B04906_x0005_`QTY1|1_x0005_`EXI|0_x0005_`IPR|0_x0005_`BLA|F_x0005_`</t>
  </si>
  <si>
    <t>대가  11호표</t>
  </si>
  <si>
    <t>B04907_1</t>
  </si>
  <si>
    <t>_x0007_`COD|B04907_x0005_`QTY1|1_x0005_`EXI|0_x0005_`IPR|0_x0005_`BLA|F_x0005_`</t>
  </si>
  <si>
    <t>대가  12호표</t>
  </si>
  <si>
    <t>B05105_1</t>
  </si>
  <si>
    <t>_x0007_`COD|B05105_x0005_`QTY1|1_x0005_`EXI|0_x0005_`IPR|0_x0005_`BLA|F_x0005_`</t>
  </si>
  <si>
    <t>대가  13호표</t>
  </si>
  <si>
    <t>B05106_1</t>
  </si>
  <si>
    <t>_x0007_`COD|B05106_x0005_`QTY1|1_x0005_`EXI|0_x0005_`IPR|0_x0005_`BLA|F_x0005_`</t>
  </si>
  <si>
    <t>대가  14호표</t>
  </si>
  <si>
    <t>B05107_1</t>
  </si>
  <si>
    <t>_x0007_`COD|B05107_x0005_`QTY1|1_x0005_`EXI|0_x0005_`IPR|0_x0005_`BLA|F_x0005_`</t>
  </si>
  <si>
    <t>대가  15호표</t>
  </si>
  <si>
    <t>B05108_1</t>
  </si>
  <si>
    <t>_x0007_`COD|B05108_x0005_`QTY1|1_x0005_`EXI|0_x0005_`IPR|0_x0005_`BLA|F_x0005_`</t>
  </si>
  <si>
    <t>대가  16호표</t>
  </si>
  <si>
    <t>B05109_1</t>
  </si>
  <si>
    <t>_x0007_`COD|B05109_x0005_`QTY1|1_x0005_`EXI|0_x0005_`IPR|0_x0005_`BLA|F_x0005_`</t>
  </si>
  <si>
    <t>대가  17호표</t>
  </si>
  <si>
    <t>B05110_1</t>
  </si>
  <si>
    <t>_x0007_`COD|B05110_x0005_`QTY1|1_x0005_`EXI|0_x0005_`IPR|0_x0005_`BLA|F_x0005_`</t>
  </si>
  <si>
    <t>대가  18호표</t>
  </si>
  <si>
    <t>B05111_1</t>
  </si>
  <si>
    <t>_x0007_`COD|B05111_x0005_`QTY1|1_x0005_`EXI|0_x0005_`IPR|0_x0005_`BLA|F_x0005_`</t>
  </si>
  <si>
    <t>대가  19호표</t>
  </si>
  <si>
    <t>B05112_1</t>
  </si>
  <si>
    <t>_x0007_`COD|B05112_x0005_`QTY1|1_x0005_`EXI|0_x0005_`IPR|0_x0005_`BLA|F_x0005_`</t>
  </si>
  <si>
    <t>대가  20호표</t>
  </si>
  <si>
    <t>B05113_1</t>
  </si>
  <si>
    <t>_x0007_`COD|B05113_x0005_`QTY1|1_x0005_`EXI|0_x0005_`IPR|0_x0005_`BLA|F_x0005_`</t>
  </si>
  <si>
    <t>대가  21호표</t>
  </si>
  <si>
    <t>B05114_1</t>
  </si>
  <si>
    <t>_x0007_`COD|B05114_x0005_`QTY1|1_x0005_`EXI|0_x0005_`IPR|0_x0005_`BLA|F_x0005_`</t>
  </si>
  <si>
    <t>대가  22호표</t>
  </si>
  <si>
    <t>B05115_1</t>
  </si>
  <si>
    <t>_x0007_`COD|B05115_x0005_`QTY1|1_x0005_`EXI|0_x0005_`IPR|0_x0005_`BLA|F_x0005_`</t>
  </si>
  <si>
    <t>대가  23호표</t>
  </si>
  <si>
    <t>B05116_1</t>
  </si>
  <si>
    <t>_x0007_`COD|B05116_x0005_`QTY1|1_x0005_`EXI|0_x0005_`IPR|0_x0005_`BLA|F_x0005_`</t>
  </si>
  <si>
    <t>대가  24호표</t>
  </si>
  <si>
    <t>B05129_1</t>
  </si>
  <si>
    <t>_x0007_`COD|B05129_x0005_`QTY1|1_x0005_`EXI|0_x0005_`IPR|0_x0005_`BLA|F_x0005_`</t>
  </si>
  <si>
    <t>대가  25호표</t>
  </si>
  <si>
    <t>B05130_1</t>
  </si>
  <si>
    <t>_x0007_`COD|B05130_x0005_`QTY1|1_x0005_`EXI|0_x0005_`IPR|0_x0005_`BLA|F_x0005_`</t>
  </si>
  <si>
    <t>대가  26호표</t>
  </si>
  <si>
    <t>B05131_1</t>
  </si>
  <si>
    <t>_x0007_`COD|B05131_x0005_`QTY1|1_x0005_`EXI|0_x0005_`IPR|0_x0005_`BLA|F_x0005_`</t>
  </si>
  <si>
    <t>대가  27호표</t>
  </si>
  <si>
    <t>B05133_1</t>
  </si>
  <si>
    <t>_x0007_`COD|B05133_x0005_`QTY1|1_x0005_`EXI|0_x0005_`IPR|0_x0005_`BLA|F_x0005_`</t>
  </si>
  <si>
    <t>대가  28호표</t>
  </si>
  <si>
    <t>B05134_1</t>
  </si>
  <si>
    <t>_x0007_`COD|B05134_x0005_`QTY1|1_x0005_`EXI|0_x0005_`IPR|0_x0005_`BLA|F_x0005_`</t>
  </si>
  <si>
    <t>대가  29호표</t>
  </si>
  <si>
    <t>B05135_1</t>
  </si>
  <si>
    <t>_x0007_`COD|B05135_x0005_`QTY1|1_x0005_`EXI|0_x0005_`IPR|0_x0005_`BLA|F_x0005_`</t>
  </si>
  <si>
    <t>대가  30호표</t>
  </si>
  <si>
    <t>B05136_1</t>
  </si>
  <si>
    <t>_x0007_`COD|B05136_x0005_`QTY1|1_x0005_`EXI|0_x0005_`IPR|0_x0005_`BLA|F_x0005_`</t>
  </si>
  <si>
    <t>대가  31호표</t>
  </si>
  <si>
    <t>B05137_1</t>
  </si>
  <si>
    <t>_x0007_`COD|B05137_x0005_`QTY1|1_x0005_`EXI|0_x0005_`IPR|0_x0005_`BLA|F_x0005_`</t>
  </si>
  <si>
    <t>대가  32호표</t>
  </si>
  <si>
    <t>B05138_1</t>
  </si>
  <si>
    <t>_x0007_`COD|B05138_x0005_`QTY1|1_x0005_`EXI|0_x0005_`IPR|0_x0005_`BLA|F_x0005_`</t>
  </si>
  <si>
    <t>대가  33호표</t>
  </si>
  <si>
    <t>B05139_1</t>
  </si>
  <si>
    <t>_x0007_`COD|B05139_x0005_`QTY1|1_x0005_`EXI|0_x0005_`IPR|0_x0005_`BLA|F_x0005_`</t>
  </si>
  <si>
    <t>대가  34호표</t>
  </si>
  <si>
    <t>B05140_1</t>
  </si>
  <si>
    <t>_x0007_`COD|B05140_x0005_`QTY1|1_x0005_`EXI|0_x0005_`IPR|0_x0005_`BLA|F_x0005_`</t>
  </si>
  <si>
    <t>대가  35호표</t>
  </si>
  <si>
    <t>B05141_1</t>
  </si>
  <si>
    <t>_x0007_`COD|B05141_x0005_`QTY1|1_x0005_`EXI|0_x0005_`IPR|0_x0005_`BLA|F_x0005_`</t>
  </si>
  <si>
    <t>대가  36호표</t>
  </si>
  <si>
    <t>B05142_1</t>
  </si>
  <si>
    <t>_x0007_`COD|B05142_x0005_`QTY1|1_x0005_`EXI|0_x0005_`IPR|0_x0005_`BLA|F_x0005_`</t>
  </si>
  <si>
    <t>대가  37호표</t>
  </si>
  <si>
    <t>B05143_1</t>
  </si>
  <si>
    <t>_x0007_`COD|B05143_x0005_`QTY1|1_x0005_`EXI|0_x0005_`IPR|0_x0005_`BLA|F_x0005_`</t>
  </si>
  <si>
    <t>대가  38호표</t>
  </si>
  <si>
    <t>B05144_1</t>
  </si>
  <si>
    <t>_x0007_`COD|B05144_x0005_`QTY1|1_x0005_`EXI|0_x0005_`IPR|0_x0005_`BLA|F_x0005_`</t>
  </si>
  <si>
    <t>대가  39호표</t>
  </si>
  <si>
    <t>B05145_1</t>
  </si>
  <si>
    <t>_x0007_`COD|B05145_x0005_`QTY1|1_x0005_`EXI|0_x0005_`IPR|0_x0005_`BLA|F_x0005_`</t>
  </si>
  <si>
    <t>대가  40호표</t>
  </si>
  <si>
    <t>B05146_1</t>
  </si>
  <si>
    <t>_x0007_`COD|B05146_x0005_`QTY1|1_x0005_`EXI|0_x0005_`IPR|0_x0005_`BLA|F_x0005_`</t>
  </si>
  <si>
    <t>대가  41호표</t>
  </si>
  <si>
    <t>B05147_1</t>
  </si>
  <si>
    <t>_x0007_`COD|B05147_x0005_`QTY1|1_x0005_`EXI|0_x0005_`IPR|0_x0005_`BLA|F_x0005_`</t>
  </si>
  <si>
    <t>대가  42호표</t>
  </si>
  <si>
    <t>B05148_1</t>
  </si>
  <si>
    <t>_x0007_`COD|B05148_x0005_`QTY1|1_x0005_`EXI|0_x0005_`IPR|0_x0005_`BLA|F_x0005_`</t>
  </si>
  <si>
    <t>대가  43호표</t>
  </si>
  <si>
    <t>B05149_1</t>
  </si>
  <si>
    <t>_x0007_`COD|B05149_x0005_`QTY1|1_x0005_`EXI|0_x0005_`IPR|0_x0005_`BLA|F_x0005_`</t>
  </si>
  <si>
    <t>대가  44호표</t>
  </si>
  <si>
    <t>B05150_1</t>
  </si>
  <si>
    <t>_x0007_`COD|B05150_x0005_`QTY1|1_x0005_`EXI|0_x0005_`IPR|0_x0005_`BLA|F_x0005_`</t>
  </si>
  <si>
    <t>대가  45호표</t>
  </si>
  <si>
    <t>B05151_1</t>
  </si>
  <si>
    <t>_x0007_`COD|B05151_x0005_`QTY1|1_x0005_`EXI|0_x0005_`IPR|0_x0005_`BLA|F_x0005_`</t>
  </si>
  <si>
    <t>대가  46호표</t>
  </si>
  <si>
    <t>B05152_1</t>
  </si>
  <si>
    <t>_x0007_`COD|B05152_x0005_`QTY1|1_x0005_`EXI|0_x0005_`IPR|0_x0005_`BLA|F_x0005_`</t>
  </si>
  <si>
    <t>대가  47호표</t>
  </si>
  <si>
    <t>B04908_1</t>
  </si>
  <si>
    <t>_x0007_`COD|B04908_x0005_`QTY1|1_x0005_`EXI|0_x0005_`IPR|0_x0005_`BLA|F_x0005_`</t>
  </si>
  <si>
    <t>대가  48호표</t>
  </si>
  <si>
    <t>B04909_1</t>
  </si>
  <si>
    <t>_x0007_`COD|B04909_x0005_`QTY1|1_x0005_`EXI|0_x0005_`IPR|0_x0005_`BLA|F_x0005_`</t>
  </si>
  <si>
    <t>대가  49호표</t>
  </si>
  <si>
    <t>B04910_1</t>
  </si>
  <si>
    <t>_x0007_`COD|B04910_x0005_`QTY1|1_x0005_`EXI|0_x0005_`IPR|0_x0005_`BLA|F_x0005_`</t>
  </si>
  <si>
    <t>대가  50호표</t>
  </si>
  <si>
    <t>B04911_1</t>
  </si>
  <si>
    <t>_x0007_`COD|B04911_x0005_`QTY1|1_x0005_`EXI|0_x0005_`IPR|0_x0005_`BLA|F_x0005_`</t>
  </si>
  <si>
    <t>대가  51호표</t>
  </si>
  <si>
    <t>B04912_1</t>
  </si>
  <si>
    <t>_x0007_`COD|B04912_x0005_`QTY1|1_x0005_`EXI|0_x0005_`IPR|0_x0005_`BLA|F_x0005_`</t>
  </si>
  <si>
    <t>대가  52호표</t>
  </si>
  <si>
    <t>B04913_1</t>
  </si>
  <si>
    <t>_x0007_`COD|B04913_x0005_`QTY1|1_x0005_`EXI|0_x0005_`IPR|0_x0005_`BLA|F_x0005_`</t>
  </si>
  <si>
    <t>대가  53호표</t>
  </si>
  <si>
    <t>B04914_1</t>
  </si>
  <si>
    <t>_x0007_`COD|B04914_x0005_`QTY1|1_x0005_`EXI|0_x0005_`IPR|0_x0005_`BLA|F_x0005_`</t>
  </si>
  <si>
    <t>대가  54호표</t>
  </si>
  <si>
    <t>B04915_1</t>
  </si>
  <si>
    <t>_x0007_`COD|B04915_x0005_`QTY1|1_x0005_`EXI|0_x0005_`IPR|0_x0005_`BLA|F_x0005_`</t>
  </si>
  <si>
    <t>대가  55호표</t>
  </si>
  <si>
    <t>B04916_1</t>
  </si>
  <si>
    <t>_x0007_`COD|B04916_x0005_`QTY1|1_x0005_`EXI|0_x0005_`IPR|0_x0005_`BLA|F_x0005_`</t>
  </si>
  <si>
    <t>대가  56호표</t>
  </si>
  <si>
    <t>B04917_1</t>
  </si>
  <si>
    <t>_x0007_`COD|B04917_x0005_`QTY1|1_x0005_`EXI|0_x0005_`IPR|0_x0005_`BLA|F_x0005_`</t>
  </si>
  <si>
    <t>대가  57호표</t>
  </si>
  <si>
    <t>B04918_1</t>
  </si>
  <si>
    <t>_x0007_`COD|B04918_x0005_`QTY1|1_x0005_`EXI|0_x0005_`IPR|0_x0005_`BLA|F_x0005_`</t>
  </si>
  <si>
    <t>대가  58호표</t>
  </si>
  <si>
    <t>B04919_1</t>
  </si>
  <si>
    <t>_x0007_`COD|B04919_x0005_`QTY1|1_x0005_`EXI|0_x0005_`IPR|0_x0005_`BLA|F_x0005_`</t>
  </si>
  <si>
    <t>대가  59호표</t>
  </si>
  <si>
    <t>B05117_1</t>
  </si>
  <si>
    <t>_x0007_`COD|B05117_x0005_`QTY1|1_x0005_`EXI|0_x0005_`IPR|0_x0005_`BLA|F_x0005_`</t>
  </si>
  <si>
    <t>대가  60호표</t>
  </si>
  <si>
    <t>B05118_1</t>
  </si>
  <si>
    <t>_x0007_`COD|B05118_x0005_`QTY1|1_x0005_`EXI|0_x0005_`IPR|0_x0005_`BLA|F_x0005_`</t>
  </si>
  <si>
    <t>대가  61호표</t>
  </si>
  <si>
    <t>B05119_1</t>
  </si>
  <si>
    <t>_x0007_`COD|B05119_x0005_`QTY1|1_x0005_`EXI|0_x0005_`IPR|0_x0005_`BLA|F_x0005_`</t>
  </si>
  <si>
    <t>대가  62호표</t>
  </si>
  <si>
    <t>B05120_1</t>
  </si>
  <si>
    <t>_x0007_`COD|B05120_x0005_`QTY1|1_x0005_`EXI|0_x0005_`IPR|0_x0005_`BLA|F_x0005_`</t>
  </si>
  <si>
    <t>대가  63호표</t>
  </si>
  <si>
    <t>B05121_1</t>
  </si>
  <si>
    <t>_x0007_`COD|B05121_x0005_`QTY1|1_x0005_`EXI|0_x0005_`IPR|0_x0005_`BLA|F_x0005_`</t>
  </si>
  <si>
    <t>대가  64호표</t>
  </si>
  <si>
    <t>B05122_1</t>
  </si>
  <si>
    <t>_x0007_`COD|B05122_x0005_`QTY1|1_x0005_`EXI|0_x0005_`IPR|0_x0005_`BLA|F_x0005_`</t>
  </si>
  <si>
    <t>대가  65호표</t>
  </si>
  <si>
    <t>B05123_1</t>
  </si>
  <si>
    <t>_x0007_`COD|B05123_x0005_`QTY1|1_x0005_`EXI|0_x0005_`IPR|0_x0005_`BLA|F_x0005_`</t>
  </si>
  <si>
    <t>대가  66호표</t>
  </si>
  <si>
    <t>B05124_1</t>
  </si>
  <si>
    <t>_x0007_`COD|B05124_x0005_`QTY1|1_x0005_`EXI|0_x0005_`IPR|0_x0005_`BLA|F_x0005_`</t>
  </si>
  <si>
    <t>대가  67호표</t>
  </si>
  <si>
    <t>B05125_1</t>
  </si>
  <si>
    <t>_x0007_`COD|B05125_x0005_`QTY1|1_x0005_`EXI|0_x0005_`IPR|0_x0005_`BLA|F_x0005_`</t>
  </si>
  <si>
    <t>대가  68호표</t>
  </si>
  <si>
    <t>B05126_1</t>
  </si>
  <si>
    <t>_x0007_`COD|B05126_x0005_`QTY1|1_x0005_`EXI|0_x0005_`IPR|0_x0005_`BLA|F_x0005_`</t>
  </si>
  <si>
    <t>대가  69호표</t>
  </si>
  <si>
    <t>B05127_1</t>
  </si>
  <si>
    <t>_x0007_`COD|B05127_x0005_`QTY1|1_x0005_`EXI|0_x0005_`IPR|0_x0005_`BLA|F_x0005_`</t>
  </si>
  <si>
    <t>대가  70호표</t>
  </si>
  <si>
    <t>B05128_1</t>
  </si>
  <si>
    <t>_x0007_`COD|B05128_x0005_`QTY1|1_x0005_`EXI|0_x0005_`IPR|0_x0005_`BLA|F_x0005_`</t>
  </si>
  <si>
    <t>대가  71호표</t>
  </si>
  <si>
    <t>B05153_1</t>
  </si>
  <si>
    <t>_x0007_`COD|B05153_x0005_`QTY1|1_x0005_`EXI|0_x0005_`IPR|0_x0005_`BLA|F_x0005_`</t>
  </si>
  <si>
    <t>대가  72호표</t>
  </si>
  <si>
    <t>B05154_1</t>
  </si>
  <si>
    <t>_x0007_`COD|B05154_x0005_`QTY1|1_x0005_`EXI|0_x0005_`IPR|0_x0005_`BLA|F_x0005_`</t>
  </si>
  <si>
    <t>대가  73호표</t>
  </si>
  <si>
    <t>B05155_1</t>
  </si>
  <si>
    <t>_x0007_`COD|B05155_x0005_`QTY1|1_x0005_`EXI|0_x0005_`IPR|0_x0005_`BLA|F_x0005_`</t>
  </si>
  <si>
    <t>대가  74호표</t>
  </si>
  <si>
    <t>B05156_1</t>
  </si>
  <si>
    <t>_x0007_`COD|B05156_x0005_`QTY1|1_x0005_`EXI|0_x0005_`IPR|0_x0005_`BLA|F_x0005_`</t>
  </si>
  <si>
    <t>대가  75호표</t>
  </si>
  <si>
    <t>B05157_1</t>
  </si>
  <si>
    <t>_x0007_`COD|B05157_x0005_`QTY1|1_x0005_`EXI|0_x0005_`IPR|0_x0005_`BLA|F_x0005_`</t>
  </si>
  <si>
    <t>대가  76호표</t>
  </si>
  <si>
    <t>B05158_1</t>
  </si>
  <si>
    <t>_x0007_`COD|B05158_x0005_`QTY1|1_x0005_`EXI|0_x0005_`IPR|0_x0005_`BLA|F_x0005_`</t>
  </si>
  <si>
    <t>대가  77호표</t>
  </si>
  <si>
    <t>B05159_1</t>
  </si>
  <si>
    <t>_x0007_`COD|B05159_x0005_`QTY1|1_x0005_`EXI|0_x0005_`IPR|0_x0005_`BLA|F_x0005_`</t>
  </si>
  <si>
    <t>대가  78호표</t>
  </si>
  <si>
    <t>B05160_1</t>
  </si>
  <si>
    <t>_x0007_`COD|B05160_x0005_`QTY1|1_x0005_`EXI|0_x0005_`IPR|0_x0005_`BLA|F_x0005_`</t>
  </si>
  <si>
    <t>대가  79호표</t>
  </si>
  <si>
    <t>B05161_1</t>
  </si>
  <si>
    <t>_x0007_`COD|B05161_x0005_`QTY1|1_x0005_`EXI|0_x0005_`IPR|0_x0005_`BLA|F_x0005_`</t>
  </si>
  <si>
    <t>대가  80호표</t>
  </si>
  <si>
    <t>B05162_1</t>
  </si>
  <si>
    <t>_x0007_`COD|B05162_x0005_`QTY1|1_x0005_`EXI|0_x0005_`IPR|0_x0005_`BLA|F_x0005_`</t>
  </si>
  <si>
    <t>대가  81호표</t>
  </si>
  <si>
    <t>B05163_1</t>
  </si>
  <si>
    <t>_x0007_`COD|B05163_x0005_`QTY1|1_x0005_`EXI|0_x0005_`IPR|0_x0005_`BLA|F_x0005_`</t>
  </si>
  <si>
    <t>대가  82호표</t>
  </si>
  <si>
    <t>B05164_1</t>
  </si>
  <si>
    <t>_x0007_`COD|B05164_x0005_`QTY1|1_x0005_`EXI|0_x0005_`IPR|0_x0005_`BLA|F_x0005_`</t>
  </si>
  <si>
    <t>대가  83호표</t>
  </si>
  <si>
    <t>B05165_1</t>
  </si>
  <si>
    <t>_x0007_`COD|B05165_x0005_`QTY1|1_x0005_`EXI|0_x0005_`IPR|0_x0005_`BLA|F_x0005_`</t>
  </si>
  <si>
    <t>대가  84호표</t>
  </si>
  <si>
    <t>B05166_1</t>
  </si>
  <si>
    <t>_x0007_`COD|B05166_x0005_`QTY1|1_x0005_`EXI|0_x0005_`IPR|0_x0005_`BLA|F_x0005_`</t>
  </si>
  <si>
    <t>대가  85호표</t>
  </si>
  <si>
    <t>B05167_1</t>
  </si>
  <si>
    <t>_x0007_`COD|B05167_x0005_`QTY1|1_x0005_`EXI|0_x0005_`IPR|0_x0005_`BLA|F_x0005_`</t>
  </si>
  <si>
    <t>대가  86호표</t>
  </si>
  <si>
    <t>B05168_1</t>
  </si>
  <si>
    <t>_x0007_`COD|B05168_x0005_`QTY1|1_x0005_`EXI|0_x0005_`IPR|0_x0005_`BLA|F_x0005_`</t>
  </si>
  <si>
    <t>대가  87호표</t>
  </si>
  <si>
    <t>B05169_1</t>
  </si>
  <si>
    <t>_x0007_`COD|B05169_x0005_`QTY1|1_x0005_`EXI|0_x0005_`IPR|0_x0005_`BLA|F_x0005_`</t>
  </si>
  <si>
    <t>대가  88호표</t>
  </si>
  <si>
    <t>B05170_1</t>
  </si>
  <si>
    <t>_x0007_`COD|B05170_x0005_`QTY1|1_x0005_`EXI|0_x0005_`IPR|0_x0005_`BLA|F_x0005_`</t>
  </si>
  <si>
    <t>대가  89호표</t>
  </si>
  <si>
    <t>B05171_1</t>
  </si>
  <si>
    <t>_x0007_`COD|B05171_x0005_`QTY1|1_x0005_`EXI|0_x0005_`IPR|0_x0005_`BLA|F_x0005_`</t>
  </si>
  <si>
    <t>대가  90호표</t>
  </si>
  <si>
    <t>B05172_1</t>
  </si>
  <si>
    <t>_x0007_`COD|B05172_x0005_`QTY1|1_x0005_`EXI|0_x0005_`IPR|0_x0005_`BLA|F_x0005_`</t>
  </si>
  <si>
    <t>대가  91호표</t>
  </si>
  <si>
    <t>B05173_1</t>
  </si>
  <si>
    <t>_x0007_`COD|B05173_x0005_`QTY1|1_x0005_`EXI|0_x0005_`IPR|0_x0005_`BLA|F_x0005_`</t>
  </si>
  <si>
    <t>대가  92호표</t>
  </si>
  <si>
    <t>B05174_1</t>
  </si>
  <si>
    <t>_x0007_`COD|B05174_x0005_`QTY1|1_x0005_`EXI|0_x0005_`IPR|0_x0005_`BLA|F_x0005_`</t>
  </si>
  <si>
    <t>대가  93호표</t>
  </si>
  <si>
    <t>B05175_1</t>
  </si>
  <si>
    <t>_x0007_`COD|B05175_x0005_`QTY1|1_x0005_`EXI|0_x0005_`IPR|0_x0005_`BLA|F_x0005_`</t>
  </si>
  <si>
    <t>대가  94호표</t>
  </si>
  <si>
    <t>B05176_1</t>
  </si>
  <si>
    <t>_x0007_`COD|B05176_x0005_`QTY1|1_x0005_`EXI|0_x0005_`IPR|0_x0005_`BLA|F_x0005_`</t>
  </si>
  <si>
    <t>대가  95호표</t>
  </si>
  <si>
    <t>B04920_1</t>
  </si>
  <si>
    <t>_x0007_`COD|B04920_x0005_`QTY1|1_x0005_`EXI|0_x0005_`IPR|0_x0005_`BLA|F_x0005_`</t>
  </si>
  <si>
    <t>대가  96호표</t>
  </si>
  <si>
    <t>B04922_1</t>
  </si>
  <si>
    <t>_x0007_`COD|B04922_x0005_`QTY1|1_x0005_`EXI|0_x0005_`IPR|0_x0005_`BLA|F_x0005_`</t>
  </si>
  <si>
    <t>대가  97호표</t>
  </si>
  <si>
    <t>B04923_1</t>
  </si>
  <si>
    <t>_x0007_`COD|B04923_x0005_`QTY1|1_x0005_`EXI|0_x0005_`IPR|0_x0005_`BLA|F_x0005_`</t>
  </si>
  <si>
    <t>대가  98호표</t>
  </si>
  <si>
    <t>B04924_1</t>
  </si>
  <si>
    <t>_x0007_`COD|B04924_x0005_`QTY1|1_x0005_`EXI|0_x0005_`IPR|0_x0005_`BLA|F_x0005_`</t>
  </si>
  <si>
    <t>대가  99호표</t>
  </si>
  <si>
    <t>B04925_1</t>
  </si>
  <si>
    <t>_x0007_`COD|B04925_x0005_`QTY1|1_x0005_`EXI|0_x0005_`IPR|0_x0005_`BLA|F_x0005_`</t>
  </si>
  <si>
    <t>대가 100호표</t>
  </si>
  <si>
    <t>B04927_1</t>
  </si>
  <si>
    <t>_x0007_`COD|B04927_x0005_`QTY1|1_x0005_`EXI|0_x0005_`IPR|0_x0005_`BLA|F_x0005_`</t>
  </si>
  <si>
    <t>대가 101호표</t>
  </si>
  <si>
    <t>B04928_1</t>
  </si>
  <si>
    <t>_x0007_`COD|B04928_x0005_`QTY1|1_x0005_`EXI|0_x0005_`IPR|0_x0005_`BLA|F_x0005_`</t>
  </si>
  <si>
    <t>대가 102호표</t>
  </si>
  <si>
    <t>B04929_1</t>
  </si>
  <si>
    <t>_x0007_`COD|B04929_x0005_`QTY1|1_x0005_`EXI|0_x0005_`IPR|0_x0005_`BLA|F_x0005_`</t>
  </si>
  <si>
    <t>대가 103호표</t>
  </si>
  <si>
    <t>B04930_1</t>
  </si>
  <si>
    <t>_x0007_`COD|B04930_x0005_`QTY1|1_x0005_`EXI|0_x0005_`IPR|0_x0005_`BLA|F_x0005_`</t>
  </si>
  <si>
    <t>대가 104호표</t>
  </si>
  <si>
    <t>B04931_1</t>
  </si>
  <si>
    <t>_x0007_`COD|B04931_x0005_`QTY1|1_x0005_`EXI|0_x0005_`IPR|0_x0005_`BLA|F_x0005_`</t>
  </si>
  <si>
    <t>대가 105호표</t>
  </si>
  <si>
    <t>B04932_1</t>
  </si>
  <si>
    <t>_x0007_`COD|B04932_x0005_`QTY1|1_x0005_`EXI|0_x0005_`IPR|0_x0005_`BLA|F_x0005_`</t>
  </si>
  <si>
    <t>대가 106호표</t>
  </si>
  <si>
    <t>B04933_1</t>
  </si>
  <si>
    <t>_x0007_`COD|B04933_x0005_`QTY1|1_x0005_`EXI|0_x0005_`IPR|0_x0005_`BLA|F_x0005_`</t>
  </si>
  <si>
    <t>대가 107호표</t>
  </si>
  <si>
    <t>B05177_1</t>
  </si>
  <si>
    <t>_x0007_`COD|B05177_x0005_`QTY1|1_x0005_`EXI|0_x0005_`IPR|0_x0005_`BLA|F_x0005_`</t>
  </si>
  <si>
    <t>대가 108호표</t>
  </si>
  <si>
    <t>B05178_1</t>
  </si>
  <si>
    <t>_x0007_`COD|B05178_x0005_`QTY1|1_x0005_`EXI|0_x0005_`IPR|0_x0005_`BLA|F_x0005_`</t>
  </si>
  <si>
    <t>대가 109호표</t>
  </si>
  <si>
    <t>B05179_1</t>
  </si>
  <si>
    <t>_x0007_`COD|B05179_x0005_`QTY1|1_x0005_`EXI|0_x0005_`IPR|0_x0005_`BLA|F_x0005_`</t>
  </si>
  <si>
    <t>대가 110호표</t>
  </si>
  <si>
    <t>B05180_1</t>
  </si>
  <si>
    <t>_x0007_`COD|B05180_x0005_`QTY1|1_x0005_`EXI|0_x0005_`IPR|0_x0005_`BLA|F_x0005_`</t>
  </si>
  <si>
    <t>대가 111호표</t>
  </si>
  <si>
    <t>B05181_1</t>
  </si>
  <si>
    <t>_x0007_`COD|B05181_x0005_`QTY1|1_x0005_`EXI|0_x0005_`IPR|0_x0005_`BLA|F_x0005_`</t>
  </si>
  <si>
    <t>대가 112호표</t>
  </si>
  <si>
    <t>B05182_1</t>
  </si>
  <si>
    <t>_x0007_`COD|B05182_x0005_`QTY1|1_x0005_`EXI|0_x0005_`IPR|0_x0005_`BLA|F_x0005_`</t>
  </si>
  <si>
    <t>대가 113호표</t>
  </si>
  <si>
    <t>B05183_1</t>
  </si>
  <si>
    <t>_x0007_`COD|B05183_x0005_`QTY1|1_x0005_`EXI|0_x0005_`IPR|0_x0005_`BLA|F_x0005_`</t>
  </si>
  <si>
    <t>대가 114호표</t>
  </si>
  <si>
    <t>B05184_1</t>
  </si>
  <si>
    <t>_x0007_`COD|B05184_x0005_`QTY1|1_x0005_`EXI|0_x0005_`IPR|0_x0005_`BLA|F_x0005_`</t>
  </si>
  <si>
    <t>대가 115호표</t>
  </si>
  <si>
    <t>B05185_1</t>
  </si>
  <si>
    <t>_x0007_`COD|B05185_x0005_`QTY1|1_x0005_`EXI|0_x0005_`IPR|0_x0005_`BLA|F_x0005_`</t>
  </si>
  <si>
    <t>대가 116호표</t>
  </si>
  <si>
    <t>B05186_1</t>
  </si>
  <si>
    <t>_x0007_`COD|B05186_x0005_`QTY1|1_x0005_`EXI|0_x0005_`IPR|0_x0005_`BLA|F_x0005_`</t>
  </si>
  <si>
    <t>대가 117호표</t>
  </si>
  <si>
    <t>B05187_1</t>
  </si>
  <si>
    <t>_x0007_`COD|B05187_x0005_`QTY1|1_x0005_`EXI|0_x0005_`IPR|0_x0005_`BLA|F_x0005_`</t>
  </si>
  <si>
    <t>대가 118호표</t>
  </si>
  <si>
    <t>B05188_1</t>
  </si>
  <si>
    <t>_x0007_`COD|B05188_x0005_`QTY1|1_x0005_`EXI|0_x0005_`IPR|0_x0005_`BLA|F_x0005_`</t>
  </si>
  <si>
    <t>대가 119호표</t>
  </si>
  <si>
    <t>B05189_1</t>
  </si>
  <si>
    <t>_x0007_`COD|B05189_x0005_`QTY1|1_x0005_`EXI|0_x0005_`IPR|0_x0005_`BLA|F_x0005_`</t>
  </si>
  <si>
    <t>대가 120호표</t>
  </si>
  <si>
    <t>B05190_1</t>
  </si>
  <si>
    <t>_x0007_`COD|B05190_x0005_`QTY1|1_x0005_`EXI|0_x0005_`IPR|0_x0005_`BLA|F_x0005_`</t>
  </si>
  <si>
    <t>대가 121호표</t>
  </si>
  <si>
    <t>B05191_1</t>
  </si>
  <si>
    <t>_x0007_`COD|B05191_x0005_`QTY1|1_x0005_`EXI|0_x0005_`IPR|0_x0005_`BLA|F_x0005_`</t>
  </si>
  <si>
    <t>대가 122호표</t>
  </si>
  <si>
    <t>B05192_1</t>
  </si>
  <si>
    <t>_x0007_`COD|B05192_x0005_`QTY1|1_x0005_`EXI|0_x0005_`IPR|0_x0005_`BLA|F_x0005_`</t>
  </si>
  <si>
    <t>대가 123호표</t>
  </si>
  <si>
    <t>B05193_1</t>
  </si>
  <si>
    <t>_x0007_`COD|B05193_x0005_`QTY1|1_x0005_`EXI|0_x0005_`IPR|0_x0005_`BLA|F_x0005_`</t>
  </si>
  <si>
    <t>대가 124호표</t>
  </si>
  <si>
    <t>B05195_1</t>
  </si>
  <si>
    <t>_x0007_`COD|B05195_x0005_`QTY1|1_x0005_`EXI|0_x0005_`IPR|0_x0005_`BLA|F_x0005_`</t>
  </si>
  <si>
    <t>대가 125호표</t>
  </si>
  <si>
    <t>B05196_1</t>
  </si>
  <si>
    <t>_x0007_`COD|B05196_x0005_`QTY1|1_x0005_`EXI|0_x0005_`IPR|0_x0005_`BLA|F_x0005_`</t>
  </si>
  <si>
    <t>대가 126호표</t>
  </si>
  <si>
    <t>B05197_1</t>
  </si>
  <si>
    <t>_x0007_`COD|B05197_x0005_`QTY1|1_x0005_`EXI|0_x0005_`IPR|0_x0005_`BLA|F_x0005_`</t>
  </si>
  <si>
    <t>대가 127호표</t>
  </si>
  <si>
    <t>B05198_1</t>
  </si>
  <si>
    <t>_x0007_`COD|B05198_x0005_`QTY1|1_x0005_`EXI|0_x0005_`IPR|0_x0005_`BLA|F_x0005_`</t>
  </si>
  <si>
    <t>대가 128호표</t>
  </si>
  <si>
    <t>B05199_1</t>
  </si>
  <si>
    <t>_x0007_`COD|B05199_x0005_`QTY1|1_x0005_`EXI|0_x0005_`IPR|0_x0005_`BLA|F_x0005_`</t>
  </si>
  <si>
    <t>대가 129호표</t>
  </si>
  <si>
    <t>B05200_1</t>
  </si>
  <si>
    <t>_x0007_`COD|B05200_x0005_`QTY1|1_x0005_`EXI|0_x0005_`IPR|0_x0005_`BLA|F_x0005_`</t>
  </si>
  <si>
    <t>대가 130호표</t>
  </si>
  <si>
    <t>B05194_1</t>
  </si>
  <si>
    <t>_x0007_`COD|B05194_x0005_`QTY1|1_x0005_`EXI|0_x0005_`IPR|0_x0005_`BLA|F_x0005_`</t>
  </si>
  <si>
    <t>대가 131호표</t>
  </si>
  <si>
    <t>B05201_1</t>
  </si>
  <si>
    <t>_x0007_`COD|B05201_x0005_`QTY1|1_x0005_`EXI|0_x0005_`IPR|0_x0005_`BLA|F_x0005_`</t>
  </si>
  <si>
    <t>대가 132호표</t>
  </si>
  <si>
    <t>B05202_1</t>
  </si>
  <si>
    <t>_x0007_`COD|B05202_x0005_`QTY1|1_x0005_`EXI|0_x0005_`IPR|0_x0005_`BLA|F_x0005_`</t>
  </si>
  <si>
    <t>대가 133호표</t>
  </si>
  <si>
    <t>B05203_1</t>
  </si>
  <si>
    <t>_x0007_`COD|B05203_x0005_`QTY1|1_x0005_`EXI|0_x0005_`IPR|0_x0005_`BLA|F_x0005_`</t>
  </si>
  <si>
    <t>대가 134호표</t>
  </si>
  <si>
    <t>B05204_1</t>
  </si>
  <si>
    <t>_x0007_`COD|B05204_x0005_`QTY1|1_x0005_`EXI|0_x0005_`IPR|0_x0005_`BLA|F_x0005_`</t>
  </si>
  <si>
    <t>대가 135호표</t>
  </si>
  <si>
    <t>B05205_1</t>
  </si>
  <si>
    <t>_x0007_`COD|B05205_x0005_`QTY1|1_x0005_`EXI|0_x0005_`IPR|0_x0005_`BLA|F_x0005_`</t>
  </si>
  <si>
    <t>대가 136호표</t>
  </si>
  <si>
    <t>B05206_1</t>
  </si>
  <si>
    <t>_x0007_`COD|B05206_x0005_`QTY1|1_x0005_`EXI|0_x0005_`IPR|0_x0005_`BLA|F_x0005_`</t>
  </si>
  <si>
    <t>대가 137호표</t>
  </si>
  <si>
    <t>B05207_1</t>
  </si>
  <si>
    <t>_x0007_`COD|B05207_x0005_`QTY1|1_x0005_`EXI|0_x0005_`IPR|0_x0005_`BLA|F_x0005_`</t>
  </si>
  <si>
    <t>대가 138호표</t>
  </si>
  <si>
    <t>B05208_1</t>
  </si>
  <si>
    <t>_x0007_`COD|B05208_x0005_`QTY1|1_x0005_`EXI|0_x0005_`IPR|0_x0005_`BLA|F_x0005_`</t>
  </si>
  <si>
    <t>대가 139호표</t>
  </si>
  <si>
    <t>B05209_1</t>
  </si>
  <si>
    <t>_x0007_`COD|B05209_x0005_`QTY1|1_x0005_`EXI|0_x0005_`IPR|0_x0005_`BLA|F_x0005_`</t>
  </si>
  <si>
    <t>대가 140호표</t>
  </si>
  <si>
    <t>B05210_1</t>
  </si>
  <si>
    <t>_x0007_`COD|B05210_x0005_`QTY1|1_x0005_`EXI|0_x0005_`IPR|0_x0005_`BLA|F_x0005_`</t>
  </si>
  <si>
    <t>대가 141호표</t>
  </si>
  <si>
    <t>B05211_1</t>
  </si>
  <si>
    <t>_x0007_`COD|B05211_x0005_`QTY1|1_x0005_`EXI|0_x0005_`IPR|0_x0005_`BLA|F_x0005_`</t>
  </si>
  <si>
    <t>대가 142호표</t>
  </si>
  <si>
    <t>B05212_1</t>
  </si>
  <si>
    <t>_x0007_`COD|B05212_x0005_`QTY1|1_x0005_`EXI|0_x0005_`IPR|0_x0005_`BLA|F_x0005_`</t>
  </si>
  <si>
    <t>대가 143호표</t>
  </si>
  <si>
    <t>B04934_1</t>
  </si>
  <si>
    <t>_x0007_`COD|B04934_x0005_`QTY1|1_x0005_`EXI|0_x0005_`IPR|0_x0005_`BLA|F_x0005_`</t>
  </si>
  <si>
    <t>대가 144호표</t>
  </si>
  <si>
    <t>B04935_1</t>
  </si>
  <si>
    <t>_x0007_`COD|B04935_x0005_`QTY1|1_x0005_`EXI|0_x0005_`IPR|0_x0005_`BLA|F_x0005_`</t>
  </si>
  <si>
    <t>대가 145호표</t>
  </si>
  <si>
    <t>B04936_1</t>
  </si>
  <si>
    <t>_x0007_`COD|B04936_x0005_`QTY1|1_x0005_`EXI|0_x0005_`IPR|0_x0005_`BLA|F_x0005_`</t>
  </si>
  <si>
    <t>대가 146호표</t>
  </si>
  <si>
    <t>B04937_1</t>
  </si>
  <si>
    <t>_x0007_`COD|B04937_x0005_`QTY1|1_x0005_`EXI|0_x0005_`IPR|0_x0005_`BLA|F_x0005_`</t>
  </si>
  <si>
    <t>대가 147호표</t>
  </si>
  <si>
    <t>B04938_1</t>
  </si>
  <si>
    <t>_x0007_`COD|B04938_x0005_`QTY1|1_x0005_`EXI|0_x0005_`IPR|0_x0005_`BLA|F_x0005_`</t>
  </si>
  <si>
    <t>대가 148호표</t>
  </si>
  <si>
    <t>B04939_1</t>
  </si>
  <si>
    <t>_x0007_`COD|B04939_x0005_`QTY1|1_x0005_`EXI|0_x0005_`IPR|0_x0005_`BLA|F_x0005_`</t>
  </si>
  <si>
    <t>대가 149호표</t>
  </si>
  <si>
    <t>B04940_1</t>
  </si>
  <si>
    <t>_x0007_`COD|B04940_x0005_`QTY1|1_x0005_`EXI|0_x0005_`IPR|0_x0005_`BLA|F_x0005_`</t>
  </si>
  <si>
    <t>대가 150호표</t>
  </si>
  <si>
    <t>B04941_1</t>
  </si>
  <si>
    <t>_x0007_`COD|B04941_x0005_`QTY1|1_x0005_`EXI|0_x0005_`IPR|0_x0005_`BLA|F_x0005_`</t>
  </si>
  <si>
    <t>대가 151호표</t>
  </si>
  <si>
    <t>B04942_1</t>
  </si>
  <si>
    <t>_x0007_`COD|B04942_x0005_`QTY1|1_x0005_`EXI|0_x0005_`IPR|0_x0005_`BLA|F_x0005_`</t>
  </si>
  <si>
    <t>대가 152호표</t>
  </si>
  <si>
    <t>B04943_1</t>
  </si>
  <si>
    <t>_x0007_`COD|B04943_x0005_`QTY1|1_x0005_`EXI|0_x0005_`IPR|0_x0005_`BLA|F_x0005_`</t>
  </si>
  <si>
    <t>대가 153호표</t>
  </si>
  <si>
    <t>B04944_1</t>
  </si>
  <si>
    <t>_x0007_`COD|B04944_x0005_`QTY1|1_x0005_`EXI|0_x0005_`IPR|0_x0005_`BLA|F_x0005_`</t>
  </si>
  <si>
    <t>대가 154호표</t>
  </si>
  <si>
    <t>B04945_1</t>
  </si>
  <si>
    <t>_x0007_`COD|B04945_x0005_`QTY1|1_x0005_`EXI|0_x0005_`IPR|0_x0005_`BLA|F_x0005_`</t>
  </si>
  <si>
    <t>대가 155호표</t>
  </si>
  <si>
    <t>B04946_1</t>
  </si>
  <si>
    <t>_x0007_`COD|B04946_x0005_`QTY1|1_x0005_`EXI|0_x0005_`IPR|0_x0005_`BLA|F_x0005_`</t>
  </si>
  <si>
    <t>대가 156호표</t>
  </si>
  <si>
    <t>B05213_1</t>
  </si>
  <si>
    <t>_x0007_`COD|B05213_x0005_`QTY1|1_x0005_`EXI|0_x0005_`IPR|0_x0005_`BLA|F_x0005_`</t>
  </si>
  <si>
    <t>대가 157호표</t>
  </si>
  <si>
    <t>B05214_1</t>
  </si>
  <si>
    <t>_x0007_`COD|B05214_x0005_`QTY1|1_x0005_`EXI|0_x0005_`IPR|0_x0005_`BLA|F_x0005_`</t>
  </si>
  <si>
    <t>대가 158호표</t>
  </si>
  <si>
    <t>B05215_1</t>
  </si>
  <si>
    <t>_x0007_`COD|B05215_x0005_`QTY1|1_x0005_`EXI|0_x0005_`IPR|0_x0005_`BLA|F_x0005_`</t>
  </si>
  <si>
    <t>대가 159호표</t>
  </si>
  <si>
    <t>B05217_1</t>
  </si>
  <si>
    <t>_x0007_`COD|B05217_x0005_`QTY1|1_x0005_`EXI|0_x0005_`IPR|0_x0005_`BLA|F_x0005_`</t>
  </si>
  <si>
    <t>대가 160호표</t>
  </si>
  <si>
    <t>B05218_1</t>
  </si>
  <si>
    <t>_x0007_`COD|B05218_x0005_`QTY1|1_x0005_`EXI|0_x0005_`IPR|0_x0005_`BLA|F_x0005_`</t>
  </si>
  <si>
    <t>대가 161호표</t>
  </si>
  <si>
    <t>B05219_1</t>
  </si>
  <si>
    <t>_x0007_`COD|B05219_x0005_`QTY1|1_x0005_`EXI|0_x0005_`IPR|0_x0005_`BLA|F_x0005_`</t>
  </si>
  <si>
    <t>대가 162호표</t>
  </si>
  <si>
    <t>B05220_1</t>
  </si>
  <si>
    <t>_x0007_`COD|B05220_x0005_`QTY1|1_x0005_`EXI|0_x0005_`IPR|0_x0005_`BLA|F_x0005_`</t>
  </si>
  <si>
    <t>대가 163호표</t>
  </si>
  <si>
    <t>B05221_1</t>
  </si>
  <si>
    <t>_x0007_`COD|B05221_x0005_`QTY1|1_x0005_`EXI|0_x0005_`IPR|0_x0005_`BLA|F_x0005_`</t>
  </si>
  <si>
    <t>대가 164호표</t>
  </si>
  <si>
    <t>B05222_1</t>
  </si>
  <si>
    <t>_x0007_`COD|B05222_x0005_`QTY1|1_x0005_`EXI|0_x0005_`IPR|0_x0005_`BLA|F_x0005_`</t>
  </si>
  <si>
    <t>대가 165호표</t>
  </si>
  <si>
    <t>B05223_1</t>
  </si>
  <si>
    <t>_x0007_`COD|B05223_x0005_`QTY1|1_x0005_`EXI|0_x0005_`IPR|0_x0005_`BLA|F_x0005_`</t>
  </si>
  <si>
    <t>대가 166호표</t>
  </si>
  <si>
    <t>B05224_1</t>
  </si>
  <si>
    <t>_x0007_`COD|B05224_x0005_`QTY1|1_x0005_`EXI|0_x0005_`IPR|0_x0005_`BLA|F_x0005_`</t>
  </si>
  <si>
    <t>대가 167호표</t>
  </si>
  <si>
    <t>B05225_1</t>
  </si>
  <si>
    <t>_x0007_`COD|B05225_x0005_`QTY1|1_x0005_`EXI|0_x0005_`IPR|0_x0005_`BLA|F_x0005_`</t>
  </si>
  <si>
    <t>대가 168호표</t>
  </si>
  <si>
    <t>B05226_1</t>
  </si>
  <si>
    <t>_x0007_`COD|B05226_x0005_`QTY1|1_x0005_`EXI|0_x0005_`IPR|0_x0005_`BLA|F_x0005_`</t>
  </si>
  <si>
    <t>대가 169호표</t>
  </si>
  <si>
    <t>B05227_1</t>
  </si>
  <si>
    <t>_x0007_`COD|B05227_x0005_`QTY1|1_x0005_`EXI|0_x0005_`IPR|0_x0005_`BLA|F_x0005_`</t>
  </si>
  <si>
    <t>대가 170호표</t>
  </si>
  <si>
    <t>B05228_1</t>
  </si>
  <si>
    <t>_x0007_`COD|B05228_x0005_`QTY1|1_x0005_`EXI|0_x0005_`IPR|0_x0005_`BLA|F_x0005_`</t>
  </si>
  <si>
    <t>대가 171호표</t>
  </si>
  <si>
    <t>B05216_1</t>
  </si>
  <si>
    <t>_x0007_`COD|B05216_x0005_`QTY1|1_x0005_`EXI|0_x0005_`IPR|0_x0005_`BLA|F_x0005_`</t>
  </si>
  <si>
    <t>대가 172호표</t>
  </si>
  <si>
    <t>B05229_1</t>
  </si>
  <si>
    <t>_x0007_`COD|B05229_x0005_`QTY1|1_x0005_`EXI|0_x0005_`IPR|0_x0005_`BLA|F_x0005_`</t>
  </si>
  <si>
    <t>대가 173호표</t>
  </si>
  <si>
    <t>B05230_1</t>
  </si>
  <si>
    <t>_x0007_`COD|B05230_x0005_`QTY1|1_x0005_`EXI|0_x0005_`IPR|0_x0005_`BLA|F_x0005_`</t>
  </si>
  <si>
    <t>대가 174호표</t>
  </si>
  <si>
    <t>B05231_1</t>
  </si>
  <si>
    <t>_x0007_`COD|B05231_x0005_`QTY1|1_x0005_`EXI|0_x0005_`IPR|0_x0005_`BLA|F_x0005_`</t>
  </si>
  <si>
    <t>대가 175호표</t>
  </si>
  <si>
    <t>B05232_1</t>
  </si>
  <si>
    <t>_x0007_`COD|B05232_x0005_`QTY1|1_x0005_`EXI|0_x0005_`IPR|0_x0005_`BLA|F_x0005_`</t>
  </si>
  <si>
    <t>대가 176호표</t>
  </si>
  <si>
    <t>B05233_1</t>
  </si>
  <si>
    <t>_x0007_`COD|B05233_x0005_`QTY1|1_x0005_`EXI|0_x0005_`IPR|0_x0005_`BLA|F_x0005_`</t>
  </si>
  <si>
    <t>대가 177호표</t>
  </si>
  <si>
    <t>B05234_1</t>
  </si>
  <si>
    <t>_x0007_`COD|B05234_x0005_`QTY1|1_x0005_`EXI|0_x0005_`IPR|0_x0005_`BLA|F_x0005_`</t>
  </si>
  <si>
    <t>대가 178호표</t>
  </si>
  <si>
    <t>B05236_1</t>
  </si>
  <si>
    <t>_x0007_`COD|B05236_x0005_`QTY1|1_x0005_`EXI|0_x0005_`IPR|0_x0005_`BLA|F_x0005_`</t>
  </si>
  <si>
    <t>대가 179호표</t>
  </si>
  <si>
    <t>B05237_1</t>
  </si>
  <si>
    <t>_x0007_`COD|B05237_x0005_`QTY1|1_x0005_`EXI|0_x0005_`IPR|0_x0005_`BLA|F_x0005_`</t>
  </si>
  <si>
    <t>대가 180호표</t>
  </si>
  <si>
    <t>B05238_1</t>
  </si>
  <si>
    <t>_x0007_`COD|B05238_x0005_`QTY1|1_x0005_`EXI|0_x0005_`IPR|0_x0005_`BLA|F_x0005_`</t>
  </si>
  <si>
    <t>대가 181호표</t>
  </si>
  <si>
    <t>B05239_1</t>
  </si>
  <si>
    <t>_x0007_`COD|B05239_x0005_`QTY1|1_x0005_`EXI|0_x0005_`IPR|0_x0005_`BLA|F_x0005_`</t>
  </si>
  <si>
    <t>대가 182호표</t>
  </si>
  <si>
    <t>B05240_1</t>
  </si>
  <si>
    <t>_x0007_`COD|B05240_x0005_`QTY1|1_x0005_`EXI|0_x0005_`IPR|0_x0005_`BLA|F_x0005_`</t>
  </si>
  <si>
    <t>대가 183호표</t>
  </si>
  <si>
    <t>B05241_1</t>
  </si>
  <si>
    <t>_x0007_`COD|B05241_x0005_`QTY1|1_x0005_`EXI|0_x0005_`IPR|0_x0005_`BLA|F_x0005_`</t>
  </si>
  <si>
    <t>대가 184호표</t>
  </si>
  <si>
    <t>B05242_1</t>
  </si>
  <si>
    <t>_x0007_`COD|B05242_x0005_`QTY1|1_x0005_`EXI|0_x0005_`IPR|0_x0005_`BLA|F_x0005_`</t>
  </si>
  <si>
    <t>대가 185호표</t>
  </si>
  <si>
    <t>B05244_1</t>
  </si>
  <si>
    <t>_x0007_`COD|B05244_x0005_`QTY1|1_x0005_`EXI|0_x0005_`IPR|0_x0005_`BLA|F_x0005_`</t>
  </si>
  <si>
    <t>대가 186호표</t>
  </si>
  <si>
    <t>B05245_1</t>
  </si>
  <si>
    <t>_x0007_`COD|B05245_x0005_`QTY1|1_x0005_`EXI|0_x0005_`IPR|0_x0005_`BLA|F_x0005_`</t>
  </si>
  <si>
    <t>대가 187호표</t>
  </si>
  <si>
    <t>B05246_1</t>
  </si>
  <si>
    <t>_x0007_`COD|B05246_x0005_`QTY1|1_x0005_`EXI|0_x0005_`IPR|0_x0005_`BLA|F_x0005_`</t>
  </si>
  <si>
    <t>대가 188호표</t>
  </si>
  <si>
    <t>B05247_1</t>
  </si>
  <si>
    <t>_x0007_`COD|B05247_x0005_`QTY1|1_x0005_`EXI|0_x0005_`IPR|0_x0005_`BLA|F_x0005_`</t>
  </si>
  <si>
    <t>대가 189호표</t>
  </si>
  <si>
    <t>B05248_1</t>
  </si>
  <si>
    <t>_x0007_`COD|B05248_x0005_`QTY1|1_x0005_`EXI|0_x0005_`IPR|0_x0005_`BLA|F_x0005_`</t>
  </si>
  <si>
    <t>대가 190호표</t>
  </si>
  <si>
    <t>B05235_1</t>
  </si>
  <si>
    <t>_x0007_`COD|B05235_x0005_`QTY1|1_x0005_`EXI|0_x0005_`IPR|0_x0005_`BLA|F_x0005_`</t>
  </si>
  <si>
    <t>대가 191호표</t>
  </si>
  <si>
    <t>B05250_1</t>
  </si>
  <si>
    <t>_x0007_`COD|B05250_x0005_`QTY1|1_x0005_`EXI|0_x0005_`IPR|0_x0005_`BLA|F_x0005_`</t>
  </si>
  <si>
    <t>대가 192호표</t>
  </si>
  <si>
    <t>B05251_1</t>
  </si>
  <si>
    <t>_x0007_`COD|B05251_x0005_`QTY1|1_x0005_`EXI|0_x0005_`IPR|0_x0005_`BLA|F_x0005_`</t>
  </si>
  <si>
    <t>대가 193호표</t>
  </si>
  <si>
    <t>B05252_1</t>
  </si>
  <si>
    <t>_x0007_`COD|B05252_x0005_`QTY1|1_x0005_`EXI|0_x0005_`IPR|0_x0005_`BLA|F_x0005_`</t>
  </si>
  <si>
    <t>대가 194호표</t>
  </si>
  <si>
    <t>B05253_1</t>
  </si>
  <si>
    <t>_x0007_`COD|B05253_x0005_`QTY1|1_x0005_`EXI|0_x0005_`IPR|0_x0005_`BLA|F_x0005_`</t>
  </si>
  <si>
    <t>대가 195호표</t>
  </si>
  <si>
    <t>B05060_1</t>
  </si>
  <si>
    <t>_x0007_`COD|B05060_x0005_`QTY1|1_x0005_`EXI|0_x0005_`IPR|0_x0005_`BLA|F_x0005_`</t>
  </si>
  <si>
    <t>대가 196호표</t>
  </si>
  <si>
    <t>B04947_1</t>
  </si>
  <si>
    <t>_x0007_`COD|B04947_x0005_`QTY1|1_x0005_`EXI|0_x0005_`IPR|0_x0005_`BLA|F_x0005_`</t>
  </si>
  <si>
    <t>대가 197호표</t>
  </si>
  <si>
    <t>B05061_1</t>
  </si>
  <si>
    <t>_x0007_`COD|B05061_x0005_`QTY1|1_x0005_`EXI|0_x0005_`IPR|0_x0005_`BLA|F_x0005_`</t>
  </si>
  <si>
    <t>대가 198호표</t>
  </si>
  <si>
    <t>B05062_1</t>
  </si>
  <si>
    <t>_x0007_`COD|B05062_x0005_`QTY1|1_x0005_`EXI|0_x0005_`IPR|0_x0005_`BLA|F_x0005_`</t>
  </si>
  <si>
    <t>대가 199호표</t>
  </si>
  <si>
    <t>B05243_1</t>
  </si>
  <si>
    <t>_x0007_`COD|B05243_x0005_`QTY1|1_x0005_`EXI|0_x0005_`IPR|0_x0005_`BLA|F_x0005_`</t>
  </si>
  <si>
    <t>대가 200호표</t>
  </si>
  <si>
    <t>B05254_1</t>
  </si>
  <si>
    <t>_x0007_`COD|B05254_x0005_`QTY1|1_x0005_`EXI|0_x0005_`IPR|0_x0005_`BLA|F_x0005_`</t>
  </si>
  <si>
    <t>대가 201호표</t>
  </si>
  <si>
    <t>B05249_1</t>
  </si>
  <si>
    <t>_x0007_`COD|B05249_x0005_`QTY1|1_x0005_`EXI|0_x0005_`IPR|0_x0005_`BLA|F_x0005_`</t>
  </si>
  <si>
    <t>대가 202호표</t>
  </si>
  <si>
    <t>B05255_1</t>
  </si>
  <si>
    <t>_x0007_`COD|B05255_x0005_`QTY1|1_x0005_`EXI|0_x0005_`IPR|0_x0005_`BLA|F_x0005_`</t>
  </si>
  <si>
    <t>대가 203호표</t>
  </si>
  <si>
    <t>B05256_1</t>
  </si>
  <si>
    <t>_x0007_`COD|B05256_x0005_`QTY1|1_x0005_`EXI|0_x0005_`IPR|0_x0005_`BLA|F_x0005_`</t>
  </si>
  <si>
    <t>대가 204호표</t>
  </si>
  <si>
    <t>B05258_1</t>
  </si>
  <si>
    <t>_x0007_`COD|B05258_x0005_`QTY1|1_x0005_`EXI|0_x0005_`IPR|0_x0005_`BLA|F_x0005_`</t>
  </si>
  <si>
    <t>대가 205호표</t>
  </si>
  <si>
    <t>B05257_1</t>
  </si>
  <si>
    <t>_x0007_`COD|B05257_x0005_`QTY1|1_x0005_`EXI|0_x0005_`IPR|0_x0005_`BLA|F_x0005_`</t>
  </si>
  <si>
    <t>대가 206호표</t>
  </si>
  <si>
    <t>B05259_1</t>
  </si>
  <si>
    <t>_x0007_`COD|B05259_x0005_`QTY1|1_x0005_`EXI|0_x0005_`IPR|0_x0005_`BLA|F_x0005_`</t>
  </si>
  <si>
    <t>대가 207호표</t>
  </si>
  <si>
    <t>B05260_1</t>
  </si>
  <si>
    <t>_x0007_`COD|B05260_x0005_`QTY1|1_x0005_`EXI|0_x0005_`IPR|0_x0005_`BLA|F_x0005_`</t>
  </si>
  <si>
    <t>대가 208호표</t>
  </si>
  <si>
    <t>B05262_1</t>
  </si>
  <si>
    <t>_x0007_`COD|B05262_x0005_`QTY1|1_x0005_`EXI|0_x0005_`IPR|0_x0005_`BLA|F_x0005_`</t>
  </si>
  <si>
    <t>대가 209호표</t>
  </si>
  <si>
    <t>B05261_1</t>
  </si>
  <si>
    <t>_x0007_`COD|B05261_x0005_`QTY1|1_x0005_`EXI|0_x0005_`IPR|0_x0005_`BLA|F_x0005_`</t>
  </si>
  <si>
    <t>대가 210호표</t>
  </si>
  <si>
    <t>B05263_1</t>
  </si>
  <si>
    <t>_x0007_`COD|B05263_x0005_`QTY1|1_x0005_`EXI|0_x0005_`IPR|0_x0005_`BLA|F_x0005_`</t>
  </si>
  <si>
    <t>대가 211호표</t>
  </si>
  <si>
    <t>B04948_1</t>
  </si>
  <si>
    <t>_x0007_`COD|B04948_x0005_`QTY1|1_x0005_`EXI|0_x0005_`IPR|0_x0005_`BLA|F_x0005_`</t>
  </si>
  <si>
    <t>대가 212호표</t>
  </si>
  <si>
    <t>B04949_1</t>
  </si>
  <si>
    <t>_x0007_`COD|B04949_x0005_`QTY1|1_x0005_`EXI|0_x0005_`IPR|0_x0005_`BLA|F_x0005_`</t>
  </si>
  <si>
    <t>대가 213호표</t>
  </si>
  <si>
    <t>B04950_1</t>
  </si>
  <si>
    <t>_x0007_`COD|B04950_x0005_`QTY1|1_x0005_`EXI|0_x0005_`IPR|0_x0005_`BLA|F_x0005_`</t>
  </si>
  <si>
    <t>대가 214호표</t>
  </si>
  <si>
    <t>B04951_1</t>
  </si>
  <si>
    <t>_x0007_`COD|B04951_x0005_`QTY1|1_x0005_`EXI|0_x0005_`IPR|0_x0005_`BLA|F_x0005_`</t>
  </si>
  <si>
    <t>대가 215호표</t>
  </si>
  <si>
    <t>B05264_1</t>
  </si>
  <si>
    <t>_x0007_`COD|B05264_x0005_`QTY1|1_x0005_`EXI|0_x0005_`IPR|0_x0005_`BLA|F_x0005_`</t>
  </si>
  <si>
    <t>대가 216호표</t>
  </si>
  <si>
    <t>B05265_1</t>
  </si>
  <si>
    <t>_x0007_`COD|B05265_x0005_`QTY1|1_x0005_`EXI|0_x0005_`IPR|0_x0005_`BLA|F_x0005_`</t>
  </si>
  <si>
    <t>대가 217호표</t>
  </si>
  <si>
    <t>B05266_1</t>
  </si>
  <si>
    <t>_x0007_`COD|B05266_x0005_`QTY1|1_x0005_`EXI|0_x0005_`IPR|0_x0005_`BLA|F_x0005_`</t>
  </si>
  <si>
    <t>대가 218호표</t>
  </si>
  <si>
    <t>B05267_1</t>
  </si>
  <si>
    <t>_x0007_`COD|B05267_x0005_`QTY1|1_x0005_`EXI|0_x0005_`IPR|0_x0005_`BLA|F_x0005_`</t>
  </si>
  <si>
    <t>대가 219호표</t>
  </si>
  <si>
    <t>B05268_1</t>
  </si>
  <si>
    <t>_x0007_`COD|B05268_x0005_`QTY1|1_x0005_`EXI|0_x0005_`IPR|0_x0005_`BLA|F_x0005_`</t>
  </si>
  <si>
    <t>대가 220호표</t>
  </si>
  <si>
    <t>B05269_1</t>
  </si>
  <si>
    <t>_x0007_`COD|B05269_x0005_`QTY1|1_x0005_`EXI|0_x0005_`IPR|0_x0005_`BLA|F_x0005_`</t>
  </si>
  <si>
    <t>대가 221호표</t>
  </si>
  <si>
    <t>B05270_1</t>
  </si>
  <si>
    <t>_x0007_`COD|B05270_x0005_`QTY1|1_x0005_`EXI|0_x0005_`IPR|0_x0005_`BLA|F_x0005_`</t>
  </si>
  <si>
    <t>대가 222호표</t>
  </si>
  <si>
    <t>B05271_1</t>
  </si>
  <si>
    <t>_x0007_`COD|B05271_x0005_`QTY1|1_x0005_`EXI|0_x0005_`IPR|0_x0005_`BLA|F_x0005_`</t>
  </si>
  <si>
    <t>대가 223호표</t>
  </si>
  <si>
    <t>B04952_1</t>
  </si>
  <si>
    <t>_x0007_`COD|B04952_x0005_`QTY1|1_x0005_`EXI|0_x0005_`IPR|0_x0005_`BLA|F_x0005_`</t>
  </si>
  <si>
    <t>대가 224호표</t>
  </si>
  <si>
    <t>B05272_1</t>
  </si>
  <si>
    <t>_x0007_`COD|B05272_x0005_`QTY1|1_x0005_`EXI|0_x0005_`IPR|0_x0005_`BLA|F_x0005_`</t>
  </si>
  <si>
    <t>대가 225호표</t>
  </si>
  <si>
    <t>B05273_1</t>
  </si>
  <si>
    <t>_x0007_`COD|B05273_x0005_`QTY1|1_x0005_`EXI|0_x0005_`IPR|0_x0005_`BLA|F_x0005_`</t>
  </si>
  <si>
    <t>대가 226호표</t>
  </si>
  <si>
    <t>B05274_1</t>
  </si>
  <si>
    <t>_x0007_`COD|B05274_x0005_`QTY1|1_x0005_`EXI|0_x0005_`IPR|0_x0005_`BLA|F_x0005_`</t>
  </si>
  <si>
    <t>대가 227호표</t>
  </si>
  <si>
    <t>B04953_1</t>
  </si>
  <si>
    <t>_x0007_`COD|B04953_x0005_`QTY1|1_x0005_`EXI|0_x0005_`IPR|0_x0005_`BLA|F_x0005_`</t>
  </si>
  <si>
    <t>대가 228호표</t>
  </si>
  <si>
    <t>B05275_1</t>
  </si>
  <si>
    <t>_x0007_`COD|B05275_x0005_`QTY1|1_x0005_`EXI|0_x0005_`IPR|0_x0005_`BLA|F_x0005_`</t>
  </si>
  <si>
    <t>대가 229호표</t>
  </si>
  <si>
    <t>B05276_1</t>
  </si>
  <si>
    <t>_x0007_`COD|B05276_x0005_`QTY1|1_x0005_`EXI|0_x0005_`IPR|0_x0005_`BLA|F_x0005_`</t>
  </si>
  <si>
    <t>대가 230호표</t>
  </si>
  <si>
    <t>B05277_1</t>
  </si>
  <si>
    <t>_x0007_`COD|B05277_x0005_`QTY1|1_x0005_`EXI|0_x0005_`IPR|0_x0005_`BLA|F_x0005_`</t>
  </si>
  <si>
    <t>대가 231호표</t>
  </si>
  <si>
    <t>B04954_1</t>
  </si>
  <si>
    <t>_x0007_`COD|B04954_x0005_`QTY1|1_x0005_`EXI|0_x0005_`IPR|0_x0005_`BLA|F_x0005_`</t>
  </si>
  <si>
    <t>대가 232호표</t>
  </si>
  <si>
    <t>B05278_1</t>
  </si>
  <si>
    <t>_x0007_`COD|B05278_x0005_`QTY1|1_x0005_`EXI|0_x0005_`IPR|0_x0005_`BLA|F_x0005_`</t>
  </si>
  <si>
    <t>대가 233호표</t>
  </si>
  <si>
    <t>B05279_1</t>
  </si>
  <si>
    <t>_x0007_`COD|B05279_x0005_`QTY1|1_x0005_`EXI|0_x0005_`IPR|0_x0005_`BLA|F_x0005_`</t>
  </si>
  <si>
    <t>대가 234호표</t>
  </si>
  <si>
    <t>B05280_1</t>
  </si>
  <si>
    <t>_x0007_`COD|B05280_x0005_`QTY1|1_x0005_`EXI|0_x0005_`IPR|0_x0005_`BLA|F_x0005_`</t>
  </si>
  <si>
    <t>대가 235호표</t>
  </si>
  <si>
    <t>B04955_1</t>
  </si>
  <si>
    <t>_x0007_`COD|B04955_x0005_`QTY1|1_x0005_`EXI|0_x0005_`IPR|0_x0005_`BLA|F_x0005_`</t>
  </si>
  <si>
    <t>대가 236호표</t>
  </si>
  <si>
    <t>B04956_1</t>
  </si>
  <si>
    <t>_x0007_`COD|B04956_x0005_`QTY1|1_x0005_`EXI|0_x0005_`IPR|0_x0005_`BLA|F_x0005_`</t>
  </si>
  <si>
    <t>대가 237호표</t>
  </si>
  <si>
    <t>B04957_1</t>
  </si>
  <si>
    <t>_x0007_`COD|B04957_x0005_`QTY1|1_x0005_`EXI|0_x0005_`IPR|0_x0005_`BLA|F_x0005_`</t>
  </si>
  <si>
    <t>대가 238호표</t>
  </si>
  <si>
    <t>B04958_1</t>
  </si>
  <si>
    <t>_x0007_`COD|B04958_x0005_`QTY1|1_x0005_`EXI|0_x0005_`IPR|0_x0005_`BLA|F_x0005_`</t>
  </si>
  <si>
    <t>대가 239호표</t>
  </si>
  <si>
    <t>B04959_1</t>
  </si>
  <si>
    <t>_x0007_`COD|B04959_x0005_`QTY1|1_x0005_`EXI|0_x0005_`IPR|0_x0005_`BLA|F_x0005_`</t>
  </si>
  <si>
    <t>대가 240호표</t>
  </si>
  <si>
    <t>B04960_1</t>
  </si>
  <si>
    <t>_x0007_`COD|B04960_x0005_`QTY1|1_x0005_`EXI|0_x0005_`IPR|0_x0005_`BLA|F_x0005_`</t>
  </si>
  <si>
    <t>대가 241호표</t>
  </si>
  <si>
    <t>B04961_1</t>
  </si>
  <si>
    <t>_x0007_`COD|B04961_x0005_`QTY1|1_x0005_`EXI|0_x0005_`IPR|0_x0005_`BLA|F_x0005_`</t>
  </si>
  <si>
    <t>대가 242호표</t>
  </si>
  <si>
    <t>B04962_1</t>
  </si>
  <si>
    <t>_x0007_`COD|B04962_x0005_`QTY1|1_x0005_`EXI|0_x0005_`IPR|0_x0005_`BLA|F_x0005_`</t>
  </si>
  <si>
    <t>대가 243호표</t>
  </si>
  <si>
    <t>B04963_1</t>
  </si>
  <si>
    <t>_x0007_`COD|B04963_x0005_`QTY1|1_x0005_`EXI|0_x0005_`IPR|0_x0005_`BLA|F_x0005_`</t>
  </si>
  <si>
    <t>대가 244호표</t>
  </si>
  <si>
    <t>B04964_1</t>
  </si>
  <si>
    <t>_x0007_`COD|B04964_x0005_`QTY1|1_x0005_`EXI|0_x0005_`IPR|0_x0005_`BLA|F_x0005_`</t>
  </si>
  <si>
    <t>대가 245호표</t>
  </si>
  <si>
    <t>B04965_1</t>
  </si>
  <si>
    <t>_x0007_`COD|B04965_x0005_`QTY1|1_x0005_`EXI|0_x0005_`IPR|0_x0005_`BLA|F_x0005_`</t>
  </si>
  <si>
    <t>대가 246호표</t>
  </si>
  <si>
    <t>B04966_1</t>
  </si>
  <si>
    <t>_x0007_`COD|B04966_x0005_`QTY1|1_x0005_`EXI|0_x0005_`IPR|0_x0005_`BLA|F_x0005_`</t>
  </si>
  <si>
    <t>대가 247호표</t>
  </si>
  <si>
    <t>B05281_1</t>
  </si>
  <si>
    <t>_x0007_`COD|B05281_x0005_`QTY1|1_x0005_`EXI|0_x0005_`IPR|0_x0005_`BLA|F_x0005_`</t>
  </si>
  <si>
    <t>대가 248호표</t>
  </si>
  <si>
    <t>B05282_1</t>
  </si>
  <si>
    <t>_x0007_`COD|B05282_x0005_`QTY1|1_x0005_`EXI|0_x0005_`IPR|0_x0005_`BLA|F_x0005_`</t>
  </si>
  <si>
    <t>대가 249호표</t>
  </si>
  <si>
    <t>B05283_1</t>
  </si>
  <si>
    <t>_x0007_`COD|B05283_x0005_`QTY1|1_x0005_`EXI|0_x0005_`IPR|0_x0005_`BLA|F_x0005_`</t>
  </si>
  <si>
    <t>대가 250호표</t>
  </si>
  <si>
    <t>B05284_1</t>
  </si>
  <si>
    <t>_x0007_`COD|B05284_x0005_`QTY1|1_x0005_`EXI|0_x0005_`IPR|0_x0005_`BLA|F_x0005_`</t>
  </si>
  <si>
    <t>대가 251호표</t>
  </si>
  <si>
    <t>B05285_1</t>
  </si>
  <si>
    <t>_x0007_`COD|B05285_x0005_`QTY1|1_x0005_`EXI|0_x0005_`IPR|0_x0005_`BLA|F_x0005_`</t>
  </si>
  <si>
    <t>대가 252호표</t>
  </si>
  <si>
    <t>B05286_1</t>
  </si>
  <si>
    <t>_x0007_`COD|B05286_x0005_`QTY1|1_x0005_`EXI|0_x0005_`IPR|0_x0005_`BLA|F_x0005_`</t>
  </si>
  <si>
    <t>대가 253호표</t>
  </si>
  <si>
    <t>B05287_1</t>
  </si>
  <si>
    <t>_x0007_`COD|B05287_x0005_`QTY1|1_x0005_`EXI|0_x0005_`IPR|0_x0005_`BLA|F_x0005_`</t>
  </si>
  <si>
    <t>대가 254호표</t>
  </si>
  <si>
    <t>B05288_1</t>
  </si>
  <si>
    <t>_x0007_`COD|B05288_x0005_`QTY1|1_x0005_`EXI|0_x0005_`IPR|0_x0005_`BLA|F_x0005_`</t>
  </si>
  <si>
    <t>대가 255호표</t>
  </si>
  <si>
    <t>B05289_1</t>
  </si>
  <si>
    <t>_x0007_`COD|B05289_x0005_`QTY1|1_x0005_`EXI|0_x0005_`IPR|0_x0005_`BLA|F_x0005_`</t>
  </si>
  <si>
    <t>대가 256호표</t>
  </si>
  <si>
    <t>B05290_1</t>
  </si>
  <si>
    <t>_x0007_`COD|B05290_x0005_`QTY1|1_x0005_`EXI|0_x0005_`IPR|0_x0005_`BLA|F_x0005_`</t>
  </si>
  <si>
    <t>대가 257호표</t>
  </si>
  <si>
    <t>B05291_1</t>
  </si>
  <si>
    <t>_x0007_`COD|B05291_x0005_`QTY1|1_x0005_`EXI|0_x0005_`IPR|0_x0005_`BLA|F_x0005_`</t>
  </si>
  <si>
    <t>대가 258호표</t>
  </si>
  <si>
    <t>B05292_1</t>
  </si>
  <si>
    <t>_x0007_`COD|B05292_x0005_`QTY1|1_x0005_`EXI|0_x0005_`IPR|0_x0005_`BLA|F_x0005_`</t>
  </si>
  <si>
    <t>대가 259호표</t>
  </si>
  <si>
    <t>B05293_1</t>
  </si>
  <si>
    <t>_x0007_`COD|B05293_x0005_`QTY1|1_x0005_`EXI|0_x0005_`IPR|0_x0005_`BLA|F_x0005_`</t>
  </si>
  <si>
    <t>대가 260호표</t>
  </si>
  <si>
    <t>B05294_1</t>
  </si>
  <si>
    <t>_x0007_`COD|B05294_x0005_`QTY1|1_x0005_`EXI|0_x0005_`IPR|0_x0005_`BLA|F_x0005_`</t>
  </si>
  <si>
    <t>대가 261호표</t>
  </si>
  <si>
    <t>B05295_1</t>
  </si>
  <si>
    <t>_x0007_`COD|B05295_x0005_`QTY1|1_x0005_`EXI|0_x0005_`IPR|0_x0005_`BLA|F_x0005_`</t>
  </si>
  <si>
    <t>대가 262호표</t>
  </si>
  <si>
    <t>B05296_1</t>
  </si>
  <si>
    <t>_x0007_`COD|B05296_x0005_`QTY1|1_x0005_`EXI|0_x0005_`IPR|0_x0005_`BLA|F_x0005_`</t>
  </si>
  <si>
    <t>대가 263호표</t>
  </si>
  <si>
    <t>B05297_1</t>
  </si>
  <si>
    <t>_x0007_`COD|B05297_x0005_`QTY1|1_x0005_`EXI|0_x0005_`IPR|0_x0005_`BLA|F_x0005_`</t>
  </si>
  <si>
    <t>대가 264호표</t>
  </si>
  <si>
    <t>B05298_1</t>
  </si>
  <si>
    <t>_x0007_`COD|B05298_x0005_`QTY1|1_x0005_`EXI|0_x0005_`IPR|0_x0005_`BLA|F_x0005_`</t>
  </si>
  <si>
    <t>대가 265호표</t>
  </si>
  <si>
    <t>B05299_1</t>
  </si>
  <si>
    <t>_x0007_`COD|B05299_x0005_`QTY1|1_x0005_`EXI|0_x0005_`IPR|0_x0005_`BLA|F_x0005_`</t>
  </si>
  <si>
    <t>대가 266호표</t>
  </si>
  <si>
    <t>B05300_1</t>
  </si>
  <si>
    <t>_x0007_`COD|B05300_x0005_`QTY1|1_x0005_`EXI|0_x0005_`IPR|0_x0005_`BLA|F_x0005_`</t>
  </si>
  <si>
    <t>대가 267호표</t>
  </si>
  <si>
    <t>B05301_1</t>
  </si>
  <si>
    <t>_x0007_`COD|B05301_x0005_`QTY1|1_x0005_`EXI|0_x0005_`IPR|0_x0005_`BLA|F_x0005_`</t>
  </si>
  <si>
    <t>대가 268호표</t>
  </si>
  <si>
    <t>B05302_1</t>
  </si>
  <si>
    <t>_x0007_`COD|B05302_x0005_`QTY1|1_x0005_`EXI|0_x0005_`IPR|0_x0005_`BLA|F_x0005_`</t>
  </si>
  <si>
    <t>대가 269호표</t>
  </si>
  <si>
    <t>B05303_1</t>
  </si>
  <si>
    <t>_x0007_`COD|B05303_x0005_`QTY1|1_x0005_`EXI|0_x0005_`IPR|0_x0005_`BLA|F_x0005_`</t>
  </si>
  <si>
    <t>대가 270호표</t>
  </si>
  <si>
    <t>B05304_1</t>
  </si>
  <si>
    <t>_x0007_`COD|B05304_x0005_`QTY1|1_x0005_`EXI|0_x0005_`IPR|0_x0005_`BLA|F_x0005_`</t>
  </si>
  <si>
    <t>대가 271호표</t>
  </si>
  <si>
    <t>B05305_1</t>
  </si>
  <si>
    <t>_x0007_`COD|B05305_x0005_`QTY1|1_x0005_`EXI|0_x0005_`IPR|0_x0005_`BLA|F_x0005_`</t>
  </si>
  <si>
    <t>대가 272호표</t>
  </si>
  <si>
    <t>B05306_1</t>
  </si>
  <si>
    <t>_x0007_`COD|B05306_x0005_`QTY1|1_x0005_`EXI|0_x0005_`IPR|0_x0005_`BLA|F_x0005_`</t>
  </si>
  <si>
    <t>대가 273호표</t>
  </si>
  <si>
    <t>B05307_1</t>
  </si>
  <si>
    <t>_x0007_`COD|B05307_x0005_`QTY1|1_x0005_`EXI|0_x0005_`IPR|0_x0005_`BLA|F_x0005_`</t>
  </si>
  <si>
    <t>대가 274호표</t>
  </si>
  <si>
    <t>B05308_1</t>
  </si>
  <si>
    <t>_x0007_`COD|B05308_x0005_`QTY1|1_x0005_`EXI|0_x0005_`IPR|0_x0005_`BLA|F_x0005_`</t>
  </si>
  <si>
    <t>대가 275호표</t>
  </si>
  <si>
    <t>B05309_1</t>
  </si>
  <si>
    <t>_x0007_`COD|B05309_x0005_`QTY1|1_x0005_`EXI|0_x0005_`IPR|0_x0005_`BLA|F_x0005_`</t>
  </si>
  <si>
    <t>대가 276호표</t>
  </si>
  <si>
    <t>B05310_1</t>
  </si>
  <si>
    <t>_x0007_`COD|B05310_x0005_`QTY1|1_x0005_`EXI|0_x0005_`IPR|0_x0005_`BLA|F_x0005_`</t>
  </si>
  <si>
    <t>대가 277호표</t>
  </si>
  <si>
    <t>B05311_1</t>
  </si>
  <si>
    <t>_x0007_`COD|B05311_x0005_`QTY1|1_x0005_`EXI|0_x0005_`IPR|0_x0005_`BLA|F_x0005_`</t>
  </si>
  <si>
    <t>대가 278호표</t>
  </si>
  <si>
    <t>B05312_1</t>
  </si>
  <si>
    <t>_x0007_`COD|B05312_x0005_`QTY1|1_x0005_`EXI|0_x0005_`IPR|0_x0005_`BLA|F_x0005_`</t>
  </si>
  <si>
    <t>대가 279호표</t>
  </si>
  <si>
    <t>B05313_1</t>
  </si>
  <si>
    <t>_x0007_`COD|B05313_x0005_`QTY1|1_x0005_`EXI|0_x0005_`IPR|0_x0005_`BLA|F_x0005_`</t>
  </si>
  <si>
    <t>대가 280호표</t>
  </si>
  <si>
    <t>B05314_1</t>
  </si>
  <si>
    <t>_x0007_`COD|B05314_x0005_`QTY1|1_x0005_`EXI|0_x0005_`IPR|0_x0005_`BLA|F_x0005_`</t>
  </si>
  <si>
    <t>대가 281호표</t>
  </si>
  <si>
    <t>B05315_1</t>
  </si>
  <si>
    <t>_x0007_`COD|B05315_x0005_`QTY1|1_x0005_`EXI|0_x0005_`IPR|0_x0005_`BLA|F_x0005_`</t>
  </si>
  <si>
    <t>대가 282호표</t>
  </si>
  <si>
    <t>B05316_1</t>
  </si>
  <si>
    <t>_x0007_`COD|B05316_x0005_`QTY1|1_x0005_`EXI|0_x0005_`IPR|0_x0005_`BLA|F_x0005_`</t>
  </si>
  <si>
    <t>대가 283호표</t>
  </si>
  <si>
    <t>B05063_1</t>
  </si>
  <si>
    <t>_x0007_`COD|B05063_x0005_`QTY1|1_x0005_`EXI|0_x0005_`IPR|0_x0005_`BLA|F_x0005_`</t>
  </si>
  <si>
    <t>대가 284호표</t>
  </si>
  <si>
    <t>B05064_1</t>
  </si>
  <si>
    <t>_x0007_`COD|B05064_x0005_`QTY1|1_x0005_`EXI|0_x0005_`IPR|0_x0005_`BLA|F_x0005_`</t>
  </si>
  <si>
    <t>대가 285호표</t>
  </si>
  <si>
    <t>B05317_1</t>
  </si>
  <si>
    <t>_x0007_`COD|B05317_x0005_`QTY1|1_x0005_`EXI|0_x0005_`IPR|0_x0005_`BLA|F_x0005_`</t>
  </si>
  <si>
    <t>대가 286호표</t>
  </si>
  <si>
    <t>B05318_1</t>
  </si>
  <si>
    <t>_x0007_`COD|B05318_x0005_`QTY1|1_x0005_`EXI|0_x0005_`IPR|0_x0005_`BLA|F_x0005_`</t>
  </si>
  <si>
    <t>대가 287호표</t>
  </si>
  <si>
    <t>B05319_1</t>
  </si>
  <si>
    <t>_x0007_`COD|B05319_x0005_`QTY1|1_x0005_`EXI|0_x0005_`IPR|0_x0005_`BLA|F_x0005_`</t>
  </si>
  <si>
    <t>대가 288호표</t>
  </si>
  <si>
    <t>B05320_1</t>
  </si>
  <si>
    <t>_x0007_`COD|B05320_x0005_`QTY1|1_x0005_`EXI|0_x0005_`IPR|0_x0005_`BLA|F_x0005_`</t>
  </si>
  <si>
    <t>대가 289호표</t>
  </si>
  <si>
    <t>B05321_1</t>
  </si>
  <si>
    <t>_x0007_`COD|B05321_x0005_`QTY1|1_x0005_`EXI|0_x0005_`IPR|0_x0005_`BLA|F_x0005_`</t>
  </si>
  <si>
    <t>대가 290호표</t>
  </si>
  <si>
    <t>B05322_1</t>
  </si>
  <si>
    <t>_x0007_`COD|B05322_x0005_`QTY1|1_x0005_`EXI|0_x0005_`IPR|0_x0005_`BLA|F_x0005_`</t>
  </si>
  <si>
    <t>대가 291호표</t>
  </si>
  <si>
    <t>B04967_1</t>
  </si>
  <si>
    <t>_x0007_`COD|B04967_x0005_`QTY1|1_x0005_`EXI|0_x0005_`IPR|0_x0005_`BLA|F_x0005_`</t>
  </si>
  <si>
    <t>대가 292호표</t>
  </si>
  <si>
    <t>B04968_1</t>
  </si>
  <si>
    <t>_x0007_`COD|B04968_x0005_`QTY1|1_x0005_`EXI|0_x0005_`IPR|0_x0005_`BLA|F_x0005_`</t>
  </si>
  <si>
    <t>대가 293호표</t>
  </si>
  <si>
    <t>B04969_1</t>
  </si>
  <si>
    <t>_x0007_`COD|B04969_x0005_`QTY1|1_x0005_`EXI|0_x0005_`IPR|0_x0005_`BLA|F_x0005_`</t>
  </si>
  <si>
    <t>대가 294호표</t>
  </si>
  <si>
    <t>B04970_1</t>
  </si>
  <si>
    <t>_x0007_`COD|B04970_x0005_`QTY1|1_x0005_`EXI|0_x0005_`IPR|0_x0005_`BLA|F_x0005_`</t>
  </si>
  <si>
    <t>대가 295호표</t>
  </si>
  <si>
    <t>B04971_1</t>
  </si>
  <si>
    <t>_x0007_`COD|B04971_x0005_`QTY1|1_x0005_`EXI|0_x0005_`IPR|0_x0005_`BLA|F_x0005_`</t>
  </si>
  <si>
    <t>대가 296호표</t>
  </si>
  <si>
    <t>B04972_1</t>
  </si>
  <si>
    <t>_x0007_`COD|B04972_x0005_`QTY1|1_x0005_`EXI|0_x0005_`IPR|0_x0005_`BLA|F_x0005_`</t>
  </si>
  <si>
    <t>대가 297호표</t>
  </si>
  <si>
    <t>B04973_1</t>
  </si>
  <si>
    <t>_x0007_`COD|B04973_x0005_`QTY1|1_x0005_`EXI|0_x0005_`IPR|0_x0005_`BLA|F_x0005_`</t>
  </si>
  <si>
    <t>대가 298호표</t>
  </si>
  <si>
    <t>B04974_1</t>
  </si>
  <si>
    <t>_x0007_`COD|B04974_x0005_`QTY1|1_x0005_`EXI|0_x0005_`IPR|0_x0005_`BLA|F_x0005_`</t>
  </si>
  <si>
    <t>대가 299호표</t>
  </si>
  <si>
    <t>B04975_1</t>
  </si>
  <si>
    <t>_x0007_`COD|B04975_x0005_`QTY1|1_x0005_`EXI|0_x0005_`IPR|0_x0005_`BLA|F_x0005_`</t>
  </si>
  <si>
    <t>대가 300호표</t>
  </si>
  <si>
    <t>B04976_1</t>
  </si>
  <si>
    <t>_x0007_`COD|B04976_x0005_`QTY1|1_x0005_`EXI|0_x0005_`IPR|0_x0005_`BLA|F_x0005_`</t>
  </si>
  <si>
    <t>대가 301호표</t>
  </si>
  <si>
    <t>B05333_1</t>
  </si>
  <si>
    <t>_x0007_`COD|B05333_x0005_`QTY1|1_x0005_`EXI|0_x0005_`IPR|0_x0005_`BLA|F_x0005_`</t>
  </si>
  <si>
    <t>대가 302호표</t>
  </si>
  <si>
    <t>B05334_1</t>
  </si>
  <si>
    <t>_x0007_`COD|B05334_x0005_`QTY1|1_x0005_`EXI|0_x0005_`IPR|0_x0005_`BLA|F_x0005_`</t>
  </si>
  <si>
    <t>대가 303호표</t>
  </si>
  <si>
    <t>B05335_1</t>
  </si>
  <si>
    <t>_x0007_`COD|B05335_x0005_`QTY1|1_x0005_`EXI|0_x0005_`IPR|0_x0005_`BLA|F_x0005_`</t>
  </si>
  <si>
    <t>대가 304호표</t>
  </si>
  <si>
    <t>B05336_1</t>
  </si>
  <si>
    <t>_x0007_`COD|B05336_x0005_`QTY1|1_x0005_`EXI|0_x0005_`IPR|0_x0005_`BLA|F_x0005_`</t>
  </si>
  <si>
    <t>대가 305호표</t>
  </si>
  <si>
    <t>B05337_1</t>
  </si>
  <si>
    <t>_x0007_`COD|B05337_x0005_`QTY1|1_x0005_`EXI|0_x0005_`IPR|0_x0005_`BLA|F_x0005_`</t>
  </si>
  <si>
    <t>대가 306호표</t>
  </si>
  <si>
    <t>B05338_1</t>
  </si>
  <si>
    <t>_x0007_`COD|B05338_x0005_`QTY1|1_x0005_`EXI|0_x0005_`IPR|0_x0005_`BLA|F_x0005_`</t>
  </si>
  <si>
    <t>대가 307호표</t>
  </si>
  <si>
    <t>B05329_1</t>
  </si>
  <si>
    <t>_x0007_`COD|B05329_x0005_`QTY1|1_x0005_`EXI|0_x0005_`IPR|0_x0005_`BLA|F_x0005_`</t>
  </si>
  <si>
    <t>대가 308호표</t>
  </si>
  <si>
    <t>B05330_1</t>
  </si>
  <si>
    <t>_x0007_`COD|B05330_x0005_`QTY1|1_x0005_`EXI|0_x0005_`IPR|0_x0005_`BLA|F_x0005_`</t>
  </si>
  <si>
    <t>대가 309호표</t>
  </si>
  <si>
    <t>B05331_1</t>
  </si>
  <si>
    <t>_x0007_`COD|B05331_x0005_`QTY1|1_x0005_`EXI|0_x0005_`IPR|0_x0005_`BLA|F_x0005_`</t>
  </si>
  <si>
    <t>대가 310호표</t>
  </si>
  <si>
    <t>B05332_1</t>
  </si>
  <si>
    <t>_x0007_`COD|B05332_x0005_`QTY1|1_x0005_`EXI|0_x0005_`IPR|0_x0005_`BLA|F_x0005_`</t>
  </si>
  <si>
    <t>대가 311호표</t>
  </si>
  <si>
    <t>B05323_1</t>
  </si>
  <si>
    <t>_x0007_`COD|B05323_x0005_`QTY1|1_x0005_`EXI|0_x0005_`IPR|0_x0005_`BLA|F_x0005_`</t>
  </si>
  <si>
    <t>대가 312호표</t>
  </si>
  <si>
    <t>B05324_1</t>
  </si>
  <si>
    <t>_x0007_`COD|B05324_x0005_`QTY1|1_x0005_`EXI|0_x0005_`IPR|0_x0005_`BLA|F_x0005_`</t>
  </si>
  <si>
    <t>대가 313호표</t>
  </si>
  <si>
    <t>B05325_1</t>
  </si>
  <si>
    <t>_x0007_`COD|B05325_x0005_`QTY1|1_x0005_`EXI|0_x0005_`IPR|0_x0005_`BLA|F_x0005_`</t>
  </si>
  <si>
    <t>대가 314호표</t>
  </si>
  <si>
    <t>B05326_1</t>
  </si>
  <si>
    <t>_x0007_`COD|B05326_x0005_`QTY1|1_x0005_`EXI|0_x0005_`IPR|0_x0005_`BLA|F_x0005_`</t>
  </si>
  <si>
    <t>대가 315호표</t>
  </si>
  <si>
    <t>B05327_1</t>
  </si>
  <si>
    <t>_x0007_`COD|B05327_x0005_`QTY1|1_x0005_`EXI|0_x0005_`IPR|0_x0005_`BLA|F_x0005_`</t>
  </si>
  <si>
    <t>대가 316호표</t>
  </si>
  <si>
    <t>B05328_1</t>
  </si>
  <si>
    <t>_x0007_`COD|B05328_x0005_`QTY1|1_x0005_`EXI|0_x0005_`IPR|0_x0005_`BLA|F_x0005_`</t>
  </si>
  <si>
    <t>대가 317호표</t>
  </si>
  <si>
    <t>B05339_1</t>
  </si>
  <si>
    <t>_x0007_`COD|B05339_x0005_`QTY1|1_x0005_`EXI|0_x0005_`IPR|0_x0005_`BLA|F_x0005_`</t>
  </si>
  <si>
    <t>대가 318호표</t>
  </si>
  <si>
    <t>B05340_1</t>
  </si>
  <si>
    <t>_x0007_`COD|B05340_x0005_`QTY1|1_x0005_`EXI|0_x0005_`IPR|0_x0005_`BLA|F_x0005_`</t>
  </si>
  <si>
    <t>대가 319호표</t>
  </si>
  <si>
    <t>B05341_1</t>
  </si>
  <si>
    <t>_x0007_`COD|B05341_x0005_`QTY1|1_x0005_`EXI|0_x0005_`IPR|0_x0005_`BLA|F_x0005_`</t>
  </si>
  <si>
    <t>대가 320호표</t>
  </si>
  <si>
    <t>B05342_1</t>
  </si>
  <si>
    <t>_x0007_`COD|B05342_x0005_`QTY1|1_x0005_`EXI|0_x0005_`IPR|0_x0005_`BLA|F_x0005_`</t>
  </si>
  <si>
    <t>대가 321호표</t>
  </si>
  <si>
    <t>B05343_1</t>
  </si>
  <si>
    <t>_x0007_`COD|B05343_x0005_`QTY1|1_x0005_`EXI|0_x0005_`IPR|0_x0005_`BLA|F_x0005_`</t>
  </si>
  <si>
    <t>대가 322호표</t>
  </si>
  <si>
    <t>B05344_1</t>
  </si>
  <si>
    <t>_x0007_`COD|B05344_x0005_`QTY1|1_x0005_`EXI|0_x0005_`IPR|0_x0005_`BLA|F_x0005_`</t>
  </si>
  <si>
    <t>대가 323호표</t>
  </si>
  <si>
    <t>B05345_1</t>
  </si>
  <si>
    <t>_x0007_`COD|B05345_x0005_`QTY1|1_x0005_`EXI|0_x0005_`IPR|0_x0005_`BLA|F_x0005_`</t>
  </si>
  <si>
    <t>대가 324호표</t>
  </si>
  <si>
    <t>B05346_1</t>
  </si>
  <si>
    <t>_x0007_`COD|B05346_x0005_`QTY1|1_x0005_`EXI|0_x0005_`IPR|0_x0005_`BLA|F_x0005_`</t>
  </si>
  <si>
    <t>대가 325호표</t>
  </si>
  <si>
    <t>B05347_1</t>
  </si>
  <si>
    <t>_x0007_`COD|B05347_x0005_`QTY1|1_x0005_`EXI|0_x0005_`IPR|0_x0005_`BLA|F_x0005_`</t>
  </si>
  <si>
    <t>대가 326호표</t>
  </si>
  <si>
    <t>B05348_1</t>
  </si>
  <si>
    <t>_x0007_`COD|B05348_x0005_`QTY1|1_x0005_`EXI|0_x0005_`IPR|0_x0005_`BLA|F_x0005_`</t>
  </si>
  <si>
    <t>대가 327호표</t>
  </si>
  <si>
    <t>B05349_1</t>
  </si>
  <si>
    <t>_x0007_`COD|B05349_x0005_`QTY1|1_x0005_`EXI|0_x0005_`IPR|0_x0005_`BLA|F_x0005_`</t>
  </si>
  <si>
    <t>대가 328호표</t>
  </si>
  <si>
    <t>B05350_1</t>
  </si>
  <si>
    <t>_x0007_`COD|B05350_x0005_`QTY1|1_x0005_`EXI|0_x0005_`IPR|0_x0005_`BLA|F_x0005_`</t>
  </si>
  <si>
    <t>대가 329호표</t>
  </si>
  <si>
    <t>B05351_1</t>
  </si>
  <si>
    <t>_x0007_`COD|B05351_x0005_`QTY1|1_x0005_`EXI|0_x0005_`IPR|0_x0005_`BLA|F_x0005_`</t>
  </si>
  <si>
    <t>대가 330호표</t>
  </si>
  <si>
    <t>B05352_1</t>
  </si>
  <si>
    <t>_x0007_`COD|B05352_x0005_`QTY1|1_x0005_`EXI|0_x0005_`IPR|0_x0005_`BLA|F_x0005_`</t>
  </si>
  <si>
    <t>대가 331호표</t>
  </si>
  <si>
    <t>B04977_1</t>
  </si>
  <si>
    <t>_x0007_`COD|B04977_x0005_`QTY1|1_x0005_`EXI|0_x0005_`IPR|0_x0005_`BLA|F_x0005_`</t>
  </si>
  <si>
    <t>대가 332호표</t>
  </si>
  <si>
    <t>B04978_1</t>
  </si>
  <si>
    <t>_x0007_`COD|B04978_x0005_`QTY1|1_x0005_`EXI|0_x0005_`IPR|0_x0005_`BLA|F_x0005_`</t>
  </si>
  <si>
    <t>대가 333호표</t>
  </si>
  <si>
    <t>B04979_1</t>
  </si>
  <si>
    <t>_x0007_`COD|B04979_x0005_`QTY1|1_x0005_`EXI|0_x0005_`IPR|0_x0005_`BLA|F_x0005_`</t>
  </si>
  <si>
    <t>대가 334호표</t>
  </si>
  <si>
    <t>B04980_1</t>
  </si>
  <si>
    <t>_x0007_`COD|B04980_x0005_`QTY1|1_x0005_`EXI|0_x0005_`IPR|0_x0005_`BLA|F_x0005_`</t>
  </si>
  <si>
    <t>대가 335호표</t>
  </si>
  <si>
    <t>B04981_1</t>
  </si>
  <si>
    <t>_x0007_`COD|B04981_x0005_`QTY1|1_x0005_`EXI|0_x0005_`IPR|0_x0005_`BLA|F_x0005_`</t>
  </si>
  <si>
    <t>대가 336호표</t>
  </si>
  <si>
    <t>B04982_1</t>
  </si>
  <si>
    <t>_x0007_`COD|B04982_x0005_`QTY1|1_x0005_`EXI|0_x0005_`IPR|0_x0005_`BLA|F_x0005_`</t>
  </si>
  <si>
    <t>대가 337호표</t>
  </si>
  <si>
    <t>B04983_1</t>
  </si>
  <si>
    <t>_x0007_`COD|B04983_x0005_`QTY1|1_x0005_`EXI|0_x0005_`IPR|0_x0005_`BLA|F_x0005_`</t>
  </si>
  <si>
    <t>대가 338호표</t>
  </si>
  <si>
    <t>B04984_1</t>
  </si>
  <si>
    <t>_x0007_`COD|B04984_x0005_`QTY1|1_x0005_`EXI|0_x0005_`IPR|0_x0005_`BLA|F_x0005_`</t>
  </si>
  <si>
    <t>대가 339호표</t>
  </si>
  <si>
    <t>B04985_1</t>
  </si>
  <si>
    <t>_x0007_`COD|B04985_x0005_`QTY1|1_x0005_`EXI|0_x0005_`IPR|0_x0005_`BLA|F_x0005_`</t>
  </si>
  <si>
    <t>대가 340호표</t>
  </si>
  <si>
    <t>B04986_1</t>
  </si>
  <si>
    <t>_x0007_`COD|B04986_x0005_`QTY1|1_x0005_`EXI|0_x0005_`IPR|0_x0005_`BLA|F_x0005_`</t>
  </si>
  <si>
    <t>대가 341호표</t>
  </si>
  <si>
    <t>B04987_1</t>
  </si>
  <si>
    <t>_x0007_`COD|B04987_x0005_`QTY1|1_x0005_`EXI|0_x0005_`IPR|0_x0005_`BLA|F_x0005_`</t>
  </si>
  <si>
    <t>대가 342호표</t>
  </si>
  <si>
    <t>B04988_1</t>
  </si>
  <si>
    <t>_x0007_`COD|B04988_x0005_`QTY1|1_x0005_`EXI|0_x0005_`IPR|0_x0005_`BLA|F_x0005_`</t>
  </si>
  <si>
    <t>대가 343호표</t>
  </si>
  <si>
    <t>B04921_1</t>
  </si>
  <si>
    <t>_x0007_`COD|B04921_x0005_`QTY1|1_x0005_`EXI|0_x0005_`IPR|0_x0005_`BLA|F_x0005_`</t>
  </si>
  <si>
    <t>대가 344호표</t>
  </si>
  <si>
    <t>B04813_1</t>
  </si>
  <si>
    <t>_x0007_`COD|B04813_x0005_`QTY1|1_x0005_`EXI|0_x0005_`IPR|0_x0005_`BLA|F_x0005_`</t>
  </si>
  <si>
    <t>대가 345호표</t>
  </si>
  <si>
    <t>B04814_1</t>
  </si>
  <si>
    <t>_x0007_`COD|B04814_x0005_`QTY1|1_x0005_`EXI|0_x0005_`IPR|0_x0005_`BLA|F_x0005_`</t>
  </si>
  <si>
    <t>대가 346호표</t>
  </si>
  <si>
    <t>B04815_1</t>
  </si>
  <si>
    <t>_x0007_`COD|B04815_x0005_`QTY1|1_x0005_`EXI|0_x0005_`IPR|0_x0005_`BLA|F_x0005_`</t>
  </si>
  <si>
    <t>대가 347호표</t>
  </si>
  <si>
    <t>B04816_1</t>
  </si>
  <si>
    <t>_x0007_`COD|B04816_x0005_`QTY1|1_x0005_`EXI|0_x0005_`IPR|0_x0005_`BLA|F_x0005_`</t>
  </si>
  <si>
    <t>대가 348호표</t>
  </si>
  <si>
    <t>B04817_1</t>
  </si>
  <si>
    <t>_x0007_`COD|B04817_x0005_`QTY1|1_x0005_`EXI|0_x0005_`IPR|0_x0005_`BLA|F_x0005_`</t>
  </si>
  <si>
    <t>대가 349호표</t>
  </si>
  <si>
    <t>B04818_1</t>
  </si>
  <si>
    <t>_x0007_`COD|B04818_x0005_`QTY1|1_x0005_`EXI|0_x0005_`IPR|0_x0005_`BLA|F_x0005_`</t>
  </si>
  <si>
    <t>대가 350호표</t>
  </si>
  <si>
    <t>B04819_1</t>
  </si>
  <si>
    <t>_x0007_`COD|B04819_x0005_`QTY1|1_x0005_`EXI|0_x0005_`IPR|0_x0005_`BLA|F_x0005_`</t>
  </si>
  <si>
    <t>대가 351호표</t>
  </si>
  <si>
    <t>B04820_1</t>
  </si>
  <si>
    <t>_x0007_`COD|B04820_x0005_`QTY1|1_x0005_`EXI|0_x0005_`IPR|0_x0005_`BLA|F_x0005_`</t>
  </si>
  <si>
    <t>대가 352호표</t>
  </si>
  <si>
    <t>B04821_1</t>
  </si>
  <si>
    <t>_x0007_`COD|B04821_x0005_`QTY1|1_x0005_`EXI|0_x0005_`IPR|0_x0005_`BLA|F_x0005_`</t>
  </si>
  <si>
    <t>대가 353호표</t>
  </si>
  <si>
    <t>B04822_1</t>
  </si>
  <si>
    <t>_x0007_`COD|B04822_x0005_`QTY1|1_x0005_`EXI|0_x0005_`IPR|0_x0005_`BLA|F_x0005_`</t>
  </si>
  <si>
    <t>대가 354호표</t>
  </si>
  <si>
    <t>B04823_1</t>
  </si>
  <si>
    <t>_x0007_`COD|B04823_x0005_`QTY1|1_x0005_`EXI|0_x0005_`IPR|0_x0005_`BLA|F_x0005_`</t>
  </si>
  <si>
    <t>대가 355호표</t>
  </si>
  <si>
    <t>B04788_1</t>
  </si>
  <si>
    <t>_x0007_`COD|B04788_x0005_`QTY1|1_x0005_`EXI|0_x0005_`IPR|0_x0005_`BLA|F_x0005_`</t>
  </si>
  <si>
    <t>대가 356호표</t>
  </si>
  <si>
    <t>B04789_1</t>
  </si>
  <si>
    <t>_x0007_`COD|B04789_x0005_`QTY1|1_x0005_`EXI|0_x0005_`IPR|0_x0005_`BLA|F_x0005_`</t>
  </si>
  <si>
    <t>대가 357호표</t>
  </si>
  <si>
    <t>B04790_1</t>
  </si>
  <si>
    <t>_x0007_`COD|B04790_x0005_`QTY1|1_x0005_`EXI|0_x0005_`IPR|0_x0005_`BLA|F_x0005_`</t>
  </si>
  <si>
    <t>대가 358호표</t>
  </si>
  <si>
    <t>B04791_1</t>
  </si>
  <si>
    <t>_x0007_`COD|B04791_x0005_`QTY1|1_x0005_`EXI|0_x0005_`IPR|0_x0005_`BLA|F_x0005_`</t>
  </si>
  <si>
    <t>대가 359호표</t>
  </si>
  <si>
    <t>B04792_1</t>
  </si>
  <si>
    <t>_x0007_`COD|B04792_x0005_`QTY1|1_x0005_`EXI|0_x0005_`IPR|0_x0005_`BLA|F_x0005_`</t>
  </si>
  <si>
    <t>대가 360호표</t>
  </si>
  <si>
    <t>B04793_1</t>
  </si>
  <si>
    <t>_x0007_`COD|B04793_x0005_`QTY1|1_x0005_`EXI|0_x0005_`IPR|0_x0005_`BLA|F_x0005_`</t>
  </si>
  <si>
    <t>대가 361호표</t>
  </si>
  <si>
    <t>B04794_1</t>
  </si>
  <si>
    <t>_x0007_`COD|B04794_x0005_`QTY1|1_x0005_`EXI|0_x0005_`IPR|0_x0005_`BLA|F_x0005_`</t>
  </si>
  <si>
    <t>대가 362호표</t>
  </si>
  <si>
    <t>B04795_1</t>
  </si>
  <si>
    <t>_x0007_`COD|B04795_x0005_`QTY1|1_x0005_`EXI|0_x0005_`IPR|0_x0005_`BLA|F_x0005_`</t>
  </si>
  <si>
    <t>대가 363호표</t>
  </si>
  <si>
    <t>B04796_1</t>
  </si>
  <si>
    <t>_x0007_`COD|B04796_x0005_`QTY1|1_x0005_`EXI|0_x0005_`IPR|0_x0005_`BLA|F_x0005_`</t>
  </si>
  <si>
    <t>대가 364호표</t>
  </si>
  <si>
    <t>B04797_1</t>
  </si>
  <si>
    <t>_x0007_`COD|B04797_x0005_`QTY1|1_x0005_`EXI|0_x0005_`IPR|0_x0005_`BLA|F_x0005_`</t>
  </si>
  <si>
    <t>대가 365호표</t>
  </si>
  <si>
    <t>B04798_1</t>
  </si>
  <si>
    <t>_x0007_`COD|B04798_x0005_`QTY1|1_x0005_`EXI|0_x0005_`IPR|0_x0005_`BLA|F_x0005_`</t>
  </si>
  <si>
    <t>대가 366호표</t>
  </si>
  <si>
    <t>B04799_1</t>
  </si>
  <si>
    <t>_x0007_`COD|B04799_x0005_`QTY1|1_x0005_`EXI|0_x0005_`IPR|0_x0005_`BLA|F_x0005_`</t>
  </si>
  <si>
    <t>대가 367호표</t>
  </si>
  <si>
    <t>B04800_1</t>
  </si>
  <si>
    <t>_x0007_`COD|B04800_x0005_`QTY1|1_x0005_`EXI|0_x0005_`IPR|0_x0005_`BLA|F_x0005_`</t>
  </si>
  <si>
    <t>대가 368호표</t>
  </si>
  <si>
    <t>B04801_1</t>
  </si>
  <si>
    <t>_x0007_`COD|B04801_x0005_`QTY1|1_x0005_`EXI|0_x0005_`IPR|0_x0005_`BLA|F_x0005_`</t>
  </si>
  <si>
    <t>대가 369호표</t>
  </si>
  <si>
    <t>B04802_1</t>
  </si>
  <si>
    <t>_x0007_`COD|B04802_x0005_`QTY1|1_x0005_`EXI|0_x0005_`IPR|0_x0005_`BLA|F_x0005_`</t>
  </si>
  <si>
    <t>대가 370호표</t>
  </si>
  <si>
    <t>B04803_1</t>
  </si>
  <si>
    <t>_x0007_`COD|B04803_x0005_`QTY1|1_x0005_`EXI|0_x0005_`IPR|0_x0005_`BLA|F_x0005_`</t>
  </si>
  <si>
    <t>대가 371호표</t>
  </si>
  <si>
    <t>B04804_1</t>
  </si>
  <si>
    <t>_x0007_`COD|B04804_x0005_`QTY1|1_x0005_`EXI|0_x0005_`IPR|0_x0005_`BLA|F_x0005_`</t>
  </si>
  <si>
    <t>대가 372호표</t>
  </si>
  <si>
    <t>B04805_1</t>
  </si>
  <si>
    <t>_x0007_`COD|B04805_x0005_`QTY1|1_x0005_`EXI|0_x0005_`IPR|0_x0005_`BLA|F_x0005_`</t>
  </si>
  <si>
    <t>대가 373호표</t>
  </si>
  <si>
    <t>B04806_1</t>
  </si>
  <si>
    <t>_x0007_`COD|B04806_x0005_`QTY1|1_x0005_`EXI|0_x0005_`IPR|0_x0005_`BLA|F_x0005_`</t>
  </si>
  <si>
    <t>대가 374호표</t>
  </si>
  <si>
    <t>B04807_1</t>
  </si>
  <si>
    <t>_x0007_`COD|B04807_x0005_`QTY1|1_x0005_`EXI|0_x0005_`IPR|0_x0005_`BLA|F_x0005_`</t>
  </si>
  <si>
    <t>대가 375호표</t>
  </si>
  <si>
    <t>B04808_1</t>
  </si>
  <si>
    <t>_x0007_`COD|B04808_x0005_`QTY1|1_x0005_`EXI|0_x0005_`IPR|0_x0005_`BLA|F_x0005_`</t>
  </si>
  <si>
    <t>대가 376호표</t>
  </si>
  <si>
    <t>B04809_1</t>
  </si>
  <si>
    <t>_x0007_`COD|B04809_x0005_`QTY1|1_x0005_`EXI|0_x0005_`IPR|0_x0005_`BLA|F_x0005_`</t>
  </si>
  <si>
    <t>대가 377호표</t>
  </si>
  <si>
    <t>B04810_1</t>
  </si>
  <si>
    <t>_x0007_`COD|B04810_x0005_`QTY1|1_x0005_`EXI|0_x0005_`IPR|0_x0005_`BLA|F_x0005_`</t>
  </si>
  <si>
    <t>대가 378호표</t>
  </si>
  <si>
    <t>B04811_1</t>
  </si>
  <si>
    <t>_x0007_`COD|B04811_x0005_`QTY1|1_x0005_`EXI|0_x0005_`IPR|0_x0005_`BLA|F_x0005_`</t>
  </si>
  <si>
    <t>대가 379호표</t>
  </si>
  <si>
    <t>B04998_1</t>
  </si>
  <si>
    <t>_x0007_`COD|B04998_x0005_`QTY1|1_x0005_`EXI|0_x0005_`IPR|0_x0005_`BLA|F_x0005_`</t>
  </si>
  <si>
    <t>대가 380호표</t>
  </si>
  <si>
    <t>B04999_1</t>
  </si>
  <si>
    <t>_x0007_`COD|B04999_x0005_`QTY1|1_x0005_`EXI|0_x0005_`IPR|0_x0005_`BLA|F_x0005_`</t>
  </si>
  <si>
    <t>대가 381호표</t>
  </si>
  <si>
    <t>B04994_1</t>
  </si>
  <si>
    <t>_x0007_`COD|B04994_x0005_`QTY1|1_x0005_`EXI|0_x0005_`IPR|0_x0005_`BLA|F_x0005_`</t>
  </si>
  <si>
    <t>대가 382호표</t>
  </si>
  <si>
    <t>B04995_1</t>
  </si>
  <si>
    <t>_x0007_`COD|B04995_x0005_`QTY1|1_x0005_`EXI|0_x0005_`IPR|0_x0005_`BLA|F_x0005_`</t>
  </si>
  <si>
    <t>대가 383호표</t>
  </si>
  <si>
    <t>B04996_1</t>
  </si>
  <si>
    <t>_x0007_`COD|B04996_x0005_`QTY1|1_x0005_`EXI|0_x0005_`IPR|0_x0005_`BLA|F_x0005_`</t>
  </si>
  <si>
    <t>대가 384호표</t>
  </si>
  <si>
    <t>B04997_1</t>
  </si>
  <si>
    <t>_x0007_`COD|B04997_x0005_`QTY1|1_x0005_`EXI|0_x0005_`IPR|0_x0005_`BLA|F_x0005_`</t>
  </si>
  <si>
    <t>대가 385호표</t>
  </si>
  <si>
    <t>B04989_1</t>
  </si>
  <si>
    <t>_x0007_`COD|B04989_x0005_`QTY1|1_x0005_`EXI|0_x0005_`IPR|0_x0005_`BLA|F_x0005_`</t>
  </si>
  <si>
    <t>대가 386호표</t>
  </si>
  <si>
    <t>B04990_1</t>
  </si>
  <si>
    <t>_x0007_`COD|B04990_x0005_`QTY1|1_x0005_`EXI|0_x0005_`IPR|0_x0005_`BLA|F_x0005_`</t>
  </si>
  <si>
    <t>대가 387호표</t>
  </si>
  <si>
    <t>B04991_1</t>
  </si>
  <si>
    <t>_x0007_`COD|B04991_x0005_`QTY1|1_x0005_`EXI|0_x0005_`IPR|0_x0005_`BLA|F_x0005_`</t>
  </si>
  <si>
    <t>대가 388호표</t>
  </si>
  <si>
    <t>B04992_1</t>
  </si>
  <si>
    <t>_x0007_`COD|B04992_x0005_`QTY1|1_x0005_`EXI|0_x0005_`IPR|0_x0005_`BLA|F_x0005_`</t>
  </si>
  <si>
    <t>대가 389호표</t>
  </si>
  <si>
    <t>B04993_1</t>
  </si>
  <si>
    <t>_x0007_`COD|B04993_x0005_`QTY1|1_x0005_`EXI|0_x0005_`IPR|0_x0005_`BLA|F_x0005_`</t>
  </si>
  <si>
    <t>대가 390호표</t>
  </si>
  <si>
    <t>B05004_1</t>
  </si>
  <si>
    <t>_x0007_`COD|B05004_x0005_`QTY1|1_x0005_`EXI|0_x0005_`IPR|0_x0005_`BLA|F_x0005_`</t>
  </si>
  <si>
    <t>대가 391호표</t>
  </si>
  <si>
    <t>B05005_1</t>
  </si>
  <si>
    <t>_x0007_`COD|B05005_x0005_`QTY1|1_x0005_`EXI|0_x0005_`IPR|0_x0005_`BLA|F_x0005_`</t>
  </si>
  <si>
    <t>대가 392호표</t>
  </si>
  <si>
    <t>B05006_1</t>
  </si>
  <si>
    <t>_x0007_`COD|B05006_x0005_`QTY1|1_x0005_`EXI|0_x0005_`IPR|0_x0005_`BLA|F_x0005_`</t>
  </si>
  <si>
    <t>대가 393호표</t>
  </si>
  <si>
    <t>B05007_1</t>
  </si>
  <si>
    <t>_x0007_`COD|B05007_x0005_`QTY1|1_x0005_`EXI|0_x0005_`IPR|0_x0005_`BLA|F_x0005_`</t>
  </si>
  <si>
    <t>대가 394호표</t>
  </si>
  <si>
    <t>B05000_1</t>
  </si>
  <si>
    <t>_x0007_`COD|B05000_x0005_`QTY1|1_x0005_`EXI|0_x0005_`IPR|0_x0005_`BLA|F_x0005_`</t>
  </si>
  <si>
    <t>대가 395호표</t>
  </si>
  <si>
    <t>B05001_1</t>
  </si>
  <si>
    <t>_x0007_`COD|B05001_x0005_`QTY1|1_x0005_`EXI|0_x0005_`IPR|0_x0005_`BLA|F_x0005_`</t>
  </si>
  <si>
    <t>대가 396호표</t>
  </si>
  <si>
    <t>B05002_1</t>
  </si>
  <si>
    <t>_x0007_`COD|B05002_x0005_`QTY1|1_x0005_`EXI|0_x0005_`IPR|0_x0005_`BLA|F_x0005_`</t>
  </si>
  <si>
    <t>대가 397호표</t>
  </si>
  <si>
    <t>B05003_1</t>
  </si>
  <si>
    <t>_x0007_`COD|B05003_x0005_`QTY1|1_x0005_`EXI|0_x0005_`IPR|0_x0005_`BLA|F_x0005_`</t>
  </si>
  <si>
    <t>대가 398호표</t>
  </si>
  <si>
    <t>B05008_1</t>
  </si>
  <si>
    <t>_x0007_`COD|B05008_x0005_`QTY1|1_x0005_`EXI|0_x0005_`IPR|0_x0005_`BLA|F_x0005_`</t>
  </si>
  <si>
    <t>대가 399호표</t>
  </si>
  <si>
    <t>B05009_1</t>
  </si>
  <si>
    <t>_x0007_`COD|B05009_x0005_`QTY1|1_x0005_`EXI|0_x0005_`IPR|0_x0005_`BLA|F_x0005_`</t>
  </si>
  <si>
    <t>대가 400호표</t>
  </si>
  <si>
    <t>B05010_1</t>
  </si>
  <si>
    <t>_x0007_`COD|B05010_x0005_`QTY1|1_x0005_`EXI|0_x0005_`IPR|0_x0005_`BLA|F_x0005_`</t>
  </si>
  <si>
    <t>대가 401호표</t>
  </si>
  <si>
    <t>B05011_1</t>
  </si>
  <si>
    <t>_x0007_`COD|B05011_x0005_`QTY1|1_x0005_`EXI|0_x0005_`IPR|0_x0005_`BLA|F_x0005_`</t>
  </si>
  <si>
    <t>대가 402호표</t>
  </si>
  <si>
    <t>B05353_1</t>
  </si>
  <si>
    <t>_x0007_`COD|B05353_x0005_`QTY1|1_x0005_`EXI|0_x0005_`IPR|0_x0005_`BLA|F_x0005_`</t>
  </si>
  <si>
    <t>대가 403호표</t>
  </si>
  <si>
    <t>B05354_1</t>
  </si>
  <si>
    <t>_x0007_`COD|B05354_x0005_`QTY1|1_x0005_`EXI|0_x0005_`IPR|0_x0005_`BLA|F_x0005_`</t>
  </si>
  <si>
    <t>대가 404호표</t>
  </si>
  <si>
    <t>B05355_1</t>
  </si>
  <si>
    <t>_x0007_`COD|B05355_x0005_`QTY1|1_x0005_`EXI|0_x0005_`IPR|0_x0005_`BLA|F_x0005_`</t>
  </si>
  <si>
    <t>대가 405호표</t>
  </si>
  <si>
    <t>B05356_1</t>
  </si>
  <si>
    <t>_x0007_`COD|B05356_x0005_`QTY1|1_x0005_`EXI|0_x0005_`IPR|0_x0005_`BLA|F_x0005_`</t>
  </si>
  <si>
    <t>대가 406호표</t>
  </si>
  <si>
    <t>B05357_1</t>
  </si>
  <si>
    <t>_x0007_`COD|B05357_x0005_`QTY1|1_x0005_`EXI|0_x0005_`IPR|0_x0005_`BLA|F_x0005_`</t>
  </si>
  <si>
    <t>대가 407호표</t>
  </si>
  <si>
    <t>B05358_1</t>
  </si>
  <si>
    <t>_x0007_`COD|B05358_x0005_`QTY1|1_x0005_`EXI|0_x0005_`IPR|0_x0005_`BLA|F_x0005_`</t>
  </si>
  <si>
    <t>대가 408호표</t>
  </si>
  <si>
    <t>B05359_1</t>
  </si>
  <si>
    <t>_x0007_`COD|B05359_x0005_`QTY1|1_x0005_`EXI|0_x0005_`IPR|0_x0005_`BLA|F_x0005_`</t>
  </si>
  <si>
    <t>대가 409호표</t>
  </si>
  <si>
    <t>B05360_1</t>
  </si>
  <si>
    <t>_x0007_`COD|B05360_x0005_`QTY1|1_x0005_`EXI|0_x0005_`IPR|0_x0005_`BLA|F_x0005_`</t>
  </si>
  <si>
    <t>대가 410호표</t>
  </si>
  <si>
    <t>B05361_1</t>
  </si>
  <si>
    <t>_x0007_`COD|B05361_x0005_`QTY1|1_x0005_`EXI|0_x0005_`IPR|0_x0005_`BLA|F_x0005_`</t>
  </si>
  <si>
    <t>대가 411호표</t>
  </si>
  <si>
    <t>B05362_1</t>
  </si>
  <si>
    <t>_x0007_`COD|B05362_x0005_`QTY1|1_x0005_`EXI|0_x0005_`IPR|0_x0005_`BLA|F_x0005_`</t>
  </si>
  <si>
    <t>대가 412호표</t>
  </si>
  <si>
    <t>B05363_1</t>
  </si>
  <si>
    <t>_x0007_`COD|B05363_x0005_`QTY1|1_x0005_`EXI|0_x0005_`IPR|0_x0005_`BLA|F_x0005_`</t>
  </si>
  <si>
    <t>대가 413호표</t>
  </si>
  <si>
    <t>B05364_1</t>
  </si>
  <si>
    <t>_x0007_`COD|B05364_x0005_`QTY1|1_x0005_`EXI|0_x0005_`IPR|0_x0005_`BLA|F_x0005_`</t>
  </si>
  <si>
    <t>대가 414호표</t>
  </si>
  <si>
    <t>B05012_1</t>
  </si>
  <si>
    <t>_x0007_`COD|B05012_x0005_`QTY1|1_x0005_`EXI|0_x0005_`IPR|0_x0005_`BLA|F_x0005_`</t>
  </si>
  <si>
    <t>대가 415호표</t>
  </si>
  <si>
    <t>B05013_1</t>
  </si>
  <si>
    <t>_x0007_`COD|B05013_x0005_`QTY1|1_x0005_`EXI|0_x0005_`IPR|0_x0005_`BLA|F_x0005_`</t>
  </si>
  <si>
    <t>대가 416호표</t>
  </si>
  <si>
    <t>B05014_1</t>
  </si>
  <si>
    <t>_x0007_`COD|B05014_x0005_`QTY1|1_x0005_`EXI|0_x0005_`IPR|0_x0005_`BLA|F_x0005_`</t>
  </si>
  <si>
    <t>대가 417호표</t>
  </si>
  <si>
    <t>B05015_1</t>
  </si>
  <si>
    <t>_x0007_`COD|B05015_x0005_`QTY1|1_x0005_`EXI|0_x0005_`IPR|0_x0005_`BLA|F_x0005_`</t>
  </si>
  <si>
    <t>대가 418호표</t>
  </si>
  <si>
    <t>B05016_1</t>
  </si>
  <si>
    <t>_x0007_`COD|B05016_x0005_`QTY1|1_x0005_`EXI|0_x0005_`IPR|0_x0005_`BLA|F_x0005_`</t>
  </si>
  <si>
    <t>대가 419호표</t>
  </si>
  <si>
    <t>B05065_1</t>
  </si>
  <si>
    <t>_x0007_`COD|B05065_x0005_`QTY1|1_x0005_`EXI|0_x0005_`IPR|0_x0005_`BLA|F_x0005_`</t>
  </si>
  <si>
    <t>대가 420호표</t>
  </si>
  <si>
    <t>B05365_1</t>
  </si>
  <si>
    <t>_x0007_`COD|B05365_x0005_`QTY1|1_x0005_`EXI|0_x0005_`IPR|0_x0005_`BLA|F_x0005_`</t>
  </si>
  <si>
    <t>대가 421호표</t>
  </si>
  <si>
    <t>B05366_1</t>
  </si>
  <si>
    <t>_x0007_`COD|B05366_x0005_`QTY1|1_x0005_`EXI|0_x0005_`IPR|0_x0005_`BLA|F_x0005_`</t>
  </si>
  <si>
    <t>대가 422호표</t>
  </si>
  <si>
    <t>B05367_1</t>
  </si>
  <si>
    <t>_x0007_`COD|B05367_x0005_`QTY1|1_x0005_`EXI|0_x0005_`IPR|0_x0005_`BLA|F_x0005_`</t>
  </si>
  <si>
    <t>대가 423호표</t>
  </si>
  <si>
    <t>B05368_1</t>
  </si>
  <si>
    <t>_x0007_`COD|B05368_x0005_`QTY1|1_x0005_`EXI|0_x0005_`IPR|0_x0005_`BLA|F_x0005_`</t>
  </si>
  <si>
    <t>대가 424호표</t>
  </si>
  <si>
    <t>B05369_1</t>
  </si>
  <si>
    <t>_x0007_`COD|B05369_x0005_`QTY1|1_x0005_`EXI|0_x0005_`IPR|0_x0005_`BLA|F_x0005_`</t>
  </si>
  <si>
    <t>대가 425호표</t>
  </si>
  <si>
    <t>B05370_1</t>
  </si>
  <si>
    <t>_x0007_`COD|B05370_x0005_`QTY1|1_x0005_`EXI|0_x0005_`IPR|0_x0005_`BLA|F_x0005_`</t>
  </si>
  <si>
    <t>대가 426호표</t>
  </si>
  <si>
    <t>B05371_1</t>
  </si>
  <si>
    <t>_x0007_`COD|B05371_x0005_`QTY1|1_x0005_`EXI|0_x0005_`IPR|0_x0005_`BLA|F_x0005_`</t>
  </si>
  <si>
    <t>대가 427호표</t>
  </si>
  <si>
    <t>B05372_1</t>
  </si>
  <si>
    <t>_x0007_`COD|B05372_x0005_`QTY1|1_x0005_`EXI|0_x0005_`IPR|0_x0005_`BLA|F_x0005_`</t>
  </si>
  <si>
    <t>대가 428호표</t>
  </si>
  <si>
    <t>B05373_1</t>
  </si>
  <si>
    <t>_x0007_`COD|B05373_x0005_`QTY1|1_x0005_`EXI|0_x0005_`IPR|0_x0005_`BLA|F_x0005_`</t>
  </si>
  <si>
    <t>대가 429호표</t>
  </si>
  <si>
    <t>B05374_1</t>
  </si>
  <si>
    <t>_x0007_`COD|B05374_x0005_`QTY1|1_x0005_`EXI|0_x0005_`IPR|0_x0005_`BLA|F_x0005_`</t>
  </si>
  <si>
    <t>대가 430호표</t>
  </si>
  <si>
    <t>B05375_1</t>
  </si>
  <si>
    <t>_x0007_`COD|B05375_x0005_`QTY1|1_x0005_`EXI|0_x0005_`IPR|0_x0005_`BLA|F_x0005_`</t>
  </si>
  <si>
    <t>대가 431호표</t>
  </si>
  <si>
    <t>B05376_1</t>
  </si>
  <si>
    <t>_x0007_`COD|B05376_x0005_`QTY1|1_x0005_`EXI|0_x0005_`IPR|0_x0005_`BLA|F_x0005_`</t>
  </si>
  <si>
    <t>대가 432호표</t>
  </si>
  <si>
    <t>B05377_1</t>
  </si>
  <si>
    <t>_x0007_`COD|B05377_x0005_`QTY1|1_x0005_`EXI|0_x0005_`IPR|0_x0005_`BLA|F_x0005_`</t>
  </si>
  <si>
    <t>대가 433호표</t>
  </si>
  <si>
    <t>B05378_1</t>
  </si>
  <si>
    <t>_x0007_`COD|B05378_x0005_`QTY1|1_x0005_`EXI|0_x0005_`IPR|0_x0005_`BLA|F_x0005_`</t>
  </si>
  <si>
    <t>대가 434호표</t>
  </si>
  <si>
    <t>B05379_1</t>
  </si>
  <si>
    <t>_x0007_`COD|B05379_x0005_`QTY1|1_x0005_`EXI|0_x0005_`IPR|0_x0005_`BLA|F_x0005_`</t>
  </si>
  <si>
    <t>대가 435호표</t>
  </si>
  <si>
    <t>B05380_1</t>
  </si>
  <si>
    <t>_x0007_`COD|B05380_x0005_`QTY1|1_x0005_`EXI|0_x0005_`IPR|0_x0005_`BLA|F_x0005_`</t>
  </si>
  <si>
    <t>대가 436호표</t>
  </si>
  <si>
    <t>B05381_1</t>
  </si>
  <si>
    <t>_x0007_`COD|B05381_x0005_`QTY1|1_x0005_`EXI|0_x0005_`IPR|0_x0005_`BLA|F_x0005_`</t>
  </si>
  <si>
    <t>대가 437호표</t>
  </si>
  <si>
    <t>B05382_1</t>
  </si>
  <si>
    <t>_x0007_`COD|B05382_x0005_`QTY1|1_x0005_`EXI|0_x0005_`IPR|0_x0005_`BLA|F_x0005_`</t>
  </si>
  <si>
    <t>대가 438호표</t>
  </si>
  <si>
    <t>B05017_1</t>
  </si>
  <si>
    <t>_x0007_`COD|B05017_x0005_`QTY1|1_x0005_`EXI|0_x0005_`IPR|0_x0005_`BLA|F_x0005_`</t>
  </si>
  <si>
    <t>대가 439호표</t>
  </si>
  <si>
    <t>B05018_1</t>
  </si>
  <si>
    <t>_x0007_`COD|B05018_x0005_`QTY1|1_x0005_`EXI|0_x0005_`IPR|0_x0005_`BLA|F_x0005_`</t>
  </si>
  <si>
    <t>대가 440호표</t>
  </si>
  <si>
    <t>B05019_1</t>
  </si>
  <si>
    <t>_x0007_`COD|B05019_x0005_`QTY1|1_x0005_`EXI|0_x0005_`IPR|0_x0005_`BLA|F_x0005_`</t>
  </si>
  <si>
    <t>대가 441호표</t>
  </si>
  <si>
    <t>B05020_1</t>
  </si>
  <si>
    <t>_x0007_`COD|B05020_x0005_`QTY1|1_x0005_`EXI|0_x0005_`IPR|0_x0005_`BLA|F_x0005_`</t>
  </si>
  <si>
    <t>대가 442호표</t>
  </si>
  <si>
    <t>B05021_1</t>
  </si>
  <si>
    <t>_x0007_`COD|B05021_x0005_`QTY1|1_x0005_`EXI|0_x0005_`IPR|0_x0005_`BLA|F_x0005_`</t>
  </si>
  <si>
    <t>대가 443호표</t>
  </si>
  <si>
    <t>B05383_1</t>
  </si>
  <si>
    <t>_x0007_`COD|B05383_x0005_`QTY1|1_x0005_`EXI|0_x0005_`IPR|0_x0005_`BLA|F_x0005_`</t>
  </si>
  <si>
    <t>대가 444호표</t>
  </si>
  <si>
    <t>B05384_1</t>
  </si>
  <si>
    <t>_x0007_`COD|B05384_x0005_`QTY1|1_x0005_`EXI|0_x0005_`IPR|0_x0005_`BLA|F_x0005_`</t>
  </si>
  <si>
    <t>대가 445호표</t>
  </si>
  <si>
    <t>B05385_1</t>
  </si>
  <si>
    <t>_x0007_`COD|B05385_x0005_`QTY1|1_x0005_`EXI|0_x0005_`IPR|0_x0005_`BLA|F_x0005_`</t>
  </si>
  <si>
    <t>대가 446호표</t>
  </si>
  <si>
    <t>B05386_1</t>
  </si>
  <si>
    <t>_x0007_`COD|B05386_x0005_`QTY1|1_x0005_`EXI|0_x0005_`IPR|0_x0005_`BLA|F_x0005_`</t>
  </si>
  <si>
    <t>대가 447호표</t>
  </si>
  <si>
    <t>B05387_1</t>
  </si>
  <si>
    <t>_x0007_`COD|B05387_x0005_`QTY1|1_x0005_`EXI|0_x0005_`IPR|0_x0005_`BLA|F_x0005_`</t>
  </si>
  <si>
    <t>대가 448호표</t>
  </si>
  <si>
    <t>B05388_1</t>
  </si>
  <si>
    <t>_x0007_`COD|B05388_x0005_`QTY1|1_x0005_`EXI|0_x0005_`IPR|0_x0005_`BLA|F_x0005_`</t>
  </si>
  <si>
    <t>대가 449호표</t>
  </si>
  <si>
    <t>B05389_1</t>
  </si>
  <si>
    <t>_x0007_`COD|B05389_x0005_`QTY1|1_x0005_`EXI|0_x0005_`IPR|0_x0005_`BLA|F_x0005_`</t>
  </si>
  <si>
    <t>대가 450호표</t>
  </si>
  <si>
    <t>B05390_1</t>
  </si>
  <si>
    <t>_x0007_`COD|B05390_x0005_`QTY1|1_x0005_`EXI|0_x0005_`IPR|0_x0005_`BLA|F_x0005_`</t>
  </si>
  <si>
    <t>대가 451호표</t>
  </si>
  <si>
    <t>B05391_1</t>
  </si>
  <si>
    <t>_x0007_`COD|B05391_x0005_`QTY1|1_x0005_`EXI|0_x0005_`IPR|0_x0005_`BLA|F_x0005_`</t>
  </si>
  <si>
    <t>대가 452호표</t>
  </si>
  <si>
    <t>B05392_1</t>
  </si>
  <si>
    <t>_x0007_`COD|B05392_x0005_`QTY1|1_x0005_`EXI|0_x0005_`IPR|0_x0005_`BLA|F_x0005_`</t>
  </si>
  <si>
    <t>대가 453호표</t>
  </si>
  <si>
    <t>B05393_1</t>
  </si>
  <si>
    <t>_x0007_`COD|B05393_x0005_`QTY1|1_x0005_`EXI|0_x0005_`IPR|0_x0005_`BLA|F_x0005_`</t>
  </si>
  <si>
    <t>대가 454호표</t>
  </si>
  <si>
    <t>B05394_1</t>
  </si>
  <si>
    <t>_x0007_`COD|B05394_x0005_`QTY1|1_x0005_`EXI|0_x0005_`IPR|0_x0005_`BLA|F_x0005_`</t>
  </si>
  <si>
    <t>대가 455호표</t>
  </si>
  <si>
    <t>B05395_1</t>
  </si>
  <si>
    <t>_x0007_`COD|B05395_x0005_`QTY1|1_x0005_`EXI|0_x0005_`IPR|0_x0005_`BLA|F_x0005_`</t>
  </si>
  <si>
    <t>대가 456호표</t>
  </si>
  <si>
    <t>B05396_1</t>
  </si>
  <si>
    <t>_x0007_`COD|B05396_x0005_`QTY1|1_x0005_`EXI|0_x0005_`IPR|0_x0005_`BLA|F_x0005_`</t>
  </si>
  <si>
    <t>대가 457호표</t>
  </si>
  <si>
    <t>B05397_1</t>
  </si>
  <si>
    <t>_x0007_`COD|B05397_x0005_`QTY1|1_x0005_`EXI|0_x0005_`IPR|0_x0005_`BLA|F_x0005_`</t>
  </si>
  <si>
    <t>대가 458호표</t>
  </si>
  <si>
    <t>B05067_1</t>
  </si>
  <si>
    <t>_x0007_`COD|B05067_x0005_`QTY1|1_x0005_`EXI|0_x0005_`IPR|0_x0005_`BLA|F_x0005_`</t>
  </si>
  <si>
    <t>대가 459호표</t>
  </si>
  <si>
    <t>B05022_1</t>
  </si>
  <si>
    <t>_x0007_`COD|B05022_x0005_`QTY1|1_x0005_`EXI|0_x0005_`IPR|0_x0005_`BLA|F_x0005_`</t>
  </si>
  <si>
    <t>대가 460호표</t>
  </si>
  <si>
    <t>B05398_1</t>
  </si>
  <si>
    <t>_x0007_`COD|B05398_x0005_`QTY1|1_x0005_`EXI|0_x0005_`IPR|0_x0005_`BLA|F_x0005_`</t>
  </si>
  <si>
    <t>대가 461호표</t>
  </si>
  <si>
    <t>B05399_1</t>
  </si>
  <si>
    <t>_x0007_`COD|B05399_x0005_`QTY1|1_x0005_`EXI|0_x0005_`IPR|0_x0005_`BLA|F_x0005_`</t>
  </si>
  <si>
    <t>대가 462호표</t>
  </si>
  <si>
    <t>B05400_1</t>
  </si>
  <si>
    <t>_x0007_`COD|B05400_x0005_`QTY1|1_x0005_`EXI|0_x0005_`IPR|0_x0005_`BLA|F_x0005_`</t>
  </si>
  <si>
    <t>대가 463호표</t>
  </si>
  <si>
    <t>B05401_1</t>
  </si>
  <si>
    <t>_x0007_`COD|B05401_x0005_`QTY1|1_x0005_`EXI|0_x0005_`IPR|0_x0005_`BLA|F_x0005_`</t>
  </si>
  <si>
    <t>대가 464호표</t>
  </si>
  <si>
    <t>B05402_1</t>
  </si>
  <si>
    <t>_x0007_`COD|B05402_x0005_`QTY1|1_x0005_`EXI|0_x0005_`IPR|0_x0005_`BLA|F_x0005_`</t>
  </si>
  <si>
    <t>대가 465호표</t>
  </si>
  <si>
    <t>B05403_1</t>
  </si>
  <si>
    <t>_x0007_`COD|B05403_x0005_`QTY1|1_x0005_`EXI|0_x0005_`IPR|0_x0005_`BLA|F_x0005_`</t>
  </si>
  <si>
    <t>대가 466호표</t>
  </si>
  <si>
    <t>B05023_1</t>
  </si>
  <si>
    <t>_x0007_`COD|B05023_x0005_`QTY1|1_x0005_`EXI|0_x0005_`IPR|0_x0005_`BLA|F_x0005_`</t>
  </si>
  <si>
    <t>대가 467호표</t>
  </si>
  <si>
    <t>B05024_1</t>
  </si>
  <si>
    <t>_x0007_`COD|B05024_x0005_`QTY1|1_x0005_`EXI|0_x0005_`IPR|0_x0005_`BLA|F_x0005_`</t>
  </si>
  <si>
    <t>대가 468호표</t>
  </si>
  <si>
    <t>B05025_1</t>
  </si>
  <si>
    <t>_x0007_`COD|B05025_x0005_`QTY1|1_x0005_`EXI|0_x0005_`IPR|0_x0005_`BLA|F_x0005_`</t>
  </si>
  <si>
    <t>대가 469호표</t>
  </si>
  <si>
    <t>B05026_1</t>
  </si>
  <si>
    <t>_x0007_`COD|B05026_x0005_`QTY1|1_x0005_`EXI|0_x0005_`IPR|0_x0005_`BLA|F_x0005_`</t>
  </si>
  <si>
    <t>대가 470호표</t>
  </si>
  <si>
    <t>B05070_1</t>
  </si>
  <si>
    <t>_x0007_`COD|B05070_x0005_`QTY1|1_x0005_`EXI|0_x0005_`IPR|0_x0005_`BLA|F_x0005_`</t>
  </si>
  <si>
    <t>대가 471호표</t>
  </si>
  <si>
    <t>B05404_1</t>
  </si>
  <si>
    <t>_x0007_`COD|B05404_x0005_`QTY1|1_x0005_`EXI|0_x0005_`IPR|0_x0005_`BLA|F_x0005_`</t>
  </si>
  <si>
    <t>대가 472호표</t>
  </si>
  <si>
    <t>B05405_1</t>
  </si>
  <si>
    <t>_x0007_`COD|B05405_x0005_`QTY1|1_x0005_`EXI|0_x0005_`IPR|0_x0005_`BLA|F_x0005_`</t>
  </si>
  <si>
    <t>대가 473호표</t>
  </si>
  <si>
    <t>B05406_1</t>
  </si>
  <si>
    <t>_x0007_`COD|B05406_x0005_`QTY1|1_x0005_`EXI|0_x0005_`IPR|0_x0005_`BLA|F_x0005_`</t>
  </si>
  <si>
    <t>대가 474호표</t>
  </si>
  <si>
    <t>B05407_1</t>
  </si>
  <si>
    <t>_x0007_`COD|B05407_x0005_`QTY1|1_x0005_`EXI|0_x0005_`IPR|0_x0005_`BLA|F_x0005_`</t>
  </si>
  <si>
    <t>대가 475호표</t>
  </si>
  <si>
    <t>B05408_1</t>
  </si>
  <si>
    <t>_x0007_`COD|B05408_x0005_`QTY1|1_x0005_`EXI|0_x0005_`IPR|0_x0005_`BLA|F_x0005_`</t>
  </si>
  <si>
    <t>대가 476호표</t>
  </si>
  <si>
    <t>B05409_1</t>
  </si>
  <si>
    <t>_x0007_`COD|B05409_x0005_`QTY1|1_x0005_`EXI|0_x0005_`IPR|0_x0005_`BLA|F_x0005_`</t>
  </si>
  <si>
    <t>대가 477호표</t>
  </si>
  <si>
    <t>B05410_1</t>
  </si>
  <si>
    <t>_x0007_`COD|B05410_x0005_`QTY1|1_x0005_`EXI|0_x0005_`IPR|0_x0005_`BLA|F_x0005_`</t>
  </si>
  <si>
    <t>대가 478호표</t>
  </si>
  <si>
    <t>B05411_1</t>
  </si>
  <si>
    <t>_x0007_`COD|B05411_x0005_`QTY1|1_x0005_`EXI|0_x0005_`IPR|0_x0005_`BLA|F_x0005_`</t>
  </si>
  <si>
    <t>대가 479호표</t>
  </si>
  <si>
    <t>B05412_1</t>
  </si>
  <si>
    <t>_x0007_`COD|B05412_x0005_`QTY1|1_x0005_`EXI|0_x0005_`IPR|0_x0005_`BLA|F_x0005_`</t>
  </si>
  <si>
    <t>대가 480호표</t>
  </si>
  <si>
    <t>B05413_1</t>
  </si>
  <si>
    <t>_x0007_`COD|B05413_x0005_`QTY1|1_x0005_`EXI|0_x0005_`IPR|0_x0005_`BLA|F_x0005_`</t>
  </si>
  <si>
    <t>대가 481호표</t>
  </si>
  <si>
    <t>B05414_1</t>
  </si>
  <si>
    <t>_x0007_`COD|B05414_x0005_`QTY1|1_x0005_`EXI|0_x0005_`IPR|0_x0005_`BLA|F_x0005_`</t>
  </si>
  <si>
    <t>대가 482호표</t>
  </si>
  <si>
    <t>B05415_1</t>
  </si>
  <si>
    <t>_x0007_`COD|B05415_x0005_`QTY1|1_x0005_`EXI|0_x0005_`IPR|0_x0005_`BLA|F_x0005_`</t>
  </si>
  <si>
    <t>대가 483호표</t>
  </si>
  <si>
    <t>B05027_1</t>
  </si>
  <si>
    <t>_x0007_`COD|B05027_x0005_`QTY1|1_x0005_`EXI|0_x0005_`IPR|0_x0005_`BLA|F_x0005_`</t>
  </si>
  <si>
    <t>대가 484호표</t>
  </si>
  <si>
    <t>B05028_1</t>
  </si>
  <si>
    <t>_x0007_`COD|B05028_x0005_`QTY1|1_x0005_`EXI|0_x0005_`IPR|0_x0005_`BLA|F_x0005_`</t>
  </si>
  <si>
    <t>대가 485호표</t>
  </si>
  <si>
    <t>B05029_1</t>
  </si>
  <si>
    <t>_x0007_`COD|B05029_x0005_`QTY1|1_x0005_`EXI|0_x0005_`IPR|0_x0005_`BLA|F_x0005_`</t>
  </si>
  <si>
    <t>대가 486호표</t>
  </si>
  <si>
    <t>B05030_1</t>
  </si>
  <si>
    <t>_x0007_`COD|B05030_x0005_`QTY1|1_x0005_`EXI|0_x0005_`IPR|0_x0005_`BLA|F_x0005_`</t>
  </si>
  <si>
    <t>대가 487호표</t>
  </si>
  <si>
    <t>B05031_1</t>
  </si>
  <si>
    <t>_x0007_`COD|B05031_x0005_`QTY1|1_x0005_`EXI|0_x0005_`IPR|0_x0005_`BLA|F_x0005_`</t>
  </si>
  <si>
    <t>대가 488호표</t>
  </si>
  <si>
    <t>B05072_1</t>
  </si>
  <si>
    <t>_x0007_`COD|B05072_x0005_`QTY1|1_x0005_`EXI|0_x0005_`IPR|0_x0005_`BLA|F_x0005_`</t>
  </si>
  <si>
    <t>대가 489호표</t>
  </si>
  <si>
    <t>B05416_1</t>
  </si>
  <si>
    <t>_x0007_`COD|B05416_x0005_`QTY1|1_x0005_`EXI|0_x0005_`IPR|0_x0005_`BLA|F_x0005_`</t>
  </si>
  <si>
    <t>대가 490호표</t>
  </si>
  <si>
    <t>B05417_1</t>
  </si>
  <si>
    <t>_x0007_`COD|B05417_x0005_`QTY1|1_x0005_`EXI|0_x0005_`IPR|0_x0005_`BLA|F_x0005_`</t>
  </si>
  <si>
    <t>대가 491호표</t>
  </si>
  <si>
    <t>B05418_1</t>
  </si>
  <si>
    <t>_x0007_`COD|B05418_x0005_`QTY1|1_x0005_`EXI|0_x0005_`IPR|0_x0005_`BLA|F_x0005_`</t>
  </si>
  <si>
    <t>대가 492호표</t>
  </si>
  <si>
    <t>B05419_1</t>
  </si>
  <si>
    <t>_x0007_`COD|B05419_x0005_`QTY1|1_x0005_`EXI|0_x0005_`IPR|0_x0005_`BLA|F_x0005_`</t>
  </si>
  <si>
    <t>대가 493호표</t>
  </si>
  <si>
    <t>B05420_1</t>
  </si>
  <si>
    <t>_x0007_`COD|B05420_x0005_`QTY1|1_x0005_`EXI|0_x0005_`IPR|0_x0005_`BLA|F_x0005_`</t>
  </si>
  <si>
    <t>대가 494호표</t>
  </si>
  <si>
    <t>B05421_1</t>
  </si>
  <si>
    <t>_x0007_`COD|B05421_x0005_`QTY1|1_x0005_`EXI|0_x0005_`IPR|0_x0005_`BLA|F_x0005_`</t>
  </si>
  <si>
    <t>대가 495호표</t>
  </si>
  <si>
    <t>B05422_1</t>
  </si>
  <si>
    <t>_x0007_`COD|B05422_x0005_`QTY1|1_x0005_`EXI|0_x0005_`IPR|0_x0005_`BLA|F_x0005_`</t>
  </si>
  <si>
    <t>대가 496호표</t>
  </si>
  <si>
    <t>B05423_1</t>
  </si>
  <si>
    <t>_x0007_`COD|B05423_x0005_`QTY1|1_x0005_`EXI|0_x0005_`IPR|0_x0005_`BLA|F_x0005_`</t>
  </si>
  <si>
    <t>대가 497호표</t>
  </si>
  <si>
    <t>B05424_1</t>
  </si>
  <si>
    <t>_x0007_`COD|B05424_x0005_`QTY1|1_x0005_`EXI|0_x0005_`IPR|0_x0005_`BLA|F_x0005_`</t>
  </si>
  <si>
    <t>대가 498호표</t>
  </si>
  <si>
    <t>B05425_1</t>
  </si>
  <si>
    <t>_x0007_`COD|B05425_x0005_`QTY1|1_x0005_`EXI|0_x0005_`IPR|0_x0005_`BLA|F_x0005_`</t>
  </si>
  <si>
    <t>대가 499호표</t>
  </si>
  <si>
    <t>B05426_1</t>
  </si>
  <si>
    <t>_x0007_`COD|B05426_x0005_`QTY1|1_x0005_`EXI|0_x0005_`IPR|0_x0005_`BLA|F_x0005_`</t>
  </si>
  <si>
    <t>대가 500호표</t>
  </si>
  <si>
    <t>B05427_1</t>
  </si>
  <si>
    <t>_x0007_`COD|B05427_x0005_`QTY1|1_x0005_`EXI|0_x0005_`IPR|0_x0005_`BLA|F_x0005_`</t>
  </si>
  <si>
    <t>대가 501호표</t>
  </si>
  <si>
    <t>B05428_1</t>
  </si>
  <si>
    <t>_x0007_`COD|B05428_x0005_`QTY1|1_x0005_`EXI|0_x0005_`IPR|0_x0005_`BLA|F_x0005_`</t>
  </si>
  <si>
    <t>대가 502호표</t>
  </si>
  <si>
    <t>B05429_1</t>
  </si>
  <si>
    <t>_x0007_`COD|B05429_x0005_`QTY1|1_x0005_`EXI|0_x0005_`IPR|0_x0005_`BLA|F_x0005_`</t>
  </si>
  <si>
    <t>대가 503호표</t>
  </si>
  <si>
    <t>B05430_1</t>
  </si>
  <si>
    <t>_x0007_`COD|B05430_x0005_`QTY1|1_x0005_`EXI|0_x0005_`IPR|0_x0005_`BLA|F_x0005_`</t>
  </si>
  <si>
    <t>대가 504호표</t>
  </si>
  <si>
    <t>B05431_1</t>
  </si>
  <si>
    <t>_x0007_`COD|B05431_x0005_`QTY1|1_x0005_`EXI|0_x0005_`IPR|0_x0005_`BLA|F_x0005_`</t>
  </si>
  <si>
    <t>대가 505호표</t>
  </si>
  <si>
    <t>B05432_1</t>
  </si>
  <si>
    <t>_x0007_`COD|B05432_x0005_`QTY1|1_x0005_`EXI|0_x0005_`IPR|0_x0005_`BLA|F_x0005_`</t>
  </si>
  <si>
    <t>대가 506호표</t>
  </si>
  <si>
    <t>B05433_1</t>
  </si>
  <si>
    <t>_x0007_`COD|B05433_x0005_`QTY1|1_x0005_`EXI|0_x0005_`IPR|0_x0005_`BLA|F_x0005_`</t>
  </si>
  <si>
    <t>대가 507호표</t>
  </si>
  <si>
    <t>B05032_1</t>
  </si>
  <si>
    <t>_x0007_`COD|B05032_x0005_`QTY1|1_x0005_`EXI|0_x0005_`IPR|0_x0005_`BLA|F_x0005_`</t>
  </si>
  <si>
    <t>대가 508호표</t>
  </si>
  <si>
    <t>B05033_1</t>
  </si>
  <si>
    <t>_x0007_`COD|B05033_x0005_`QTY1|1_x0005_`EXI|0_x0005_`IPR|0_x0005_`BLA|F_x0005_`</t>
  </si>
  <si>
    <t>대가 509호표</t>
  </si>
  <si>
    <t>B05034_1</t>
  </si>
  <si>
    <t>_x0007_`COD|B05034_x0005_`QTY1|1_x0005_`EXI|0_x0005_`IPR|0_x0005_`BLA|F_x0005_`</t>
  </si>
  <si>
    <t>대가 510호표</t>
  </si>
  <si>
    <t>B05035_1</t>
  </si>
  <si>
    <t>_x0007_`COD|B05035_x0005_`QTY1|1_x0005_`EXI|0_x0005_`IPR|0_x0005_`BLA|F_x0005_`</t>
  </si>
  <si>
    <t>대가 511호표</t>
  </si>
  <si>
    <t>B05036_1</t>
  </si>
  <si>
    <t>_x0007_`COD|B05036_x0005_`QTY1|1_x0005_`EXI|0_x0005_`IPR|0_x0005_`BLA|F_x0005_`</t>
  </si>
  <si>
    <t>대가 512호표</t>
  </si>
  <si>
    <t>B05434_1</t>
  </si>
  <si>
    <t>_x0007_`COD|B05434_x0005_`QTY1|1_x0005_`EXI|0_x0005_`IPR|0_x0005_`BLA|F_x0005_`</t>
  </si>
  <si>
    <t>대가 513호표</t>
  </si>
  <si>
    <t>B05435_1</t>
  </si>
  <si>
    <t>_x0007_`COD|B05435_x0005_`QTY1|1_x0005_`EXI|0_x0005_`IPR|0_x0005_`BLA|F_x0005_`</t>
  </si>
  <si>
    <t>대가 514호표</t>
  </si>
  <si>
    <t>B05436_1</t>
  </si>
  <si>
    <t>_x0007_`COD|B05436_x0005_`QTY1|1_x0005_`EXI|0_x0005_`IPR|0_x0005_`BLA|F_x0005_`</t>
  </si>
  <si>
    <t>대가 515호표</t>
  </si>
  <si>
    <t>B05437_1</t>
  </si>
  <si>
    <t>_x0007_`COD|B05437_x0005_`QTY1|1_x0005_`EXI|0_x0005_`IPR|0_x0005_`BLA|F_x0005_`</t>
  </si>
  <si>
    <t>대가 516호표</t>
  </si>
  <si>
    <t>B05438_1</t>
  </si>
  <si>
    <t>_x0007_`COD|B05438_x0005_`QTY1|1_x0005_`EXI|0_x0005_`IPR|0_x0005_`BLA|F_x0005_`</t>
  </si>
  <si>
    <t>대가 517호표</t>
  </si>
  <si>
    <t>B05439_1</t>
  </si>
  <si>
    <t>_x0007_`COD|B05439_x0005_`QTY1|1_x0005_`EXI|0_x0005_`IPR|0_x0005_`BLA|F_x0005_`</t>
  </si>
  <si>
    <t>대가 518호표</t>
  </si>
  <si>
    <t>B05440_1</t>
  </si>
  <si>
    <t>_x0007_`COD|B05440_x0005_`QTY1|1_x0005_`EXI|0_x0005_`IPR|0_x0005_`BLA|F_x0005_`</t>
  </si>
  <si>
    <t>대가 519호표</t>
  </si>
  <si>
    <t>B05441_1</t>
  </si>
  <si>
    <t>_x0007_`COD|B05441_x0005_`QTY1|1_x0005_`EXI|0_x0005_`IPR|0_x0005_`BLA|F_x0005_`</t>
  </si>
  <si>
    <t>대가 520호표</t>
  </si>
  <si>
    <t>B05442_1</t>
  </si>
  <si>
    <t>_x0007_`COD|B05442_x0005_`QTY1|1_x0005_`EXI|0_x0005_`IPR|0_x0005_`BLA|F_x0005_`</t>
  </si>
  <si>
    <t>대가 521호표</t>
  </si>
  <si>
    <t>B05443_1</t>
  </si>
  <si>
    <t>_x0007_`COD|B05443_x0005_`QTY1|1_x0005_`EXI|0_x0005_`IPR|0_x0005_`BLA|F_x0005_`</t>
  </si>
  <si>
    <t>대가 522호표</t>
  </si>
  <si>
    <t>B05444_1</t>
  </si>
  <si>
    <t>_x0007_`COD|B05444_x0005_`QTY1|1_x0005_`EXI|0_x0005_`IPR|0_x0005_`BLA|F_x0005_`</t>
  </si>
  <si>
    <t>대가 523호표</t>
  </si>
  <si>
    <t>B05445_1</t>
  </si>
  <si>
    <t>_x0007_`COD|B05445_x0005_`QTY1|1_x0005_`EXI|0_x0005_`IPR|0_x0005_`BLA|F_x0005_`</t>
  </si>
  <si>
    <t>대가 524호표</t>
  </si>
  <si>
    <t>B05446_1</t>
  </si>
  <si>
    <t>_x0007_`COD|B05446_x0005_`QTY1|1_x0005_`EXI|0_x0005_`IPR|0_x0005_`BLA|F_x0005_`</t>
  </si>
  <si>
    <t>대가 525호표</t>
  </si>
  <si>
    <t>B05447_1</t>
  </si>
  <si>
    <t>_x0007_`COD|B05447_x0005_`QTY1|1_x0005_`EXI|0_x0005_`IPR|0_x0005_`BLA|F_x0005_`</t>
  </si>
  <si>
    <t>대가 526호표</t>
  </si>
  <si>
    <t>B05448_1</t>
  </si>
  <si>
    <t>_x0007_`COD|B05448_x0005_`QTY1|1_x0005_`EXI|0_x0005_`IPR|0_x0005_`BLA|F_x0005_`</t>
  </si>
  <si>
    <t>대가 527호표</t>
  </si>
  <si>
    <t>B05037_1</t>
  </si>
  <si>
    <t>_x0007_`COD|B05037_x0005_`QTY1|1_x0005_`EXI|0_x0005_`IPR|0_x0005_`BLA|F_x0005_`</t>
  </si>
  <si>
    <t>대가 528호표</t>
  </si>
  <si>
    <t>B05045_1</t>
  </si>
  <si>
    <t>_x0007_`COD|B05045_x0005_`QTY1|1_x0005_`EXI|0_x0005_`IPR|0_x0005_`BLA|F_x0005_`</t>
  </si>
  <si>
    <t>대가 529호표</t>
  </si>
  <si>
    <t>B05046_1</t>
  </si>
  <si>
    <t>_x0007_`COD|B05046_x0005_`QTY1|1_x0005_`EXI|0_x0005_`IPR|0_x0005_`BLA|F_x0005_`</t>
  </si>
  <si>
    <t>대가 530호표</t>
  </si>
  <si>
    <t>B05047_1</t>
  </si>
  <si>
    <t>_x0007_`COD|B05047_x0005_`QTY1|1_x0005_`EXI|0_x0005_`IPR|0_x0005_`BLA|F_x0005_`</t>
  </si>
  <si>
    <t>대가 531호표</t>
  </si>
  <si>
    <t>B05048_1</t>
  </si>
  <si>
    <t>_x0007_`COD|B05048_x0005_`QTY1|1_x0005_`EXI|0_x0005_`IPR|0_x0005_`BLA|F_x0005_`</t>
  </si>
  <si>
    <t>대가 532호표</t>
  </si>
  <si>
    <t>B05049_1</t>
  </si>
  <si>
    <t>_x0007_`COD|B05049_x0005_`QTY1|1_x0005_`EXI|0_x0005_`IPR|0_x0005_`BLA|F_x0005_`</t>
  </si>
  <si>
    <t>대가 533호표</t>
  </si>
  <si>
    <t>B05449_1</t>
  </si>
  <si>
    <t>_x0007_`COD|B05449_x0005_`QTY1|1_x0005_`EXI|0_x0005_`IPR|0_x0005_`BLA|F_x0005_`</t>
  </si>
  <si>
    <t>대가 534호표</t>
  </si>
  <si>
    <t>B05450_1</t>
  </si>
  <si>
    <t>_x0007_`COD|B05450_x0005_`QTY1|1_x0005_`EXI|0_x0005_`IPR|0_x0005_`BLA|F_x0005_`</t>
  </si>
  <si>
    <t>대가 535호표</t>
  </si>
  <si>
    <t>B05451_1</t>
  </si>
  <si>
    <t>_x0007_`COD|B05451_x0005_`QTY1|1_x0005_`EXI|0_x0005_`IPR|0_x0005_`BLA|F_x0005_`</t>
  </si>
  <si>
    <t>대가 536호표</t>
  </si>
  <si>
    <t>B05452_1</t>
  </si>
  <si>
    <t>_x0007_`COD|B05452_x0005_`QTY1|1_x0005_`EXI|0_x0005_`IPR|0_x0005_`BLA|F_x0005_`</t>
  </si>
  <si>
    <t>대가 537호표</t>
  </si>
  <si>
    <t>B05453_1</t>
  </si>
  <si>
    <t>_x0007_`COD|B05453_x0005_`QTY1|1_x0005_`EXI|0_x0005_`IPR|0_x0005_`BLA|F_x0005_`</t>
  </si>
  <si>
    <t>대가 538호표</t>
  </si>
  <si>
    <t>B05454_1</t>
  </si>
  <si>
    <t>_x0007_`COD|B05454_x0005_`QTY1|1_x0005_`EXI|0_x0005_`IPR|0_x0005_`BLA|F_x0005_`</t>
  </si>
  <si>
    <t>대가 539호표</t>
  </si>
  <si>
    <t>B05455_1</t>
  </si>
  <si>
    <t>_x0007_`COD|B05455_x0005_`QTY1|1_x0005_`EXI|0_x0005_`IPR|0_x0005_`BLA|F_x0005_`</t>
  </si>
  <si>
    <t>대가 540호표</t>
  </si>
  <si>
    <t>B05456_1</t>
  </si>
  <si>
    <t>_x0007_`COD|B05456_x0005_`QTY1|1_x0005_`EXI|0_x0005_`IPR|0_x0005_`BLA|F_x0005_`</t>
  </si>
  <si>
    <t>대가 541호표</t>
  </si>
  <si>
    <t>B05457_1</t>
  </si>
  <si>
    <t>_x0007_`COD|B05457_x0005_`QTY1|1_x0005_`EXI|0_x0005_`IPR|0_x0005_`BLA|F_x0005_`</t>
  </si>
  <si>
    <t>대가 542호표</t>
  </si>
  <si>
    <t>B05458_1</t>
  </si>
  <si>
    <t>_x0007_`COD|B05458_x0005_`QTY1|1_x0005_`EXI|0_x0005_`IPR|0_x0005_`BLA|F_x0005_`</t>
  </si>
  <si>
    <t>대가 543호표</t>
  </si>
  <si>
    <t>B05459_1</t>
  </si>
  <si>
    <t>_x0007_`COD|B05459_x0005_`QTY1|1_x0005_`EXI|0_x0005_`IPR|0_x0005_`BLA|F_x0005_`</t>
  </si>
  <si>
    <t>대가 544호표</t>
  </si>
  <si>
    <t>B05460_1</t>
  </si>
  <si>
    <t>_x0007_`COD|B05460_x0005_`QTY1|1_x0005_`EXI|0_x0005_`IPR|0_x0005_`BLA|F_x0005_`</t>
  </si>
  <si>
    <t>대가 545호표</t>
  </si>
  <si>
    <t>B05461_1</t>
  </si>
  <si>
    <t>_x0007_`COD|B05461_x0005_`QTY1|1_x0005_`EXI|0_x0005_`IPR|0_x0005_`BLA|F_x0005_`</t>
  </si>
  <si>
    <t>대가 546호표</t>
  </si>
  <si>
    <t>B05462_1</t>
  </si>
  <si>
    <t>_x0007_`COD|B05462_x0005_`QTY1|1_x0005_`EXI|0_x0005_`IPR|0_x0005_`BLA|F_x0005_`</t>
  </si>
  <si>
    <t>대가 547호표</t>
  </si>
  <si>
    <t>B05463_1</t>
  </si>
  <si>
    <t>_x0007_`COD|B05463_x0005_`QTY1|1_x0005_`EXI|0_x0005_`IPR|0_x0005_`BLA|F_x0005_`</t>
  </si>
  <si>
    <t>대가 548호표</t>
  </si>
  <si>
    <t>B05464_1</t>
  </si>
  <si>
    <t>_x0007_`COD|B05464_x0005_`QTY1|1_x0005_`EXI|0_x0005_`IPR|0_x0005_`BLA|F_x0005_`</t>
  </si>
  <si>
    <t>대가 549호표</t>
  </si>
  <si>
    <t>B05465_1</t>
  </si>
  <si>
    <t>_x0007_`COD|B05465_x0005_`QTY1|1_x0005_`EXI|0_x0005_`IPR|0_x0005_`BLA|F_x0005_`</t>
  </si>
  <si>
    <t>대가 550호표</t>
  </si>
  <si>
    <t>B05466_1</t>
  </si>
  <si>
    <t>_x0007_`COD|B05466_x0005_`QTY1|1_x0005_`EXI|0_x0005_`IPR|0_x0005_`BLA|F_x0005_`</t>
  </si>
  <si>
    <t>대가 551호표</t>
  </si>
  <si>
    <t>B05051_1</t>
  </si>
  <si>
    <t>_x0007_`COD|B05051_x0005_`QTY1|1_x0005_`EXI|0_x0005_`IPR|0_x0005_`BLA|F_x0005_`</t>
  </si>
  <si>
    <t>대가 552호표</t>
  </si>
  <si>
    <t>B05052_1</t>
  </si>
  <si>
    <t>_x0007_`COD|B05052_x0005_`QTY1|1_x0005_`EXI|0_x0005_`IPR|0_x0005_`BLA|F_x0005_`</t>
  </si>
  <si>
    <t>대가 553호표</t>
  </si>
  <si>
    <t>B05053_1</t>
  </si>
  <si>
    <t>_x0007_`COD|B05053_x0005_`QTY1|1_x0005_`EXI|0_x0005_`IPR|0_x0005_`BLA|F_x0005_`</t>
  </si>
  <si>
    <t>대가 554호표</t>
  </si>
  <si>
    <t>B05054_1</t>
  </si>
  <si>
    <t>_x0007_`COD|B05054_x0005_`QTY1|1_x0005_`EXI|0_x0005_`IPR|0_x0005_`BLA|F_x0005_`</t>
  </si>
  <si>
    <t>대가 555호표</t>
  </si>
  <si>
    <t>B05467_1</t>
  </si>
  <si>
    <t>_x0007_`COD|B05467_x0005_`QTY1|1_x0005_`EXI|0_x0005_`IPR|0_x0005_`BLA|F_x0005_`</t>
  </si>
  <si>
    <t>대가 556호표</t>
  </si>
  <si>
    <t>B05468_1</t>
  </si>
  <si>
    <t>_x0007_`COD|B05468_x0005_`QTY1|1_x0005_`EXI|0_x0005_`IPR|0_x0005_`BLA|F_x0005_`</t>
  </si>
  <si>
    <t>대가 557호표</t>
  </si>
  <si>
    <t>B05469_1</t>
  </si>
  <si>
    <t>_x0007_`COD|B05469_x0005_`QTY1|1_x0005_`EXI|0_x0005_`IPR|0_x0005_`BLA|F_x0005_`</t>
  </si>
  <si>
    <t>대가 558호표</t>
  </si>
  <si>
    <t>B05470_1</t>
  </si>
  <si>
    <t>_x0007_`COD|B05470_x0005_`QTY1|1_x0005_`EXI|0_x0005_`IPR|0_x0005_`BLA|F_x0005_`</t>
  </si>
  <si>
    <t>대가 559호표</t>
  </si>
  <si>
    <t>B05471_1</t>
  </si>
  <si>
    <t>_x0007_`COD|B05471_x0005_`QTY1|1_x0005_`EXI|0_x0005_`IPR|0_x0005_`BLA|F_x0005_`</t>
  </si>
  <si>
    <t>대가 560호표</t>
  </si>
  <si>
    <t>B05472_1</t>
  </si>
  <si>
    <t>_x0007_`COD|B05472_x0005_`QTY1|1_x0005_`EXI|0_x0005_`IPR|0_x0005_`BLA|F_x0005_`</t>
  </si>
  <si>
    <t>대가 561호표</t>
  </si>
  <si>
    <t>B05473_1</t>
  </si>
  <si>
    <t>_x0007_`COD|B05473_x0005_`QTY1|1_x0005_`EXI|0_x0005_`IPR|0_x0005_`BLA|F_x0005_`</t>
  </si>
  <si>
    <t>대가 562호표</t>
  </si>
  <si>
    <t>B05474_1</t>
  </si>
  <si>
    <t>_x0007_`COD|B05474_x0005_`QTY1|1_x0005_`EXI|0_x0005_`IPR|0_x0005_`BLA|F_x0005_`</t>
  </si>
  <si>
    <t>대가 563호표</t>
  </si>
  <si>
    <t>B05475_1</t>
  </si>
  <si>
    <t>_x0007_`COD|B05475_x0005_`QTY1|1_x0005_`EXI|0_x0005_`IPR|0_x0005_`BLA|F_x0005_`</t>
  </si>
  <si>
    <t>대가 564호표</t>
  </si>
  <si>
    <t>B05476_1</t>
  </si>
  <si>
    <t>_x0007_`COD|B05476_x0005_`QTY1|1_x0005_`EXI|0_x0005_`IPR|0_x0005_`BLA|F_x0005_`</t>
  </si>
  <si>
    <t>대가 565호표</t>
  </si>
  <si>
    <t>B05477_1</t>
  </si>
  <si>
    <t>_x0007_`COD|B05477_x0005_`QTY1|1_x0005_`EXI|0_x0005_`IPR|0_x0005_`BLA|F_x0005_`</t>
  </si>
  <si>
    <t>대가 566호표</t>
  </si>
  <si>
    <t>B05478_1</t>
  </si>
  <si>
    <t>_x0007_`COD|B05478_x0005_`QTY1|1_x0005_`EXI|0_x0005_`IPR|0_x0005_`BLA|F_x0005_`</t>
  </si>
  <si>
    <t>대가 567호표</t>
  </si>
  <si>
    <t>B05055_1</t>
  </si>
  <si>
    <t>_x0007_`COD|B05055_x0005_`QTY1|1_x0005_`EXI|0_x0005_`IPR|0_x0005_`BLA|F_x0005_`</t>
  </si>
  <si>
    <t>대가 568호표</t>
  </si>
  <si>
    <t>B05056_1</t>
  </si>
  <si>
    <t>_x0007_`COD|B05056_x0005_`QTY1|1_x0005_`EXI|0_x0005_`IPR|0_x0005_`BLA|F_x0005_`</t>
  </si>
  <si>
    <t>대가 569호표</t>
  </si>
  <si>
    <t>B05479_1</t>
  </si>
  <si>
    <t>_x0007_`COD|B05479_x0005_`QTY1|1_x0005_`EXI|0_x0005_`IPR|0_x0005_`BLA|F_x0005_`</t>
  </si>
  <si>
    <t>대가 570호표</t>
  </si>
  <si>
    <t>B05480_1</t>
  </si>
  <si>
    <t>_x0007_`COD|B05480_x0005_`QTY1|1_x0005_`EXI|0_x0005_`IPR|0_x0005_`BLA|F_x0005_`</t>
  </si>
  <si>
    <t>대가 571호표</t>
  </si>
  <si>
    <t>B05481_1</t>
  </si>
  <si>
    <t>_x0007_`COD|B05481_x0005_`QTY1|1_x0005_`EXI|0_x0005_`IPR|0_x0005_`BLA|F_x0005_`</t>
  </si>
  <si>
    <t>대가 572호표</t>
  </si>
  <si>
    <t>B05482_1</t>
  </si>
  <si>
    <t>_x0007_`COD|B05482_x0005_`QTY1|1_x0005_`EXI|0_x0005_`IPR|0_x0005_`BLA|F_x0005_`</t>
  </si>
  <si>
    <t>대가 573호표</t>
  </si>
  <si>
    <t>B05483_1</t>
  </si>
  <si>
    <t>_x0007_`COD|B05483_x0005_`QTY1|1_x0005_`EXI|0_x0005_`IPR|0_x0005_`BLA|F_x0005_`</t>
  </si>
  <si>
    <t>대가 574호표</t>
  </si>
  <si>
    <t>B05484_1</t>
  </si>
  <si>
    <t>_x0007_`COD|B05484_x0005_`QTY1|1_x0005_`EXI|0_x0005_`IPR|0_x0005_`BLA|F_x0005_`</t>
  </si>
  <si>
    <t>대가 575호표</t>
  </si>
  <si>
    <t>B04887_1</t>
  </si>
  <si>
    <t>_x0007_`COD|B04887_x0005_`QTY1|1_x0005_`EXI|0_x0005_`IPR|0_x0005_`BLA|F_x0005_`</t>
  </si>
  <si>
    <t>대가 576호표</t>
  </si>
  <si>
    <t>B04888_1</t>
  </si>
  <si>
    <t>_x0007_`COD|B04888_x0005_`QTY1|1_x0005_`EXI|0_x0005_`IPR|0_x0005_`BLA|F_x0005_`</t>
  </si>
  <si>
    <t>대가 577호표</t>
  </si>
  <si>
    <t>B04889_1</t>
  </si>
  <si>
    <t>_x0007_`COD|B04889_x0005_`QTY1|1_x0005_`EXI|0_x0005_`IPR|0_x0005_`BLA|F_x0005_`</t>
  </si>
  <si>
    <t>대가 578호표</t>
  </si>
  <si>
    <t>B04890_1</t>
  </si>
  <si>
    <t>_x0007_`COD|B04890_x0005_`QTY1|1_x0005_`EXI|0_x0005_`IPR|0_x0005_`BLA|F_x0005_`</t>
  </si>
  <si>
    <t>대가 579호표</t>
  </si>
  <si>
    <t>B04891_1</t>
  </si>
  <si>
    <t>_x0007_`COD|B04891_x0005_`QTY1|1_x0005_`EXI|0_x0005_`IPR|0_x0005_`BLA|F_x0005_`</t>
  </si>
  <si>
    <t>대가 580호표</t>
  </si>
  <si>
    <t>B04892_1</t>
  </si>
  <si>
    <t>_x0007_`COD|B04892_x0005_`QTY1|1_x0005_`EXI|0_x0005_`IPR|0_x0005_`BLA|F_x0005_`</t>
  </si>
  <si>
    <t>대가 581호표</t>
  </si>
  <si>
    <t>B04873_1</t>
  </si>
  <si>
    <t>_x0007_`COD|B04873_x0005_`QTY1|1_x0005_`EXI|0_x0005_`IPR|0_x0005_`BLA|F_x0005_`</t>
  </si>
  <si>
    <t>대가 582호표</t>
  </si>
  <si>
    <t>B04874_1</t>
  </si>
  <si>
    <t>_x0007_`COD|B04874_x0005_`QTY1|1_x0005_`EXI|0_x0005_`IPR|0_x0005_`BLA|F_x0005_`</t>
  </si>
  <si>
    <t>대가 583호표</t>
  </si>
  <si>
    <t>B04875_1</t>
  </si>
  <si>
    <t>_x0007_`COD|B04875_x0005_`QTY1|1_x0005_`EXI|0_x0005_`IPR|0_x0005_`BLA|F_x0005_`</t>
  </si>
  <si>
    <t>대가 584호표</t>
  </si>
  <si>
    <t>B04876_1</t>
  </si>
  <si>
    <t>_x0007_`COD|B04876_x0005_`QTY1|1_x0005_`EXI|0_x0005_`IPR|0_x0005_`BLA|F_x0005_`</t>
  </si>
  <si>
    <t>대가 585호표</t>
  </si>
  <si>
    <t>B04877_1</t>
  </si>
  <si>
    <t>_x0007_`COD|B04877_x0005_`QTY1|1_x0005_`EXI|0_x0005_`IPR|0_x0005_`BLA|F_x0005_`</t>
  </si>
  <si>
    <t>대가 586호표</t>
  </si>
  <si>
    <t>B04878_1</t>
  </si>
  <si>
    <t>_x0007_`COD|B04878_x0005_`QTY1|1_x0005_`EXI|0_x0005_`IPR|0_x0005_`BLA|F_x0005_`</t>
  </si>
  <si>
    <t>대가 587호표</t>
  </si>
  <si>
    <t>B04880_1</t>
  </si>
  <si>
    <t>_x0007_`COD|B04880_x0005_`QTY1|1_x0005_`EXI|0_x0005_`IPR|0_x0005_`BLA|F_x0005_`</t>
  </si>
  <si>
    <t>대가 588호표</t>
  </si>
  <si>
    <t>B04881_1</t>
  </si>
  <si>
    <t>_x0007_`COD|B04881_x0005_`QTY1|1_x0005_`EXI|0_x0005_`IPR|0_x0005_`BLA|F_x0005_`</t>
  </si>
  <si>
    <t>대가 589호표</t>
  </si>
  <si>
    <t>B04882_1</t>
  </si>
  <si>
    <t>_x0007_`COD|B04882_x0005_`QTY1|1_x0005_`EXI|0_x0005_`IPR|0_x0005_`BLA|F_x0005_`</t>
  </si>
  <si>
    <t>대가 590호표</t>
  </si>
  <si>
    <t>B04883_1</t>
  </si>
  <si>
    <t>_x0007_`COD|B04883_x0005_`QTY1|1_x0005_`EXI|0_x0005_`IPR|0_x0005_`BLA|F_x0005_`</t>
  </si>
  <si>
    <t>대가 591호표</t>
  </si>
  <si>
    <t>B04884_1</t>
  </si>
  <si>
    <t>_x0007_`COD|B04884_x0005_`QTY1|1_x0005_`EXI|0_x0005_`IPR|0_x0005_`BLA|F_x0005_`</t>
  </si>
  <si>
    <t>대가 592호표</t>
  </si>
  <si>
    <t>B04885_1</t>
  </si>
  <si>
    <t>_x0007_`COD|B04885_x0005_`QTY1|1_x0005_`EXI|0_x0005_`IPR|0_x0005_`BLA|F_x0005_`</t>
  </si>
  <si>
    <t>대가 593호표</t>
  </si>
  <si>
    <t>B05057_1</t>
  </si>
  <si>
    <t>_x0007_`COD|B05057_x0005_`QTY1|1_x0005_`EXI|0_x0005_`IPR|0_x0005_`BLA|F_x0005_`</t>
  </si>
  <si>
    <t>대가 594호표</t>
  </si>
  <si>
    <t>B05058_1</t>
  </si>
  <si>
    <t>_x0007_`COD|B05058_x0005_`QTY1|1_x0005_`EXI|0_x0005_`IPR|0_x0005_`BLA|F_x0005_`</t>
  </si>
  <si>
    <t>대가 595호표</t>
  </si>
  <si>
    <t>B05059_1</t>
  </si>
  <si>
    <t>_x0007_`COD|B05059_x0005_`QTY1|1_x0005_`EXI|0_x0005_`IPR|0_x0005_`BLA|F_x0005_`</t>
  </si>
  <si>
    <t>대가 596호표</t>
  </si>
  <si>
    <t>B05073_1</t>
  </si>
  <si>
    <t>_x0007_`COD|B05073_x0005_`QTY1|1_x0005_`EXI|0_x0005_`IPR|0_x0005_`BLA|F_x0005_`</t>
  </si>
  <si>
    <t>대가 597호표</t>
  </si>
  <si>
    <t>B05074_1</t>
  </si>
  <si>
    <t>_x0007_`COD|B05074_x0005_`QTY1|1_x0005_`EXI|0_x0005_`IPR|0_x0005_`BLA|F_x0005_`</t>
  </si>
  <si>
    <t>대가 598호표</t>
  </si>
  <si>
    <t>B05075_1</t>
  </si>
  <si>
    <t>_x0007_`COD|B05075_x0005_`QTY1|1_x0005_`EXI|0_x0005_`IPR|0_x0005_`BLA|F_x0005_`</t>
  </si>
  <si>
    <t>대가 599호표</t>
  </si>
  <si>
    <t>B05076_1</t>
  </si>
  <si>
    <t>_x0007_`COD|B05076_x0005_`QTY1|1_x0005_`EXI|0_x0005_`IPR|0_x0005_`BLA|F_x0005_`</t>
  </si>
  <si>
    <t>대가 600호표</t>
  </si>
  <si>
    <t>B02128_1</t>
  </si>
  <si>
    <t>_x0007_`COD|B02128_x0005_`QTY1|1_x0005_`EXI|0_x0005_`IPR|0_x0005_`BLA|F_x0005_`</t>
  </si>
  <si>
    <t>대가 601호표</t>
  </si>
  <si>
    <t>B00920_1</t>
  </si>
  <si>
    <t>_x0007_`COD|B00920_x0005_`QTY1|1_x0005_`EXI|0_x0005_`IPR|0_x0005_`BLA|F_x0005_`</t>
  </si>
  <si>
    <t>대가 602호표</t>
  </si>
  <si>
    <t>B02127_1</t>
  </si>
  <si>
    <t>_x0007_`COD|B02127_x0005_`QTY1|1_x0005_`EXI|0_x0005_`IPR|0_x0005_`BLA|F_x0005_`</t>
  </si>
  <si>
    <t>대가 603호표</t>
  </si>
  <si>
    <t>B04857_1</t>
  </si>
  <si>
    <t>_x0007_`COD|B04857_x0005_`QTY1|1_x0005_`EXI|0_x0005_`IPR|0_x0005_`BLA|F_x0005_`</t>
  </si>
  <si>
    <t>대가 604호표</t>
  </si>
  <si>
    <t>B04858_1</t>
  </si>
  <si>
    <t>_x0007_`COD|B04858_x0005_`QTY1|1_x0005_`EXI|0_x0005_`IPR|0_x0005_`BLA|F_x0005_`</t>
  </si>
  <si>
    <t>대가 605호표</t>
  </si>
  <si>
    <t>B04859_1</t>
  </si>
  <si>
    <t>_x0007_`COD|B04859_x0005_`QTY1|1_x0005_`EXI|0_x0005_`IPR|0_x0005_`BLA|F_x0005_`</t>
  </si>
  <si>
    <t>대가 606호표</t>
  </si>
  <si>
    <t>B05078_1</t>
  </si>
  <si>
    <t>_x0007_`COD|B05078_x0005_`QTY1|1_x0005_`EXI|0_x0005_`IPR|0_x0005_`BLA|F_x0005_`</t>
  </si>
  <si>
    <t>대가 607호표</t>
  </si>
  <si>
    <t>B02663_1</t>
  </si>
  <si>
    <t>_x0007_`COD|B02663_x0005_`QTY1|1_x0005_`EXI|0_x0005_`IPR|0_x0005_`BLA|F_x0005_`</t>
  </si>
  <si>
    <t>대가 608호표</t>
  </si>
  <si>
    <t>B02664_1</t>
  </si>
  <si>
    <t>_x0007_`COD|B02664_x0005_`QTY1|1_x0005_`EXI|0_x0005_`IPR|0_x0005_`BLA|F_x0005_`</t>
  </si>
  <si>
    <t>대가 609호표</t>
  </si>
  <si>
    <t>B02665_1</t>
  </si>
  <si>
    <t>_x0007_`COD|B02665_x0005_`QTY1|1_x0005_`EXI|0_x0005_`IPR|0_x0005_`BLA|F_x0005_`</t>
  </si>
  <si>
    <t>대가 610호표</t>
  </si>
  <si>
    <t>B02666_1</t>
  </si>
  <si>
    <t>_x0007_`COD|B02666_x0005_`QTY1|1_x0005_`EXI|0_x0005_`IPR|0_x0005_`BLA|F_x0005_`</t>
  </si>
  <si>
    <t>대가 611호표</t>
  </si>
  <si>
    <t>B02667_1</t>
  </si>
  <si>
    <t>_x0007_`COD|B02667_x0005_`QTY1|1_x0005_`EXI|0_x0005_`IPR|0_x0005_`BLA|F_x0005_`</t>
  </si>
  <si>
    <t>대가 612호표</t>
  </si>
  <si>
    <t>B05093_1</t>
  </si>
  <si>
    <t>_x0007_`COD|B05093_x0005_`QTY1|1_x0005_`EXI|0_x0005_`IPR|0_x0005_`BLA|F_x0005_`</t>
  </si>
  <si>
    <t>대가 613호표</t>
  </si>
  <si>
    <t>B05094_1</t>
  </si>
  <si>
    <t>_x0007_`COD|B05094_x0005_`QTY1|1_x0005_`EXI|0_x0005_`IPR|0_x0005_`BLA|F_x0005_`</t>
  </si>
  <si>
    <t>대가 614호표</t>
  </si>
  <si>
    <t>B05095_1</t>
  </si>
  <si>
    <t>_x0007_`COD|B05095_x0005_`QTY1|1_x0005_`EXI|0_x0005_`IPR|0_x0005_`BLA|F_x0005_`</t>
  </si>
  <si>
    <t>대가 615호표</t>
  </si>
  <si>
    <t>B05101_1</t>
  </si>
  <si>
    <t>_x0007_`COD|B05101_x0005_`QTY1|1_x0005_`EXI|0_x0005_`IPR|0_x0005_`BLA|F_x0005_`</t>
  </si>
  <si>
    <t>대가 616호표</t>
  </si>
  <si>
    <t>B05096_1</t>
  </si>
  <si>
    <t>_x0007_`COD|B05096_x0005_`QTY1|1_x0005_`EXI|0_x0005_`IPR|0_x0005_`BLA|F_x0005_`</t>
  </si>
  <si>
    <t>대가 617호표</t>
  </si>
  <si>
    <t>B05097_1</t>
  </si>
  <si>
    <t>_x0007_`COD|B05097_x0005_`QTY1|1_x0005_`EXI|0_x0005_`IPR|0_x0005_`BLA|F_x0005_`</t>
  </si>
  <si>
    <t>대가 618호표</t>
  </si>
  <si>
    <t>B05098_1</t>
  </si>
  <si>
    <t>_x0007_`COD|B05098_x0005_`QTY1|1_x0005_`EXI|0_x0005_`IPR|0_x0005_`BLA|F_x0005_`</t>
  </si>
  <si>
    <t>대가 619호표</t>
  </si>
  <si>
    <t>B05099_1</t>
  </si>
  <si>
    <t>_x0007_`COD|B05099_x0005_`QTY1|1_x0005_`EXI|0_x0005_`IPR|0_x0005_`BLA|F_x0005_`</t>
  </si>
  <si>
    <t>대가 620호표</t>
  </si>
  <si>
    <t>B05100_1</t>
  </si>
  <si>
    <t>_x0007_`COD|B05100_x0005_`QTY1|1_x0005_`EXI|0_x0005_`IPR|0_x0005_`BLA|F_x0005_`</t>
  </si>
  <si>
    <t>대가 621호표</t>
  </si>
  <si>
    <t>B04861_1</t>
  </si>
  <si>
    <t>_x0007_`COD|B04861_x0005_`QTY1|1_x0005_`EXI|0_x0005_`IPR|0_x0005_`BLA|F_x0005_`</t>
  </si>
  <si>
    <t>대가 622호표</t>
  </si>
  <si>
    <t>B04860_1</t>
  </si>
  <si>
    <t>_x0007_`COD|B04860_x0005_`QTY1|1_x0005_`EXI|0_x0005_`IPR|0_x0005_`BLA|F_x0005_`</t>
  </si>
  <si>
    <t>대가 623호표</t>
  </si>
  <si>
    <t>B04862_1</t>
  </si>
  <si>
    <t>_x0007_`COD|B04862_x0005_`QTY1|1_x0005_`EXI|0_x0005_`IPR|0_x0005_`BLA|F_x0005_`</t>
  </si>
  <si>
    <t>대가 624호표</t>
  </si>
  <si>
    <t>B04863_1</t>
  </si>
  <si>
    <t>_x0007_`COD|B04863_x0005_`QTY1|1_x0005_`EXI|0_x0005_`IPR|0_x0005_`BLA|F_x0005_`</t>
  </si>
  <si>
    <t>대가 625호표</t>
  </si>
  <si>
    <t>B04864_1</t>
  </si>
  <si>
    <t>_x0007_`COD|B04864_x0005_`QTY1|1_x0005_`EXI|0_x0005_`IPR|0_x0005_`BLA|F_x0005_`</t>
  </si>
  <si>
    <t>대가 626호표</t>
  </si>
  <si>
    <t>B00014_1</t>
  </si>
  <si>
    <t>_x0007_`COD|B00014_x0005_`QTY1|1_x0005_`EXI|0_x0005_`IPR|0_x0005_`BLA|F_x0005_`</t>
  </si>
  <si>
    <t>대가 627호표</t>
  </si>
  <si>
    <t>B04866_1</t>
  </si>
  <si>
    <t>_x0007_`COD|B04866_x0005_`QTY1|1_x0005_`EXI|0_x0005_`IPR|0_x0005_`BLA|F_x0005_`</t>
  </si>
  <si>
    <t>대가 628호표</t>
  </si>
  <si>
    <t>B04868_1</t>
  </si>
  <si>
    <t>_x0007_`COD|B04868_x0005_`QTY1|1_x0005_`EXI|0_x0005_`IPR|0_x0005_`BLA|F_x0005_`</t>
  </si>
  <si>
    <t>대가 629호표</t>
  </si>
  <si>
    <t>B03019_1</t>
  </si>
  <si>
    <t>_x0007_`COD|B03019_x0005_`QTY1|1_x0005_`EXI|0_x0005_`IPR|0_x0005_`BLA|F_x0005_`</t>
  </si>
  <si>
    <t>대가 630호표</t>
  </si>
  <si>
    <t>B04870_1</t>
  </si>
  <si>
    <t>_x0007_`COD|B04870_x0005_`QTY1|1_x0005_`EXI|0_x0005_`IPR|0_x0005_`BLA|F_x0005_`</t>
  </si>
  <si>
    <t>대가 631호표</t>
  </si>
  <si>
    <t>B04871_1</t>
  </si>
  <si>
    <t>_x0007_`COD|B04871_x0005_`QTY1|1_x0005_`EXI|0_x0005_`IPR|0_x0005_`BLA|F_x0005_`</t>
  </si>
  <si>
    <t>대가 632호표</t>
  </si>
  <si>
    <t>B04872_1</t>
  </si>
  <si>
    <t>_x0007_`COD|B04872_x0005_`QTY1|1_x0005_`EXI|0_x0005_`IPR|0_x0005_`BLA|F_x0005_`</t>
  </si>
  <si>
    <t>대가 633호표</t>
  </si>
  <si>
    <t>B04869_1</t>
  </si>
  <si>
    <t>_x0007_`COD|B04869_x0005_`QTY1|1_x0005_`EXI|0_x0005_`IPR|0_x0005_`BLA|F_x0005_`</t>
  </si>
  <si>
    <t>대가 634호표</t>
  </si>
  <si>
    <t>B05077_1</t>
  </si>
  <si>
    <t>_x0007_`COD|B05077_x0005_`QTY1|1_x0005_`EXI|0_x0005_`IPR|0_x0005_`BLA|F_x0005_`</t>
  </si>
  <si>
    <t>대가 635호표</t>
  </si>
  <si>
    <t>B05079_1</t>
  </si>
  <si>
    <t>_x0007_`COD|B05079_x0005_`QTY1|1_x0005_`EXI|0_x0005_`IPR|0_x0005_`BLA|F_x0005_`</t>
  </si>
  <si>
    <t>대가 636호표</t>
  </si>
  <si>
    <t>B05080_1</t>
  </si>
  <si>
    <t>_x0007_`COD|B05080_x0005_`QTY1|1_x0005_`EXI|0_x0005_`IPR|0_x0005_`BLA|F_x0005_`</t>
  </si>
  <si>
    <t>대가 637호표</t>
  </si>
  <si>
    <t>B05081_1</t>
  </si>
  <si>
    <t>_x0007_`COD|B05081_x0005_`QTY1|1_x0005_`EXI|0_x0005_`IPR|0_x0005_`BLA|F_x0005_`</t>
  </si>
  <si>
    <t>대가 638호표</t>
  </si>
  <si>
    <t>B05082_1</t>
  </si>
  <si>
    <t>_x0007_`COD|B05082_x0005_`QTY1|1_x0005_`EXI|0_x0005_`IPR|0_x0005_`BLA|F_x0005_`</t>
  </si>
  <si>
    <t>대가 639호표</t>
  </si>
  <si>
    <t>B05083_1</t>
  </si>
  <si>
    <t>_x0007_`COD|B05083_x0005_`QTY1|1_x0005_`EXI|0_x0005_`IPR|0_x0005_`BLA|F_x0005_`</t>
  </si>
  <si>
    <t>대가 640호표</t>
  </si>
  <si>
    <t>B05084_1</t>
  </si>
  <si>
    <t>_x0007_`COD|B05084_x0005_`QTY1|1_x0005_`EXI|0_x0005_`IPR|0_x0005_`BLA|F_x0005_`</t>
  </si>
  <si>
    <t>대가 641호표</t>
  </si>
  <si>
    <t>B05085_1</t>
  </si>
  <si>
    <t>_x0007_`COD|B05085_x0005_`QTY1|1_x0005_`EXI|0_x0005_`IPR|0_x0005_`BLA|F_x0005_`</t>
  </si>
  <si>
    <t>대가 642호표</t>
  </si>
  <si>
    <t>B05086_1</t>
  </si>
  <si>
    <t>_x0007_`COD|B05086_x0005_`QTY1|1_x0005_`EXI|0_x0005_`IPR|0_x0005_`BLA|F_x0005_`</t>
  </si>
  <si>
    <t>대가 643호표</t>
  </si>
  <si>
    <t>B05087_1</t>
  </si>
  <si>
    <t>_x0007_`COD|B05087_x0005_`QTY1|1_x0005_`EXI|0_x0005_`IPR|0_x0005_`BLA|F_x0005_`</t>
  </si>
  <si>
    <t>대가 644호표</t>
  </si>
  <si>
    <t>B05088_1</t>
  </si>
  <si>
    <t>_x0007_`COD|B05088_x0005_`QTY1|1_x0005_`EXI|0_x0005_`IPR|0_x0005_`BLA|F_x0005_`</t>
  </si>
  <si>
    <t>대가 645호표</t>
  </si>
  <si>
    <t>B05089_1</t>
  </si>
  <si>
    <t>_x0007_`COD|B05089_x0005_`QTY1|1_x0005_`EXI|0_x0005_`IPR|0_x0005_`BLA|F_x0005_`</t>
  </si>
  <si>
    <t>대가 646호표</t>
  </si>
  <si>
    <t>B05090_1</t>
  </si>
  <si>
    <t>_x0007_`COD|B05090_x0005_`QTY1|1_x0005_`EXI|0_x0005_`IPR|0_x0005_`BLA|F_x0005_`</t>
  </si>
  <si>
    <t>대가 647호표</t>
  </si>
  <si>
    <t>B05091_1</t>
  </si>
  <si>
    <t>_x0007_`COD|B05091_x0005_`QTY1|1_x0005_`EXI|0_x0005_`IPR|0_x0005_`BLA|F_x0005_`</t>
  </si>
  <si>
    <t>대가 648호표</t>
  </si>
  <si>
    <t>B05092_1</t>
  </si>
  <si>
    <t>_x0007_`COD|B05092_x0005_`QTY1|1_x0005_`EXI|0_x0005_`IPR|0_x0005_`BLA|F_x0005_`</t>
  </si>
  <si>
    <t>대가 649호표</t>
  </si>
  <si>
    <t>B04893_1</t>
  </si>
  <si>
    <t>_x0007_`COD|B04893_x0005_`QTY1|1_x0005_`EXI|0_x0005_`IPR|0_x0005_`BLA|F_x0005_`</t>
  </si>
  <si>
    <t>대가 650호표</t>
  </si>
  <si>
    <t>B04894_1</t>
  </si>
  <si>
    <t>_x0007_`COD|B04894_x0005_`QTY1|1_x0005_`EXI|0_x0005_`IPR|0_x0005_`BLA|F_x0005_`</t>
  </si>
  <si>
    <t>대가 651호표</t>
  </si>
  <si>
    <t>B04895_1</t>
  </si>
  <si>
    <t>_x0007_`COD|B04895_x0005_`QTY1|1_x0005_`EXI|0_x0005_`IPR|0_x0005_`BLA|F_x0005_`</t>
  </si>
  <si>
    <t>대가 652호표</t>
  </si>
  <si>
    <t>B00700_1</t>
  </si>
  <si>
    <t>_x0007_`COD|B00700_x0005_`QTY1|1_x0005_`EXI|0_x0005_`IPR|0_x0005_`BLA|F_x0005_`</t>
  </si>
  <si>
    <t>대가 653호표</t>
  </si>
  <si>
    <t>B03778_1</t>
  </si>
  <si>
    <t>_x0007_`COD|B03778_x0005_`QTY1|1_x0005_`EXI|0_x0005_`IPR|0_x0005_`BLA|F_x0005_`</t>
  </si>
  <si>
    <t>대가 654호표</t>
  </si>
  <si>
    <t>D03653_1</t>
  </si>
  <si>
    <t>_x0007_`COD|D03653_x0005_`QTY1|1_x0005_`EXI|0_x0005_`IPR|0_x0005_`BLA|F_x0005_`</t>
  </si>
  <si>
    <t>산근   1호표</t>
  </si>
  <si>
    <t>X00031_1</t>
  </si>
  <si>
    <t>_x0007_`COD|X00031_x0005_`QTY1|1_x0005_`EXI|0_x0005_`IPR|0_x0005_`BLA|F_x0005_`</t>
  </si>
  <si>
    <t>X00108_1</t>
  </si>
  <si>
    <t>_x0007_`COD|X00108_x0005_`QTY1|1_x0005_`EXI|0_x0005_`IPR|0_x0005_`BLA|F_x0005_`</t>
  </si>
  <si>
    <t>직접공사비</t>
  </si>
  <si>
    <t>2.</t>
  </si>
  <si>
    <t>자재비</t>
  </si>
  <si>
    <t>M06651_1</t>
  </si>
  <si>
    <t>_x0007_`COD|M06651_x0005_`QTY1|1_x0005_`EXI|0_x0005_`IPR|0_x0005_`KWN|0_x0005_`BLA|F_x0005_`</t>
  </si>
  <si>
    <t>자재40</t>
  </si>
  <si>
    <t>M06652_1</t>
  </si>
  <si>
    <t>_x0007_`COD|M06652_x0005_`QTY1|1_x0005_`EXI|0_x0005_`IPR|0_x0005_`KWN|0_x0005_`BLA|F_x0005_`</t>
  </si>
  <si>
    <t>자재42</t>
  </si>
  <si>
    <t>M06653_1</t>
  </si>
  <si>
    <t>_x0007_`COD|M06653_x0005_`QTY1|1_x0005_`EXI|0_x0005_`IPR|0_x0005_`KWN|0_x0005_`BLA|F_x0005_`</t>
  </si>
  <si>
    <t>자재45</t>
  </si>
  <si>
    <t>M06654_1</t>
  </si>
  <si>
    <t>_x0007_`COD|M06654_x0005_`QTY1|1_x0005_`EXI|0_x0005_`IPR|0_x0005_`KWN|0_x0005_`BLA|F_x0005_`</t>
  </si>
  <si>
    <t>자재47</t>
  </si>
  <si>
    <t>M06655_1</t>
  </si>
  <si>
    <t>_x0007_`COD|M06655_x0005_`QTY1|1_x0005_`EXI|0_x0005_`IPR|0_x0005_`KWN|0_x0005_`BLA|F_x0005_`</t>
  </si>
  <si>
    <t>자재35</t>
  </si>
  <si>
    <t>M06656_1</t>
  </si>
  <si>
    <t>_x0007_`COD|M06656_x0005_`QTY1|1_x0005_`EXI|0_x0005_`IPR|0_x0005_`KWN|0_x0005_`BLA|F_x0005_`</t>
  </si>
  <si>
    <t>자재37</t>
  </si>
  <si>
    <t>M06657_1</t>
  </si>
  <si>
    <t>_x0007_`COD|M06657_x0005_`QTY1|1_x0005_`EXI|0_x0005_`IPR|0_x0005_`KWN|0_x0005_`BLA|F_x0005_`</t>
  </si>
  <si>
    <t>자재38</t>
  </si>
  <si>
    <t>M06658_1</t>
  </si>
  <si>
    <t>_x0007_`COD|M06658_x0005_`QTY1|1_x0005_`EXI|0_x0005_`IPR|0_x0005_`KWN|0_x0005_`BLA|F_x0005_`</t>
  </si>
  <si>
    <t>자재39</t>
  </si>
  <si>
    <t>M06659_1</t>
  </si>
  <si>
    <t>_x0007_`COD|M06659_x0005_`QTY1|1_x0005_`EXI|0_x0005_`IPR|0_x0005_`KWN|0_x0005_`BLA|F_x0005_`</t>
  </si>
  <si>
    <t>자재41</t>
  </si>
  <si>
    <t>M06660_1</t>
  </si>
  <si>
    <t>_x0007_`COD|M06660_x0005_`QTY1|1_x0005_`EXI|0_x0005_`IPR|0_x0005_`KWN|0_x0005_`BLA|F_x0005_`</t>
  </si>
  <si>
    <t>자재43</t>
  </si>
  <si>
    <t>M06661_1</t>
  </si>
  <si>
    <t>_x0007_`COD|M06661_x0005_`QTY1|1_x0005_`EXI|0_x0005_`IPR|0_x0005_`KWN|0_x0005_`BLA|F_x0005_`</t>
  </si>
  <si>
    <t>자재44</t>
  </si>
  <si>
    <t>M06662_1</t>
  </si>
  <si>
    <t>_x0007_`COD|M06662_x0005_`QTY1|1_x0005_`EXI|0_x0005_`IPR|0_x0005_`KWN|0_x0005_`BLA|F_x0005_`</t>
  </si>
  <si>
    <t>자재46</t>
  </si>
  <si>
    <t>M06663_1</t>
  </si>
  <si>
    <t>_x0007_`COD|M06663_x0005_`QTY1|1_x0005_`EXI|0_x0005_`IPR|0_x0005_`KWN|0_x0005_`BLA|F_x0005_`</t>
  </si>
  <si>
    <t>자재36</t>
  </si>
  <si>
    <t>M06467_1</t>
  </si>
  <si>
    <t>_x0007_`COD|M06467_x0005_`QTY1|1_x0005_`EXI|0_x0005_`IPR|0_x0005_`KWN|0_x0005_`BLA|F_x0005_`</t>
  </si>
  <si>
    <t>자재53</t>
  </si>
  <si>
    <t>M06468_1</t>
  </si>
  <si>
    <t>_x0007_`COD|M06468_x0005_`QTY1|1_x0005_`EXI|0_x0005_`IPR|0_x0005_`KWN|0_x0005_`BLA|F_x0005_`</t>
  </si>
  <si>
    <t>자재55</t>
  </si>
  <si>
    <t>M06469_1</t>
  </si>
  <si>
    <t>_x0007_`COD|M06469_x0005_`QTY1|1_x0005_`EXI|0_x0005_`IPR|0_x0005_`KWN|0_x0005_`BLA|F_x0005_`</t>
  </si>
  <si>
    <t>자재58</t>
  </si>
  <si>
    <t>M06470_1</t>
  </si>
  <si>
    <t>_x0007_`COD|M06470_x0005_`QTY1|1_x0005_`EXI|0_x0005_`IPR|0_x0005_`KWN|0_x0005_`BLA|F_x0005_`</t>
  </si>
  <si>
    <t>자재60</t>
  </si>
  <si>
    <t>M06471_1</t>
  </si>
  <si>
    <t>_x0007_`COD|M06471_x0005_`QTY1|1_x0005_`EXI|0_x0005_`IPR|0_x0005_`KWN|0_x0005_`BLA|F_x0005_`</t>
  </si>
  <si>
    <t>자재48</t>
  </si>
  <si>
    <t>M06472_1</t>
  </si>
  <si>
    <t>_x0007_`COD|M06472_x0005_`QTY1|1_x0005_`EXI|0_x0005_`IPR|0_x0005_`KWN|0_x0005_`BLA|F_x0005_`</t>
  </si>
  <si>
    <t>자재50</t>
  </si>
  <si>
    <t>M06473_1</t>
  </si>
  <si>
    <t>_x0007_`COD|M06473_x0005_`QTY1|1_x0005_`EXI|0_x0005_`IPR|0_x0005_`KWN|0_x0005_`BLA|F_x0005_`</t>
  </si>
  <si>
    <t>자재51</t>
  </si>
  <si>
    <t>M06474_1</t>
  </si>
  <si>
    <t>_x0007_`COD|M06474_x0005_`QTY1|1_x0005_`EXI|0_x0005_`IPR|0_x0005_`KWN|0_x0005_`BLA|F_x0005_`</t>
  </si>
  <si>
    <t>자재52</t>
  </si>
  <si>
    <t>M06475_1</t>
  </si>
  <si>
    <t>_x0007_`COD|M06475_x0005_`QTY1|1_x0005_`EXI|0_x0005_`IPR|0_x0005_`KWN|0_x0005_`BLA|F_x0005_`</t>
  </si>
  <si>
    <t>자재54</t>
  </si>
  <si>
    <t>M06476_1</t>
  </si>
  <si>
    <t>_x0007_`COD|M06476_x0005_`QTY1|1_x0005_`EXI|0_x0005_`IPR|0_x0005_`KWN|0_x0005_`BLA|F_x0005_`</t>
  </si>
  <si>
    <t>자재56</t>
  </si>
  <si>
    <t>M06477_1</t>
  </si>
  <si>
    <t>_x0007_`COD|M06477_x0005_`QTY1|1_x0005_`EXI|0_x0005_`IPR|0_x0005_`KWN|0_x0005_`BLA|F_x0005_`</t>
  </si>
  <si>
    <t>자재57</t>
  </si>
  <si>
    <t>M06478_1</t>
  </si>
  <si>
    <t>_x0007_`COD|M06478_x0005_`QTY1|1_x0005_`EXI|0_x0005_`IPR|0_x0005_`KWN|0_x0005_`BLA|F_x0005_`</t>
  </si>
  <si>
    <t>자재59</t>
  </si>
  <si>
    <t>M06479_1</t>
  </si>
  <si>
    <t>_x0007_`COD|M06479_x0005_`QTY1|1_x0005_`EXI|0_x0005_`IPR|0_x0005_`KWN|0_x0005_`BLA|F_x0005_`</t>
  </si>
  <si>
    <t>자재49</t>
  </si>
  <si>
    <t>M06481_1</t>
  </si>
  <si>
    <t>_x0007_`COD|M06481_x0005_`QTY1|1_x0005_`EXI|0_x0005_`IPR|0_x0005_`KWN|0_x0005_`BLA|F_x0005_`</t>
  </si>
  <si>
    <t>자재150</t>
  </si>
  <si>
    <t>M06482_1</t>
  </si>
  <si>
    <t>_x0007_`COD|M06482_x0005_`QTY1|1_x0005_`EXI|0_x0005_`IPR|0_x0005_`KWN|0_x0005_`BLA|F_x0005_`</t>
  </si>
  <si>
    <t>자재153</t>
  </si>
  <si>
    <t>M06483_1</t>
  </si>
  <si>
    <t>_x0007_`COD|M06483_x0005_`QTY1|1_x0005_`EXI|0_x0005_`IPR|0_x0005_`KWN|0_x0005_`BLA|F_x0005_`</t>
  </si>
  <si>
    <t>자재155</t>
  </si>
  <si>
    <t>M06484_1</t>
  </si>
  <si>
    <t>_x0007_`COD|M06484_x0005_`QTY1|1_x0005_`EXI|0_x0005_`IPR|0_x0005_`KWN|0_x0005_`BLA|F_x0005_`</t>
  </si>
  <si>
    <t>자재143</t>
  </si>
  <si>
    <t>M06485_1</t>
  </si>
  <si>
    <t>_x0007_`COD|M06485_x0005_`QTY1|1_x0005_`EXI|0_x0005_`IPR|0_x0005_`KWN|0_x0005_`BLA|F_x0005_`</t>
  </si>
  <si>
    <t>자재145</t>
  </si>
  <si>
    <t>M06486_1</t>
  </si>
  <si>
    <t>_x0007_`COD|M06486_x0005_`QTY1|1_x0005_`EXI|0_x0005_`IPR|0_x0005_`KWN|0_x0005_`BLA|F_x0005_`</t>
  </si>
  <si>
    <t>자재146</t>
  </si>
  <si>
    <t>M06487_1</t>
  </si>
  <si>
    <t>_x0007_`COD|M06487_x0005_`QTY1|1_x0005_`EXI|0_x0005_`IPR|0_x0005_`KWN|0_x0005_`BLA|F_x0005_`</t>
  </si>
  <si>
    <t>자재147</t>
  </si>
  <si>
    <t>M06488_1</t>
  </si>
  <si>
    <t>_x0007_`COD|M06488_x0005_`QTY1|1_x0005_`EXI|0_x0005_`IPR|0_x0005_`KWN|0_x0005_`BLA|F_x0005_`</t>
  </si>
  <si>
    <t>자재149</t>
  </si>
  <si>
    <t>M06489_1</t>
  </si>
  <si>
    <t>_x0007_`COD|M06489_x0005_`QTY1|1_x0005_`EXI|0_x0005_`IPR|0_x0005_`KWN|0_x0005_`BLA|F_x0005_`</t>
  </si>
  <si>
    <t>자재151</t>
  </si>
  <si>
    <t>M06490_1</t>
  </si>
  <si>
    <t>_x0007_`COD|M06490_x0005_`QTY1|1_x0005_`EXI|0_x0005_`IPR|0_x0005_`KWN|0_x0005_`BLA|F_x0005_`</t>
  </si>
  <si>
    <t>자재152</t>
  </si>
  <si>
    <t>M06491_1</t>
  </si>
  <si>
    <t>_x0007_`COD|M06491_x0005_`QTY1|1_x0005_`EXI|0_x0005_`IPR|0_x0005_`KWN|0_x0005_`BLA|F_x0005_`</t>
  </si>
  <si>
    <t>자재154</t>
  </si>
  <si>
    <t>M06492_1</t>
  </si>
  <si>
    <t>_x0007_`COD|M06492_x0005_`QTY1|1_x0005_`EXI|0_x0005_`IPR|0_x0005_`KWN|0_x0005_`BLA|F_x0005_`</t>
  </si>
  <si>
    <t>자재144</t>
  </si>
  <si>
    <t>M06493_1</t>
  </si>
  <si>
    <t>_x0007_`COD|M06493_x0005_`QTY1|1_x0005_`EXI|0_x0005_`IPR|0_x0005_`KWN|0_x0005_`BLA|F_x0005_`</t>
  </si>
  <si>
    <t>자재161</t>
  </si>
  <si>
    <t>M06494_1</t>
  </si>
  <si>
    <t>_x0007_`COD|M06494_x0005_`QTY1|1_x0005_`EXI|0_x0005_`IPR|0_x0005_`KWN|0_x0005_`BLA|F_x0005_`</t>
  </si>
  <si>
    <t>자재163</t>
  </si>
  <si>
    <t>M06495_1</t>
  </si>
  <si>
    <t>_x0007_`COD|M06495_x0005_`QTY1|1_x0005_`EXI|0_x0005_`IPR|0_x0005_`KWN|0_x0005_`BLA|F_x0005_`</t>
  </si>
  <si>
    <t>자재166</t>
  </si>
  <si>
    <t>M06496_1</t>
  </si>
  <si>
    <t>_x0007_`COD|M06496_x0005_`QTY1|1_x0005_`EXI|0_x0005_`IPR|0_x0005_`KWN|0_x0005_`BLA|F_x0005_`</t>
  </si>
  <si>
    <t>자재168</t>
  </si>
  <si>
    <t>M06664_1</t>
  </si>
  <si>
    <t>_x0007_`COD|M06664_x0005_`QTY1|1_x0005_`EXI|0_x0005_`IPR|0_x0005_`KWN|0_x0005_`BLA|F_x0005_`</t>
  </si>
  <si>
    <t>자재156</t>
  </si>
  <si>
    <t>M06497_1</t>
  </si>
  <si>
    <t>_x0007_`COD|M06497_x0005_`QTY1|1_x0005_`EXI|0_x0005_`IPR|0_x0005_`KWN|0_x0005_`BLA|F_x0005_`</t>
  </si>
  <si>
    <t>자재158</t>
  </si>
  <si>
    <t>M06498_1</t>
  </si>
  <si>
    <t>_x0007_`COD|M06498_x0005_`QTY1|1_x0005_`EXI|0_x0005_`IPR|0_x0005_`KWN|0_x0005_`BLA|F_x0005_`</t>
  </si>
  <si>
    <t>자재159</t>
  </si>
  <si>
    <t>M06499_1</t>
  </si>
  <si>
    <t>_x0007_`COD|M06499_x0005_`QTY1|1_x0005_`EXI|0_x0005_`IPR|0_x0005_`KWN|0_x0005_`BLA|F_x0005_`</t>
  </si>
  <si>
    <t>자재160</t>
  </si>
  <si>
    <t>M06500_1</t>
  </si>
  <si>
    <t>_x0007_`COD|M06500_x0005_`QTY1|1_x0005_`EXI|0_x0005_`IPR|0_x0005_`KWN|0_x0005_`BLA|F_x0005_`</t>
  </si>
  <si>
    <t>자재162</t>
  </si>
  <si>
    <t>M06501_1</t>
  </si>
  <si>
    <t>_x0007_`COD|M06501_x0005_`QTY1|1_x0005_`EXI|0_x0005_`IPR|0_x0005_`KWN|0_x0005_`BLA|F_x0005_`</t>
  </si>
  <si>
    <t>자재164</t>
  </si>
  <si>
    <t>M06502_1</t>
  </si>
  <si>
    <t>_x0007_`COD|M06502_x0005_`QTY1|1_x0005_`EXI|0_x0005_`IPR|0_x0005_`KWN|0_x0005_`BLA|F_x0005_`</t>
  </si>
  <si>
    <t>자재165</t>
  </si>
  <si>
    <t>M06503_1</t>
  </si>
  <si>
    <t>_x0007_`COD|M06503_x0005_`QTY1|1_x0005_`EXI|0_x0005_`IPR|0_x0005_`KWN|0_x0005_`BLA|F_x0005_`</t>
  </si>
  <si>
    <t>자재167</t>
  </si>
  <si>
    <t>M06504_1</t>
  </si>
  <si>
    <t>_x0007_`COD|M06504_x0005_`QTY1|1_x0005_`EXI|0_x0005_`IPR|0_x0005_`KWN|0_x0005_`BLA|F_x0005_`</t>
  </si>
  <si>
    <t>자재157</t>
  </si>
  <si>
    <t>M06510_1</t>
  </si>
  <si>
    <t>_x0007_`COD|M06510_x0005_`QTY1|1_x0005_`EXI|0_x0005_`IPR|0_x0005_`KWN|0_x0005_`BLA|F_x0005_`</t>
  </si>
  <si>
    <t>자재124</t>
  </si>
  <si>
    <t>M06511_1</t>
  </si>
  <si>
    <t>_x0007_`COD|M06511_x0005_`QTY1|1_x0005_`EXI|0_x0005_`IPR|0_x0005_`KWN|0_x0005_`BLA|F_x0005_`</t>
  </si>
  <si>
    <t>자재126</t>
  </si>
  <si>
    <t>M06512_1</t>
  </si>
  <si>
    <t>_x0007_`COD|M06512_x0005_`QTY1|1_x0005_`EXI|0_x0005_`IPR|0_x0005_`KWN|0_x0005_`BLA|F_x0005_`</t>
  </si>
  <si>
    <t>자재128</t>
  </si>
  <si>
    <t>M06513_1</t>
  </si>
  <si>
    <t>_x0007_`COD|M06513_x0005_`QTY1|1_x0005_`EXI|0_x0005_`IPR|0_x0005_`KWN|0_x0005_`BLA|F_x0005_`</t>
  </si>
  <si>
    <t>자재131</t>
  </si>
  <si>
    <t>M06514_1</t>
  </si>
  <si>
    <t>_x0007_`COD|M06514_x0005_`QTY1|1_x0005_`EXI|0_x0005_`IPR|0_x0005_`KWN|0_x0005_`BLA|F_x0005_`</t>
  </si>
  <si>
    <t>자재133</t>
  </si>
  <si>
    <t>M06515_1</t>
  </si>
  <si>
    <t>_x0007_`COD|M06515_x0005_`QTY1|1_x0005_`EXI|0_x0005_`IPR|0_x0005_`KWN|0_x0005_`BLA|F_x0005_`</t>
  </si>
  <si>
    <t>자재122</t>
  </si>
  <si>
    <t>M06516_1</t>
  </si>
  <si>
    <t>_x0007_`COD|M06516_x0005_`QTY1|1_x0005_`EXI|0_x0005_`IPR|0_x0005_`KWN|0_x0005_`BLA|F_x0005_`</t>
  </si>
  <si>
    <t>자재123</t>
  </si>
  <si>
    <t>M06517_1</t>
  </si>
  <si>
    <t>_x0007_`COD|M06517_x0005_`QTY1|1_x0005_`EXI|0_x0005_`IPR|0_x0005_`KWN|0_x0005_`BLA|F_x0005_`</t>
  </si>
  <si>
    <t>자재125</t>
  </si>
  <si>
    <t>M06518_1</t>
  </si>
  <si>
    <t>_x0007_`COD|M06518_x0005_`QTY1|1_x0005_`EXI|0_x0005_`IPR|0_x0005_`KWN|0_x0005_`BLA|F_x0005_`</t>
  </si>
  <si>
    <t>자재127</t>
  </si>
  <si>
    <t>M06519_1</t>
  </si>
  <si>
    <t>_x0007_`COD|M06519_x0005_`QTY1|1_x0005_`EXI|0_x0005_`IPR|0_x0005_`KWN|0_x0005_`BLA|F_x0005_`</t>
  </si>
  <si>
    <t>자재129</t>
  </si>
  <si>
    <t>M06520_1</t>
  </si>
  <si>
    <t>_x0007_`COD|M06520_x0005_`QTY1|1_x0005_`EXI|0_x0005_`IPR|0_x0005_`KWN|0_x0005_`BLA|F_x0005_`</t>
  </si>
  <si>
    <t>자재130</t>
  </si>
  <si>
    <t>M06521_1</t>
  </si>
  <si>
    <t>_x0007_`COD|M06521_x0005_`QTY1|1_x0005_`EXI|0_x0005_`IPR|0_x0005_`KWN|0_x0005_`BLA|F_x0005_`</t>
  </si>
  <si>
    <t>자재132</t>
  </si>
  <si>
    <t>M06844_1</t>
  </si>
  <si>
    <t>_x0007_`COD|M06844_x0005_`QTY1|1_x0005_`EXI|0_x0005_`IPR|0_x0005_`KWN|0_x0005_`BLA|F_x0005_`</t>
  </si>
  <si>
    <t>자재2</t>
  </si>
  <si>
    <t>M06505_1</t>
  </si>
  <si>
    <t>_x0007_`COD|M06505_x0005_`QTY1|1_x0005_`EXI|0_x0005_`IPR|0_x0005_`KWN|0_x0005_`BLA|F_x0005_`</t>
  </si>
  <si>
    <t>자재4</t>
  </si>
  <si>
    <t>M06686_1</t>
  </si>
  <si>
    <t>_x0007_`COD|M06686_x0005_`QTY1|1_x0005_`EXI|0_x0005_`IPR|0_x0005_`KWN|0_x0005_`BLA|F_x0005_`</t>
  </si>
  <si>
    <t>자재3</t>
  </si>
  <si>
    <t>M06506_1</t>
  </si>
  <si>
    <t>_x0007_`COD|M06506_x0005_`QTY1|1_x0005_`EXI|0_x0005_`IPR|0_x0005_`KWN|0_x0005_`BLA|F_x0005_`</t>
  </si>
  <si>
    <t>자재354</t>
  </si>
  <si>
    <t>M06507_1</t>
  </si>
  <si>
    <t>_x0007_`COD|M06507_x0005_`QTY1|1_x0005_`EXI|0_x0005_`IPR|0_x0005_`KWN|0_x0005_`BLA|F_x0005_`</t>
  </si>
  <si>
    <t>자재355</t>
  </si>
  <si>
    <t>M06508_1</t>
  </si>
  <si>
    <t>_x0007_`COD|M06508_x0005_`QTY1|1_x0005_`EXI|0_x0005_`IPR|0_x0005_`KWN|0_x0005_`BLA|F_x0005_`</t>
  </si>
  <si>
    <t>자재356</t>
  </si>
  <si>
    <t>M06685_1</t>
  </si>
  <si>
    <t>_x0007_`COD|M06685_x0005_`QTY1|1_x0005_`EXI|0_x0005_`IPR|0_x0005_`KWN|0_x0005_`BLA|F_x0005_`</t>
  </si>
  <si>
    <t>자재357</t>
  </si>
  <si>
    <t>M06687_1</t>
  </si>
  <si>
    <t>_x0007_`COD|M06687_x0005_`QTY1|1_x0005_`EXI|0_x0005_`IPR|0_x0005_`KWN|0_x0005_`BLA|F_x0005_`</t>
  </si>
  <si>
    <t>자재358</t>
  </si>
  <si>
    <t>M06522_1</t>
  </si>
  <si>
    <t>_x0007_`COD|M06522_x0005_`QTY1|1_x0005_`EXI|0_x0005_`IPR|0_x0005_`KWN|0_x0005_`BLA|F_x0005_`</t>
  </si>
  <si>
    <t>자재94</t>
  </si>
  <si>
    <t>M06523_1</t>
  </si>
  <si>
    <t>_x0007_`COD|M06523_x0005_`QTY1|1_x0005_`EXI|0_x0005_`IPR|0_x0005_`KWN|0_x0005_`BLA|F_x0005_`</t>
  </si>
  <si>
    <t>자재95</t>
  </si>
  <si>
    <t>M06524_1</t>
  </si>
  <si>
    <t>_x0007_`COD|M06524_x0005_`QTY1|1_x0005_`EXI|0_x0005_`IPR|0_x0005_`KWN|0_x0005_`BLA|F_x0005_`</t>
  </si>
  <si>
    <t>자재96</t>
  </si>
  <si>
    <t>M06666_1</t>
  </si>
  <si>
    <t>_x0007_`COD|M06666_x0005_`QTY1|1_x0005_`EXI|0_x0005_`IPR|0_x0005_`KWN|0_x0005_`BLA|F_x0005_`</t>
  </si>
  <si>
    <t>자재97</t>
  </si>
  <si>
    <t>M06667_1</t>
  </si>
  <si>
    <t>_x0007_`COD|M06667_x0005_`QTY1|1_x0005_`EXI|0_x0005_`IPR|0_x0005_`KWN|0_x0005_`BLA|F_x0005_`</t>
  </si>
  <si>
    <t>자재98</t>
  </si>
  <si>
    <t>M06668_1</t>
  </si>
  <si>
    <t>_x0007_`COD|M06668_x0005_`QTY1|1_x0005_`EXI|0_x0005_`IPR|0_x0005_`KWN|0_x0005_`BLA|F_x0005_`</t>
  </si>
  <si>
    <t>자재93</t>
  </si>
  <si>
    <t>M06383_1</t>
  </si>
  <si>
    <t>_x0007_`COD|M06383_x0005_`QTY1|1_x0005_`EXI|0_x0005_`IPR|0_x0005_`KWN|0_x0005_`BLA|F_x0005_`</t>
  </si>
  <si>
    <t>자재91</t>
  </si>
  <si>
    <t>M06572_1</t>
  </si>
  <si>
    <t>_x0007_`COD|M06572_x0005_`QTY1|1_x0005_`EXI|0_x0005_`IPR|0_x0005_`KWN|0_x0005_`BLA|F_x0005_`</t>
  </si>
  <si>
    <t>자재92</t>
  </si>
  <si>
    <t>M05489_1</t>
  </si>
  <si>
    <t>_x0007_`COD|M05489_x0005_`QTY1|1_x0005_`EXI|0_x0005_`IPR|0_x0005_`KWN|0_x0005_`BLA|F_x0005_`</t>
  </si>
  <si>
    <t>자재79</t>
  </si>
  <si>
    <t>M06669_1</t>
  </si>
  <si>
    <t>_x0007_`COD|M06669_x0005_`QTY1|1_x0005_`EXI|0_x0005_`IPR|0_x0005_`KWN|0_x0005_`BLA|F_x0005_`</t>
  </si>
  <si>
    <t>자재99</t>
  </si>
  <si>
    <t>M06670_1</t>
  </si>
  <si>
    <t>_x0007_`COD|M06670_x0005_`QTY1|1_x0005_`EXI|0_x0005_`IPR|0_x0005_`KWN|0_x0005_`BLA|F_x0005_`</t>
  </si>
  <si>
    <t>자재100</t>
  </si>
  <si>
    <t>M06671_1</t>
  </si>
  <si>
    <t>_x0007_`COD|M06671_x0005_`QTY1|1_x0005_`EXI|0_x0005_`IPR|0_x0005_`KWN|0_x0005_`BLA|F_x0005_`</t>
  </si>
  <si>
    <t>자재101</t>
  </si>
  <si>
    <t>M06672_1</t>
  </si>
  <si>
    <t>_x0007_`COD|M06672_x0005_`QTY1|1_x0005_`EXI|0_x0005_`IPR|0_x0005_`KWN|0_x0005_`BLA|F_x0005_`</t>
  </si>
  <si>
    <t>자재102</t>
  </si>
  <si>
    <t>M06525_1</t>
  </si>
  <si>
    <t>_x0007_`COD|M06525_x0005_`QTY1|1_x0005_`EXI|0_x0005_`IPR|0_x0005_`KWN|0_x0005_`BLA|F_x0005_`</t>
  </si>
  <si>
    <t>자재251</t>
  </si>
  <si>
    <t>M06526_1</t>
  </si>
  <si>
    <t>_x0007_`COD|M06526_x0005_`QTY1|1_x0005_`EXI|0_x0005_`IPR|0_x0005_`KWN|0_x0005_`BLA|F_x0005_`</t>
  </si>
  <si>
    <t>자재253</t>
  </si>
  <si>
    <t>M06527_1</t>
  </si>
  <si>
    <t>_x0007_`COD|M06527_x0005_`QTY1|1_x0005_`EXI|0_x0005_`IPR|0_x0005_`KWN|0_x0005_`BLA|F_x0005_`</t>
  </si>
  <si>
    <t>자재256</t>
  </si>
  <si>
    <t>M06528_1</t>
  </si>
  <si>
    <t>_x0007_`COD|M06528_x0005_`QTY1|1_x0005_`EXI|0_x0005_`IPR|0_x0005_`KWN|0_x0005_`BLA|F_x0005_`</t>
  </si>
  <si>
    <t>자재258</t>
  </si>
  <si>
    <t>M06529_1</t>
  </si>
  <si>
    <t>_x0007_`COD|M06529_x0005_`QTY1|1_x0005_`EXI|0_x0005_`IPR|0_x0005_`KWN|0_x0005_`BLA|F_x0005_`</t>
  </si>
  <si>
    <t>자재248</t>
  </si>
  <si>
    <t>M06530_1</t>
  </si>
  <si>
    <t>_x0007_`COD|M06530_x0005_`QTY1|1_x0005_`EXI|0_x0005_`IPR|0_x0005_`KWN|0_x0005_`BLA|F_x0005_`</t>
  </si>
  <si>
    <t>자재249</t>
  </si>
  <si>
    <t>M06531_1</t>
  </si>
  <si>
    <t>_x0007_`COD|M06531_x0005_`QTY1|1_x0005_`EXI|0_x0005_`IPR|0_x0005_`KWN|0_x0005_`BLA|F_x0005_`</t>
  </si>
  <si>
    <t>자재250</t>
  </si>
  <si>
    <t>M06532_1</t>
  </si>
  <si>
    <t>_x0007_`COD|M06532_x0005_`QTY1|1_x0005_`EXI|0_x0005_`IPR|0_x0005_`KWN|0_x0005_`BLA|F_x0005_`</t>
  </si>
  <si>
    <t>자재252</t>
  </si>
  <si>
    <t>M06673_1</t>
  </si>
  <si>
    <t>_x0007_`COD|M06673_x0005_`QTY1|1_x0005_`EXI|0_x0005_`IPR|0_x0005_`KWN|0_x0005_`BLA|F_x0005_`</t>
  </si>
  <si>
    <t>자재254</t>
  </si>
  <si>
    <t>M06674_1</t>
  </si>
  <si>
    <t>_x0007_`COD|M06674_x0005_`QTY1|1_x0005_`EXI|0_x0005_`IPR|0_x0005_`KWN|0_x0005_`BLA|F_x0005_`</t>
  </si>
  <si>
    <t>자재255</t>
  </si>
  <si>
    <t>M06534_1</t>
  </si>
  <si>
    <t>_x0007_`COD|M06534_x0005_`QTY1|1_x0005_`EXI|0_x0005_`IPR|0_x0005_`KWN|0_x0005_`BLA|F_x0005_`</t>
  </si>
  <si>
    <t>자재259</t>
  </si>
  <si>
    <t>M06741_1</t>
  </si>
  <si>
    <t>_x0007_`COD|M06741_x0005_`QTY1|1_x0005_`EXI|0_x0005_`IPR|0_x0005_`KWN|0_x0005_`BLA|F_x0005_`</t>
  </si>
  <si>
    <t>자재200</t>
  </si>
  <si>
    <t>M06742_1</t>
  </si>
  <si>
    <t>_x0007_`COD|M06742_x0005_`QTY1|1_x0005_`EXI|0_x0005_`IPR|0_x0005_`KWN|0_x0005_`BLA|F_x0005_`</t>
  </si>
  <si>
    <t>자재202</t>
  </si>
  <si>
    <t>M06743_1</t>
  </si>
  <si>
    <t>_x0007_`COD|M06743_x0005_`QTY1|1_x0005_`EXI|0_x0005_`IPR|0_x0005_`KWN|0_x0005_`BLA|F_x0005_`</t>
  </si>
  <si>
    <t>자재205</t>
  </si>
  <si>
    <t>M06744_1</t>
  </si>
  <si>
    <t>_x0007_`COD|M06744_x0005_`QTY1|1_x0005_`EXI|0_x0005_`IPR|0_x0005_`KWN|0_x0005_`BLA|F_x0005_`</t>
  </si>
  <si>
    <t>자재207</t>
  </si>
  <si>
    <t>M06745_1</t>
  </si>
  <si>
    <t>_x0007_`COD|M06745_x0005_`QTY1|1_x0005_`EXI|0_x0005_`IPR|0_x0005_`KWN|0_x0005_`BLA|F_x0005_`</t>
  </si>
  <si>
    <t>자재195</t>
  </si>
  <si>
    <t>M06746_1</t>
  </si>
  <si>
    <t>_x0007_`COD|M06746_x0005_`QTY1|1_x0005_`EXI|0_x0005_`IPR|0_x0005_`KWN|0_x0005_`BLA|F_x0005_`</t>
  </si>
  <si>
    <t>자재197</t>
  </si>
  <si>
    <t>M06747_1</t>
  </si>
  <si>
    <t>_x0007_`COD|M06747_x0005_`QTY1|1_x0005_`EXI|0_x0005_`IPR|0_x0005_`KWN|0_x0005_`BLA|F_x0005_`</t>
  </si>
  <si>
    <t>자재198</t>
  </si>
  <si>
    <t>M06748_1</t>
  </si>
  <si>
    <t>_x0007_`COD|M06748_x0005_`QTY1|1_x0005_`EXI|0_x0005_`IPR|0_x0005_`KWN|0_x0005_`BLA|F_x0005_`</t>
  </si>
  <si>
    <t>자재199</t>
  </si>
  <si>
    <t>M06749_1</t>
  </si>
  <si>
    <t>_x0007_`COD|M06749_x0005_`QTY1|1_x0005_`EXI|0_x0005_`IPR|0_x0005_`KWN|0_x0005_`BLA|F_x0005_`</t>
  </si>
  <si>
    <t>자재201</t>
  </si>
  <si>
    <t>M06750_1</t>
  </si>
  <si>
    <t>_x0007_`COD|M06750_x0005_`QTY1|1_x0005_`EXI|0_x0005_`IPR|0_x0005_`KWN|0_x0005_`BLA|F_x0005_`</t>
  </si>
  <si>
    <t>자재203</t>
  </si>
  <si>
    <t>M06751_1</t>
  </si>
  <si>
    <t>_x0007_`COD|M06751_x0005_`QTY1|1_x0005_`EXI|0_x0005_`IPR|0_x0005_`KWN|0_x0005_`BLA|F_x0005_`</t>
  </si>
  <si>
    <t>자재204</t>
  </si>
  <si>
    <t>M06752_1</t>
  </si>
  <si>
    <t>_x0007_`COD|M06752_x0005_`QTY1|1_x0005_`EXI|0_x0005_`IPR|0_x0005_`KWN|0_x0005_`BLA|F_x0005_`</t>
  </si>
  <si>
    <t>자재206</t>
  </si>
  <si>
    <t>M06753_1</t>
  </si>
  <si>
    <t>_x0007_`COD|M06753_x0005_`QTY1|1_x0005_`EXI|0_x0005_`IPR|0_x0005_`KWN|0_x0005_`BLA|F_x0005_`</t>
  </si>
  <si>
    <t>자재196</t>
  </si>
  <si>
    <t>M06754_1</t>
  </si>
  <si>
    <t>_x0007_`COD|M06754_x0005_`QTY1|1_x0005_`EXI|0_x0005_`IPR|0_x0005_`KWN|0_x0005_`BLA|F_x0005_`</t>
  </si>
  <si>
    <t>자재187</t>
  </si>
  <si>
    <t>M06755_1</t>
  </si>
  <si>
    <t>_x0007_`COD|M06755_x0005_`QTY1|1_x0005_`EXI|0_x0005_`IPR|0_x0005_`KWN|0_x0005_`BLA|F_x0005_`</t>
  </si>
  <si>
    <t>자재189</t>
  </si>
  <si>
    <t>M06756_1</t>
  </si>
  <si>
    <t>_x0007_`COD|M06756_x0005_`QTY1|1_x0005_`EXI|0_x0005_`IPR|0_x0005_`KWN|0_x0005_`BLA|F_x0005_`</t>
  </si>
  <si>
    <t>자재192</t>
  </si>
  <si>
    <t>M06757_1</t>
  </si>
  <si>
    <t>_x0007_`COD|M06757_x0005_`QTY1|1_x0005_`EXI|0_x0005_`IPR|0_x0005_`KWN|0_x0005_`BLA|F_x0005_`</t>
  </si>
  <si>
    <t>자재194</t>
  </si>
  <si>
    <t>M06758_1</t>
  </si>
  <si>
    <t>_x0007_`COD|M06758_x0005_`QTY1|1_x0005_`EXI|0_x0005_`IPR|0_x0005_`KWN|0_x0005_`BLA|F_x0005_`</t>
  </si>
  <si>
    <t>자재182</t>
  </si>
  <si>
    <t>M06759_1</t>
  </si>
  <si>
    <t>_x0007_`COD|M06759_x0005_`QTY1|1_x0005_`EXI|0_x0005_`IPR|0_x0005_`KWN|0_x0005_`BLA|F_x0005_`</t>
  </si>
  <si>
    <t>자재184</t>
  </si>
  <si>
    <t>M06760_1</t>
  </si>
  <si>
    <t>_x0007_`COD|M06760_x0005_`QTY1|1_x0005_`EXI|0_x0005_`IPR|0_x0005_`KWN|0_x0005_`BLA|F_x0005_`</t>
  </si>
  <si>
    <t>자재185</t>
  </si>
  <si>
    <t>M06761_1</t>
  </si>
  <si>
    <t>_x0007_`COD|M06761_x0005_`QTY1|1_x0005_`EXI|0_x0005_`IPR|0_x0005_`KWN|0_x0005_`BLA|F_x0005_`</t>
  </si>
  <si>
    <t>자재186</t>
  </si>
  <si>
    <t>M06762_1</t>
  </si>
  <si>
    <t>_x0007_`COD|M06762_x0005_`QTY1|1_x0005_`EXI|0_x0005_`IPR|0_x0005_`KWN|0_x0005_`BLA|F_x0005_`</t>
  </si>
  <si>
    <t>자재188</t>
  </si>
  <si>
    <t>M06763_1</t>
  </si>
  <si>
    <t>_x0007_`COD|M06763_x0005_`QTY1|1_x0005_`EXI|0_x0005_`IPR|0_x0005_`KWN|0_x0005_`BLA|F_x0005_`</t>
  </si>
  <si>
    <t>자재190</t>
  </si>
  <si>
    <t>M06764_1</t>
  </si>
  <si>
    <t>_x0007_`COD|M06764_x0005_`QTY1|1_x0005_`EXI|0_x0005_`IPR|0_x0005_`KWN|0_x0005_`BLA|F_x0005_`</t>
  </si>
  <si>
    <t>자재191</t>
  </si>
  <si>
    <t>M06765_1</t>
  </si>
  <si>
    <t>_x0007_`COD|M06765_x0005_`QTY1|1_x0005_`EXI|0_x0005_`IPR|0_x0005_`KWN|0_x0005_`BLA|F_x0005_`</t>
  </si>
  <si>
    <t>자재193</t>
  </si>
  <si>
    <t>M06766_1</t>
  </si>
  <si>
    <t>_x0007_`COD|M06766_x0005_`QTY1|1_x0005_`EXI|0_x0005_`IPR|0_x0005_`KWN|0_x0005_`BLA|F_x0005_`</t>
  </si>
  <si>
    <t>자재183</t>
  </si>
  <si>
    <t>M06767_1</t>
  </si>
  <si>
    <t>_x0007_`COD|M06767_x0005_`QTY1|1_x0005_`EXI|0_x0005_`IPR|0_x0005_`KWN|0_x0005_`BLA|F_x0005_`</t>
  </si>
  <si>
    <t>자재174</t>
  </si>
  <si>
    <t>M06768_1</t>
  </si>
  <si>
    <t>_x0007_`COD|M06768_x0005_`QTY1|1_x0005_`EXI|0_x0005_`IPR|0_x0005_`KWN|0_x0005_`BLA|F_x0005_`</t>
  </si>
  <si>
    <t>자재176</t>
  </si>
  <si>
    <t>M06769_1</t>
  </si>
  <si>
    <t>_x0007_`COD|M06769_x0005_`QTY1|1_x0005_`EXI|0_x0005_`IPR|0_x0005_`KWN|0_x0005_`BLA|F_x0005_`</t>
  </si>
  <si>
    <t>자재179</t>
  </si>
  <si>
    <t>M06770_1</t>
  </si>
  <si>
    <t>_x0007_`COD|M06770_x0005_`QTY1|1_x0005_`EXI|0_x0005_`IPR|0_x0005_`KWN|0_x0005_`BLA|F_x0005_`</t>
  </si>
  <si>
    <t>자재181</t>
  </si>
  <si>
    <t>M06771_1</t>
  </si>
  <si>
    <t>_x0007_`COD|M06771_x0005_`QTY1|1_x0005_`EXI|0_x0005_`IPR|0_x0005_`KWN|0_x0005_`BLA|F_x0005_`</t>
  </si>
  <si>
    <t>자재169</t>
  </si>
  <si>
    <t>M06772_1</t>
  </si>
  <si>
    <t>_x0007_`COD|M06772_x0005_`QTY1|1_x0005_`EXI|0_x0005_`IPR|0_x0005_`KWN|0_x0005_`BLA|F_x0005_`</t>
  </si>
  <si>
    <t>자재171</t>
  </si>
  <si>
    <t>M06773_1</t>
  </si>
  <si>
    <t>_x0007_`COD|M06773_x0005_`QTY1|1_x0005_`EXI|0_x0005_`IPR|0_x0005_`KWN|0_x0005_`BLA|F_x0005_`</t>
  </si>
  <si>
    <t>자재172</t>
  </si>
  <si>
    <t>M06774_1</t>
  </si>
  <si>
    <t>_x0007_`COD|M06774_x0005_`QTY1|1_x0005_`EXI|0_x0005_`IPR|0_x0005_`KWN|0_x0005_`BLA|F_x0005_`</t>
  </si>
  <si>
    <t>자재173</t>
  </si>
  <si>
    <t>M06775_1</t>
  </si>
  <si>
    <t>_x0007_`COD|M06775_x0005_`QTY1|1_x0005_`EXI|0_x0005_`IPR|0_x0005_`KWN|0_x0005_`BLA|F_x0005_`</t>
  </si>
  <si>
    <t>자재175</t>
  </si>
  <si>
    <t>M06776_1</t>
  </si>
  <si>
    <t>_x0007_`COD|M06776_x0005_`QTY1|1_x0005_`EXI|0_x0005_`IPR|0_x0005_`KWN|0_x0005_`BLA|F_x0005_`</t>
  </si>
  <si>
    <t>자재177</t>
  </si>
  <si>
    <t>M06777_1</t>
  </si>
  <si>
    <t>_x0007_`COD|M06777_x0005_`QTY1|1_x0005_`EXI|0_x0005_`IPR|0_x0005_`KWN|0_x0005_`BLA|F_x0005_`</t>
  </si>
  <si>
    <t>자재178</t>
  </si>
  <si>
    <t>M06778_1</t>
  </si>
  <si>
    <t>_x0007_`COD|M06778_x0005_`QTY1|1_x0005_`EXI|0_x0005_`IPR|0_x0005_`KWN|0_x0005_`BLA|F_x0005_`</t>
  </si>
  <si>
    <t>자재180</t>
  </si>
  <si>
    <t>M06779_1</t>
  </si>
  <si>
    <t>_x0007_`COD|M06779_x0005_`QTY1|1_x0005_`EXI|0_x0005_`IPR|0_x0005_`KWN|0_x0005_`BLA|F_x0005_`</t>
  </si>
  <si>
    <t>자재170</t>
  </si>
  <si>
    <t>M06780_1</t>
  </si>
  <si>
    <t>_x0007_`COD|M06780_x0005_`QTY1|1_x0005_`EXI|0_x0005_`IPR|0_x0005_`KWN|0_x0005_`BLA|F_x0005_`</t>
  </si>
  <si>
    <t>자재265</t>
  </si>
  <si>
    <t>M06781_1</t>
  </si>
  <si>
    <t>_x0007_`COD|M06781_x0005_`QTY1|1_x0005_`EXI|0_x0005_`IPR|0_x0005_`KWN|0_x0005_`BLA|F_x0005_`</t>
  </si>
  <si>
    <t>자재267</t>
  </si>
  <si>
    <t>M06782_1</t>
  </si>
  <si>
    <t>_x0007_`COD|M06782_x0005_`QTY1|1_x0005_`EXI|0_x0005_`IPR|0_x0005_`KWN|0_x0005_`BLA|F_x0005_`</t>
  </si>
  <si>
    <t>자재268</t>
  </si>
  <si>
    <t>M06783_1</t>
  </si>
  <si>
    <t>_x0007_`COD|M06783_x0005_`QTY1|1_x0005_`EXI|0_x0005_`IPR|0_x0005_`KWN|0_x0005_`BLA|F_x0005_`</t>
  </si>
  <si>
    <t>자재270</t>
  </si>
  <si>
    <t>M06784_1</t>
  </si>
  <si>
    <t>_x0007_`COD|M06784_x0005_`QTY1|1_x0005_`EXI|0_x0005_`IPR|0_x0005_`KWN|0_x0005_`BLA|F_x0005_`</t>
  </si>
  <si>
    <t>자재262</t>
  </si>
  <si>
    <t>M06785_1</t>
  </si>
  <si>
    <t>_x0007_`COD|M06785_x0005_`QTY1|1_x0005_`EXI|0_x0005_`IPR|0_x0005_`KWN|0_x0005_`BLA|F_x0005_`</t>
  </si>
  <si>
    <t>자재263</t>
  </si>
  <si>
    <t>M06786_1</t>
  </si>
  <si>
    <t>_x0007_`COD|M06786_x0005_`QTY1|1_x0005_`EXI|0_x0005_`IPR|0_x0005_`KWN|0_x0005_`BLA|F_x0005_`</t>
  </si>
  <si>
    <t>자재264</t>
  </si>
  <si>
    <t>M06787_1</t>
  </si>
  <si>
    <t>_x0007_`COD|M06787_x0005_`QTY1|1_x0005_`EXI|0_x0005_`IPR|0_x0005_`KWN|0_x0005_`BLA|F_x0005_`</t>
  </si>
  <si>
    <t>자재266</t>
  </si>
  <si>
    <t>M06788_1</t>
  </si>
  <si>
    <t>_x0007_`COD|M06788_x0005_`QTY1|1_x0005_`EXI|0_x0005_`IPR|0_x0005_`KWN|0_x0005_`BLA|F_x0005_`</t>
  </si>
  <si>
    <t>자재269</t>
  </si>
  <si>
    <t>M06789_1</t>
  </si>
  <si>
    <t>_x0007_`COD|M06789_x0005_`QTY1|1_x0005_`EXI|0_x0005_`IPR|0_x0005_`KWN|0_x0005_`BLA|F_x0005_`</t>
  </si>
  <si>
    <t>자재271</t>
  </si>
  <si>
    <t>M06790_1</t>
  </si>
  <si>
    <t>_x0007_`COD|M06790_x0005_`QTY1|1_x0005_`EXI|0_x0005_`IPR|0_x0005_`KWN|0_x0005_`BLA|F_x0005_`</t>
  </si>
  <si>
    <t>자재275</t>
  </si>
  <si>
    <t>M06791_1</t>
  </si>
  <si>
    <t>_x0007_`COD|M06791_x0005_`QTY1|1_x0005_`EXI|0_x0005_`IPR|0_x0005_`KWN|0_x0005_`BLA|F_x0005_`</t>
  </si>
  <si>
    <t>자재277</t>
  </si>
  <si>
    <t>M06792_1</t>
  </si>
  <si>
    <t>_x0007_`COD|M06792_x0005_`QTY1|1_x0005_`EXI|0_x0005_`IPR|0_x0005_`KWN|0_x0005_`BLA|F_x0005_`</t>
  </si>
  <si>
    <t>자재278</t>
  </si>
  <si>
    <t>M06793_1</t>
  </si>
  <si>
    <t>_x0007_`COD|M06793_x0005_`QTY1|1_x0005_`EXI|0_x0005_`IPR|0_x0005_`KWN|0_x0005_`BLA|F_x0005_`</t>
  </si>
  <si>
    <t>자재280</t>
  </si>
  <si>
    <t>M06794_1</t>
  </si>
  <si>
    <t>_x0007_`COD|M06794_x0005_`QTY1|1_x0005_`EXI|0_x0005_`IPR|0_x0005_`KWN|0_x0005_`BLA|F_x0005_`</t>
  </si>
  <si>
    <t>자재272</t>
  </si>
  <si>
    <t>M06795_1</t>
  </si>
  <si>
    <t>_x0007_`COD|M06795_x0005_`QTY1|1_x0005_`EXI|0_x0005_`IPR|0_x0005_`KWN|0_x0005_`BLA|F_x0005_`</t>
  </si>
  <si>
    <t>자재273</t>
  </si>
  <si>
    <t>M06796_1</t>
  </si>
  <si>
    <t>_x0007_`COD|M06796_x0005_`QTY1|1_x0005_`EXI|0_x0005_`IPR|0_x0005_`KWN|0_x0005_`BLA|F_x0005_`</t>
  </si>
  <si>
    <t>자재274</t>
  </si>
  <si>
    <t>M06797_1</t>
  </si>
  <si>
    <t>_x0007_`COD|M06797_x0005_`QTY1|1_x0005_`EXI|0_x0005_`IPR|0_x0005_`KWN|0_x0005_`BLA|F_x0005_`</t>
  </si>
  <si>
    <t>자재276</t>
  </si>
  <si>
    <t>M06798_1</t>
  </si>
  <si>
    <t>_x0007_`COD|M06798_x0005_`QTY1|1_x0005_`EXI|0_x0005_`IPR|0_x0005_`KWN|0_x0005_`BLA|F_x0005_`</t>
  </si>
  <si>
    <t>자재279</t>
  </si>
  <si>
    <t>M06799_1</t>
  </si>
  <si>
    <t>_x0007_`COD|M06799_x0005_`QTY1|1_x0005_`EXI|0_x0005_`IPR|0_x0005_`KWN|0_x0005_`BLA|F_x0005_`</t>
  </si>
  <si>
    <t>자재281</t>
  </si>
  <si>
    <t>M06800_1</t>
  </si>
  <si>
    <t>_x0007_`COD|M06800_x0005_`QTY1|1_x0005_`EXI|0_x0005_`IPR|0_x0005_`KWN|0_x0005_`BLA|F_x0005_`</t>
  </si>
  <si>
    <t>자재286</t>
  </si>
  <si>
    <t>M06801_1</t>
  </si>
  <si>
    <t>_x0007_`COD|M06801_x0005_`QTY1|1_x0005_`EXI|0_x0005_`IPR|0_x0005_`KWN|0_x0005_`BLA|F_x0005_`</t>
  </si>
  <si>
    <t>자재288</t>
  </si>
  <si>
    <t>M06802_1</t>
  </si>
  <si>
    <t>_x0007_`COD|M06802_x0005_`QTY1|1_x0005_`EXI|0_x0005_`IPR|0_x0005_`KWN|0_x0005_`BLA|F_x0005_`</t>
  </si>
  <si>
    <t>자재289</t>
  </si>
  <si>
    <t>M06804_1</t>
  </si>
  <si>
    <t>_x0007_`COD|M06804_x0005_`QTY1|1_x0005_`EXI|0_x0005_`IPR|0_x0005_`KWN|0_x0005_`BLA|F_x0005_`</t>
  </si>
  <si>
    <t>자재282</t>
  </si>
  <si>
    <t>M06805_1</t>
  </si>
  <si>
    <t>_x0007_`COD|M06805_x0005_`QTY1|1_x0005_`EXI|0_x0005_`IPR|0_x0005_`KWN|0_x0005_`BLA|F_x0005_`</t>
  </si>
  <si>
    <t>자재283</t>
  </si>
  <si>
    <t>M06806_1</t>
  </si>
  <si>
    <t>_x0007_`COD|M06806_x0005_`QTY1|1_x0005_`EXI|0_x0005_`IPR|0_x0005_`KWN|0_x0005_`BLA|F_x0005_`</t>
  </si>
  <si>
    <t>자재284</t>
  </si>
  <si>
    <t>M06807_1</t>
  </si>
  <si>
    <t>_x0007_`COD|M06807_x0005_`QTY1|1_x0005_`EXI|0_x0005_`IPR|0_x0005_`KWN|0_x0005_`BLA|F_x0005_`</t>
  </si>
  <si>
    <t>자재285</t>
  </si>
  <si>
    <t>M06808_1</t>
  </si>
  <si>
    <t>_x0007_`COD|M06808_x0005_`QTY1|1_x0005_`EXI|0_x0005_`IPR|0_x0005_`KWN|0_x0005_`BLA|F_x0005_`</t>
  </si>
  <si>
    <t>자재287</t>
  </si>
  <si>
    <t>M06809_1</t>
  </si>
  <si>
    <t>_x0007_`COD|M06809_x0005_`QTY1|1_x0005_`EXI|0_x0005_`IPR|0_x0005_`KWN|0_x0005_`BLA|F_x0005_`</t>
  </si>
  <si>
    <t>자재290</t>
  </si>
  <si>
    <t>M06810_1</t>
  </si>
  <si>
    <t>_x0007_`COD|M06810_x0005_`QTY1|1_x0005_`EXI|0_x0005_`IPR|0_x0005_`KWN|0_x0005_`BLA|F_x0005_`</t>
  </si>
  <si>
    <t>자재291</t>
  </si>
  <si>
    <t>M06675_1</t>
  </si>
  <si>
    <t>_x0007_`COD|M06675_x0005_`QTY1|1_x0005_`EXI|0_x0005_`IPR|0_x0005_`KWN|0_x0005_`BLA|F_x0005_`</t>
  </si>
  <si>
    <t>자재88</t>
  </si>
  <si>
    <t>M06676_1</t>
  </si>
  <si>
    <t>_x0007_`COD|M06676_x0005_`QTY1|1_x0005_`EXI|0_x0005_`IPR|0_x0005_`KWN|0_x0005_`BLA|F_x0005_`</t>
  </si>
  <si>
    <t>자재83</t>
  </si>
  <si>
    <t>M06677_1</t>
  </si>
  <si>
    <t>_x0007_`COD|M06677_x0005_`QTY1|1_x0005_`EXI|0_x0005_`IPR|0_x0005_`KWN|0_x0005_`BLA|F_x0005_`</t>
  </si>
  <si>
    <t>자재84</t>
  </si>
  <si>
    <t>M06678_1</t>
  </si>
  <si>
    <t>_x0007_`COD|M06678_x0005_`QTY1|1_x0005_`EXI|0_x0005_`IPR|0_x0005_`KWN|0_x0005_`BLA|F_x0005_`</t>
  </si>
  <si>
    <t>자재85</t>
  </si>
  <si>
    <t>M06680_1</t>
  </si>
  <si>
    <t>_x0007_`COD|M06680_x0005_`QTY1|1_x0005_`EXI|0_x0005_`IPR|0_x0005_`KWN|0_x0005_`BLA|F_x0005_`</t>
  </si>
  <si>
    <t>자재86</t>
  </si>
  <si>
    <t>M06679_1</t>
  </si>
  <si>
    <t>_x0007_`COD|M06679_x0005_`QTY1|1_x0005_`EXI|0_x0005_`IPR|0_x0005_`KWN|0_x0005_`BLA|F_x0005_`</t>
  </si>
  <si>
    <t>자재87</t>
  </si>
  <si>
    <t>M06535_1</t>
  </si>
  <si>
    <t>_x0007_`COD|M06535_x0005_`QTY1|1_x0005_`EXI|0_x0005_`IPR|0_x0005_`KWN|0_x0005_`BLA|F_x0005_`</t>
  </si>
  <si>
    <t>자재103</t>
  </si>
  <si>
    <t>M06536_1</t>
  </si>
  <si>
    <t>_x0007_`COD|M06536_x0005_`QTY1|1_x0005_`EXI|0_x0005_`IPR|0_x0005_`KWN|0_x0005_`BLA|F_x0005_`</t>
  </si>
  <si>
    <t>자재104</t>
  </si>
  <si>
    <t>M06537_1</t>
  </si>
  <si>
    <t>_x0007_`COD|M06537_x0005_`QTY1|1_x0005_`EXI|0_x0005_`IPR|0_x0005_`KWN|0_x0005_`BLA|F_x0005_`</t>
  </si>
  <si>
    <t>자재105</t>
  </si>
  <si>
    <t>M06681_1</t>
  </si>
  <si>
    <t>_x0007_`COD|M06681_x0005_`QTY1|1_x0005_`EXI|0_x0005_`IPR|0_x0005_`KWN|0_x0005_`BLA|F_x0005_`</t>
  </si>
  <si>
    <t>자재106</t>
  </si>
  <si>
    <t>M06539_1</t>
  </si>
  <si>
    <t>_x0007_`COD|M06539_x0005_`QTY1|1_x0005_`EXI|0_x0005_`IPR|0_x0005_`KWN|0_x0005_`BLA|F_x0005_`</t>
  </si>
  <si>
    <t>자재142</t>
  </si>
  <si>
    <t>M06540_1</t>
  </si>
  <si>
    <t>_x0007_`COD|M06540_x0005_`QTY1|1_x0005_`EXI|0_x0005_`IPR|0_x0005_`KWN|0_x0005_`BLA|F_x0005_`</t>
  </si>
  <si>
    <t>자재139</t>
  </si>
  <si>
    <t>M06541_1</t>
  </si>
  <si>
    <t>_x0007_`COD|M06541_x0005_`QTY1|1_x0005_`EXI|0_x0005_`IPR|0_x0005_`KWN|0_x0005_`BLA|F_x0005_`</t>
  </si>
  <si>
    <t>자재140</t>
  </si>
  <si>
    <t>M06542_1</t>
  </si>
  <si>
    <t>_x0007_`COD|M06542_x0005_`QTY1|1_x0005_`EXI|0_x0005_`IPR|0_x0005_`KWN|0_x0005_`BLA|F_x0005_`</t>
  </si>
  <si>
    <t>자재141</t>
  </si>
  <si>
    <t>M02808_1</t>
  </si>
  <si>
    <t>_x0007_`COD|M02808_x0005_`QTY1|1_x0005_`EXI|0_x0005_`IPR|0_x0005_`KWN|0_x0005_`BLA|F_x0005_`</t>
  </si>
  <si>
    <t>자재222</t>
  </si>
  <si>
    <t>M06543_1</t>
  </si>
  <si>
    <t>_x0007_`COD|M06543_x0005_`QTY1|1_x0005_`EXI|0_x0005_`IPR|0_x0005_`KWN|0_x0005_`BLA|F_x0005_`</t>
  </si>
  <si>
    <t>자재218</t>
  </si>
  <si>
    <t>M06544_1</t>
  </si>
  <si>
    <t>_x0007_`COD|M06544_x0005_`QTY1|1_x0005_`EXI|0_x0005_`IPR|0_x0005_`KWN|0_x0005_`BLA|F_x0005_`</t>
  </si>
  <si>
    <t>자재219</t>
  </si>
  <si>
    <t>M06545_1</t>
  </si>
  <si>
    <t>_x0007_`COD|M06545_x0005_`QTY1|1_x0005_`EXI|0_x0005_`IPR|0_x0005_`KWN|0_x0005_`BLA|F_x0005_`</t>
  </si>
  <si>
    <t>자재220</t>
  </si>
  <si>
    <t>M06690_1</t>
  </si>
  <si>
    <t>_x0007_`COD|M06690_x0005_`QTY1|1_x0005_`EXI|0_x0005_`IPR|0_x0005_`KWN|0_x0005_`BLA|F_x0005_`</t>
  </si>
  <si>
    <t>자재221</t>
  </si>
  <si>
    <t>M06553_1</t>
  </si>
  <si>
    <t>_x0007_`COD|M06553_x0005_`QTY1|1_x0005_`EXI|0_x0005_`IPR|0_x0005_`KWN|0_x0005_`BLA|F_x0005_`</t>
  </si>
  <si>
    <t>자재215</t>
  </si>
  <si>
    <t>M06554_1</t>
  </si>
  <si>
    <t>_x0007_`COD|M06554_x0005_`QTY1|1_x0005_`EXI|0_x0005_`IPR|0_x0005_`KWN|0_x0005_`BLA|F_x0005_`</t>
  </si>
  <si>
    <t>자재216</t>
  </si>
  <si>
    <t>M06555_1</t>
  </si>
  <si>
    <t>_x0007_`COD|M06555_x0005_`QTY1|1_x0005_`EXI|0_x0005_`IPR|0_x0005_`KWN|0_x0005_`BLA|F_x0005_`</t>
  </si>
  <si>
    <t>자재211</t>
  </si>
  <si>
    <t>M06556_1</t>
  </si>
  <si>
    <t>_x0007_`COD|M06556_x0005_`QTY1|1_x0005_`EXI|0_x0005_`IPR|0_x0005_`KWN|0_x0005_`BLA|F_x0005_`</t>
  </si>
  <si>
    <t>자재212</t>
  </si>
  <si>
    <t>M06682_1</t>
  </si>
  <si>
    <t>_x0007_`COD|M06682_x0005_`QTY1|1_x0005_`EXI|0_x0005_`IPR|0_x0005_`KWN|0_x0005_`BLA|F_x0005_`</t>
  </si>
  <si>
    <t>자재213</t>
  </si>
  <si>
    <t>M06693_1</t>
  </si>
  <si>
    <t>_x0007_`COD|M06693_x0005_`QTY1|1_x0005_`EXI|0_x0005_`IPR|0_x0005_`KWN|0_x0005_`BLA|F_x0005_`</t>
  </si>
  <si>
    <t>자재214</t>
  </si>
  <si>
    <t>M02071_1</t>
  </si>
  <si>
    <t>_x0007_`COD|M02071_x0005_`QTY1|1_x0005_`EXI|0_x0005_`IPR|0_x0005_`KWN|0_x0005_`BLA|F_x0005_`</t>
  </si>
  <si>
    <t>자재297</t>
  </si>
  <si>
    <t>M03181_1</t>
  </si>
  <si>
    <t>_x0007_`COD|M03181_x0005_`QTY1|1_x0005_`EXI|0_x0005_`IPR|0_x0005_`KWN|0_x0005_`BLA|F_x0005_`</t>
  </si>
  <si>
    <t>자재293</t>
  </si>
  <si>
    <t>M06547_1</t>
  </si>
  <si>
    <t>_x0007_`COD|M06547_x0005_`QTY1|1_x0005_`EXI|0_x0005_`IPR|0_x0005_`KWN|0_x0005_`BLA|F_x0005_`</t>
  </si>
  <si>
    <t>자재294</t>
  </si>
  <si>
    <t>M06546_1</t>
  </si>
  <si>
    <t>_x0007_`COD|M06546_x0005_`QTY1|1_x0005_`EXI|0_x0005_`IPR|0_x0005_`KWN|0_x0005_`BLA|F_x0005_`</t>
  </si>
  <si>
    <t>자재295</t>
  </si>
  <si>
    <t>M06550_1</t>
  </si>
  <si>
    <t>_x0007_`COD|M06550_x0005_`QTY1|1_x0005_`EXI|0_x0005_`IPR|0_x0005_`KWN|0_x0005_`BLA|F_x0005_`</t>
  </si>
  <si>
    <t>자재228</t>
  </si>
  <si>
    <t>M06549_1</t>
  </si>
  <si>
    <t>_x0007_`COD|M06549_x0005_`QTY1|1_x0005_`EXI|0_x0005_`IPR|0_x0005_`KWN|0_x0005_`BLA|F_x0005_`</t>
  </si>
  <si>
    <t>자재224</t>
  </si>
  <si>
    <t>M06551_1</t>
  </si>
  <si>
    <t>_x0007_`COD|M06551_x0005_`QTY1|1_x0005_`EXI|0_x0005_`IPR|0_x0005_`KWN|0_x0005_`BLA|F_x0005_`</t>
  </si>
  <si>
    <t>자재225</t>
  </si>
  <si>
    <t>M06552_1</t>
  </si>
  <si>
    <t>_x0007_`COD|M06552_x0005_`QTY1|1_x0005_`EXI|0_x0005_`IPR|0_x0005_`KWN|0_x0005_`BLA|F_x0005_`</t>
  </si>
  <si>
    <t>자재226</t>
  </si>
  <si>
    <t>M06692_1</t>
  </si>
  <si>
    <t>_x0007_`COD|M06692_x0005_`QTY1|1_x0005_`EXI|0_x0005_`IPR|0_x0005_`KWN|0_x0005_`BLA|F_x0005_`</t>
  </si>
  <si>
    <t>자재227</t>
  </si>
  <si>
    <t>M06557_1</t>
  </si>
  <si>
    <t>_x0007_`COD|M06557_x0005_`QTY1|1_x0005_`EXI|0_x0005_`IPR|0_x0005_`KWN|0_x0005_`BLA|F_x0005_`</t>
  </si>
  <si>
    <t>자재110</t>
  </si>
  <si>
    <t>M06558_1</t>
  </si>
  <si>
    <t>_x0007_`COD|M06558_x0005_`QTY1|1_x0005_`EXI|0_x0005_`IPR|0_x0005_`KWN|0_x0005_`BLA|F_x0005_`</t>
  </si>
  <si>
    <t>자재111</t>
  </si>
  <si>
    <t>M06559_1</t>
  </si>
  <si>
    <t>_x0007_`COD|M06559_x0005_`QTY1|1_x0005_`EXI|0_x0005_`IPR|0_x0005_`KWN|0_x0005_`BLA|F_x0005_`</t>
  </si>
  <si>
    <t>자재107</t>
  </si>
  <si>
    <t>M06560_1</t>
  </si>
  <si>
    <t>_x0007_`COD|M06560_x0005_`QTY1|1_x0005_`EXI|0_x0005_`IPR|0_x0005_`KWN|0_x0005_`BLA|F_x0005_`</t>
  </si>
  <si>
    <t>자재108</t>
  </si>
  <si>
    <t>M06561_1</t>
  </si>
  <si>
    <t>_x0007_`COD|M06561_x0005_`QTY1|1_x0005_`EXI|0_x0005_`IPR|0_x0005_`KWN|0_x0005_`BLA|F_x0005_`</t>
  </si>
  <si>
    <t>자재109</t>
  </si>
  <si>
    <t>M06683_1</t>
  </si>
  <si>
    <t>_x0007_`COD|M06683_x0005_`QTY1|1_x0005_`EXI|0_x0005_`IPR|0_x0005_`KWN|0_x0005_`BLA|F_x0005_`</t>
  </si>
  <si>
    <t>자재364</t>
  </si>
  <si>
    <t>M05149_1</t>
  </si>
  <si>
    <t>_x0007_`COD|M05149_x0005_`QTY1|1_x0005_`EXI|0_x0005_`IPR|0_x0005_`KWN|0_x0005_`BLA|F_x0005_`</t>
  </si>
  <si>
    <t>자재365</t>
  </si>
  <si>
    <t>M06386_1</t>
  </si>
  <si>
    <t>_x0007_`COD|M06386_x0005_`QTY1|1_x0005_`EXI|0_x0005_`IPR|0_x0005_`KWN|0_x0005_`BLA|F_x0005_`</t>
  </si>
  <si>
    <t>자재359</t>
  </si>
  <si>
    <t>M06097_1</t>
  </si>
  <si>
    <t>_x0007_`COD|M06097_x0005_`QTY1|1_x0005_`EXI|0_x0005_`IPR|0_x0005_`KWN|0_x0005_`BLA|F_x0005_`</t>
  </si>
  <si>
    <t>자재360</t>
  </si>
  <si>
    <t>M06562_1</t>
  </si>
  <si>
    <t>_x0007_`COD|M06562_x0005_`QTY1|1_x0005_`EXI|0_x0005_`IPR|0_x0005_`KWN|0_x0005_`BLA|F_x0005_`</t>
  </si>
  <si>
    <t>자재362</t>
  </si>
  <si>
    <t>M05224_1</t>
  </si>
  <si>
    <t>_x0007_`COD|M05224_x0005_`QTY1|1_x0005_`EXI|0_x0005_`IPR|0_x0005_`KWN|0_x0005_`BLA|F_x0005_`</t>
  </si>
  <si>
    <t>자재363</t>
  </si>
  <si>
    <t>M06573_1</t>
  </si>
  <si>
    <t>_x0007_`COD|M06573_x0005_`QTY1|1_x0005_`EXI|0_x0005_`IPR|0_x0005_`KWN|0_x0005_`BLA|F_x0005_`</t>
  </si>
  <si>
    <t>자재80</t>
  </si>
  <si>
    <t>M06574_1</t>
  </si>
  <si>
    <t>_x0007_`COD|M06574_x0005_`QTY1|1_x0005_`EXI|0_x0005_`IPR|0_x0005_`KWN|0_x0005_`BLA|F_x0005_`</t>
  </si>
  <si>
    <t>자재234</t>
  </si>
  <si>
    <t>M05521_1</t>
  </si>
  <si>
    <t>_x0007_`COD|M05521_x0005_`QTY1|1_x0005_`EXI|1_x0005_`IPR|0_x0005_`KWN|0_x0005_`BLA|F_x0005_`</t>
  </si>
  <si>
    <t>자재17</t>
  </si>
  <si>
    <t>M05522_1</t>
  </si>
  <si>
    <t>_x0007_`COD|M05522_x0005_`QTY1|1_x0005_`EXI|1_x0005_`IPR|0_x0005_`KWN|0_x0005_`BLA|F_x0005_`</t>
  </si>
  <si>
    <t>자재18</t>
  </si>
  <si>
    <t>M05321_1</t>
  </si>
  <si>
    <t>_x0007_`COD|M05321_x0005_`QTY1|1_x0005_`EXI|0_x0005_`IPR|0_x0005_`KWN|0_x0005_`BLA|F_x0005_`</t>
  </si>
  <si>
    <t>자재12</t>
  </si>
  <si>
    <t>M05377_1</t>
  </si>
  <si>
    <t>_x0007_`COD|M05377_x0005_`QTY1|1_x0005_`EXI|0_x0005_`IPR|0_x0005_`KWN|0_x0005_`BLA|F_x0005_`</t>
  </si>
  <si>
    <t>자재13</t>
  </si>
  <si>
    <t>M06575_1</t>
  </si>
  <si>
    <t>_x0007_`COD|M06575_x0005_`QTY1|1_x0005_`EXI|0_x0005_`IPR|0_x0005_`KWN|0_x0005_`BLA|F_x0005_`</t>
  </si>
  <si>
    <t>자재14</t>
  </si>
  <si>
    <t>M05376_1</t>
  </si>
  <si>
    <t>_x0007_`COD|M05376_x0005_`QTY1|1_x0005_`EXI|0_x0005_`IPR|0_x0005_`KWN|0_x0005_`BLA|F_x0005_`</t>
  </si>
  <si>
    <t>자재15</t>
  </si>
  <si>
    <t>M05882_1</t>
  </si>
  <si>
    <t>_x0007_`COD|M05882_x0005_`QTY1|1_x0005_`EXI|0_x0005_`IPR|0_x0005_`KWN|0_x0005_`BLA|F_x0005_`</t>
  </si>
  <si>
    <t>자재16</t>
  </si>
  <si>
    <t>M06703_1</t>
  </si>
  <si>
    <t>_x0007_`COD|M06703_x0005_`QTY1|1_x0005_`EXI|0_x0005_`IPR|0_x0005_`KWN|0_x0005_`BLA|F_x0005_`</t>
  </si>
  <si>
    <t>자재307</t>
  </si>
  <si>
    <t>M06704_1</t>
  </si>
  <si>
    <t>_x0007_`COD|M06704_x0005_`QTY1|1_x0005_`EXI|0_x0005_`IPR|0_x0005_`KWN|0_x0005_`BLA|F_x0005_`</t>
  </si>
  <si>
    <t>자재308</t>
  </si>
  <si>
    <t>M06705_1</t>
  </si>
  <si>
    <t>_x0007_`COD|M06705_x0005_`QTY1|1_x0005_`EXI|0_x0005_`IPR|0_x0005_`KWN|0_x0005_`BLA|F_x0005_`</t>
  </si>
  <si>
    <t>자재302</t>
  </si>
  <si>
    <t>M06706_1</t>
  </si>
  <si>
    <t>_x0007_`COD|M06706_x0005_`QTY1|1_x0005_`EXI|0_x0005_`IPR|0_x0005_`KWN|0_x0005_`BLA|F_x0005_`</t>
  </si>
  <si>
    <t>자재303</t>
  </si>
  <si>
    <t>M06707_1</t>
  </si>
  <si>
    <t>_x0007_`COD|M06707_x0005_`QTY1|1_x0005_`EXI|0_x0005_`IPR|0_x0005_`KWN|0_x0005_`BLA|F_x0005_`</t>
  </si>
  <si>
    <t>자재304</t>
  </si>
  <si>
    <t>M06708_1</t>
  </si>
  <si>
    <t>_x0007_`COD|M06708_x0005_`QTY1|1_x0005_`EXI|0_x0005_`IPR|0_x0005_`KWN|0_x0005_`BLA|F_x0005_`</t>
  </si>
  <si>
    <t>자재305</t>
  </si>
  <si>
    <t>M06709_1</t>
  </si>
  <si>
    <t>_x0007_`COD|M06709_x0005_`QTY1|1_x0005_`EXI|0_x0005_`IPR|0_x0005_`KWN|0_x0005_`BLA|F_x0005_`</t>
  </si>
  <si>
    <t>자재306</t>
  </si>
  <si>
    <t>M06576_1</t>
  </si>
  <si>
    <t>_x0007_`COD|M06576_x0005_`QTY1|1_x0005_`EXI|0_x0005_`IPR|0_x0005_`KWN|0_x0005_`BLA|F_x0005_`</t>
  </si>
  <si>
    <t>자재223</t>
  </si>
  <si>
    <t>M06577_1</t>
  </si>
  <si>
    <t>_x0007_`COD|M06577_x0005_`QTY1|1_x0005_`EXI|0_x0005_`IPR|0_x0005_`KWN|0_x0005_`BLA|F_x0005_`</t>
  </si>
  <si>
    <t>자재210</t>
  </si>
  <si>
    <t>M06578_1</t>
  </si>
  <si>
    <t>_x0007_`COD|M06578_x0005_`QTY1|1_x0005_`EXI|0_x0005_`IPR|0_x0005_`KWN|0_x0005_`BLA|F_x0005_`</t>
  </si>
  <si>
    <t>자재240</t>
  </si>
  <si>
    <t>M06579_1</t>
  </si>
  <si>
    <t>_x0007_`COD|M06579_x0005_`QTY1|1_x0005_`EXI|0_x0005_`IPR|0_x0005_`KWN|0_x0005_`BLA|F_x0005_`</t>
  </si>
  <si>
    <t>자재115</t>
  </si>
  <si>
    <t>M06580_1</t>
  </si>
  <si>
    <t>_x0007_`COD|M06580_x0005_`QTY1|1_x0005_`EXI|0_x0005_`IPR|0_x0005_`KWN|0_x0005_`BLA|F_x0005_`</t>
  </si>
  <si>
    <t>자재116</t>
  </si>
  <si>
    <t>M06581_1</t>
  </si>
  <si>
    <t>_x0007_`COD|M06581_x0005_`QTY1|1_x0005_`EXI|0_x0005_`IPR|0_x0005_`KWN|0_x0005_`BLA|F_x0005_`</t>
  </si>
  <si>
    <t>자재31</t>
  </si>
  <si>
    <t>M06582_1</t>
  </si>
  <si>
    <t>_x0007_`COD|M06582_x0005_`QTY1|1_x0005_`EXI|0_x0005_`IPR|0_x0005_`KWN|0_x0005_`BLA|F_x0005_`</t>
  </si>
  <si>
    <t>자재32</t>
  </si>
  <si>
    <t>M06583_1</t>
  </si>
  <si>
    <t>_x0007_`COD|M06583_x0005_`QTY1|1_x0005_`EXI|0_x0005_`IPR|0_x0005_`KWN|0_x0005_`BLA|F_x0005_`</t>
  </si>
  <si>
    <t>자재33</t>
  </si>
  <si>
    <t>M06584_1</t>
  </si>
  <si>
    <t>_x0007_`COD|M06584_x0005_`QTY1|1_x0005_`EXI|0_x0005_`IPR|0_x0005_`KWN|0_x0005_`BLA|F_x0005_`</t>
  </si>
  <si>
    <t>자재34</t>
  </si>
  <si>
    <t>M06585_1</t>
  </si>
  <si>
    <t>_x0007_`COD|M06585_x0005_`QTY1|1_x0005_`EXI|0_x0005_`IPR|0_x0005_`KWN|0_x0005_`BLA|F_x0005_`</t>
  </si>
  <si>
    <t>자재74</t>
  </si>
  <si>
    <t>M06586_1</t>
  </si>
  <si>
    <t>_x0007_`COD|M06586_x0005_`QTY1|1_x0005_`EXI|0_x0005_`IPR|0_x0005_`KWN|0_x0005_`BLA|F_x0005_`</t>
  </si>
  <si>
    <t>자재75</t>
  </si>
  <si>
    <t>M06587_1</t>
  </si>
  <si>
    <t>_x0007_`COD|M06587_x0005_`QTY1|1_x0005_`EXI|0_x0005_`IPR|0_x0005_`KWN|0_x0005_`BLA|F_x0005_`</t>
  </si>
  <si>
    <t>자재76</t>
  </si>
  <si>
    <t>M06588_1</t>
  </si>
  <si>
    <t>_x0007_`COD|M06588_x0005_`QTY1|1_x0005_`EXI|0_x0005_`IPR|0_x0005_`KWN|0_x0005_`BLA|F_x0005_`</t>
  </si>
  <si>
    <t>자재77</t>
  </si>
  <si>
    <t>M06711_1</t>
  </si>
  <si>
    <t>_x0007_`COD|M06711_x0005_`QTY1|1_x0005_`EXI|0_x0005_`IPR|0_x0005_`KWN|0_x0005_`BLA|F_x0005_`</t>
  </si>
  <si>
    <t>자재344</t>
  </si>
  <si>
    <t>M06712_1</t>
  </si>
  <si>
    <t>_x0007_`COD|M06712_x0005_`QTY1|1_x0005_`EXI|0_x0005_`IPR|0_x0005_`KWN|0_x0005_`BLA|F_x0005_`</t>
  </si>
  <si>
    <t>자재345</t>
  </si>
  <si>
    <t>M06590_1</t>
  </si>
  <si>
    <t>_x0007_`COD|M06590_x0005_`QTY1|1_x0005_`EXI|0_x0005_`IPR|0_x0005_`KWN|0_x0005_`BLA|F_x0005_`</t>
  </si>
  <si>
    <t>자재339</t>
  </si>
  <si>
    <t>M06713_1</t>
  </si>
  <si>
    <t>_x0007_`COD|M06713_x0005_`QTY1|1_x0005_`EXI|0_x0005_`IPR|0_x0005_`KWN|0_x0005_`BLA|F_x0005_`</t>
  </si>
  <si>
    <t>자재340</t>
  </si>
  <si>
    <t>M06591_1</t>
  </si>
  <si>
    <t>_x0007_`COD|M06591_x0005_`QTY1|1_x0005_`EXI|0_x0005_`IPR|0_x0005_`KWN|0_x0005_`BLA|F_x0005_`</t>
  </si>
  <si>
    <t>자재341</t>
  </si>
  <si>
    <t>M06714_1</t>
  </si>
  <si>
    <t>_x0007_`COD|M06714_x0005_`QTY1|1_x0005_`EXI|0_x0005_`IPR|0_x0005_`KWN|0_x0005_`BLA|F_x0005_`</t>
  </si>
  <si>
    <t>자재342</t>
  </si>
  <si>
    <t>M06592_1</t>
  </si>
  <si>
    <t>_x0007_`COD|M06592_x0005_`QTY1|1_x0005_`EXI|0_x0005_`IPR|0_x0005_`KWN|0_x0005_`BLA|F_x0005_`</t>
  </si>
  <si>
    <t>자재343</t>
  </si>
  <si>
    <t>M06715_1</t>
  </si>
  <si>
    <t>_x0007_`COD|M06715_x0005_`QTY1|1_x0005_`EXI|0_x0005_`IPR|0_x0005_`KWN|0_x0005_`BLA|F_x0005_`</t>
  </si>
  <si>
    <t>자재351</t>
  </si>
  <si>
    <t>M06593_1</t>
  </si>
  <si>
    <t>_x0007_`COD|M06593_x0005_`QTY1|1_x0005_`EXI|0_x0005_`IPR|0_x0005_`KWN|0_x0005_`BLA|F_x0005_`</t>
  </si>
  <si>
    <t>자재346</t>
  </si>
  <si>
    <t>M06716_1</t>
  </si>
  <si>
    <t>_x0007_`COD|M06716_x0005_`QTY1|1_x0005_`EXI|0_x0005_`IPR|0_x0005_`KWN|0_x0005_`BLA|F_x0005_`</t>
  </si>
  <si>
    <t>자재347</t>
  </si>
  <si>
    <t>M06594_1</t>
  </si>
  <si>
    <t>_x0007_`COD|M06594_x0005_`QTY1|1_x0005_`EXI|0_x0005_`IPR|0_x0005_`KWN|0_x0005_`BLA|F_x0005_`</t>
  </si>
  <si>
    <t>자재348</t>
  </si>
  <si>
    <t>M06717_1</t>
  </si>
  <si>
    <t>_x0007_`COD|M06717_x0005_`QTY1|1_x0005_`EXI|0_x0005_`IPR|0_x0005_`KWN|0_x0005_`BLA|F_x0005_`</t>
  </si>
  <si>
    <t>자재349</t>
  </si>
  <si>
    <t>M06595_1</t>
  </si>
  <si>
    <t>_x0007_`COD|M06595_x0005_`QTY1|1_x0005_`EXI|0_x0005_`IPR|0_x0005_`KWN|0_x0005_`BLA|F_x0005_`</t>
  </si>
  <si>
    <t>자재350</t>
  </si>
  <si>
    <t>M06596_1</t>
  </si>
  <si>
    <t>_x0007_`COD|M06596_x0005_`QTY1|1_x0005_`EXI|0_x0005_`IPR|0_x0005_`KWN|0_x0005_`BLA|F_x0005_`</t>
  </si>
  <si>
    <t>자재318</t>
  </si>
  <si>
    <t>M06601_1</t>
  </si>
  <si>
    <t>_x0007_`COD|M06601_x0005_`QTY1|1_x0005_`EXI|0_x0005_`IPR|0_x0005_`KWN|0_x0005_`BLA|F_x0005_`</t>
  </si>
  <si>
    <t>자재319</t>
  </si>
  <si>
    <t>M06606_1</t>
  </si>
  <si>
    <t>_x0007_`COD|M06606_x0005_`QTY1|1_x0005_`EXI|0_x0005_`IPR|0_x0005_`KWN|0_x0005_`BLA|F_x0005_`</t>
  </si>
  <si>
    <t>자재320</t>
  </si>
  <si>
    <t>M06597_1</t>
  </si>
  <si>
    <t>_x0007_`COD|M06597_x0005_`QTY1|1_x0005_`EXI|0_x0005_`IPR|0_x0005_`KWN|0_x0005_`BLA|F_x0005_`</t>
  </si>
  <si>
    <t>자재321</t>
  </si>
  <si>
    <t>M06602_1</t>
  </si>
  <si>
    <t>_x0007_`COD|M06602_x0005_`QTY1|1_x0005_`EXI|0_x0005_`IPR|0_x0005_`KWN|0_x0005_`BLA|F_x0005_`</t>
  </si>
  <si>
    <t>자재322</t>
  </si>
  <si>
    <t>M06607_1</t>
  </si>
  <si>
    <t>_x0007_`COD|M06607_x0005_`QTY1|1_x0005_`EXI|0_x0005_`IPR|0_x0005_`KWN|0_x0005_`BLA|F_x0005_`</t>
  </si>
  <si>
    <t>자재323</t>
  </si>
  <si>
    <t>M06598_1</t>
  </si>
  <si>
    <t>_x0007_`COD|M06598_x0005_`QTY1|1_x0005_`EXI|0_x0005_`IPR|0_x0005_`KWN|0_x0005_`BLA|F_x0005_`</t>
  </si>
  <si>
    <t>자재324</t>
  </si>
  <si>
    <t>M06603_1</t>
  </si>
  <si>
    <t>_x0007_`COD|M06603_x0005_`QTY1|1_x0005_`EXI|0_x0005_`IPR|0_x0005_`KWN|0_x0005_`BLA|F_x0005_`</t>
  </si>
  <si>
    <t>자재325</t>
  </si>
  <si>
    <t>M06608_1</t>
  </si>
  <si>
    <t>_x0007_`COD|M06608_x0005_`QTY1|1_x0005_`EXI|0_x0005_`IPR|0_x0005_`KWN|0_x0005_`BLA|F_x0005_`</t>
  </si>
  <si>
    <t>자재326</t>
  </si>
  <si>
    <t>M06599_1</t>
  </si>
  <si>
    <t>_x0007_`COD|M06599_x0005_`QTY1|1_x0005_`EXI|0_x0005_`IPR|0_x0005_`KWN|0_x0005_`BLA|F_x0005_`</t>
  </si>
  <si>
    <t>자재327</t>
  </si>
  <si>
    <t>M06604_1</t>
  </si>
  <si>
    <t>_x0007_`COD|M06604_x0005_`QTY1|1_x0005_`EXI|0_x0005_`IPR|0_x0005_`KWN|0_x0005_`BLA|F_x0005_`</t>
  </si>
  <si>
    <t>자재328</t>
  </si>
  <si>
    <t>M06609_1</t>
  </si>
  <si>
    <t>_x0007_`COD|M06609_x0005_`QTY1|1_x0005_`EXI|0_x0005_`IPR|0_x0005_`KWN|0_x0005_`BLA|F_x0005_`</t>
  </si>
  <si>
    <t>자재329</t>
  </si>
  <si>
    <t>M06600_1</t>
  </si>
  <si>
    <t>_x0007_`COD|M06600_x0005_`QTY1|1_x0005_`EXI|0_x0005_`IPR|0_x0005_`KWN|0_x0005_`BLA|F_x0005_`</t>
  </si>
  <si>
    <t>자재330</t>
  </si>
  <si>
    <t>M06605_1</t>
  </si>
  <si>
    <t>_x0007_`COD|M06605_x0005_`QTY1|1_x0005_`EXI|0_x0005_`IPR|0_x0005_`KWN|0_x0005_`BLA|F_x0005_`</t>
  </si>
  <si>
    <t>자재331</t>
  </si>
  <si>
    <t>M06610_1</t>
  </si>
  <si>
    <t>_x0007_`COD|M06610_x0005_`QTY1|1_x0005_`EXI|0_x0005_`IPR|0_x0005_`KWN|0_x0005_`BLA|F_x0005_`</t>
  </si>
  <si>
    <t>자재332</t>
  </si>
  <si>
    <t>M06611_1</t>
  </si>
  <si>
    <t>_x0007_`COD|M06611_x0005_`QTY1|1_x0005_`EXI|0_x0005_`IPR|0_x0005_`KWN|0_x0005_`BLA|F_x0005_`</t>
  </si>
  <si>
    <t>자재241</t>
  </si>
  <si>
    <t>M06612_1</t>
  </si>
  <si>
    <t>_x0007_`COD|M06612_x0005_`QTY1|1_x0005_`EXI|0_x0005_`IPR|0_x0005_`KWN|0_x0005_`BLA|F_x0005_`</t>
  </si>
  <si>
    <t>자재242</t>
  </si>
  <si>
    <t>M06718_1</t>
  </si>
  <si>
    <t>_x0007_`COD|M06718_x0005_`QTY1|1_x0005_`EXI|0_x0005_`IPR|0_x0005_`KWN|0_x0005_`BLA|F_x0005_`</t>
  </si>
  <si>
    <t>자재243</t>
  </si>
  <si>
    <t>M06613_1</t>
  </si>
  <si>
    <t>_x0007_`COD|M06613_x0005_`QTY1|1_x0005_`EXI|0_x0005_`IPR|0_x0005_`KWN|0_x0005_`BLA|F_x0005_`</t>
  </si>
  <si>
    <t>자재244</t>
  </si>
  <si>
    <t>M06614_1</t>
  </si>
  <si>
    <t>_x0007_`COD|M06614_x0005_`QTY1|1_x0005_`EXI|0_x0005_`IPR|0_x0005_`KWN|0_x0005_`BLA|F_x0005_`</t>
  </si>
  <si>
    <t>자재135</t>
  </si>
  <si>
    <t>M06615_1</t>
  </si>
  <si>
    <t>_x0007_`COD|M06615_x0005_`QTY1|1_x0005_`EXI|0_x0005_`IPR|0_x0005_`KWN|0_x0005_`BLA|F_x0005_`</t>
  </si>
  <si>
    <t>자재136</t>
  </si>
  <si>
    <t>M06719_1</t>
  </si>
  <si>
    <t>_x0007_`COD|M06719_x0005_`QTY1|1_x0005_`EXI|0_x0005_`IPR|0_x0005_`KWN|0_x0005_`BLA|F_x0005_`</t>
  </si>
  <si>
    <t>자재137</t>
  </si>
  <si>
    <t>M06616_1</t>
  </si>
  <si>
    <t>_x0007_`COD|M06616_x0005_`QTY1|1_x0005_`EXI|0_x0005_`IPR|0_x0005_`KWN|0_x0005_`BLA|F_x0005_`</t>
  </si>
  <si>
    <t>자재138</t>
  </si>
  <si>
    <t>M06617_1</t>
  </si>
  <si>
    <t>_x0007_`COD|M06617_x0005_`QTY1|1_x0005_`EXI|0_x0005_`IPR|0_x0005_`KWN|0_x0005_`BLA|F_x0005_`</t>
  </si>
  <si>
    <t>자재236</t>
  </si>
  <si>
    <t>M06618_1</t>
  </si>
  <si>
    <t>_x0007_`COD|M06618_x0005_`QTY1|1_x0005_`EXI|0_x0005_`IPR|0_x0005_`KWN|0_x0005_`BLA|F_x0005_`</t>
  </si>
  <si>
    <t>자재237</t>
  </si>
  <si>
    <t>M06721_1</t>
  </si>
  <si>
    <t>_x0007_`COD|M06721_x0005_`QTY1|1_x0005_`EXI|0_x0005_`IPR|0_x0005_`KWN|0_x0005_`BLA|F_x0005_`</t>
  </si>
  <si>
    <t>자재238</t>
  </si>
  <si>
    <t>M06619_1</t>
  </si>
  <si>
    <t>_x0007_`COD|M06619_x0005_`QTY1|1_x0005_`EXI|0_x0005_`IPR|0_x0005_`KWN|0_x0005_`BLA|F_x0005_`</t>
  </si>
  <si>
    <t>자재239</t>
  </si>
  <si>
    <t>M03058_1</t>
  </si>
  <si>
    <t>_x0007_`COD|M03058_x0005_`QTY1|1_x0005_`EXI|0_x0005_`IPR|0_x0005_`KWN|0_x0005_`BLA|F_x0005_`</t>
  </si>
  <si>
    <t>자재117</t>
  </si>
  <si>
    <t>M01440_1</t>
  </si>
  <si>
    <t>_x0007_`COD|M01440_x0005_`QTY1|1_x0005_`EXI|0_x0005_`IPR|0_x0005_`KWN|0_x0005_`BLA|F_x0005_`</t>
  </si>
  <si>
    <t>자재118</t>
  </si>
  <si>
    <t>M05266_1</t>
  </si>
  <si>
    <t>_x0007_`COD|M05266_x0005_`QTY1|1_x0005_`EXI|0_x0005_`IPR|0_x0005_`KWN|0_x0005_`BLA|F_x0005_`</t>
  </si>
  <si>
    <t>자재119</t>
  </si>
  <si>
    <t>M03184_1</t>
  </si>
  <si>
    <t>_x0007_`COD|M03184_x0005_`QTY1|1_x0005_`EXI|0_x0005_`IPR|0_x0005_`KWN|0_x0005_`BLA|F_x0005_`</t>
  </si>
  <si>
    <t>자재120</t>
  </si>
  <si>
    <t>M03752_1</t>
  </si>
  <si>
    <t>_x0007_`COD|M03752_x0005_`QTY1|1_x0005_`EXI|0_x0005_`IPR|0_x0005_`KWN|0_x0005_`BLA|F_x0005_`</t>
  </si>
  <si>
    <t>자재121</t>
  </si>
  <si>
    <t>M06620_1</t>
  </si>
  <si>
    <t>_x0007_`COD|M06620_x0005_`QTY1|1_x0005_`EXI|0_x0005_`IPR|0_x0005_`KWN|0_x0005_`BLA|F_x0005_`</t>
  </si>
  <si>
    <t>자재336</t>
  </si>
  <si>
    <t>M06621_1</t>
  </si>
  <si>
    <t>_x0007_`COD|M06621_x0005_`QTY1|1_x0005_`EXI|0_x0005_`IPR|0_x0005_`KWN|0_x0005_`BLA|F_x0005_`</t>
  </si>
  <si>
    <t>자재337</t>
  </si>
  <si>
    <t>M06622_1</t>
  </si>
  <si>
    <t>_x0007_`COD|M06622_x0005_`QTY1|1_x0005_`EXI|0_x0005_`IPR|0_x0005_`KWN|0_x0005_`BLA|F_x0005_`</t>
  </si>
  <si>
    <t>자재338</t>
  </si>
  <si>
    <t>M06623_1</t>
  </si>
  <si>
    <t>_x0007_`COD|M06623_x0005_`QTY1|1_x0005_`EXI|0_x0005_`IPR|0_x0005_`KWN|0_x0005_`BLA|F_x0005_`</t>
  </si>
  <si>
    <t>자재333</t>
  </si>
  <si>
    <t>M06624_1</t>
  </si>
  <si>
    <t>_x0007_`COD|M06624_x0005_`QTY1|1_x0005_`EXI|0_x0005_`IPR|0_x0005_`KWN|0_x0005_`BLA|F_x0005_`</t>
  </si>
  <si>
    <t>자재334</t>
  </si>
  <si>
    <t>M06625_1</t>
  </si>
  <si>
    <t>_x0007_`COD|M06625_x0005_`QTY1|1_x0005_`EXI|0_x0005_`IPR|0_x0005_`KWN|0_x0005_`BLA|F_x0005_`</t>
  </si>
  <si>
    <t>자재335</t>
  </si>
  <si>
    <t>M06626_1</t>
  </si>
  <si>
    <t>_x0007_`COD|M06626_x0005_`QTY1|1_x0005_`EXI|0_x0005_`IPR|0_x0005_`KWN|0_x0005_`BLA|F_x0005_`</t>
  </si>
  <si>
    <t>자재309</t>
  </si>
  <si>
    <t>M06627_1</t>
  </si>
  <si>
    <t>_x0007_`COD|M06627_x0005_`QTY1|1_x0005_`EXI|0_x0005_`IPR|0_x0005_`KWN|0_x0005_`BLA|F_x0005_`</t>
  </si>
  <si>
    <t>자재1</t>
  </si>
  <si>
    <t>M06628_1</t>
  </si>
  <si>
    <t>_x0007_`COD|M06628_x0005_`QTY1|1_x0005_`EXI|0_x0005_`IPR|0_x0005_`KWN|0_x0005_`BLA|F_x0005_`</t>
  </si>
  <si>
    <t>자재246</t>
  </si>
  <si>
    <t>M06629_1</t>
  </si>
  <si>
    <t>_x0007_`COD|M06629_x0005_`QTY1|1_x0005_`EXI|0_x0005_`IPR|0_x0005_`KWN|0_x0005_`BLA|F_x0005_`</t>
  </si>
  <si>
    <t>자재209</t>
  </si>
  <si>
    <t>M01101_1</t>
  </si>
  <si>
    <t>_x0007_`COD|M01101_x0005_`QTY1|1_x0005_`EXI|0_x0005_`IPR|0_x0005_`KWN|0_x0005_`BLA|F_x0005_`</t>
  </si>
  <si>
    <t>자재235</t>
  </si>
  <si>
    <t>M06630_1</t>
  </si>
  <si>
    <t>_x0007_`COD|M06630_x0005_`QTY1|1_x0005_`EXI|0_x0005_`IPR|0_x0005_`KWN|0_x0005_`BLA|F_x0005_`</t>
  </si>
  <si>
    <t>자재316</t>
  </si>
  <si>
    <t>M05532_1</t>
  </si>
  <si>
    <t>_x0007_`COD|M05532_x0005_`QTY1|1_x0005_`EXI|0_x0005_`IPR|0_x0005_`KWN|0_x0005_`BLA|F_x0005_`</t>
  </si>
  <si>
    <t>자재19</t>
  </si>
  <si>
    <t>M05883_1</t>
  </si>
  <si>
    <t>_x0007_`COD|M05883_x0005_`QTY1|1_x0005_`EXI|0_x0005_`IPR|0_x0005_`KWN|0_x0005_`BLA|F_x0005_`</t>
  </si>
  <si>
    <t>자재20</t>
  </si>
  <si>
    <t>M06631_1</t>
  </si>
  <si>
    <t>_x0007_`COD|M06631_x0005_`QTY1|1_x0005_`EXI|0_x0005_`IPR|0_x0005_`KWN|0_x0005_`BLA|F_x0005_`</t>
  </si>
  <si>
    <t>자재208</t>
  </si>
  <si>
    <t>M06632_1</t>
  </si>
  <si>
    <t>_x0007_`COD|M06632_x0005_`QTY1|1_x0005_`EXI|0_x0005_`IPR|0_x0005_`KWN|0_x0005_`BLA|F_x0005_`</t>
  </si>
  <si>
    <t>자재352</t>
  </si>
  <si>
    <t>M06633_1</t>
  </si>
  <si>
    <t>_x0007_`COD|M06633_x0005_`QTY1|1_x0005_`EXI|0_x0005_`IPR|0_x0005_`KWN|0_x0005_`BLA|F_x0005_`</t>
  </si>
  <si>
    <t>자재134</t>
  </si>
  <si>
    <t>M06634_1</t>
  </si>
  <si>
    <t>_x0007_`COD|M06634_x0005_`QTY1|1_x0005_`EXI|0_x0005_`IPR|0_x0005_`KWN|0_x0005_`BLA|F_x0005_`</t>
  </si>
  <si>
    <t>자재61</t>
  </si>
  <si>
    <t>M06635_1</t>
  </si>
  <si>
    <t>_x0007_`COD|M06635_x0005_`QTY1|1_x0005_`EXI|0_x0005_`IPR|0_x0005_`KWN|0_x0005_`BLA|F_x0005_`</t>
  </si>
  <si>
    <t>자재298</t>
  </si>
  <si>
    <t>M06636_1</t>
  </si>
  <si>
    <t>_x0007_`COD|M06636_x0005_`QTY1|1_x0005_`EXI|0_x0005_`IPR|0_x0005_`KWN|0_x0005_`BLA|F_x0005_`</t>
  </si>
  <si>
    <t>자재81</t>
  </si>
  <si>
    <t>M06722_1</t>
  </si>
  <si>
    <t>_x0007_`COD|M06722_x0005_`QTY1|1_x0005_`EXI|0_x0005_`IPR|0_x0005_`KWN|0_x0005_`BLA|F_x0005_`</t>
  </si>
  <si>
    <t>자재62</t>
  </si>
  <si>
    <t>M05093_1</t>
  </si>
  <si>
    <t>_x0007_`COD|M05093_x0005_`QTY1|1_x0005_`EXI|0_x0005_`IPR|0_x0005_`KWN|0_x0005_`BLA|F_x0005_`</t>
  </si>
  <si>
    <t>자재6</t>
  </si>
  <si>
    <t>M05094_1</t>
  </si>
  <si>
    <t>_x0007_`COD|M05094_x0005_`QTY1|1_x0005_`EXI|0_x0005_`IPR|0_x0005_`KWN|0_x0005_`BLA|F_x0005_`</t>
  </si>
  <si>
    <t>자재7</t>
  </si>
  <si>
    <t>M05095_1</t>
  </si>
  <si>
    <t>_x0007_`COD|M05095_x0005_`QTY1|1_x0005_`EXI|0_x0005_`IPR|0_x0005_`KWN|0_x0005_`BLA|F_x0005_`</t>
  </si>
  <si>
    <t>자재8</t>
  </si>
  <si>
    <t>M05265_1</t>
  </si>
  <si>
    <t>_x0007_`COD|M05265_x0005_`QTY1|1_x0005_`EXI|0_x0005_`IPR|0_x0005_`KWN|0_x0005_`BLA|F_x0005_`</t>
  </si>
  <si>
    <t>자재9</t>
  </si>
  <si>
    <t>M06723_1</t>
  </si>
  <si>
    <t>_x0007_`COD|M06723_x0005_`QTY1|1_x0005_`EXI|0_x0005_`IPR|0_x0005_`KWN|0_x0005_`BLA|F_x0005_`</t>
  </si>
  <si>
    <t>자재65</t>
  </si>
  <si>
    <t>M06724_1</t>
  </si>
  <si>
    <t>_x0007_`COD|M06724_x0005_`QTY1|1_x0005_`EXI|0_x0005_`IPR|0_x0005_`KWN|0_x0005_`BLA|F_x0005_`</t>
  </si>
  <si>
    <t>자재67</t>
  </si>
  <si>
    <t>M06725_1</t>
  </si>
  <si>
    <t>_x0007_`COD|M06725_x0005_`QTY1|1_x0005_`EXI|0_x0005_`IPR|0_x0005_`KWN|0_x0005_`BLA|F_x0005_`</t>
  </si>
  <si>
    <t>자재68</t>
  </si>
  <si>
    <t>M06726_1</t>
  </si>
  <si>
    <t>_x0007_`COD|M06726_x0005_`QTY1|1_x0005_`EXI|0_x0005_`IPR|0_x0005_`KWN|0_x0005_`BLA|F_x0005_`</t>
  </si>
  <si>
    <t>자재69</t>
  </si>
  <si>
    <t>M06727_1</t>
  </si>
  <si>
    <t>_x0007_`COD|M06727_x0005_`QTY1|1_x0005_`EXI|0_x0005_`IPR|0_x0005_`KWN|0_x0005_`BLA|F_x0005_`</t>
  </si>
  <si>
    <t>자재70</t>
  </si>
  <si>
    <t>M06728_1</t>
  </si>
  <si>
    <t>_x0007_`COD|M06728_x0005_`QTY1|1_x0005_`EXI|0_x0005_`IPR|0_x0005_`KWN|0_x0005_`BLA|F_x0005_`</t>
  </si>
  <si>
    <t>자재71</t>
  </si>
  <si>
    <t>M06729_1</t>
  </si>
  <si>
    <t>_x0007_`COD|M06729_x0005_`QTY1|1_x0005_`EXI|0_x0005_`IPR|0_x0005_`KWN|0_x0005_`BLA|F_x0005_`</t>
  </si>
  <si>
    <t>자재72</t>
  </si>
  <si>
    <t>M06730_1</t>
  </si>
  <si>
    <t>_x0007_`COD|M06730_x0005_`QTY1|1_x0005_`EXI|0_x0005_`IPR|0_x0005_`KWN|0_x0005_`BLA|F_x0005_`</t>
  </si>
  <si>
    <t>자재63</t>
  </si>
  <si>
    <t>M06731_1</t>
  </si>
  <si>
    <t>_x0007_`COD|M06731_x0005_`QTY1|1_x0005_`EXI|0_x0005_`IPR|0_x0005_`KWN|0_x0005_`BLA|F_x0005_`</t>
  </si>
  <si>
    <t>자재64</t>
  </si>
  <si>
    <t>M06732_1</t>
  </si>
  <si>
    <t>_x0007_`COD|M06732_x0005_`QTY1|1_x0005_`EXI|0_x0005_`IPR|0_x0005_`KWN|0_x0005_`BLA|F_x0005_`</t>
  </si>
  <si>
    <t>자재66</t>
  </si>
  <si>
    <t>M06734_1</t>
  </si>
  <si>
    <t>_x0007_`COD|M06734_x0005_`QTY1|1_x0005_`EXI|0_x0005_`IPR|0_x0005_`KWN|0_x0005_`BLA|F_x0005_`</t>
  </si>
  <si>
    <t>자재82</t>
  </si>
  <si>
    <t>M06735_1</t>
  </si>
  <si>
    <t>_x0007_`COD|M06735_x0005_`QTY1|1_x0005_`EXI|0_x0005_`IPR|0_x0005_`KWN|0_x0005_`BLA|F_x0005_`</t>
  </si>
  <si>
    <t>자재299</t>
  </si>
  <si>
    <t>M06736_1</t>
  </si>
  <si>
    <t>_x0007_`COD|M06736_x0005_`QTY1|1_x0005_`EXI|0_x0005_`IPR|0_x0005_`KWN|0_x0005_`BLA|F_x0005_`</t>
  </si>
  <si>
    <t>자재89</t>
  </si>
  <si>
    <t>M06738_1</t>
  </si>
  <si>
    <t>_x0007_`COD|M06738_x0005_`QTY1|1_x0005_`EXI|0_x0005_`IPR|0_x0005_`KWN|0_x0005_`BLA|F_x0005_`</t>
  </si>
  <si>
    <t>자재27</t>
  </si>
  <si>
    <t>M06737_1</t>
  </si>
  <si>
    <t>_x0007_`COD|M06737_x0005_`QTY1|1_x0005_`EXI|0_x0005_`IPR|0_x0005_`KWN|0_x0005_`BLA|F_x0005_`</t>
  </si>
  <si>
    <t>자재90</t>
  </si>
  <si>
    <t>M03269_1</t>
  </si>
  <si>
    <t>_x0007_`COD|M03269_x0005_`QTY1|1_x0005_`EXI|0_x0005_`IPR|0_x0005_`KWN|0_x0005_`BLA|F_x0005_`</t>
  </si>
  <si>
    <t>자재260</t>
  </si>
  <si>
    <t>M06739_1</t>
  </si>
  <si>
    <t>_x0007_`COD|M06739_x0005_`QTY1|1_x0005_`EXI|0_x0005_`IPR|0_x0005_`KWN|0_x0005_`BLA|F_x0005_`</t>
  </si>
  <si>
    <t>자재230</t>
  </si>
  <si>
    <t>M06740_1</t>
  </si>
  <si>
    <t>_x0007_`COD|M06740_x0005_`QTY1|1_x0005_`EXI|0_x0005_`IPR|0_x0005_`KWN|0_x0005_`BLA|F_x0005_`</t>
  </si>
  <si>
    <t>자재317</t>
  </si>
  <si>
    <t>M04153_1</t>
  </si>
  <si>
    <t>_x0007_`COD|M04153_x0005_`QTY1|1_x0005_`EXI|0_x0005_`IPR|0_x0005_`KWN|0_x0005_`BLA|F_x0005_`PSKP|1_x0005_`</t>
  </si>
  <si>
    <t>자재11</t>
  </si>
  <si>
    <t>(제외금액)</t>
  </si>
  <si>
    <t>W00205_1</t>
  </si>
  <si>
    <t>_x0007_`COD|W00205_x0005_`QTY1|1_x0005_`EXI|0_x0005_`IPR|0_x0005_`BLA|F_x0005_`</t>
  </si>
  <si>
    <t>기타15</t>
  </si>
  <si>
    <t>W00206_1</t>
  </si>
  <si>
    <t>_x0007_`COD|W00206_x0005_`QTY1|1_x0005_`EXI|0_x0005_`IPR|0_x0005_`BLA|F_x0005_`</t>
  </si>
  <si>
    <t>기타16</t>
  </si>
  <si>
    <t>W00209_1</t>
  </si>
  <si>
    <t>_x0007_`COD|W00209_x0005_`QTY1|1_x0005_`EXI|0_x0005_`IPR|0_x0005_`BLA|F_x0005_`</t>
  </si>
  <si>
    <t>기타17</t>
  </si>
  <si>
    <t>W00207_1</t>
  </si>
  <si>
    <t>_x0007_`COD|W00207_x0005_`QTY1|1_x0005_`EXI|0_x0005_`IPR|0_x0005_`BLA|F_x0005_`</t>
  </si>
  <si>
    <t>기타12</t>
  </si>
  <si>
    <t>W00208_1</t>
  </si>
  <si>
    <t>_x0007_`COD|W00208_x0005_`QTY1|1_x0005_`EXI|0_x0005_`IPR|0_x0005_`BLA|F_x0005_`</t>
  </si>
  <si>
    <t>기타13</t>
  </si>
  <si>
    <t>W00203_1</t>
  </si>
  <si>
    <t>_x0007_`COD|W00203_x0005_`QTY1|1_x0005_`EXI|0_x0005_`IPR|0_x0005_`BLA|F_x0005_`</t>
  </si>
  <si>
    <t>기타14</t>
  </si>
  <si>
    <t>C2_1</t>
  </si>
  <si>
    <t>_x0007_`JTYP|0_x0005_`ACTL|F_x0005_`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</si>
  <si>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</si>
  <si>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</si>
  <si>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</si>
  <si>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</si>
  <si>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</si>
  <si>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</si>
  <si>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</si>
  <si>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</si>
  <si>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건강보험료</t>
  </si>
  <si>
    <t>_x0007_`DTP|303_x0005_`QTY1|1_x0005_`BDC|_x0005_`SRE|SA_x0005_`</t>
  </si>
  <si>
    <t xml:space="preserve"> 5. 노인장기요양보험료</t>
  </si>
  <si>
    <t>_x0007_`DTP|310_x0005_`QTY1|1_x0005_`BDC|_x0005_`SRE|SA_x0005_`</t>
  </si>
  <si>
    <t xml:space="preserve"> 6. 연금보험료</t>
  </si>
  <si>
    <t>_x0007_`DTP|304_x0005_`QTY1|1_x0005_`BDC|_x0005_`SRE|SA_x0005_`</t>
  </si>
  <si>
    <t xml:space="preserve"> 7. 퇴직공제부금비</t>
  </si>
  <si>
    <t>_x0007_`DTP|305_x0005_`QTY1|1_x0005_`BDC|_x0005_`SRE|SA_x0005_`</t>
  </si>
  <si>
    <t xml:space="preserve"> 8. 산업안전보건관리비</t>
  </si>
  <si>
    <t>_x0007_`DTP|306_x0005_`QTY1|1_x0005_`BDC|_x0005_`SRE|SA_x0005_`</t>
  </si>
  <si>
    <t xml:space="preserve"> 9. 기타경비</t>
  </si>
  <si>
    <t>_x0007_`DTP|321_x0005_`QTY1|1_x0005_`BDC|_x0005_`SRE|SA_x0005_`</t>
  </si>
  <si>
    <t>10. 환경보전비</t>
  </si>
  <si>
    <t>_x0007_`DTP|309_x0005_`QTY1|1_x0005_`BDC|_x0005_`SRE|SA_x0005_`</t>
  </si>
  <si>
    <t>11. 건설기계대여금지급보증서수수료</t>
  </si>
  <si>
    <t>_x0007_`DTP|311_x0005_`QTY1|1_x0005_`BDC|_x0005_`SRE|SA_x0005_`</t>
  </si>
  <si>
    <t>12. 석면피해구제분담금</t>
  </si>
  <si>
    <t>_x0007_`DTP|322_x0005_`QTY1|1_x0005_`BDC|_x0005_`SRE|SA_x0005_`</t>
  </si>
  <si>
    <t>13. 임금채권부담금</t>
  </si>
  <si>
    <t>_x0007_`DTP|323_x0005_`QTY1|1_x0005_`BDC|_x0005_`SRE|SA_x0005_`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</si>
  <si>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</si>
  <si>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</si>
  <si>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</si>
  <si>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>14. 일반관리비</t>
  </si>
  <si>
    <t>_x0007_`DTP|401_x0005_`QTY1|1_x0005_`BDC|_x0005_`SRE|TA_x0005_`</t>
  </si>
  <si>
    <t xml:space="preserve">    다.</t>
  </si>
  <si>
    <t>_x0007_`DTP|410_x0005_`QTY1|1_x0005_`BDC|_x0005_`SRE|TA-F_x0005_`</t>
  </si>
  <si>
    <t>15. 이   윤</t>
  </si>
  <si>
    <t>_x0007_`DTP|402_x0005_`QTY1|1_x0005_`BDC|_x0005_`SRE|TA_x0005_`</t>
  </si>
  <si>
    <t xml:space="preserve">    라.</t>
  </si>
  <si>
    <t xml:space="preserve">    공급가액</t>
  </si>
  <si>
    <t>_x0007_`DTP|500_x0005_`QTY1|1_x0005_`BDC|_x0005_`SRE|TA-F_x0005_`</t>
  </si>
  <si>
    <t>16. 부가가치세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</si>
  <si>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</si>
  <si>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</si>
  <si>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</si>
  <si>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</si>
  <si>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>수정은 아래의 연두색 부분에</t>
  </si>
  <si>
    <t>공 사 원 가 계 산 서</t>
  </si>
  <si>
    <t>공사기간: 2026년00월 ~ 2026년00월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</si>
  <si>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</si>
  <si>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</si>
  <si>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</si>
  <si>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</si>
  <si>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</si>
  <si>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</si>
  <si>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</si>
  <si>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</si>
  <si>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</si>
  <si>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</si>
  <si>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</si>
  <si>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</si>
  <si>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</si>
  <si>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건  강  보  험  료</t>
  </si>
  <si>
    <t>노인장기요양보험료</t>
  </si>
  <si>
    <t>연  금  보  험  료</t>
  </si>
  <si>
    <t>퇴 직 공 제 부 금 비</t>
  </si>
  <si>
    <t>산업안전보건관리비</t>
  </si>
  <si>
    <t>기   타    경   비</t>
  </si>
  <si>
    <t>환  경  보  전  비</t>
  </si>
  <si>
    <t>건설기계대여금지급보증서수수료</t>
  </si>
  <si>
    <t>석면피해구제분담금</t>
  </si>
  <si>
    <t>임 금 채 권 부 담 금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</si>
  <si>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</si>
  <si>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</si>
  <si>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</si>
  <si>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</si>
  <si>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</si>
  <si>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총     공     사     비</t>
  </si>
  <si>
    <t>순 공 사 원 가</t>
  </si>
  <si>
    <t>일 위 대 가 표</t>
  </si>
  <si>
    <t xml:space="preserve"> 제    1 호표  라인가압펌프(일체형스텐레스)  2HP(25-200m)0.01-0.188㎥/min  /  대</t>
  </si>
  <si>
    <t>대가1</t>
  </si>
  <si>
    <t>B04896</t>
  </si>
  <si>
    <t>_x0007_`COD|B04777_x0005_`EXI|0_x0005_`DVD|F_x0005_`BMK| _x0005_`IPR|0_x0005_`BLA|F_x0005_`</t>
  </si>
  <si>
    <t>B04777_1</t>
  </si>
  <si>
    <t>대가2</t>
  </si>
  <si>
    <t>대가 655호표</t>
  </si>
  <si>
    <t>_x0007_`COD|M06651_x0005_`EXI|0_x0005_`DVD|F_x0005_`BMK| _x0005_`IPR|0_x0005_`KWN|0_x0005_`BLA|F_x0005_`</t>
  </si>
  <si>
    <t xml:space="preserve">자재40 </t>
  </si>
  <si>
    <t>T7_1</t>
  </si>
  <si>
    <t>B04897</t>
  </si>
  <si>
    <t>_x0007_`COD|B04778_x0005_`EXI|0_x0005_`DVD|F_x0005_`BMK| _x0005_`IPR|0_x0005_`BLA|F_x0005_`</t>
  </si>
  <si>
    <t>B04778_1</t>
  </si>
  <si>
    <t>대가3</t>
  </si>
  <si>
    <t>대가 658호표</t>
  </si>
  <si>
    <t>_x0007_`COD|M06652_x0005_`EXI|0_x0005_`DVD|F_x0005_`BMK| _x0005_`IPR|0_x0005_`KWN|0_x0005_`BLA|F_x0005_`</t>
  </si>
  <si>
    <t xml:space="preserve">자재42 </t>
  </si>
  <si>
    <t>B04898</t>
  </si>
  <si>
    <t>_x0007_`COD|B04779_x0005_`EXI|0_x0005_`DVD|F_x0005_`BMK| _x0005_`IPR|0_x0005_`BLA|F_x0005_`</t>
  </si>
  <si>
    <t>B04779_1</t>
  </si>
  <si>
    <t>대가4</t>
  </si>
  <si>
    <t>대가 661호표</t>
  </si>
  <si>
    <t>_x0007_`COD|M06653_x0005_`EXI|0_x0005_`DVD|F_x0005_`BMK| _x0005_`IPR|0_x0005_`KWN|0_x0005_`BLA|F_x0005_`</t>
  </si>
  <si>
    <t xml:space="preserve">자재45 </t>
  </si>
  <si>
    <t>B04899</t>
  </si>
  <si>
    <t>_x0007_`COD|B04780_x0005_`EXI|0_x0005_`DVD|F_x0005_`BMK| _x0005_`IPR|0_x0005_`BLA|F_x0005_`</t>
  </si>
  <si>
    <t>B04780_1</t>
  </si>
  <si>
    <t>대가5</t>
  </si>
  <si>
    <t>대가 664호표</t>
  </si>
  <si>
    <t>_x0007_`COD|M06654_x0005_`EXI|0_x0005_`DVD|F_x0005_`BMK| _x0005_`IPR|0_x0005_`KWN|0_x0005_`BLA|F_x0005_`</t>
  </si>
  <si>
    <t xml:space="preserve">자재47 </t>
  </si>
  <si>
    <t>B04900</t>
  </si>
  <si>
    <t>_x0007_`COD|B04781_x0005_`EXI|0_x0005_`DVD|F_x0005_`BMK| _x0005_`IPR|0_x0005_`BLA|F_x0005_`</t>
  </si>
  <si>
    <t>B04781_1</t>
  </si>
  <si>
    <t>대가6</t>
  </si>
  <si>
    <t>대가 667호표</t>
  </si>
  <si>
    <t>_x0007_`COD|M06655_x0005_`EXI|0_x0005_`DVD|F_x0005_`BMK| _x0005_`IPR|0_x0005_`KWN|0_x0005_`BLA|F_x0005_`</t>
  </si>
  <si>
    <t xml:space="preserve">자재35 </t>
  </si>
  <si>
    <t>B04901</t>
  </si>
  <si>
    <t>_x0007_`COD|B04782_x0005_`EXI|0_x0005_`DVD|F_x0005_`BMK| _x0005_`IPR|0_x0005_`BLA|F_x0005_`</t>
  </si>
  <si>
    <t>B04782_1</t>
  </si>
  <si>
    <t>대가7</t>
  </si>
  <si>
    <t>대가 670호표</t>
  </si>
  <si>
    <t>_x0007_`COD|M06656_x0005_`EXI|0_x0005_`DVD|F_x0005_`BMK| _x0005_`IPR|0_x0005_`KWN|0_x0005_`BLA|F_x0005_`</t>
  </si>
  <si>
    <t xml:space="preserve">자재37 </t>
  </si>
  <si>
    <t>B04902</t>
  </si>
  <si>
    <t>_x0007_`COD|B04783_x0005_`EXI|0_x0005_`DVD|F_x0005_`BMK| _x0005_`IPR|0_x0005_`BLA|F_x0005_`</t>
  </si>
  <si>
    <t>B04783_1</t>
  </si>
  <si>
    <t>대가8</t>
  </si>
  <si>
    <t>대가 673호표</t>
  </si>
  <si>
    <t>_x0007_`COD|M06657_x0005_`EXI|0_x0005_`DVD|F_x0005_`BMK| _x0005_`IPR|0_x0005_`KWN|0_x0005_`BLA|F_x0005_`</t>
  </si>
  <si>
    <t xml:space="preserve">자재38 </t>
  </si>
  <si>
    <t>B04903</t>
  </si>
  <si>
    <t>_x0007_`COD|B04784_x0005_`EXI|0_x0005_`DVD|F_x0005_`BMK| _x0005_`IPR|0_x0005_`BLA|F_x0005_`</t>
  </si>
  <si>
    <t>B04784_1</t>
  </si>
  <si>
    <t>대가9</t>
  </si>
  <si>
    <t>대가 676호표</t>
  </si>
  <si>
    <t>_x0007_`COD|M06659_x0005_`EXI|0_x0005_`DVD|F_x0005_`BMK| _x0005_`IPR|0_x0005_`KWN|0_x0005_`BLA|F_x0005_`</t>
  </si>
  <si>
    <t xml:space="preserve">자재41 </t>
  </si>
  <si>
    <t>B04904</t>
  </si>
  <si>
    <t>_x0007_`COD|B04785_x0005_`EXI|0_x0005_`DVD|F_x0005_`BMK| _x0005_`IPR|0_x0005_`BLA|F_x0005_`</t>
  </si>
  <si>
    <t>B04785_1</t>
  </si>
  <si>
    <t>대가10</t>
  </si>
  <si>
    <t>대가 679호표</t>
  </si>
  <si>
    <t>_x0007_`COD|M06660_x0005_`EXI|0_x0005_`DVD|F_x0005_`BMK| _x0005_`IPR|0_x0005_`KWN|0_x0005_`BLA|F_x0005_`</t>
  </si>
  <si>
    <t xml:space="preserve">자재43 </t>
  </si>
  <si>
    <t>B04905</t>
  </si>
  <si>
    <t>_x0007_`COD|B04786_x0005_`EXI|0_x0005_`DVD|F_x0005_`BMK| _x0005_`IPR|0_x0005_`BLA|F_x0005_`</t>
  </si>
  <si>
    <t>B04786_1</t>
  </si>
  <si>
    <t>대가11</t>
  </si>
  <si>
    <t>대가 682호표</t>
  </si>
  <si>
    <t>_x0007_`COD|M06661_x0005_`EXI|0_x0005_`DVD|F_x0005_`BMK| _x0005_`IPR|0_x0005_`KWN|0_x0005_`BLA|F_x0005_`</t>
  </si>
  <si>
    <t xml:space="preserve">자재44 </t>
  </si>
  <si>
    <t>B04906</t>
  </si>
  <si>
    <t>대가12</t>
  </si>
  <si>
    <t>_x0007_`COD|M06662_x0005_`EXI|0_x0005_`DVD|F_x0005_`BMK| _x0005_`IPR|0_x0005_`KWN|0_x0005_`BLA|F_x0005_`</t>
  </si>
  <si>
    <t xml:space="preserve">자재46 </t>
  </si>
  <si>
    <t>B04907</t>
  </si>
  <si>
    <t>_x0007_`COD|B04787_x0005_`EXI|0_x0005_`DVD|F_x0005_`BMK| _x0005_`IPR|0_x0005_`BLA|F_x0005_`</t>
  </si>
  <si>
    <t>B04787_1</t>
  </si>
  <si>
    <t>대가13</t>
  </si>
  <si>
    <t>대가 685호표</t>
  </si>
  <si>
    <t>_x0007_`COD|M06663_x0005_`EXI|0_x0005_`DVD|F_x0005_`BMK| _x0005_`IPR|0_x0005_`KWN|0_x0005_`BLA|F_x0005_`</t>
  </si>
  <si>
    <t xml:space="preserve">자재36 </t>
  </si>
  <si>
    <t>B05105</t>
  </si>
  <si>
    <t>대가14</t>
  </si>
  <si>
    <t>B05106</t>
  </si>
  <si>
    <t>대가15</t>
  </si>
  <si>
    <t>B05107</t>
  </si>
  <si>
    <t>대가16</t>
  </si>
  <si>
    <t>B05108</t>
  </si>
  <si>
    <t>대가17</t>
  </si>
  <si>
    <t>B05109</t>
  </si>
  <si>
    <t>대가18</t>
  </si>
  <si>
    <t>B05110</t>
  </si>
  <si>
    <t>대가19</t>
  </si>
  <si>
    <t>B05111</t>
  </si>
  <si>
    <t>대가20</t>
  </si>
  <si>
    <t>B05112</t>
  </si>
  <si>
    <t>대가21</t>
  </si>
  <si>
    <t>B05113</t>
  </si>
  <si>
    <t>대가22</t>
  </si>
  <si>
    <t>B05114</t>
  </si>
  <si>
    <t>대가23</t>
  </si>
  <si>
    <t>B05115</t>
  </si>
  <si>
    <t>대가24</t>
  </si>
  <si>
    <t>B05116</t>
  </si>
  <si>
    <t>대가25</t>
  </si>
  <si>
    <t>B05129</t>
  </si>
  <si>
    <t>적산정보 774P</t>
  </si>
  <si>
    <t>_x0007_`COD|_x0005_`EXI|1_x0005_`</t>
  </si>
  <si>
    <t>_1</t>
  </si>
  <si>
    <t xml:space="preserve">       </t>
  </si>
  <si>
    <t>_x0007_`COD|B04753_x0005_`EXI|0_x0005_`DVD|F_x0005_`BMK| _x0005_`IPR|0_x0005_`BLA|F_x0005_`</t>
  </si>
  <si>
    <t>B04753_1</t>
  </si>
  <si>
    <t>대가 657호표</t>
  </si>
  <si>
    <t>대가26</t>
  </si>
  <si>
    <t>B05130</t>
  </si>
  <si>
    <t>_x0007_`COD|B04754_x0005_`EXI|0_x0005_`DVD|F_x0005_`BMK| _x0005_`IPR|0_x0005_`BLA|F_x0005_`</t>
  </si>
  <si>
    <t>B04754_1</t>
  </si>
  <si>
    <t>대가 660호표</t>
  </si>
  <si>
    <t>대가27</t>
  </si>
  <si>
    <t>B05131</t>
  </si>
  <si>
    <t>대가28</t>
  </si>
  <si>
    <t>B05133</t>
  </si>
  <si>
    <t>대가29</t>
  </si>
  <si>
    <t>B05134</t>
  </si>
  <si>
    <t>대가30</t>
  </si>
  <si>
    <t>B05135</t>
  </si>
  <si>
    <t>대가31</t>
  </si>
  <si>
    <t>B05136</t>
  </si>
  <si>
    <t>대가32</t>
  </si>
  <si>
    <t>B05137</t>
  </si>
  <si>
    <t>대가33</t>
  </si>
  <si>
    <t>B05138</t>
  </si>
  <si>
    <t>대가34</t>
  </si>
  <si>
    <t>B05139</t>
  </si>
  <si>
    <t>대가35</t>
  </si>
  <si>
    <t>B05140</t>
  </si>
  <si>
    <t>대가36</t>
  </si>
  <si>
    <t>B05141</t>
  </si>
  <si>
    <t>_x0007_`COD|B04765_x0005_`EXI|0_x0005_`DVD|F_x0005_`BMK| _x0005_`IPR|0_x0005_`BLA|F_x0005_`</t>
  </si>
  <si>
    <t>B04765_1</t>
  </si>
  <si>
    <t>대가 656호표</t>
  </si>
  <si>
    <t>대가37</t>
  </si>
  <si>
    <t>B05142</t>
  </si>
  <si>
    <t>_x0007_`COD|B04766_x0005_`EXI|0_x0005_`DVD|F_x0005_`BMK| _x0005_`IPR|0_x0005_`BLA|F_x0005_`</t>
  </si>
  <si>
    <t>B04766_1</t>
  </si>
  <si>
    <t>대가 659호표</t>
  </si>
  <si>
    <t>대가38</t>
  </si>
  <si>
    <t>B05143</t>
  </si>
  <si>
    <t>_x0007_`COD|B04767_x0005_`EXI|0_x0005_`DVD|F_x0005_`BMK| _x0005_`IPR|0_x0005_`BLA|F_x0005_`</t>
  </si>
  <si>
    <t>B04767_1</t>
  </si>
  <si>
    <t>대가 662호표</t>
  </si>
  <si>
    <t>대가39</t>
  </si>
  <si>
    <t>B05144</t>
  </si>
  <si>
    <t>_x0007_`COD|B04768_x0005_`EXI|0_x0005_`DVD|F_x0005_`BMK| _x0005_`IPR|0_x0005_`BLA|F_x0005_`</t>
  </si>
  <si>
    <t>B04768_1</t>
  </si>
  <si>
    <t>대가 665호표</t>
  </si>
  <si>
    <t>대가40</t>
  </si>
  <si>
    <t>B05145</t>
  </si>
  <si>
    <t>_x0007_`COD|B04769_x0005_`EXI|0_x0005_`DVD|F_x0005_`BMK| _x0005_`IPR|0_x0005_`BLA|F_x0005_`</t>
  </si>
  <si>
    <t>B04769_1</t>
  </si>
  <si>
    <t>대가 668호표</t>
  </si>
  <si>
    <t>대가41</t>
  </si>
  <si>
    <t>B05146</t>
  </si>
  <si>
    <t>_x0007_`COD|B04770_x0005_`EXI|0_x0005_`DVD|F_x0005_`BMK| _x0005_`IPR|0_x0005_`BLA|F_x0005_`</t>
  </si>
  <si>
    <t>B04770_1</t>
  </si>
  <si>
    <t>대가 671호표</t>
  </si>
  <si>
    <t>대가42</t>
  </si>
  <si>
    <t>B05147</t>
  </si>
  <si>
    <t>_x0007_`COD|B04771_x0005_`EXI|0_x0005_`DVD|F_x0005_`BMK| _x0005_`IPR|0_x0005_`BLA|F_x0005_`</t>
  </si>
  <si>
    <t>B04771_1</t>
  </si>
  <si>
    <t>대가 674호표</t>
  </si>
  <si>
    <t>대가43</t>
  </si>
  <si>
    <t>B05148</t>
  </si>
  <si>
    <t>_x0007_`COD|B04772_x0005_`EXI|0_x0005_`DVD|F_x0005_`BMK| _x0005_`IPR|0_x0005_`BLA|F_x0005_`</t>
  </si>
  <si>
    <t>B04772_1</t>
  </si>
  <si>
    <t>대가 677호표</t>
  </si>
  <si>
    <t>대가44</t>
  </si>
  <si>
    <t>B05149</t>
  </si>
  <si>
    <t>_x0007_`COD|B04773_x0005_`EXI|0_x0005_`DVD|F_x0005_`BMK| _x0005_`IPR|0_x0005_`BLA|F_x0005_`</t>
  </si>
  <si>
    <t>B04773_1</t>
  </si>
  <si>
    <t>대가 680호표</t>
  </si>
  <si>
    <t>대가45</t>
  </si>
  <si>
    <t>B05150</t>
  </si>
  <si>
    <t>_x0007_`COD|B04774_x0005_`EXI|0_x0005_`DVD|F_x0005_`BMK| _x0005_`IPR|0_x0005_`BLA|F_x0005_`</t>
  </si>
  <si>
    <t>B04774_1</t>
  </si>
  <si>
    <t>대가 683호표</t>
  </si>
  <si>
    <t>대가46</t>
  </si>
  <si>
    <t>B05151</t>
  </si>
  <si>
    <t>대가47</t>
  </si>
  <si>
    <t>B05152</t>
  </si>
  <si>
    <t>_x0007_`COD|B04775_x0005_`EXI|0_x0005_`DVD|F_x0005_`BMK| _x0005_`IPR|0_x0005_`BLA|F_x0005_`</t>
  </si>
  <si>
    <t>B04775_1</t>
  </si>
  <si>
    <t>대가 686호표</t>
  </si>
  <si>
    <t>대가48</t>
  </si>
  <si>
    <t>B04908</t>
  </si>
  <si>
    <t>_x0007_`COD|M06467_x0005_`EXI|0_x0005_`DVD|F_x0005_`BMK| _x0005_`IPR|0_x0005_`KWN|0_x0005_`BLA|F_x0005_`</t>
  </si>
  <si>
    <t xml:space="preserve">자재53 </t>
  </si>
  <si>
    <t>대가49</t>
  </si>
  <si>
    <t>B04909</t>
  </si>
  <si>
    <t>_x0007_`COD|M06468_x0005_`EXI|0_x0005_`DVD|F_x0005_`BMK| _x0005_`IPR|0_x0005_`KWN|0_x0005_`BLA|F_x0005_`</t>
  </si>
  <si>
    <t xml:space="preserve">자재55 </t>
  </si>
  <si>
    <t>대가50</t>
  </si>
  <si>
    <t>B04910</t>
  </si>
  <si>
    <t>_x0007_`COD|M06469_x0005_`EXI|0_x0005_`DVD|F_x0005_`BMK| _x0005_`IPR|0_x0005_`KWN|0_x0005_`BLA|F_x0005_`</t>
  </si>
  <si>
    <t xml:space="preserve">자재58 </t>
  </si>
  <si>
    <t>대가51</t>
  </si>
  <si>
    <t>B04911</t>
  </si>
  <si>
    <t>_x0007_`COD|M06470_x0005_`EXI|0_x0005_`DVD|F_x0005_`BMK| _x0005_`IPR|0_x0005_`KWN|0_x0005_`BLA|F_x0005_`</t>
  </si>
  <si>
    <t xml:space="preserve">자재60 </t>
  </si>
  <si>
    <t>대가52</t>
  </si>
  <si>
    <t>B04912</t>
  </si>
  <si>
    <t>_x0007_`COD|M06471_x0005_`EXI|0_x0005_`DVD|F_x0005_`BMK| _x0005_`IPR|0_x0005_`KWN|0_x0005_`BLA|F_x0005_`</t>
  </si>
  <si>
    <t xml:space="preserve">자재48 </t>
  </si>
  <si>
    <t>대가53</t>
  </si>
  <si>
    <t>B04913</t>
  </si>
  <si>
    <t>_x0007_`COD|M06472_x0005_`EXI|0_x0005_`DVD|F_x0005_`BMK| _x0005_`IPR|0_x0005_`KWN|0_x0005_`BLA|F_x0005_`</t>
  </si>
  <si>
    <t xml:space="preserve">자재50 </t>
  </si>
  <si>
    <t>대가54</t>
  </si>
  <si>
    <t>B04914</t>
  </si>
  <si>
    <t>_x0007_`COD|M06473_x0005_`EXI|0_x0005_`DVD|F_x0005_`BMK| _x0005_`IPR|0_x0005_`KWN|0_x0005_`BLA|F_x0005_`</t>
  </si>
  <si>
    <t xml:space="preserve">자재51 </t>
  </si>
  <si>
    <t>대가55</t>
  </si>
  <si>
    <t>B04915</t>
  </si>
  <si>
    <t>_x0007_`COD|M06475_x0005_`EXI|0_x0005_`DVD|F_x0005_`BMK| _x0005_`IPR|0_x0005_`KWN|0_x0005_`BLA|F_x0005_`</t>
  </si>
  <si>
    <t xml:space="preserve">자재54 </t>
  </si>
  <si>
    <t>대가56</t>
  </si>
  <si>
    <t>B04916</t>
  </si>
  <si>
    <t>_x0007_`COD|M06476_x0005_`EXI|0_x0005_`DVD|F_x0005_`BMK| _x0005_`IPR|0_x0005_`KWN|0_x0005_`BLA|F_x0005_`</t>
  </si>
  <si>
    <t xml:space="preserve">자재56 </t>
  </si>
  <si>
    <t>대가57</t>
  </si>
  <si>
    <t>B04917</t>
  </si>
  <si>
    <t>_x0007_`COD|M06477_x0005_`EXI|0_x0005_`DVD|F_x0005_`BMK| _x0005_`IPR|0_x0005_`KWN|0_x0005_`BLA|F_x0005_`</t>
  </si>
  <si>
    <t xml:space="preserve">자재57 </t>
  </si>
  <si>
    <t>대가58</t>
  </si>
  <si>
    <t>B04918</t>
  </si>
  <si>
    <t>_x0007_`COD|M06478_x0005_`EXI|0_x0005_`DVD|F_x0005_`BMK| _x0005_`IPR|0_x0005_`KWN|0_x0005_`BLA|F_x0005_`</t>
  </si>
  <si>
    <t xml:space="preserve">자재59 </t>
  </si>
  <si>
    <t>대가59</t>
  </si>
  <si>
    <t>B04919</t>
  </si>
  <si>
    <t>_x0007_`COD|M06479_x0005_`EXI|0_x0005_`DVD|F_x0005_`BMK| _x0005_`IPR|0_x0005_`KWN|0_x0005_`BLA|F_x0005_`</t>
  </si>
  <si>
    <t xml:space="preserve">자재49 </t>
  </si>
  <si>
    <t>대가60</t>
  </si>
  <si>
    <t>B05117</t>
  </si>
  <si>
    <t>대가61</t>
  </si>
  <si>
    <t>B05118</t>
  </si>
  <si>
    <t>대가62</t>
  </si>
  <si>
    <t>B05119</t>
  </si>
  <si>
    <t>대가63</t>
  </si>
  <si>
    <t>B05120</t>
  </si>
  <si>
    <t>대가64</t>
  </si>
  <si>
    <t>B05121</t>
  </si>
  <si>
    <t>대가65</t>
  </si>
  <si>
    <t>B05122</t>
  </si>
  <si>
    <t>대가66</t>
  </si>
  <si>
    <t>B05123</t>
  </si>
  <si>
    <t>대가67</t>
  </si>
  <si>
    <t>B05124</t>
  </si>
  <si>
    <t>대가68</t>
  </si>
  <si>
    <t>B05125</t>
  </si>
  <si>
    <t>대가69</t>
  </si>
  <si>
    <t>B05126</t>
  </si>
  <si>
    <t>대가70</t>
  </si>
  <si>
    <t>B05127</t>
  </si>
  <si>
    <t>대가71</t>
  </si>
  <si>
    <t>B05128</t>
  </si>
  <si>
    <t>대가72</t>
  </si>
  <si>
    <t>B05153</t>
  </si>
  <si>
    <t>대가73</t>
  </si>
  <si>
    <t>B05154</t>
  </si>
  <si>
    <t>대가74</t>
  </si>
  <si>
    <t>B05155</t>
  </si>
  <si>
    <t>_x0007_`COD|B04755_x0005_`EXI|0_x0005_`DVD|F_x0005_`BMK| _x0005_`IPR|0_x0005_`BLA|F_x0005_`</t>
  </si>
  <si>
    <t>B04755_1</t>
  </si>
  <si>
    <t>대가 663호표</t>
  </si>
  <si>
    <t>대가75</t>
  </si>
  <si>
    <t>B05156</t>
  </si>
  <si>
    <t>_x0007_`COD|B04756_x0005_`EXI|0_x0005_`DVD|F_x0005_`BMK| _x0005_`IPR|0_x0005_`BLA|F_x0005_`</t>
  </si>
  <si>
    <t>B04756_1</t>
  </si>
  <si>
    <t>대가 666호표</t>
  </si>
  <si>
    <t>대가76</t>
  </si>
  <si>
    <t>B05157</t>
  </si>
  <si>
    <t>_x0007_`COD|B04757_x0005_`EXI|0_x0005_`DVD|F_x0005_`BMK| _x0005_`IPR|0_x0005_`BLA|F_x0005_`</t>
  </si>
  <si>
    <t>B04757_1</t>
  </si>
  <si>
    <t>대가 669호표</t>
  </si>
  <si>
    <t>대가77</t>
  </si>
  <si>
    <t>B05158</t>
  </si>
  <si>
    <t>_x0007_`COD|B04758_x0005_`EXI|0_x0005_`DVD|F_x0005_`BMK| _x0005_`IPR|0_x0005_`BLA|F_x0005_`</t>
  </si>
  <si>
    <t>B04758_1</t>
  </si>
  <si>
    <t>대가 672호표</t>
  </si>
  <si>
    <t>대가78</t>
  </si>
  <si>
    <t>B05159</t>
  </si>
  <si>
    <t>_x0007_`COD|B04759_x0005_`EXI|0_x0005_`DVD|F_x0005_`BMK| _x0005_`IPR|0_x0005_`BLA|F_x0005_`</t>
  </si>
  <si>
    <t>B04759_1</t>
  </si>
  <si>
    <t>대가 675호표</t>
  </si>
  <si>
    <t>대가79</t>
  </si>
  <si>
    <t>B05160</t>
  </si>
  <si>
    <t>_x0007_`COD|B04760_x0005_`EXI|0_x0005_`DVD|F_x0005_`BMK| _x0005_`IPR|0_x0005_`BLA|F_x0005_`</t>
  </si>
  <si>
    <t>B04760_1</t>
  </si>
  <si>
    <t>대가 678호표</t>
  </si>
  <si>
    <t>대가80</t>
  </si>
  <si>
    <t>B05161</t>
  </si>
  <si>
    <t>_x0007_`COD|B04761_x0005_`EXI|0_x0005_`DVD|F_x0005_`BMK| _x0005_`IPR|0_x0005_`BLA|F_x0005_`</t>
  </si>
  <si>
    <t>B04761_1</t>
  </si>
  <si>
    <t>대가 681호표</t>
  </si>
  <si>
    <t>대가81</t>
  </si>
  <si>
    <t>B05162</t>
  </si>
  <si>
    <t>_x0007_`COD|B04762_x0005_`EXI|0_x0005_`DVD|F_x0005_`BMK| _x0005_`IPR|0_x0005_`BLA|F_x0005_`</t>
  </si>
  <si>
    <t>B04762_1</t>
  </si>
  <si>
    <t>대가 684호표</t>
  </si>
  <si>
    <t>대가82</t>
  </si>
  <si>
    <t>B05163</t>
  </si>
  <si>
    <t>대가83</t>
  </si>
  <si>
    <t>B05164</t>
  </si>
  <si>
    <t>_x0007_`COD|B04763_x0005_`EXI|0_x0005_`DVD|F_x0005_`BMK| _x0005_`IPR|0_x0005_`BLA|F_x0005_`</t>
  </si>
  <si>
    <t>B04763_1</t>
  </si>
  <si>
    <t>대가 687호표</t>
  </si>
  <si>
    <t>대가84</t>
  </si>
  <si>
    <t>B05165</t>
  </si>
  <si>
    <t>대가85</t>
  </si>
  <si>
    <t>B05166</t>
  </si>
  <si>
    <t>대가86</t>
  </si>
  <si>
    <t>B05167</t>
  </si>
  <si>
    <t>대가87</t>
  </si>
  <si>
    <t>B05168</t>
  </si>
  <si>
    <t>대가88</t>
  </si>
  <si>
    <t>B05169</t>
  </si>
  <si>
    <t>대가89</t>
  </si>
  <si>
    <t>B05170</t>
  </si>
  <si>
    <t>대가90</t>
  </si>
  <si>
    <t>B05171</t>
  </si>
  <si>
    <t>대가91</t>
  </si>
  <si>
    <t>B05172</t>
  </si>
  <si>
    <t>대가92</t>
  </si>
  <si>
    <t>B05173</t>
  </si>
  <si>
    <t>대가93</t>
  </si>
  <si>
    <t>B05174</t>
  </si>
  <si>
    <t>대가94</t>
  </si>
  <si>
    <t>B05175</t>
  </si>
  <si>
    <t>대가95</t>
  </si>
  <si>
    <t>B05176</t>
  </si>
  <si>
    <t>대가96</t>
  </si>
  <si>
    <t>B04920</t>
  </si>
  <si>
    <t>_x0007_`COD|B04921_x0005_`EXI|0_x0005_`DVD|F_x0005_`BMK| _x0005_`IPR|0_x0005_`BLA|F_x0005_`</t>
  </si>
  <si>
    <t>_x0007_`COD|M06480_x0005_`EXI|0_x0005_`DVD|F_x0005_`BMK| _x0005_`IPR|0_x0005_`KWN|0_x0005_`BLA|F_x0005_`</t>
  </si>
  <si>
    <t>M06480_1</t>
  </si>
  <si>
    <t xml:space="preserve">자재148 </t>
  </si>
  <si>
    <t>대가97</t>
  </si>
  <si>
    <t>B04922</t>
  </si>
  <si>
    <t>_x0007_`COD|M06481_x0005_`EXI|0_x0005_`DVD|F_x0005_`BMK| _x0005_`IPR|0_x0005_`KWN|0_x0005_`BLA|F_x0005_`</t>
  </si>
  <si>
    <t xml:space="preserve">자재150 </t>
  </si>
  <si>
    <t>대가98</t>
  </si>
  <si>
    <t>B04923</t>
  </si>
  <si>
    <t>_x0007_`COD|B04813_x0005_`EXI|0_x0005_`DVD|F_x0005_`BMK| _x0005_`IPR|0_x0005_`BLA|F_x0005_`</t>
  </si>
  <si>
    <t>_x0007_`COD|M06482_x0005_`EXI|0_x0005_`DVD|F_x0005_`BMK| _x0005_`IPR|0_x0005_`KWN|0_x0005_`BLA|F_x0005_`</t>
  </si>
  <si>
    <t xml:space="preserve">자재153 </t>
  </si>
  <si>
    <t>대가99</t>
  </si>
  <si>
    <t>B04924</t>
  </si>
  <si>
    <t>_x0007_`COD|B04814_x0005_`EXI|0_x0005_`DVD|F_x0005_`BMK| _x0005_`IPR|0_x0005_`BLA|F_x0005_`</t>
  </si>
  <si>
    <t>_x0007_`COD|M06483_x0005_`EXI|0_x0005_`DVD|F_x0005_`BMK| _x0005_`IPR|0_x0005_`KWN|0_x0005_`BLA|F_x0005_`</t>
  </si>
  <si>
    <t xml:space="preserve">자재155 </t>
  </si>
  <si>
    <t>대가100</t>
  </si>
  <si>
    <t>B04925</t>
  </si>
  <si>
    <t>_x0007_`COD|B04815_x0005_`EXI|0_x0005_`DVD|F_x0005_`BMK| _x0005_`IPR|0_x0005_`BLA|F_x0005_`</t>
  </si>
  <si>
    <t>_x0007_`COD|M06484_x0005_`EXI|0_x0005_`DVD|F_x0005_`BMK| _x0005_`IPR|0_x0005_`KWN|0_x0005_`BLA|F_x0005_`</t>
  </si>
  <si>
    <t xml:space="preserve">자재143 </t>
  </si>
  <si>
    <t>대가101</t>
  </si>
  <si>
    <t>B04927</t>
  </si>
  <si>
    <t>_x0007_`COD|B04817_x0005_`EXI|0_x0005_`DVD|F_x0005_`BMK| _x0005_`IPR|0_x0005_`BLA|F_x0005_`</t>
  </si>
  <si>
    <t>_x0007_`COD|M06486_x0005_`EXI|0_x0005_`DVD|F_x0005_`BMK| _x0005_`IPR|0_x0005_`KWN|0_x0005_`BLA|F_x0005_`</t>
  </si>
  <si>
    <t xml:space="preserve">자재146 </t>
  </si>
  <si>
    <t>대가102</t>
  </si>
  <si>
    <t>B04928</t>
  </si>
  <si>
    <t>_x0007_`COD|M06487_x0005_`EXI|0_x0005_`DVD|F_x0005_`BMK| _x0005_`IPR|0_x0005_`KWN|0_x0005_`BLA|F_x0005_`</t>
  </si>
  <si>
    <t xml:space="preserve">자재147 </t>
  </si>
  <si>
    <t>대가103</t>
  </si>
  <si>
    <t>B04929</t>
  </si>
  <si>
    <t>_x0007_`COD|B04818_x0005_`EXI|0_x0005_`DVD|F_x0005_`BMK| _x0005_`IPR|0_x0005_`BLA|F_x0005_`</t>
  </si>
  <si>
    <t>_x0007_`COD|M06488_x0005_`EXI|0_x0005_`DVD|F_x0005_`BMK| _x0005_`IPR|0_x0005_`KWN|0_x0005_`BLA|F_x0005_`</t>
  </si>
  <si>
    <t xml:space="preserve">자재149 </t>
  </si>
  <si>
    <t>대가104</t>
  </si>
  <si>
    <t>B04930</t>
  </si>
  <si>
    <t>_x0007_`COD|B04819_x0005_`EXI|0_x0005_`DVD|F_x0005_`BMK| _x0005_`IPR|0_x0005_`BLA|F_x0005_`</t>
  </si>
  <si>
    <t>_x0007_`COD|M06489_x0005_`EXI|0_x0005_`DVD|F_x0005_`BMK| _x0005_`IPR|0_x0005_`KWN|0_x0005_`BLA|F_x0005_`</t>
  </si>
  <si>
    <t xml:space="preserve">자재151 </t>
  </si>
  <si>
    <t>대가105</t>
  </si>
  <si>
    <t>B04931</t>
  </si>
  <si>
    <t>_x0007_`COD|B04820_x0005_`EXI|0_x0005_`DVD|F_x0005_`BMK| _x0005_`IPR|0_x0005_`BLA|F_x0005_`</t>
  </si>
  <si>
    <t>_x0007_`COD|M06490_x0005_`EXI|0_x0005_`DVD|F_x0005_`BMK| _x0005_`IPR|0_x0005_`KWN|0_x0005_`BLA|F_x0005_`</t>
  </si>
  <si>
    <t xml:space="preserve">자재152 </t>
  </si>
  <si>
    <t>대가106</t>
  </si>
  <si>
    <t>B04932</t>
  </si>
  <si>
    <t>_x0007_`COD|B04821_x0005_`EXI|0_x0005_`DVD|F_x0005_`BMK| _x0005_`IPR|0_x0005_`BLA|F_x0005_`</t>
  </si>
  <si>
    <t>_x0007_`COD|M06491_x0005_`EXI|0_x0005_`DVD|F_x0005_`BMK| _x0005_`IPR|0_x0005_`KWN|0_x0005_`BLA|F_x0005_`</t>
  </si>
  <si>
    <t xml:space="preserve">자재154 </t>
  </si>
  <si>
    <t>대가107</t>
  </si>
  <si>
    <t>B04933</t>
  </si>
  <si>
    <t>_x0007_`COD|B04823_x0005_`EXI|0_x0005_`DVD|F_x0005_`BMK| _x0005_`IPR|0_x0005_`BLA|F_x0005_`</t>
  </si>
  <si>
    <t>_x0007_`COD|M06492_x0005_`EXI|0_x0005_`DVD|F_x0005_`BMK| _x0005_`IPR|0_x0005_`KWN|0_x0005_`BLA|F_x0005_`</t>
  </si>
  <si>
    <t xml:space="preserve">자재144 </t>
  </si>
  <si>
    <t>대가108</t>
  </si>
  <si>
    <t>B05177</t>
  </si>
  <si>
    <t>대가109</t>
  </si>
  <si>
    <t>B05178</t>
  </si>
  <si>
    <t>대가110</t>
  </si>
  <si>
    <t>B05179</t>
  </si>
  <si>
    <t>대가111</t>
  </si>
  <si>
    <t>B05180</t>
  </si>
  <si>
    <t>대가112</t>
  </si>
  <si>
    <t>B05181</t>
  </si>
  <si>
    <t>대가113</t>
  </si>
  <si>
    <t>B05182</t>
  </si>
  <si>
    <t>_x0007_`COD|B04816_x0005_`EXI|0_x0005_`DVD|F_x0005_`BMK| _x0005_`IPR|0_x0005_`BLA|F_x0005_`</t>
  </si>
  <si>
    <t>대가114</t>
  </si>
  <si>
    <t>B05183</t>
  </si>
  <si>
    <t>대가115</t>
  </si>
  <si>
    <t>B05184</t>
  </si>
  <si>
    <t>대가116</t>
  </si>
  <si>
    <t>B05185</t>
  </si>
  <si>
    <t>대가117</t>
  </si>
  <si>
    <t>B05186</t>
  </si>
  <si>
    <t>대가118</t>
  </si>
  <si>
    <t>B05187</t>
  </si>
  <si>
    <t>대가119</t>
  </si>
  <si>
    <t>B05188</t>
  </si>
  <si>
    <t>대가120</t>
  </si>
  <si>
    <t>B05189</t>
  </si>
  <si>
    <t>_x0007_`COD|B04788_x0005_`EXI|0_x0005_`DVD|F_x0005_`BMK| _x0005_`IPR|0_x0005_`BLA|F_x0005_`</t>
  </si>
  <si>
    <t>대가121</t>
  </si>
  <si>
    <t>B05190</t>
  </si>
  <si>
    <t>대가122</t>
  </si>
  <si>
    <t>B05191</t>
  </si>
  <si>
    <t>_x0007_`COD|B04789_x0005_`EXI|0_x0005_`DVD|F_x0005_`BMK| _x0005_`IPR|0_x0005_`BLA|F_x0005_`</t>
  </si>
  <si>
    <t>대가123</t>
  </si>
  <si>
    <t>B05192</t>
  </si>
  <si>
    <t>_x0007_`COD|B04790_x0005_`EXI|0_x0005_`DVD|F_x0005_`BMK| _x0005_`IPR|0_x0005_`BLA|F_x0005_`</t>
  </si>
  <si>
    <t>대가124</t>
  </si>
  <si>
    <t>B05193</t>
  </si>
  <si>
    <t>_x0007_`COD|B04791_x0005_`EXI|0_x0005_`DVD|F_x0005_`BMK| _x0005_`IPR|0_x0005_`BLA|F_x0005_`</t>
  </si>
  <si>
    <t>대가125</t>
  </si>
  <si>
    <t>B05195</t>
  </si>
  <si>
    <t>_x0007_`COD|B04792_x0005_`EXI|0_x0005_`DVD|F_x0005_`BMK| _x0005_`IPR|0_x0005_`BLA|F_x0005_`</t>
  </si>
  <si>
    <t>대가126</t>
  </si>
  <si>
    <t>B05196</t>
  </si>
  <si>
    <t>_x0007_`COD|B04793_x0005_`EXI|0_x0005_`DVD|F_x0005_`BMK| _x0005_`IPR|0_x0005_`BLA|F_x0005_`</t>
  </si>
  <si>
    <t>대가127</t>
  </si>
  <si>
    <t>B05197</t>
  </si>
  <si>
    <t>_x0007_`COD|B04794_x0005_`EXI|0_x0005_`DVD|F_x0005_`BMK| _x0005_`IPR|0_x0005_`BLA|F_x0005_`</t>
  </si>
  <si>
    <t>대가128</t>
  </si>
  <si>
    <t>B05198</t>
  </si>
  <si>
    <t>_x0007_`COD|B04795_x0005_`EXI|0_x0005_`DVD|F_x0005_`BMK| _x0005_`IPR|0_x0005_`BLA|F_x0005_`</t>
  </si>
  <si>
    <t>대가129</t>
  </si>
  <si>
    <t>B05199</t>
  </si>
  <si>
    <t>_x0007_`COD|B04796_x0005_`EXI|0_x0005_`DVD|F_x0005_`BMK| _x0005_`IPR|0_x0005_`BLA|F_x0005_`</t>
  </si>
  <si>
    <t>대가130</t>
  </si>
  <si>
    <t>B05200</t>
  </si>
  <si>
    <t>_x0007_`COD|B04797_x0005_`EXI|0_x0005_`DVD|F_x0005_`BMK| _x0005_`IPR|0_x0005_`BLA|F_x0005_`</t>
  </si>
  <si>
    <t>대가131</t>
  </si>
  <si>
    <t>B05194</t>
  </si>
  <si>
    <t>_x0007_`COD|B04799_x0005_`EXI|0_x0005_`DVD|F_x0005_`BMK| _x0005_`IPR|0_x0005_`BLA|F_x0005_`</t>
  </si>
  <si>
    <t>대가132</t>
  </si>
  <si>
    <t>B05201</t>
  </si>
  <si>
    <t>_x0007_`COD|B04800_x0005_`EXI|0_x0005_`DVD|F_x0005_`BMK| _x0005_`IPR|0_x0005_`BLA|F_x0005_`</t>
  </si>
  <si>
    <t>대가133</t>
  </si>
  <si>
    <t>B05202</t>
  </si>
  <si>
    <t>대가134</t>
  </si>
  <si>
    <t>B05203</t>
  </si>
  <si>
    <t>_x0007_`COD|B04801_x0005_`EXI|0_x0005_`DVD|F_x0005_`BMK| _x0005_`IPR|0_x0005_`BLA|F_x0005_`</t>
  </si>
  <si>
    <t>대가135</t>
  </si>
  <si>
    <t>B05204</t>
  </si>
  <si>
    <t>_x0007_`COD|B04802_x0005_`EXI|0_x0005_`DVD|F_x0005_`BMK| _x0005_`IPR|0_x0005_`BLA|F_x0005_`</t>
  </si>
  <si>
    <t>대가136</t>
  </si>
  <si>
    <t>B05205</t>
  </si>
  <si>
    <t>_x0007_`COD|B04803_x0005_`EXI|0_x0005_`DVD|F_x0005_`BMK| _x0005_`IPR|0_x0005_`BLA|F_x0005_`</t>
  </si>
  <si>
    <t>대가137</t>
  </si>
  <si>
    <t>B05206</t>
  </si>
  <si>
    <t>_x0007_`COD|B04804_x0005_`EXI|0_x0005_`DVD|F_x0005_`BMK| _x0005_`IPR|0_x0005_`BLA|F_x0005_`</t>
  </si>
  <si>
    <t>대가138</t>
  </si>
  <si>
    <t>B05207</t>
  </si>
  <si>
    <t>_x0007_`COD|B04805_x0005_`EXI|0_x0005_`DVD|F_x0005_`BMK| _x0005_`IPR|0_x0005_`BLA|F_x0005_`</t>
  </si>
  <si>
    <t>대가139</t>
  </si>
  <si>
    <t>B05208</t>
  </si>
  <si>
    <t>_x0007_`COD|B04806_x0005_`EXI|0_x0005_`DVD|F_x0005_`BMK| _x0005_`IPR|0_x0005_`BLA|F_x0005_`</t>
  </si>
  <si>
    <t>대가140</t>
  </si>
  <si>
    <t>B05209</t>
  </si>
  <si>
    <t>_x0007_`COD|B04807_x0005_`EXI|0_x0005_`DVD|F_x0005_`BMK| _x0005_`IPR|0_x0005_`BLA|F_x0005_`</t>
  </si>
  <si>
    <t>대가141</t>
  </si>
  <si>
    <t>B05210</t>
  </si>
  <si>
    <t>_x0007_`COD|B04808_x0005_`EXI|0_x0005_`DVD|F_x0005_`BMK| _x0005_`IPR|0_x0005_`BLA|F_x0005_`</t>
  </si>
  <si>
    <t>대가142</t>
  </si>
  <si>
    <t>B05211</t>
  </si>
  <si>
    <t>_x0007_`COD|B04809_x0005_`EXI|0_x0005_`DVD|F_x0005_`BMK| _x0005_`IPR|0_x0005_`BLA|F_x0005_`</t>
  </si>
  <si>
    <t>대가143</t>
  </si>
  <si>
    <t>B05212</t>
  </si>
  <si>
    <t>_x0007_`COD|B04811_x0005_`EXI|0_x0005_`DVD|F_x0005_`BMK| _x0005_`IPR|0_x0005_`BLA|F_x0005_`</t>
  </si>
  <si>
    <t>대가144</t>
  </si>
  <si>
    <t>B04934</t>
  </si>
  <si>
    <t>_x0007_`COD|M06493_x0005_`EXI|0_x0005_`DVD|F_x0005_`BMK| _x0005_`IPR|0_x0005_`KWN|0_x0005_`BLA|F_x0005_`</t>
  </si>
  <si>
    <t xml:space="preserve">자재161 </t>
  </si>
  <si>
    <t>대가145</t>
  </si>
  <si>
    <t>B04935</t>
  </si>
  <si>
    <t>_x0007_`COD|M06494_x0005_`EXI|0_x0005_`DVD|F_x0005_`BMK| _x0005_`IPR|0_x0005_`KWN|0_x0005_`BLA|F_x0005_`</t>
  </si>
  <si>
    <t xml:space="preserve">자재163 </t>
  </si>
  <si>
    <t>대가146</t>
  </si>
  <si>
    <t>B04936</t>
  </si>
  <si>
    <t>_x0007_`COD|M06495_x0005_`EXI|0_x0005_`DVD|F_x0005_`BMK| _x0005_`IPR|0_x0005_`KWN|0_x0005_`BLA|F_x0005_`</t>
  </si>
  <si>
    <t xml:space="preserve">자재166 </t>
  </si>
  <si>
    <t>대가147</t>
  </si>
  <si>
    <t>B04937</t>
  </si>
  <si>
    <t>_x0007_`COD|M06496_x0005_`EXI|0_x0005_`DVD|F_x0005_`BMK| _x0005_`IPR|0_x0005_`KWN|0_x0005_`BLA|F_x0005_`</t>
  </si>
  <si>
    <t xml:space="preserve">자재168 </t>
  </si>
  <si>
    <t>대가148</t>
  </si>
  <si>
    <t>B04938</t>
  </si>
  <si>
    <t>_x0007_`COD|M06664_x0005_`EXI|0_x0005_`DVD|F_x0005_`BMK| _x0005_`IPR|0_x0005_`KWN|0_x0005_`BLA|F_x0005_`</t>
  </si>
  <si>
    <t xml:space="preserve">자재156 </t>
  </si>
  <si>
    <t>대가149</t>
  </si>
  <si>
    <t>B04939</t>
  </si>
  <si>
    <t>_x0007_`COD|M06497_x0005_`EXI|0_x0005_`DVD|F_x0005_`BMK| _x0005_`IPR|0_x0005_`KWN|0_x0005_`BLA|F_x0005_`</t>
  </si>
  <si>
    <t xml:space="preserve">자재158 </t>
  </si>
  <si>
    <t>대가150</t>
  </si>
  <si>
    <t>B04940</t>
  </si>
  <si>
    <t>_x0007_`COD|M06498_x0005_`EXI|0_x0005_`DVD|F_x0005_`BMK| _x0005_`IPR|0_x0005_`KWN|0_x0005_`BLA|F_x0005_`</t>
  </si>
  <si>
    <t xml:space="preserve">자재159 </t>
  </si>
  <si>
    <t>대가151</t>
  </si>
  <si>
    <t>B04941</t>
  </si>
  <si>
    <t>_x0007_`COD|M06499_x0005_`EXI|0_x0005_`DVD|F_x0005_`BMK| _x0005_`IPR|0_x0005_`KWN|0_x0005_`BLA|F_x0005_`</t>
  </si>
  <si>
    <t xml:space="preserve">자재160 </t>
  </si>
  <si>
    <t>대가152</t>
  </si>
  <si>
    <t>B04942</t>
  </si>
  <si>
    <t>_x0007_`COD|M06500_x0005_`EXI|0_x0005_`DVD|F_x0005_`BMK| _x0005_`IPR|0_x0005_`KWN|0_x0005_`BLA|F_x0005_`</t>
  </si>
  <si>
    <t xml:space="preserve">자재162 </t>
  </si>
  <si>
    <t>대가153</t>
  </si>
  <si>
    <t>B04943</t>
  </si>
  <si>
    <t>_x0007_`COD|M06501_x0005_`EXI|0_x0005_`DVD|F_x0005_`BMK| _x0005_`IPR|0_x0005_`KWN|0_x0005_`BLA|F_x0005_`</t>
  </si>
  <si>
    <t xml:space="preserve">자재164 </t>
  </si>
  <si>
    <t>대가154</t>
  </si>
  <si>
    <t>B04944</t>
  </si>
  <si>
    <t>_x0007_`COD|M06502_x0005_`EXI|0_x0005_`DVD|F_x0005_`BMK| _x0005_`IPR|0_x0005_`KWN|0_x0005_`BLA|F_x0005_`</t>
  </si>
  <si>
    <t xml:space="preserve">자재165 </t>
  </si>
  <si>
    <t>대가155</t>
  </si>
  <si>
    <t>B04945</t>
  </si>
  <si>
    <t>_x0007_`COD|M06503_x0005_`EXI|0_x0005_`DVD|F_x0005_`BMK| _x0005_`IPR|0_x0005_`KWN|0_x0005_`BLA|F_x0005_`</t>
  </si>
  <si>
    <t xml:space="preserve">자재167 </t>
  </si>
  <si>
    <t>대가156</t>
  </si>
  <si>
    <t>B04946</t>
  </si>
  <si>
    <t>_x0007_`COD|M06504_x0005_`EXI|0_x0005_`DVD|F_x0005_`BMK| _x0005_`IPR|0_x0005_`KWN|0_x0005_`BLA|F_x0005_`</t>
  </si>
  <si>
    <t xml:space="preserve">자재157 </t>
  </si>
  <si>
    <t>대가157</t>
  </si>
  <si>
    <t>B05213</t>
  </si>
  <si>
    <t>대가158</t>
  </si>
  <si>
    <t>B05214</t>
  </si>
  <si>
    <t>대가159</t>
  </si>
  <si>
    <t>B05215</t>
  </si>
  <si>
    <t>대가160</t>
  </si>
  <si>
    <t>B05217</t>
  </si>
  <si>
    <t>대가161</t>
  </si>
  <si>
    <t>B05218</t>
  </si>
  <si>
    <t>대가162</t>
  </si>
  <si>
    <t>B05219</t>
  </si>
  <si>
    <t>대가163</t>
  </si>
  <si>
    <t>B05220</t>
  </si>
  <si>
    <t>대가164</t>
  </si>
  <si>
    <t>B05221</t>
  </si>
  <si>
    <t>대가165</t>
  </si>
  <si>
    <t>B05222</t>
  </si>
  <si>
    <t>대가166</t>
  </si>
  <si>
    <t>B05223</t>
  </si>
  <si>
    <t>대가167</t>
  </si>
  <si>
    <t>B05224</t>
  </si>
  <si>
    <t>대가168</t>
  </si>
  <si>
    <t>B05225</t>
  </si>
  <si>
    <t>대가169</t>
  </si>
  <si>
    <t>B05226</t>
  </si>
  <si>
    <t>대가170</t>
  </si>
  <si>
    <t>B05227</t>
  </si>
  <si>
    <t>대가171</t>
  </si>
  <si>
    <t>B05228</t>
  </si>
  <si>
    <t>대가172</t>
  </si>
  <si>
    <t>B05216</t>
  </si>
  <si>
    <t>대가173</t>
  </si>
  <si>
    <t>B05229</t>
  </si>
  <si>
    <t>대가174</t>
  </si>
  <si>
    <t>B05230</t>
  </si>
  <si>
    <t>대가175</t>
  </si>
  <si>
    <t>B05231</t>
  </si>
  <si>
    <t>대가176</t>
  </si>
  <si>
    <t>B05232</t>
  </si>
  <si>
    <t>대가177</t>
  </si>
  <si>
    <t>B05233</t>
  </si>
  <si>
    <t>대가178</t>
  </si>
  <si>
    <t>B05234</t>
  </si>
  <si>
    <t>대가179</t>
  </si>
  <si>
    <t>B05236</t>
  </si>
  <si>
    <t>대가180</t>
  </si>
  <si>
    <t>B05237</t>
  </si>
  <si>
    <t>대가181</t>
  </si>
  <si>
    <t>B05238</t>
  </si>
  <si>
    <t>대가182</t>
  </si>
  <si>
    <t>B05239</t>
  </si>
  <si>
    <t>대가183</t>
  </si>
  <si>
    <t>B05240</t>
  </si>
  <si>
    <t>대가184</t>
  </si>
  <si>
    <t>B05241</t>
  </si>
  <si>
    <t>대가185</t>
  </si>
  <si>
    <t>B05242</t>
  </si>
  <si>
    <t>대가186</t>
  </si>
  <si>
    <t>B05244</t>
  </si>
  <si>
    <t>대가187</t>
  </si>
  <si>
    <t>B05245</t>
  </si>
  <si>
    <t>대가188</t>
  </si>
  <si>
    <t>B05246</t>
  </si>
  <si>
    <t>대가189</t>
  </si>
  <si>
    <t>B05247</t>
  </si>
  <si>
    <t>대가190</t>
  </si>
  <si>
    <t>B05248</t>
  </si>
  <si>
    <t>대가191</t>
  </si>
  <si>
    <t>B05235</t>
  </si>
  <si>
    <t>대가192</t>
  </si>
  <si>
    <t>B05250</t>
  </si>
  <si>
    <t>대가193</t>
  </si>
  <si>
    <t>B05251</t>
  </si>
  <si>
    <t>대가194</t>
  </si>
  <si>
    <t>B05252</t>
  </si>
  <si>
    <t>대가195</t>
  </si>
  <si>
    <t>B05253</t>
  </si>
  <si>
    <t>대가196</t>
  </si>
  <si>
    <t>B05060</t>
  </si>
  <si>
    <t>_x0007_`COD|B04776_x0005_`EXI|0_x0005_`DVD|F_x0005_`BMK| _x0005_`IPR|0_x0005_`BLA|F_x0005_`</t>
  </si>
  <si>
    <t>B04776_1</t>
  </si>
  <si>
    <t>대가 688호표</t>
  </si>
  <si>
    <t>_x0007_`COD|M06844_x0005_`EXI|0_x0005_`DVD|F_x0005_`BMK| _x0005_`IPR|0_x0005_`KWN|0_x0005_`BLA|F_x0005_`</t>
  </si>
  <si>
    <t xml:space="preserve">자재2 </t>
  </si>
  <si>
    <t>대가197</t>
  </si>
  <si>
    <t>B04947</t>
  </si>
  <si>
    <t>_x0007_`COD|M06505_x0005_`EXI|0_x0005_`DVD|F_x0005_`BMK| _x0005_`IPR|0_x0005_`KWN|0_x0005_`BLA|F_x0005_`</t>
  </si>
  <si>
    <t xml:space="preserve">자재4 </t>
  </si>
  <si>
    <t>대가198</t>
  </si>
  <si>
    <t>B05061</t>
  </si>
  <si>
    <t>_x0007_`COD|M06686_x0005_`EXI|0_x0005_`DVD|F_x0005_`BMK| _x0005_`IPR|0_x0005_`KWN|0_x0005_`BLA|F_x0005_`</t>
  </si>
  <si>
    <t xml:space="preserve">자재3 </t>
  </si>
  <si>
    <t>대가199</t>
  </si>
  <si>
    <t>B05062</t>
  </si>
  <si>
    <t>_x0007_`COD|M06687_x0005_`EXI|0_x0005_`DVD|F_x0005_`BMK| _x0005_`IPR|0_x0005_`KWN|0_x0005_`BLA|F_x0005_`</t>
  </si>
  <si>
    <t xml:space="preserve">자재358 </t>
  </si>
  <si>
    <t>대가200</t>
  </si>
  <si>
    <t>B05243</t>
  </si>
  <si>
    <t>대가201</t>
  </si>
  <si>
    <t>B05254</t>
  </si>
  <si>
    <t>대가202</t>
  </si>
  <si>
    <t>B05249</t>
  </si>
  <si>
    <t>대가203</t>
  </si>
  <si>
    <t>B05255</t>
  </si>
  <si>
    <t>대가204</t>
  </si>
  <si>
    <t>B05256</t>
  </si>
  <si>
    <t>_x0007_`COD|B04752_x0005_`EXI|0_x0005_`DVD|F_x0005_`BMK| _x0005_`IPR|0_x0005_`BLA|F_x0005_`</t>
  </si>
  <si>
    <t>B04752_1</t>
  </si>
  <si>
    <t>대가 690호표</t>
  </si>
  <si>
    <t>대가205</t>
  </si>
  <si>
    <t>B05258</t>
  </si>
  <si>
    <t>대가206</t>
  </si>
  <si>
    <t>B05257</t>
  </si>
  <si>
    <t>_x0007_`COD|B04753_x0005_`EXI|0_x0005_`DVD|F_x0005_`BMK| _x0005_`IPR|1_x0005_`BLA|F_x0005_`</t>
  </si>
  <si>
    <t>1_01</t>
  </si>
  <si>
    <t>잡자대비</t>
  </si>
  <si>
    <t>노무비의 %</t>
  </si>
  <si>
    <t>%</t>
  </si>
  <si>
    <t>_x0007_`COD|PR_x0005_`EXI|1_x0005_`DVD|F_x0005_`BMK| _x0005_`IPR|0_x0005_`EQC|A01_x0005_`PRI|2_x0005_`PRO|3_x0005_`UNI|%_x0005_`BLA|F_x0005_`</t>
  </si>
  <si>
    <t>PRA01_1</t>
  </si>
  <si>
    <t>대가207</t>
  </si>
  <si>
    <t>B05259</t>
  </si>
  <si>
    <t>대가208</t>
  </si>
  <si>
    <t>B05260</t>
  </si>
  <si>
    <t>_x0007_`COD|B04764_x0005_`EXI|0_x0005_`DVD|F_x0005_`BMK| _x0005_`IPR|0_x0005_`BLA|F_x0005_`</t>
  </si>
  <si>
    <t>B04764_1</t>
  </si>
  <si>
    <t>대가 689호표</t>
  </si>
  <si>
    <t>대가209</t>
  </si>
  <si>
    <t>B05262</t>
  </si>
  <si>
    <t>대가210</t>
  </si>
  <si>
    <t>B05261</t>
  </si>
  <si>
    <t>대가211</t>
  </si>
  <si>
    <t>B05263</t>
  </si>
  <si>
    <t>대가212</t>
  </si>
  <si>
    <t>B04948</t>
  </si>
  <si>
    <t>_x0007_`COD|M06506_x0005_`EXI|0_x0005_`DVD|F_x0005_`BMK| _x0005_`IPR|0_x0005_`KWN|0_x0005_`BLA|F_x0005_`</t>
  </si>
  <si>
    <t xml:space="preserve">자재354 </t>
  </si>
  <si>
    <t>대가213</t>
  </si>
  <si>
    <t>B04949</t>
  </si>
  <si>
    <t>_x0007_`COD|M06507_x0005_`EXI|0_x0005_`DVD|F_x0005_`BMK| _x0005_`IPR|0_x0005_`KWN|0_x0005_`BLA|F_x0005_`</t>
  </si>
  <si>
    <t xml:space="preserve">자재355 </t>
  </si>
  <si>
    <t>대가214</t>
  </si>
  <si>
    <t>B04950</t>
  </si>
  <si>
    <t>_x0007_`COD|M06508_x0005_`EXI|0_x0005_`DVD|F_x0005_`BMK| _x0005_`IPR|0_x0005_`KWN|0_x0005_`BLA|F_x0005_`</t>
  </si>
  <si>
    <t xml:space="preserve">자재356 </t>
  </si>
  <si>
    <t>대가215</t>
  </si>
  <si>
    <t>B04951</t>
  </si>
  <si>
    <t>대가216</t>
  </si>
  <si>
    <t>B05264</t>
  </si>
  <si>
    <t>대가217</t>
  </si>
  <si>
    <t>B05265</t>
  </si>
  <si>
    <t>대가218</t>
  </si>
  <si>
    <t>B05266</t>
  </si>
  <si>
    <t>대가219</t>
  </si>
  <si>
    <t>B05267</t>
  </si>
  <si>
    <t>대가220</t>
  </si>
  <si>
    <t>B05268</t>
  </si>
  <si>
    <t>대가221</t>
  </si>
  <si>
    <t>B05269</t>
  </si>
  <si>
    <t>대가222</t>
  </si>
  <si>
    <t>B05270</t>
  </si>
  <si>
    <t>대가223</t>
  </si>
  <si>
    <t>B05271</t>
  </si>
  <si>
    <t>대가224</t>
  </si>
  <si>
    <t>B04952</t>
  </si>
  <si>
    <t>_x0007_`COD|M06509_x0005_`EXI|0_x0005_`DVD|F_x0005_`BMK| _x0005_`IPR|0_x0005_`KWN|0_x0005_`BLA|F_x0005_`</t>
  </si>
  <si>
    <t>M06509_1</t>
  </si>
  <si>
    <t xml:space="preserve">자재261 </t>
  </si>
  <si>
    <t>대가225</t>
  </si>
  <si>
    <t>B05272</t>
  </si>
  <si>
    <t>대가226</t>
  </si>
  <si>
    <t>B05273</t>
  </si>
  <si>
    <t>대가227</t>
  </si>
  <si>
    <t>B05274</t>
  </si>
  <si>
    <t>대가228</t>
  </si>
  <si>
    <t>B04953</t>
  </si>
  <si>
    <t>_x0007_`COD|M06538_x0005_`EXI|0_x0005_`DVD|F_x0005_`BMK| _x0005_`IPR|0_x0005_`KWN|0_x0005_`BLA|F_x0005_`</t>
  </si>
  <si>
    <t>M06538_1</t>
  </si>
  <si>
    <t xml:space="preserve">자재28 </t>
  </si>
  <si>
    <t>대가229</t>
  </si>
  <si>
    <t>B05275</t>
  </si>
  <si>
    <t>대가230</t>
  </si>
  <si>
    <t>B05276</t>
  </si>
  <si>
    <t>대가231</t>
  </si>
  <si>
    <t>B05277</t>
  </si>
  <si>
    <t>대가232</t>
  </si>
  <si>
    <t>B04954</t>
  </si>
  <si>
    <t>_x0007_`COD|M06665_x0005_`EXI|0_x0005_`DVD|F_x0005_`BMK| _x0005_`IPR|0_x0005_`KWN|0_x0005_`BLA|F_x0005_`</t>
  </si>
  <si>
    <t>M06665_1</t>
  </si>
  <si>
    <t xml:space="preserve">자재29 </t>
  </si>
  <si>
    <t>대가233</t>
  </si>
  <si>
    <t>B05278</t>
  </si>
  <si>
    <t>대가234</t>
  </si>
  <si>
    <t>B05279</t>
  </si>
  <si>
    <t>대가235</t>
  </si>
  <si>
    <t>B05280</t>
  </si>
  <si>
    <t>대가236</t>
  </si>
  <si>
    <t>B04955</t>
  </si>
  <si>
    <t>_x0007_`COD|M06510_x0005_`EXI|0_x0005_`DVD|F_x0005_`BMK| _x0005_`IPR|0_x0005_`KWN|0_x0005_`BLA|F_x0005_`</t>
  </si>
  <si>
    <t xml:space="preserve">자재124 </t>
  </si>
  <si>
    <t>대가237</t>
  </si>
  <si>
    <t>B04956</t>
  </si>
  <si>
    <t>_x0007_`COD|M06511_x0005_`EXI|0_x0005_`DVD|F_x0005_`BMK| _x0005_`IPR|0_x0005_`KWN|0_x0005_`BLA|F_x0005_`</t>
  </si>
  <si>
    <t xml:space="preserve">자재126 </t>
  </si>
  <si>
    <t>대가238</t>
  </si>
  <si>
    <t>B04957</t>
  </si>
  <si>
    <t>_x0007_`COD|M06512_x0005_`EXI|0_x0005_`DVD|F_x0005_`BMK| _x0005_`IPR|0_x0005_`KWN|0_x0005_`BLA|F_x0005_`</t>
  </si>
  <si>
    <t xml:space="preserve">자재128 </t>
  </si>
  <si>
    <t>대가239</t>
  </si>
  <si>
    <t>B04958</t>
  </si>
  <si>
    <t>_x0007_`COD|M06513_x0005_`EXI|0_x0005_`DVD|F_x0005_`BMK| _x0005_`IPR|0_x0005_`KWN|0_x0005_`BLA|F_x0005_`</t>
  </si>
  <si>
    <t xml:space="preserve">자재131 </t>
  </si>
  <si>
    <t>대가240</t>
  </si>
  <si>
    <t>B04959</t>
  </si>
  <si>
    <t>_x0007_`COD|M06514_x0005_`EXI|0_x0005_`DVD|F_x0005_`BMK| _x0005_`IPR|0_x0005_`KWN|0_x0005_`BLA|F_x0005_`</t>
  </si>
  <si>
    <t xml:space="preserve">자재133 </t>
  </si>
  <si>
    <t>대가241</t>
  </si>
  <si>
    <t>B04960</t>
  </si>
  <si>
    <t>_x0007_`COD|M06515_x0005_`EXI|0_x0005_`DVD|F_x0005_`BMK| _x0005_`IPR|0_x0005_`KWN|0_x0005_`BLA|F_x0005_`</t>
  </si>
  <si>
    <t xml:space="preserve">자재122 </t>
  </si>
  <si>
    <t>대가242</t>
  </si>
  <si>
    <t>B04961</t>
  </si>
  <si>
    <t>_x0007_`COD|M06516_x0005_`EXI|0_x0005_`DVD|F_x0005_`BMK| _x0005_`IPR|0_x0005_`KWN|0_x0005_`BLA|F_x0005_`</t>
  </si>
  <si>
    <t xml:space="preserve">자재123 </t>
  </si>
  <si>
    <t>대가243</t>
  </si>
  <si>
    <t>B04962</t>
  </si>
  <si>
    <t>_x0007_`COD|M06517_x0005_`EXI|0_x0005_`DVD|F_x0005_`BMK| _x0005_`IPR|0_x0005_`KWN|0_x0005_`BLA|F_x0005_`</t>
  </si>
  <si>
    <t xml:space="preserve">자재125 </t>
  </si>
  <si>
    <t>대가244</t>
  </si>
  <si>
    <t>B04963</t>
  </si>
  <si>
    <t>_x0007_`COD|M06518_x0005_`EXI|0_x0005_`DVD|F_x0005_`BMK| _x0005_`IPR|0_x0005_`KWN|0_x0005_`BLA|F_x0005_`</t>
  </si>
  <si>
    <t xml:space="preserve">자재127 </t>
  </si>
  <si>
    <t>대가245</t>
  </si>
  <si>
    <t>B04964</t>
  </si>
  <si>
    <t>_x0007_`COD|M06519_x0005_`EXI|0_x0005_`DVD|F_x0005_`BMK| _x0005_`IPR|0_x0005_`KWN|0_x0005_`BLA|F_x0005_`</t>
  </si>
  <si>
    <t xml:space="preserve">자재129 </t>
  </si>
  <si>
    <t>대가246</t>
  </si>
  <si>
    <t>B04965</t>
  </si>
  <si>
    <t>_x0007_`COD|M06520_x0005_`EXI|0_x0005_`DVD|F_x0005_`BMK| _x0005_`IPR|0_x0005_`KWN|0_x0005_`BLA|F_x0005_`</t>
  </si>
  <si>
    <t xml:space="preserve">자재130 </t>
  </si>
  <si>
    <t>대가247</t>
  </si>
  <si>
    <t>B04966</t>
  </si>
  <si>
    <t>_x0007_`COD|M06521_x0005_`EXI|0_x0005_`DVD|F_x0005_`BMK| _x0005_`IPR|0_x0005_`KWN|0_x0005_`BLA|F_x0005_`</t>
  </si>
  <si>
    <t xml:space="preserve">자재132 </t>
  </si>
  <si>
    <t>대가248</t>
  </si>
  <si>
    <t>B05281</t>
  </si>
  <si>
    <t>대가249</t>
  </si>
  <si>
    <t>B05282</t>
  </si>
  <si>
    <t>대가250</t>
  </si>
  <si>
    <t>B05283</t>
  </si>
  <si>
    <t>대가251</t>
  </si>
  <si>
    <t>B05284</t>
  </si>
  <si>
    <t>대가252</t>
  </si>
  <si>
    <t>B05285</t>
  </si>
  <si>
    <t>대가253</t>
  </si>
  <si>
    <t>B05286</t>
  </si>
  <si>
    <t>대가254</t>
  </si>
  <si>
    <t>B05287</t>
  </si>
  <si>
    <t>대가255</t>
  </si>
  <si>
    <t>B05288</t>
  </si>
  <si>
    <t>대가256</t>
  </si>
  <si>
    <t>B05289</t>
  </si>
  <si>
    <t>대가257</t>
  </si>
  <si>
    <t>B05290</t>
  </si>
  <si>
    <t>대가258</t>
  </si>
  <si>
    <t>B05291</t>
  </si>
  <si>
    <t>대가259</t>
  </si>
  <si>
    <t>B05292</t>
  </si>
  <si>
    <t>대가260</t>
  </si>
  <si>
    <t>B05293</t>
  </si>
  <si>
    <t>대가261</t>
  </si>
  <si>
    <t>B05294</t>
  </si>
  <si>
    <t>대가262</t>
  </si>
  <si>
    <t>B05295</t>
  </si>
  <si>
    <t>대가263</t>
  </si>
  <si>
    <t>B05296</t>
  </si>
  <si>
    <t>대가264</t>
  </si>
  <si>
    <t>B05297</t>
  </si>
  <si>
    <t>대가265</t>
  </si>
  <si>
    <t>B05298</t>
  </si>
  <si>
    <t>대가266</t>
  </si>
  <si>
    <t>B05299</t>
  </si>
  <si>
    <t>대가267</t>
  </si>
  <si>
    <t>B05300</t>
  </si>
  <si>
    <t>대가268</t>
  </si>
  <si>
    <t>B05301</t>
  </si>
  <si>
    <t>대가269</t>
  </si>
  <si>
    <t>B05302</t>
  </si>
  <si>
    <t>대가270</t>
  </si>
  <si>
    <t>B05303</t>
  </si>
  <si>
    <t>대가271</t>
  </si>
  <si>
    <t>B05304</t>
  </si>
  <si>
    <t>대가272</t>
  </si>
  <si>
    <t>B05305</t>
  </si>
  <si>
    <t>대가273</t>
  </si>
  <si>
    <t>B05306</t>
  </si>
  <si>
    <t>대가274</t>
  </si>
  <si>
    <t>B05307</t>
  </si>
  <si>
    <t>대가275</t>
  </si>
  <si>
    <t>B05308</t>
  </si>
  <si>
    <t>대가276</t>
  </si>
  <si>
    <t>B05309</t>
  </si>
  <si>
    <t>대가277</t>
  </si>
  <si>
    <t>B05310</t>
  </si>
  <si>
    <t>대가278</t>
  </si>
  <si>
    <t>B05311</t>
  </si>
  <si>
    <t>대가279</t>
  </si>
  <si>
    <t>B05312</t>
  </si>
  <si>
    <t>대가280</t>
  </si>
  <si>
    <t>B05313</t>
  </si>
  <si>
    <t>대가281</t>
  </si>
  <si>
    <t>B05314</t>
  </si>
  <si>
    <t>대가282</t>
  </si>
  <si>
    <t>B05315</t>
  </si>
  <si>
    <t>대가283</t>
  </si>
  <si>
    <t>B05316</t>
  </si>
  <si>
    <t>대가284</t>
  </si>
  <si>
    <t>B05063</t>
  </si>
  <si>
    <t>_x0007_`COD|B04746_x0005_`EXI|0_x0005_`DVD|F_x0005_`BMK| _x0005_`IPR|0_x0005_`BLA|F_x0005_`</t>
  </si>
  <si>
    <t>B04746_1</t>
  </si>
  <si>
    <t>대가 691호표</t>
  </si>
  <si>
    <t>_x0007_`COD|M06688_x0005_`EXI|0_x0005_`DVD|F_x0005_`BMK| _x0005_`IPR|0_x0005_`KWN|0_x0005_`BLA|F_x0005_`</t>
  </si>
  <si>
    <t>M06688_1</t>
  </si>
  <si>
    <t xml:space="preserve">자재30 </t>
  </si>
  <si>
    <t>대가285</t>
  </si>
  <si>
    <t>B05064</t>
  </si>
  <si>
    <t>대가286</t>
  </si>
  <si>
    <t>B05317</t>
  </si>
  <si>
    <t>대가287</t>
  </si>
  <si>
    <t>B05318</t>
  </si>
  <si>
    <t>대가288</t>
  </si>
  <si>
    <t>B05319</t>
  </si>
  <si>
    <t>_x0007_`COD|B04734_x0005_`EXI|0_x0005_`DVD|F_x0005_`BMK| _x0005_`IPR|0_x0005_`BLA|F_x0005_`</t>
  </si>
  <si>
    <t>B04734_1</t>
  </si>
  <si>
    <t>대가 693호표</t>
  </si>
  <si>
    <t>대가289</t>
  </si>
  <si>
    <t>B05320</t>
  </si>
  <si>
    <t>대가290</t>
  </si>
  <si>
    <t>B05321</t>
  </si>
  <si>
    <t>_x0007_`COD|B04735_x0005_`EXI|0_x0005_`DVD|F_x0005_`BMK| _x0005_`IPR|0_x0005_`BLA|F_x0005_`</t>
  </si>
  <si>
    <t>B04735_1</t>
  </si>
  <si>
    <t>대가 692호표</t>
  </si>
  <si>
    <t>대가291</t>
  </si>
  <si>
    <t>B05322</t>
  </si>
  <si>
    <t>대가292</t>
  </si>
  <si>
    <t>B04967</t>
  </si>
  <si>
    <t>_x0007_`COD|M06522_x0005_`EXI|0_x0005_`DVD|F_x0005_`BMK| _x0005_`IPR|0_x0005_`KWN|0_x0005_`BLA|F_x0005_`</t>
  </si>
  <si>
    <t xml:space="preserve">자재94 </t>
  </si>
  <si>
    <t>대가293</t>
  </si>
  <si>
    <t>B04968</t>
  </si>
  <si>
    <t>_x0007_`COD|B04747_x0005_`EXI|0_x0005_`DVD|F_x0005_`BMK| _x0005_`IPR|0_x0005_`BLA|F_x0005_`</t>
  </si>
  <si>
    <t>B04747_1</t>
  </si>
  <si>
    <t>대가 694호표</t>
  </si>
  <si>
    <t>_x0007_`COD|M06523_x0005_`EXI|0_x0005_`DVD|F_x0005_`BMK| _x0005_`IPR|0_x0005_`KWN|0_x0005_`BLA|F_x0005_`</t>
  </si>
  <si>
    <t xml:space="preserve">자재95 </t>
  </si>
  <si>
    <t>대가294</t>
  </si>
  <si>
    <t>B04969</t>
  </si>
  <si>
    <t>_x0007_`COD|B04748_x0005_`EXI|0_x0005_`DVD|F_x0005_`BMK| _x0005_`IPR|0_x0005_`BLA|F_x0005_`</t>
  </si>
  <si>
    <t>B04748_1</t>
  </si>
  <si>
    <t>대가 697호표</t>
  </si>
  <si>
    <t>_x0007_`COD|M06524_x0005_`EXI|0_x0005_`DVD|F_x0005_`BMK| _x0005_`IPR|0_x0005_`KWN|0_x0005_`BLA|F_x0005_`</t>
  </si>
  <si>
    <t xml:space="preserve">자재96 </t>
  </si>
  <si>
    <t>대가295</t>
  </si>
  <si>
    <t>B04970</t>
  </si>
  <si>
    <t>_x0007_`COD|B04749_x0005_`EXI|0_x0005_`DVD|F_x0005_`BMK| _x0005_`IPR|0_x0005_`BLA|F_x0005_`</t>
  </si>
  <si>
    <t>B04749_1</t>
  </si>
  <si>
    <t>대가 700호표</t>
  </si>
  <si>
    <t>_x0007_`COD|M06666_x0005_`EXI|0_x0005_`DVD|F_x0005_`BMK| _x0005_`IPR|0_x0005_`KWN|0_x0005_`BLA|F_x0005_`</t>
  </si>
  <si>
    <t xml:space="preserve">자재97 </t>
  </si>
  <si>
    <t>대가296</t>
  </si>
  <si>
    <t>B04971</t>
  </si>
  <si>
    <t>_x0007_`COD|B04750_x0005_`EXI|0_x0005_`DVD|F_x0005_`BMK| _x0005_`IPR|0_x0005_`BLA|F_x0005_`</t>
  </si>
  <si>
    <t>B04750_1</t>
  </si>
  <si>
    <t>대가 703호표</t>
  </si>
  <si>
    <t>_x0007_`COD|M06667_x0005_`EXI|0_x0005_`DVD|F_x0005_`BMK| _x0005_`IPR|0_x0005_`KWN|0_x0005_`BLA|F_x0005_`</t>
  </si>
  <si>
    <t xml:space="preserve">자재98 </t>
  </si>
  <si>
    <t>대가297</t>
  </si>
  <si>
    <t>B04972</t>
  </si>
  <si>
    <t>_x0007_`COD|B04751_x0005_`EXI|0_x0005_`DVD|F_x0005_`BMK| _x0005_`IPR|0_x0005_`BLA|F_x0005_`</t>
  </si>
  <si>
    <t>B04751_1</t>
  </si>
  <si>
    <t>대가 706호표</t>
  </si>
  <si>
    <t>_x0007_`COD|M06668_x0005_`EXI|0_x0005_`DVD|F_x0005_`BMK| _x0005_`IPR|0_x0005_`KWN|0_x0005_`BLA|F_x0005_`</t>
  </si>
  <si>
    <t xml:space="preserve">자재93 </t>
  </si>
  <si>
    <t>대가298</t>
  </si>
  <si>
    <t>B04973</t>
  </si>
  <si>
    <t>_x0007_`COD|B04745_x0005_`EXI|0_x0005_`DVD|F_x0005_`BMK| _x0005_`IPR|0_x0005_`BLA|F_x0005_`</t>
  </si>
  <si>
    <t>B04745_1</t>
  </si>
  <si>
    <t>대가 707호표</t>
  </si>
  <si>
    <t>_x0007_`COD|M06669_x0005_`EXI|0_x0005_`DVD|F_x0005_`BMK| _x0005_`IPR|0_x0005_`KWN|0_x0005_`BLA|F_x0005_`</t>
  </si>
  <si>
    <t xml:space="preserve">자재99 </t>
  </si>
  <si>
    <t>대가299</t>
  </si>
  <si>
    <t>B04974</t>
  </si>
  <si>
    <t>_x0007_`COD|M06670_x0005_`EXI|0_x0005_`DVD|F_x0005_`BMK| _x0005_`IPR|0_x0005_`KWN|0_x0005_`BLA|F_x0005_`</t>
  </si>
  <si>
    <t xml:space="preserve">자재100 </t>
  </si>
  <si>
    <t>대가300</t>
  </si>
  <si>
    <t>B04975</t>
  </si>
  <si>
    <t>_x0007_`COD|M06671_x0005_`EXI|0_x0005_`DVD|F_x0005_`BMK| _x0005_`IPR|0_x0005_`KWN|0_x0005_`BLA|F_x0005_`</t>
  </si>
  <si>
    <t xml:space="preserve">자재101 </t>
  </si>
  <si>
    <t>대가301</t>
  </si>
  <si>
    <t>B04976</t>
  </si>
  <si>
    <t>_x0007_`COD|M06672_x0005_`EXI|0_x0005_`DVD|F_x0005_`BMK| _x0005_`IPR|0_x0005_`KWN|0_x0005_`BLA|F_x0005_`</t>
  </si>
  <si>
    <t xml:space="preserve">자재102 </t>
  </si>
  <si>
    <t>대가302</t>
  </si>
  <si>
    <t>B05333</t>
  </si>
  <si>
    <t>대가303</t>
  </si>
  <si>
    <t>B05334</t>
  </si>
  <si>
    <t>대가304</t>
  </si>
  <si>
    <t>B05335</t>
  </si>
  <si>
    <t>대가305</t>
  </si>
  <si>
    <t>B05336</t>
  </si>
  <si>
    <t>대가306</t>
  </si>
  <si>
    <t>B05337</t>
  </si>
  <si>
    <t>대가307</t>
  </si>
  <si>
    <t>B05338</t>
  </si>
  <si>
    <t>대가308</t>
  </si>
  <si>
    <t>B05329</t>
  </si>
  <si>
    <t>대가309</t>
  </si>
  <si>
    <t>B05330</t>
  </si>
  <si>
    <t>대가310</t>
  </si>
  <si>
    <t>B05331</t>
  </si>
  <si>
    <t>대가311</t>
  </si>
  <si>
    <t>B05332</t>
  </si>
  <si>
    <t>대가312</t>
  </si>
  <si>
    <t>B05323</t>
  </si>
  <si>
    <t>대가313</t>
  </si>
  <si>
    <t>B05324</t>
  </si>
  <si>
    <t>_x0007_`COD|B04736_x0005_`EXI|0_x0005_`DVD|F_x0005_`BMK| _x0005_`IPR|0_x0005_`BLA|F_x0005_`</t>
  </si>
  <si>
    <t>B04736_1</t>
  </si>
  <si>
    <t>대가 696호표</t>
  </si>
  <si>
    <t>대가314</t>
  </si>
  <si>
    <t>B05325</t>
  </si>
  <si>
    <t>_x0007_`COD|B04738_x0005_`EXI|0_x0005_`DVD|F_x0005_`BMK| _x0005_`IPR|0_x0005_`BLA|F_x0005_`</t>
  </si>
  <si>
    <t>B04738_1</t>
  </si>
  <si>
    <t>대가 699호표</t>
  </si>
  <si>
    <t>대가315</t>
  </si>
  <si>
    <t>B05326</t>
  </si>
  <si>
    <t>_x0007_`COD|B04739_x0005_`EXI|0_x0005_`DVD|F_x0005_`BMK| _x0005_`IPR|0_x0005_`BLA|F_x0005_`</t>
  </si>
  <si>
    <t>B04739_1</t>
  </si>
  <si>
    <t>대가 702호표</t>
  </si>
  <si>
    <t>대가316</t>
  </si>
  <si>
    <t>B05327</t>
  </si>
  <si>
    <t>_x0007_`COD|B04740_x0005_`EXI|0_x0005_`DVD|F_x0005_`BMK| _x0005_`IPR|0_x0005_`BLA|F_x0005_`</t>
  </si>
  <si>
    <t>B04740_1</t>
  </si>
  <si>
    <t>대가 705호표</t>
  </si>
  <si>
    <t>대가317</t>
  </si>
  <si>
    <t>B05328</t>
  </si>
  <si>
    <t>_x0007_`COD|B04741_x0005_`EXI|0_x0005_`DVD|F_x0005_`BMK| _x0005_`IPR|0_x0005_`BLA|F_x0005_`</t>
  </si>
  <si>
    <t>B04741_1</t>
  </si>
  <si>
    <t>대가 708호표</t>
  </si>
  <si>
    <t>대가318</t>
  </si>
  <si>
    <t>B05339</t>
  </si>
  <si>
    <t>대가319</t>
  </si>
  <si>
    <t>B05340</t>
  </si>
  <si>
    <t>대가320</t>
  </si>
  <si>
    <t>B05341</t>
  </si>
  <si>
    <t>대가321</t>
  </si>
  <si>
    <t>B05342</t>
  </si>
  <si>
    <t>대가322</t>
  </si>
  <si>
    <t>B05343</t>
  </si>
  <si>
    <t>대가323</t>
  </si>
  <si>
    <t>B05344</t>
  </si>
  <si>
    <t>_x0007_`COD|B04737_x0005_`EXI|0_x0005_`DVD|F_x0005_`BMK| _x0005_`IPR|0_x0005_`BLA|F_x0005_`</t>
  </si>
  <si>
    <t>B04737_1</t>
  </si>
  <si>
    <t>대가 695호표</t>
  </si>
  <si>
    <t>대가324</t>
  </si>
  <si>
    <t>B05345</t>
  </si>
  <si>
    <t>_x0007_`COD|B04742_x0005_`EXI|0_x0005_`DVD|F_x0005_`BMK| _x0005_`IPR|0_x0005_`BLA|F_x0005_`</t>
  </si>
  <si>
    <t>B04742_1</t>
  </si>
  <si>
    <t>대가 698호표</t>
  </si>
  <si>
    <t>대가325</t>
  </si>
  <si>
    <t>B05346</t>
  </si>
  <si>
    <t>_x0007_`COD|B04743_x0005_`EXI|0_x0005_`DVD|F_x0005_`BMK| _x0005_`IPR|0_x0005_`BLA|F_x0005_`</t>
  </si>
  <si>
    <t>B04743_1</t>
  </si>
  <si>
    <t>대가 701호표</t>
  </si>
  <si>
    <t>대가326</t>
  </si>
  <si>
    <t>B05347</t>
  </si>
  <si>
    <t>_x0007_`COD|B04744_x0005_`EXI|0_x0005_`DVD|F_x0005_`BMK| _x0005_`IPR|0_x0005_`BLA|F_x0005_`</t>
  </si>
  <si>
    <t>B04744_1</t>
  </si>
  <si>
    <t>대가 704호표</t>
  </si>
  <si>
    <t>대가327</t>
  </si>
  <si>
    <t>B05348</t>
  </si>
  <si>
    <t>대가328</t>
  </si>
  <si>
    <t>B05349</t>
  </si>
  <si>
    <t>대가329</t>
  </si>
  <si>
    <t>B05350</t>
  </si>
  <si>
    <t>대가330</t>
  </si>
  <si>
    <t>B05351</t>
  </si>
  <si>
    <t>대가331</t>
  </si>
  <si>
    <t>B05352</t>
  </si>
  <si>
    <t>대가332</t>
  </si>
  <si>
    <t>B04977</t>
  </si>
  <si>
    <t>_x0007_`COD|M06525_x0005_`EXI|0_x0005_`DVD|F_x0005_`BMK| _x0005_`IPR|0_x0005_`KWN|0_x0005_`BLA|F_x0005_`</t>
  </si>
  <si>
    <t xml:space="preserve">자재251 </t>
  </si>
  <si>
    <t>대가333</t>
  </si>
  <si>
    <t>B04978</t>
  </si>
  <si>
    <t>_x0007_`COD|M06526_x0005_`EXI|0_x0005_`DVD|F_x0005_`BMK| _x0005_`IPR|0_x0005_`KWN|0_x0005_`BLA|F_x0005_`</t>
  </si>
  <si>
    <t xml:space="preserve">자재253 </t>
  </si>
  <si>
    <t>대가334</t>
  </si>
  <si>
    <t>B04979</t>
  </si>
  <si>
    <t>_x0007_`COD|M06527_x0005_`EXI|0_x0005_`DVD|F_x0005_`BMK| _x0005_`IPR|0_x0005_`KWN|0_x0005_`BLA|F_x0005_`</t>
  </si>
  <si>
    <t xml:space="preserve">자재256 </t>
  </si>
  <si>
    <t>대가335</t>
  </si>
  <si>
    <t>B04980</t>
  </si>
  <si>
    <t>_x0007_`COD|M06528_x0005_`EXI|0_x0005_`DVD|F_x0005_`BMK| _x0005_`IPR|0_x0005_`KWN|0_x0005_`BLA|F_x0005_`</t>
  </si>
  <si>
    <t xml:space="preserve">자재258 </t>
  </si>
  <si>
    <t>대가336</t>
  </si>
  <si>
    <t>B04981</t>
  </si>
  <si>
    <t>_x0007_`COD|M06529_x0005_`EXI|0_x0005_`DVD|F_x0005_`BMK| _x0005_`IPR|0_x0005_`KWN|0_x0005_`BLA|F_x0005_`</t>
  </si>
  <si>
    <t xml:space="preserve">자재248 </t>
  </si>
  <si>
    <t>대가337</t>
  </si>
  <si>
    <t>B04982</t>
  </si>
  <si>
    <t>_x0007_`COD|M06530_x0005_`EXI|0_x0005_`DVD|F_x0005_`BMK| _x0005_`IPR|0_x0005_`KWN|0_x0005_`BLA|F_x0005_`</t>
  </si>
  <si>
    <t xml:space="preserve">자재249 </t>
  </si>
  <si>
    <t>대가338</t>
  </si>
  <si>
    <t>B04983</t>
  </si>
  <si>
    <t>_x0007_`COD|M06531_x0005_`EXI|0_x0005_`DVD|F_x0005_`BMK| _x0005_`IPR|0_x0005_`KWN|0_x0005_`BLA|F_x0005_`</t>
  </si>
  <si>
    <t xml:space="preserve">자재250 </t>
  </si>
  <si>
    <t>대가339</t>
  </si>
  <si>
    <t>B04984</t>
  </si>
  <si>
    <t>_x0007_`COD|M06532_x0005_`EXI|0_x0005_`DVD|F_x0005_`BMK| _x0005_`IPR|0_x0005_`KWN|0_x0005_`BLA|F_x0005_`</t>
  </si>
  <si>
    <t xml:space="preserve">자재252 </t>
  </si>
  <si>
    <t>대가340</t>
  </si>
  <si>
    <t>B04985</t>
  </si>
  <si>
    <t>_x0007_`COD|M06673_x0005_`EXI|0_x0005_`DVD|F_x0005_`BMK| _x0005_`IPR|0_x0005_`KWN|0_x0005_`BLA|F_x0005_`</t>
  </si>
  <si>
    <t xml:space="preserve">자재254 </t>
  </si>
  <si>
    <t>대가341</t>
  </si>
  <si>
    <t>B04986</t>
  </si>
  <si>
    <t>_x0007_`COD|M06674_x0005_`EXI|0_x0005_`DVD|F_x0005_`BMK| _x0005_`IPR|0_x0005_`KWN|0_x0005_`BLA|F_x0005_`</t>
  </si>
  <si>
    <t xml:space="preserve">자재255 </t>
  </si>
  <si>
    <t>대가342</t>
  </si>
  <si>
    <t>B04987</t>
  </si>
  <si>
    <t>_x0007_`COD|M06533_x0005_`EXI|0_x0005_`DVD|F_x0005_`BMK| _x0005_`IPR|0_x0005_`KWN|0_x0005_`BLA|F_x0005_`</t>
  </si>
  <si>
    <t>M06533_1</t>
  </si>
  <si>
    <t xml:space="preserve">자재257 </t>
  </si>
  <si>
    <t>대가343</t>
  </si>
  <si>
    <t>B04988</t>
  </si>
  <si>
    <t>_x0007_`COD|B04822_x0005_`EXI|0_x0005_`DVD|F_x0005_`BMK| _x0005_`IPR|0_x0005_`BLA|F_x0005_`</t>
  </si>
  <si>
    <t>_x0007_`COD|M06534_x0005_`EXI|0_x0005_`DVD|F_x0005_`BMK| _x0005_`IPR|0_x0005_`KWN|0_x0005_`BLA|F_x0005_`</t>
  </si>
  <si>
    <t xml:space="preserve">자재259 </t>
  </si>
  <si>
    <t>대가344</t>
  </si>
  <si>
    <t>B04921</t>
  </si>
  <si>
    <t>적산정보 1080P</t>
  </si>
  <si>
    <t>대가345</t>
  </si>
  <si>
    <t>B04813</t>
  </si>
  <si>
    <t>대가346</t>
  </si>
  <si>
    <t>B04814</t>
  </si>
  <si>
    <t>대가347</t>
  </si>
  <si>
    <t>B04815</t>
  </si>
  <si>
    <t>대가348</t>
  </si>
  <si>
    <t>B04816</t>
  </si>
  <si>
    <t>대가349</t>
  </si>
  <si>
    <t>B04817</t>
  </si>
  <si>
    <t>대가350</t>
  </si>
  <si>
    <t>B04818</t>
  </si>
  <si>
    <t>대가351</t>
  </si>
  <si>
    <t>B04819</t>
  </si>
  <si>
    <t>대가352</t>
  </si>
  <si>
    <t>B04820</t>
  </si>
  <si>
    <t>대가353</t>
  </si>
  <si>
    <t>B04821</t>
  </si>
  <si>
    <t>대가354</t>
  </si>
  <si>
    <t>B04822</t>
  </si>
  <si>
    <t>_x0007_`COD|B04810_x0005_`EXI|0_x0005_`DVD|F_x0005_`BMK| _x0005_`IPR|0_x0005_`BLA|F_x0005_`</t>
  </si>
  <si>
    <t>_x0007_`COD|B04798_x0005_`EXI|0_x0005_`DVD|F_x0005_`BMK| _x0005_`IPR|0_x0005_`BLA|F_x0005_`</t>
  </si>
  <si>
    <t>대가355</t>
  </si>
  <si>
    <t>B04823</t>
  </si>
  <si>
    <t>대가356</t>
  </si>
  <si>
    <t>B04788</t>
  </si>
  <si>
    <t>_x0007_`COD|L00276_x0005_`EXI|0_x0005_`DVD|F_x0005_`BMK| _x0005_`IPR|0_x0005_`BLA|F_x0005_`</t>
  </si>
  <si>
    <t>L00276_1</t>
  </si>
  <si>
    <t xml:space="preserve">노무19 </t>
  </si>
  <si>
    <t>대가357</t>
  </si>
  <si>
    <t>B04789</t>
  </si>
  <si>
    <t>대가358</t>
  </si>
  <si>
    <t>B04790</t>
  </si>
  <si>
    <t>대가359</t>
  </si>
  <si>
    <t>B04791</t>
  </si>
  <si>
    <t>대가360</t>
  </si>
  <si>
    <t>B04792</t>
  </si>
  <si>
    <t>대가361</t>
  </si>
  <si>
    <t>B04793</t>
  </si>
  <si>
    <t>대가362</t>
  </si>
  <si>
    <t>B04794</t>
  </si>
  <si>
    <t>대가363</t>
  </si>
  <si>
    <t>B04795</t>
  </si>
  <si>
    <t>대가364</t>
  </si>
  <si>
    <t>B04796</t>
  </si>
  <si>
    <t>대가365</t>
  </si>
  <si>
    <t>B04797</t>
  </si>
  <si>
    <t>대가366</t>
  </si>
  <si>
    <t>B04798</t>
  </si>
  <si>
    <t>대가367</t>
  </si>
  <si>
    <t>B04799</t>
  </si>
  <si>
    <t>대가368</t>
  </si>
  <si>
    <t>B04800</t>
  </si>
  <si>
    <t>대가369</t>
  </si>
  <si>
    <t>B04801</t>
  </si>
  <si>
    <t>대가370</t>
  </si>
  <si>
    <t>B04802</t>
  </si>
  <si>
    <t>대가371</t>
  </si>
  <si>
    <t>B04803</t>
  </si>
  <si>
    <t>대가372</t>
  </si>
  <si>
    <t>B04804</t>
  </si>
  <si>
    <t>대가373</t>
  </si>
  <si>
    <t>B04805</t>
  </si>
  <si>
    <t>대가374</t>
  </si>
  <si>
    <t>B04806</t>
  </si>
  <si>
    <t>대가375</t>
  </si>
  <si>
    <t>B04807</t>
  </si>
  <si>
    <t>대가376</t>
  </si>
  <si>
    <t>B04808</t>
  </si>
  <si>
    <t>대가377</t>
  </si>
  <si>
    <t>B04809</t>
  </si>
  <si>
    <t>대가378</t>
  </si>
  <si>
    <t>B04810</t>
  </si>
  <si>
    <t>대가379</t>
  </si>
  <si>
    <t>B04811</t>
  </si>
  <si>
    <t>대가380</t>
  </si>
  <si>
    <t>B04998</t>
  </si>
  <si>
    <t>_x0007_`COD|W00261_x0005_`EXI|0_x0005_`DVD|F_x0005_`BMK| _x0005_`IPR|0_x0005_`BLA|F_x0005_`</t>
  </si>
  <si>
    <t>W00261_1</t>
  </si>
  <si>
    <t xml:space="preserve">기타5 </t>
  </si>
  <si>
    <t>_x0007_`COD|M06675_x0005_`EXI|0_x0005_`DVD|F_x0005_`BMK| _x0005_`IPR|0_x0005_`KWN|0_x0005_`BLA|F_x0005_`</t>
  </si>
  <si>
    <t xml:space="preserve">자재88 </t>
  </si>
  <si>
    <t>대가381</t>
  </si>
  <si>
    <t>B04999</t>
  </si>
  <si>
    <t>_x0007_`COD|M06676_x0005_`EXI|0_x0005_`DVD|F_x0005_`BMK| _x0005_`IPR|0_x0005_`KWN|0_x0005_`BLA|F_x0005_`</t>
  </si>
  <si>
    <t xml:space="preserve">자재83 </t>
  </si>
  <si>
    <t>대가382</t>
  </si>
  <si>
    <t>B04994</t>
  </si>
  <si>
    <t>_x0007_`COD|W00262_x0005_`EXI|0_x0005_`DVD|F_x0005_`BMK| _x0005_`IPR|0_x0005_`BLA|F_x0005_`</t>
  </si>
  <si>
    <t>W00262_1</t>
  </si>
  <si>
    <t xml:space="preserve">기타1 </t>
  </si>
  <si>
    <t>_x0007_`COD|M06677_x0005_`EXI|0_x0005_`DVD|F_x0005_`BMK| _x0005_`IPR|0_x0005_`KWN|0_x0005_`BLA|F_x0005_`</t>
  </si>
  <si>
    <t xml:space="preserve">자재84 </t>
  </si>
  <si>
    <t>대가383</t>
  </si>
  <si>
    <t>B04995</t>
  </si>
  <si>
    <t>_x0007_`COD|W00263_x0005_`EXI|0_x0005_`DVD|F_x0005_`BMK| _x0005_`IPR|0_x0005_`BLA|F_x0005_`</t>
  </si>
  <si>
    <t>W00263_1</t>
  </si>
  <si>
    <t xml:space="preserve">기타2 </t>
  </si>
  <si>
    <t>_x0007_`COD|M06678_x0005_`EXI|0_x0005_`DVD|F_x0005_`BMK| _x0005_`IPR|0_x0005_`KWN|0_x0005_`BLA|F_x0005_`</t>
  </si>
  <si>
    <t xml:space="preserve">자재85 </t>
  </si>
  <si>
    <t>대가384</t>
  </si>
  <si>
    <t>B04996</t>
  </si>
  <si>
    <t>_x0007_`COD|W00264_x0005_`EXI|0_x0005_`DVD|F_x0005_`BMK| _x0005_`IPR|0_x0005_`BLA|F_x0005_`</t>
  </si>
  <si>
    <t>W00264_1</t>
  </si>
  <si>
    <t xml:space="preserve">기타3 </t>
  </si>
  <si>
    <t>_x0007_`COD|M06680_x0005_`EXI|0_x0005_`DVD|F_x0005_`BMK| _x0005_`IPR|0_x0005_`KWN|0_x0005_`BLA|F_x0005_`</t>
  </si>
  <si>
    <t xml:space="preserve">자재86 </t>
  </si>
  <si>
    <t>대가385</t>
  </si>
  <si>
    <t>B04997</t>
  </si>
  <si>
    <t>_x0007_`COD|W00265_x0005_`EXI|0_x0005_`DVD|F_x0005_`BMK| _x0005_`IPR|0_x0005_`BLA|F_x0005_`</t>
  </si>
  <si>
    <t>W00265_1</t>
  </si>
  <si>
    <t xml:space="preserve">기타4 </t>
  </si>
  <si>
    <t>_x0007_`COD|M06679_x0005_`EXI|0_x0005_`DVD|F_x0005_`BMK| _x0005_`IPR|0_x0005_`KWN|0_x0005_`BLA|F_x0005_`</t>
  </si>
  <si>
    <t xml:space="preserve">자재87 </t>
  </si>
  <si>
    <t>대가386</t>
  </si>
  <si>
    <t>B04989</t>
  </si>
  <si>
    <t>대가387</t>
  </si>
  <si>
    <t>B04990</t>
  </si>
  <si>
    <t>대가388</t>
  </si>
  <si>
    <t>B04991</t>
  </si>
  <si>
    <t>대가389</t>
  </si>
  <si>
    <t>B04992</t>
  </si>
  <si>
    <t>대가390</t>
  </si>
  <si>
    <t>B04993</t>
  </si>
  <si>
    <t>대가391</t>
  </si>
  <si>
    <t>B05004</t>
  </si>
  <si>
    <t>_x0007_`COD|B05000_x0005_`EXI|0_x0005_`DVD|F_x0005_`BMK| _x0005_`IPR|0_x0005_`BLA|F_x0005_`</t>
  </si>
  <si>
    <t>_x0007_`COD|M06535_x0005_`EXI|0_x0005_`DVD|F_x0005_`BMK| _x0005_`IPR|0_x0005_`KWN|0_x0005_`BLA|F_x0005_`</t>
  </si>
  <si>
    <t xml:space="preserve">자재103 </t>
  </si>
  <si>
    <t>대가392</t>
  </si>
  <si>
    <t>B05005</t>
  </si>
  <si>
    <t>_x0007_`COD|B05001_x0005_`EXI|0_x0005_`DVD|F_x0005_`BMK| _x0005_`IPR|0_x0005_`BLA|F_x0005_`</t>
  </si>
  <si>
    <t>_x0007_`COD|M06536_x0005_`EXI|0_x0005_`DVD|F_x0005_`BMK| _x0005_`IPR|0_x0005_`KWN|0_x0005_`BLA|F_x0005_`</t>
  </si>
  <si>
    <t xml:space="preserve">자재104 </t>
  </si>
  <si>
    <t>대가393</t>
  </si>
  <si>
    <t>B05006</t>
  </si>
  <si>
    <t>_x0007_`COD|B05002_x0005_`EXI|0_x0005_`DVD|F_x0005_`BMK| _x0005_`IPR|0_x0005_`BLA|F_x0005_`</t>
  </si>
  <si>
    <t>_x0007_`COD|M06537_x0005_`EXI|0_x0005_`DVD|F_x0005_`BMK| _x0005_`IPR|0_x0005_`KWN|0_x0005_`BLA|F_x0005_`</t>
  </si>
  <si>
    <t xml:space="preserve">자재105 </t>
  </si>
  <si>
    <t>대가394</t>
  </si>
  <si>
    <t>B05007</t>
  </si>
  <si>
    <t>_x0007_`COD|B05003_x0005_`EXI|0_x0005_`DVD|F_x0005_`BMK| _x0005_`IPR|0_x0005_`BLA|F_x0005_`</t>
  </si>
  <si>
    <t>_x0007_`COD|M06681_x0005_`EXI|0_x0005_`DVD|F_x0005_`BMK| _x0005_`IPR|0_x0005_`KWN|0_x0005_`BLA|F_x0005_`</t>
  </si>
  <si>
    <t xml:space="preserve">자재106 </t>
  </si>
  <si>
    <t>대가395</t>
  </si>
  <si>
    <t>B05000</t>
  </si>
  <si>
    <t>_x0007_`COD|W00266_x0005_`EXI|0_x0005_`DVD|F_x0005_`BMK| _x0005_`IPR|0_x0005_`BLA|F_x0005_`</t>
  </si>
  <si>
    <t>W00266_1</t>
  </si>
  <si>
    <t xml:space="preserve">기타6 </t>
  </si>
  <si>
    <t>대가396</t>
  </si>
  <si>
    <t>B05001</t>
  </si>
  <si>
    <t>_x0007_`COD|W00267_x0005_`EXI|0_x0005_`DVD|F_x0005_`BMK| _x0005_`IPR|0_x0005_`BLA|F_x0005_`</t>
  </si>
  <si>
    <t>W00267_1</t>
  </si>
  <si>
    <t xml:space="preserve">기타7 </t>
  </si>
  <si>
    <t>대가397</t>
  </si>
  <si>
    <t>B05002</t>
  </si>
  <si>
    <t>_x0007_`COD|W00268_x0005_`EXI|0_x0005_`DVD|F_x0005_`BMK| _x0005_`IPR|0_x0005_`BLA|F_x0005_`</t>
  </si>
  <si>
    <t>W00268_1</t>
  </si>
  <si>
    <t xml:space="preserve">기타8 </t>
  </si>
  <si>
    <t>대가398</t>
  </si>
  <si>
    <t>B05003</t>
  </si>
  <si>
    <t>_x0007_`COD|W00269_x0005_`EXI|0_x0005_`DVD|F_x0005_`BMK| _x0005_`IPR|0_x0005_`BLA|F_x0005_`</t>
  </si>
  <si>
    <t>W00269_1</t>
  </si>
  <si>
    <t xml:space="preserve">기타9 </t>
  </si>
  <si>
    <t>대가399</t>
  </si>
  <si>
    <t>B05008</t>
  </si>
  <si>
    <t>_x0007_`COD|B04834_x0005_`EXI|0_x0005_`DVD|F_x0005_`BMK| _x0005_`IPR|0_x0005_`BLA|F_x0005_`</t>
  </si>
  <si>
    <t>B04834_1</t>
  </si>
  <si>
    <t>대가 709호표</t>
  </si>
  <si>
    <t>_x0007_`COD|M06539_x0005_`EXI|0_x0005_`DVD|F_x0005_`BMK| _x0005_`IPR|0_x0005_`KWN|0_x0005_`BLA|F_x0005_`</t>
  </si>
  <si>
    <t xml:space="preserve">자재142 </t>
  </si>
  <si>
    <t>대가400</t>
  </si>
  <si>
    <t>B05009</t>
  </si>
  <si>
    <t>_x0007_`COD|B04835_x0005_`EXI|0_x0005_`DVD|F_x0005_`BMK| _x0005_`IPR|0_x0005_`BLA|F_x0005_`</t>
  </si>
  <si>
    <t>B04835_1</t>
  </si>
  <si>
    <t>대가 712호표</t>
  </si>
  <si>
    <t>_x0007_`COD|M06540_x0005_`EXI|0_x0005_`DVD|F_x0005_`BMK| _x0005_`IPR|0_x0005_`KWN|0_x0005_`BLA|F_x0005_`</t>
  </si>
  <si>
    <t xml:space="preserve">자재139 </t>
  </si>
  <si>
    <t>대가401</t>
  </si>
  <si>
    <t>B05010</t>
  </si>
  <si>
    <t>_x0007_`COD|B04836_x0005_`EXI|0_x0005_`DVD|F_x0005_`BMK| _x0005_`IPR|0_x0005_`BLA|F_x0005_`</t>
  </si>
  <si>
    <t>B04836_1</t>
  </si>
  <si>
    <t>대가 715호표</t>
  </si>
  <si>
    <t>_x0007_`COD|M06541_x0005_`EXI|0_x0005_`DVD|F_x0005_`BMK| _x0005_`IPR|0_x0005_`KWN|0_x0005_`BLA|F_x0005_`</t>
  </si>
  <si>
    <t xml:space="preserve">자재140 </t>
  </si>
  <si>
    <t>대가402</t>
  </si>
  <si>
    <t>B05011</t>
  </si>
  <si>
    <t>_x0007_`COD|B04837_x0005_`EXI|0_x0005_`DVD|F_x0005_`BMK| _x0005_`IPR|0_x0005_`BLA|F_x0005_`</t>
  </si>
  <si>
    <t>B04837_1</t>
  </si>
  <si>
    <t>대가 718호표</t>
  </si>
  <si>
    <t>_x0007_`COD|M06542_x0005_`EXI|0_x0005_`DVD|F_x0005_`BMK| _x0005_`IPR|0_x0005_`KWN|0_x0005_`BLA|F_x0005_`</t>
  </si>
  <si>
    <t xml:space="preserve">자재141 </t>
  </si>
  <si>
    <t>대가403</t>
  </si>
  <si>
    <t>B05353</t>
  </si>
  <si>
    <t>대가404</t>
  </si>
  <si>
    <t>B05354</t>
  </si>
  <si>
    <t>대가405</t>
  </si>
  <si>
    <t>B05355</t>
  </si>
  <si>
    <t>대가406</t>
  </si>
  <si>
    <t>B05356</t>
  </si>
  <si>
    <t>대가407</t>
  </si>
  <si>
    <t>B05357</t>
  </si>
  <si>
    <t>_x0007_`COD|B04825_x0005_`EXI|0_x0005_`DVD|F_x0005_`BMK| _x0005_`IPR|0_x0005_`BLA|F_x0005_`</t>
  </si>
  <si>
    <t>B04825_1</t>
  </si>
  <si>
    <t>대가 711호표</t>
  </si>
  <si>
    <t>대가408</t>
  </si>
  <si>
    <t>B05358</t>
  </si>
  <si>
    <t>_x0007_`COD|B04826_x0005_`EXI|0_x0005_`DVD|F_x0005_`BMK| _x0005_`IPR|0_x0005_`BLA|F_x0005_`</t>
  </si>
  <si>
    <t>B04826_1</t>
  </si>
  <si>
    <t>대가 714호표</t>
  </si>
  <si>
    <t>대가409</t>
  </si>
  <si>
    <t>B05359</t>
  </si>
  <si>
    <t>_x0007_`COD|B04827_x0005_`EXI|0_x0005_`DVD|F_x0005_`BMK| _x0005_`IPR|0_x0005_`BLA|F_x0005_`</t>
  </si>
  <si>
    <t>B04827_1</t>
  </si>
  <si>
    <t>대가 717호표</t>
  </si>
  <si>
    <t>대가410</t>
  </si>
  <si>
    <t>B05360</t>
  </si>
  <si>
    <t>_x0007_`COD|B04828_x0005_`EXI|0_x0005_`DVD|F_x0005_`BMK| _x0005_`IPR|0_x0005_`BLA|F_x0005_`</t>
  </si>
  <si>
    <t>B04828_1</t>
  </si>
  <si>
    <t>대가 720호표</t>
  </si>
  <si>
    <t>대가411</t>
  </si>
  <si>
    <t>B05361</t>
  </si>
  <si>
    <t>_x0007_`COD|B04829_x0005_`EXI|0_x0005_`DVD|F_x0005_`BMK| _x0005_`IPR|0_x0005_`BLA|F_x0005_`</t>
  </si>
  <si>
    <t>B04829_1</t>
  </si>
  <si>
    <t>대가 710호표</t>
  </si>
  <si>
    <t>대가412</t>
  </si>
  <si>
    <t>B05362</t>
  </si>
  <si>
    <t>_x0007_`COD|B04830_x0005_`EXI|0_x0005_`DVD|F_x0005_`BMK| _x0005_`IPR|0_x0005_`BLA|F_x0005_`</t>
  </si>
  <si>
    <t>B04830_1</t>
  </si>
  <si>
    <t>대가 713호표</t>
  </si>
  <si>
    <t>대가413</t>
  </si>
  <si>
    <t>B05363</t>
  </si>
  <si>
    <t>_x0007_`COD|B04831_x0005_`EXI|0_x0005_`DVD|F_x0005_`BMK| _x0005_`IPR|0_x0005_`BLA|F_x0005_`</t>
  </si>
  <si>
    <t>B04831_1</t>
  </si>
  <si>
    <t>대가 716호표</t>
  </si>
  <si>
    <t>대가414</t>
  </si>
  <si>
    <t>B05364</t>
  </si>
  <si>
    <t>_x0007_`COD|B04832_x0005_`EXI|0_x0005_`DVD|F_x0005_`BMK| _x0005_`IPR|0_x0005_`BLA|F_x0005_`</t>
  </si>
  <si>
    <t>B04832_1</t>
  </si>
  <si>
    <t>대가 719호표</t>
  </si>
  <si>
    <t>대가415</t>
  </si>
  <si>
    <t>B05012</t>
  </si>
  <si>
    <t>_x0007_`COD|B04833_x0005_`EXI|0_x0005_`DVD|F_x0005_`BMK| _x0005_`IPR|0_x0005_`BLA|F_x0005_`</t>
  </si>
  <si>
    <t>B04833_1</t>
  </si>
  <si>
    <t>대가 721호표</t>
  </si>
  <si>
    <t>_x0007_`COD|M02950_x0005_`EXI|0_x0005_`DVD|F_x0005_`BMK| _x0005_`IPR|0_x0005_`KWN|0_x0005_`BLA|F_x0005_`</t>
  </si>
  <si>
    <t>M02950_1</t>
  </si>
  <si>
    <t xml:space="preserve">자재217 </t>
  </si>
  <si>
    <t>대가416</t>
  </si>
  <si>
    <t>B05013</t>
  </si>
  <si>
    <t>_x0007_`COD|M02808_x0005_`EXI|0_x0005_`DVD|F_x0005_`BMK| _x0005_`IPR|0_x0005_`KWN|0_x0005_`BLA|F_x0005_`</t>
  </si>
  <si>
    <t xml:space="preserve">자재222 </t>
  </si>
  <si>
    <t>대가417</t>
  </si>
  <si>
    <t>B05014</t>
  </si>
  <si>
    <t>_x0007_`COD|M06543_x0005_`EXI|0_x0005_`DVD|F_x0005_`BMK| _x0005_`IPR|0_x0005_`KWN|0_x0005_`BLA|F_x0005_`</t>
  </si>
  <si>
    <t xml:space="preserve">자재218 </t>
  </si>
  <si>
    <t>대가418</t>
  </si>
  <si>
    <t>B05015</t>
  </si>
  <si>
    <t>_x0007_`COD|M06544_x0005_`EXI|0_x0005_`DVD|F_x0005_`BMK| _x0005_`IPR|0_x0005_`KWN|0_x0005_`BLA|F_x0005_`</t>
  </si>
  <si>
    <t xml:space="preserve">자재219 </t>
  </si>
  <si>
    <t>대가419</t>
  </si>
  <si>
    <t>B05016</t>
  </si>
  <si>
    <t>_x0007_`COD|M06545_x0005_`EXI|0_x0005_`DVD|F_x0005_`BMK| _x0005_`IPR|0_x0005_`KWN|0_x0005_`BLA|F_x0005_`</t>
  </si>
  <si>
    <t xml:space="preserve">자재220 </t>
  </si>
  <si>
    <t>대가420</t>
  </si>
  <si>
    <t>B05065</t>
  </si>
  <si>
    <t>_x0007_`COD|B05066_x0005_`EXI|0_x0005_`DVD|F_x0005_`BMK| _x0005_`IPR|0_x0005_`BLA|F_x0005_`</t>
  </si>
  <si>
    <t>B05066_1</t>
  </si>
  <si>
    <t>대가 724호표</t>
  </si>
  <si>
    <t>_x0007_`COD|M06690_x0005_`EXI|0_x0005_`DVD|F_x0005_`BMK| _x0005_`IPR|0_x0005_`KWN|0_x0005_`BLA|F_x0005_`</t>
  </si>
  <si>
    <t xml:space="preserve">자재221 </t>
  </si>
  <si>
    <t>대가421</t>
  </si>
  <si>
    <t>B05365</t>
  </si>
  <si>
    <t>대가422</t>
  </si>
  <si>
    <t>B05366</t>
  </si>
  <si>
    <t>대가423</t>
  </si>
  <si>
    <t>B05367</t>
  </si>
  <si>
    <t>대가424</t>
  </si>
  <si>
    <t>B05368</t>
  </si>
  <si>
    <t>대가425</t>
  </si>
  <si>
    <t>B05369</t>
  </si>
  <si>
    <t>대가426</t>
  </si>
  <si>
    <t>B05370</t>
  </si>
  <si>
    <t>대가427</t>
  </si>
  <si>
    <t>B05371</t>
  </si>
  <si>
    <t>_x0007_`COD|B04824_x0005_`EXI|0_x0005_`DVD|F_x0005_`BMK| _x0005_`IPR|0_x0005_`BLA|F_x0005_`</t>
  </si>
  <si>
    <t>B04824_1</t>
  </si>
  <si>
    <t>대가 723호표</t>
  </si>
  <si>
    <t>대가428</t>
  </si>
  <si>
    <t>B05372</t>
  </si>
  <si>
    <t>대가429</t>
  </si>
  <si>
    <t>B05373</t>
  </si>
  <si>
    <t>대가430</t>
  </si>
  <si>
    <t>B05374</t>
  </si>
  <si>
    <t>대가431</t>
  </si>
  <si>
    <t>B05375</t>
  </si>
  <si>
    <t>대가432</t>
  </si>
  <si>
    <t>B05376</t>
  </si>
  <si>
    <t>_x0007_`COD|B05069_x0005_`EXI|0_x0005_`DVD|F_x0005_`BMK| _x0005_`IPR|0_x0005_`BLA|F_x0005_`</t>
  </si>
  <si>
    <t>B05069_1</t>
  </si>
  <si>
    <t>대가 725호표</t>
  </si>
  <si>
    <t>대가433</t>
  </si>
  <si>
    <t>B05377</t>
  </si>
  <si>
    <t>_x0007_`COD|B04812_x0005_`EXI|0_x0005_`DVD|F_x0005_`BMK| _x0005_`IPR|0_x0005_`BLA|F_x0005_`</t>
  </si>
  <si>
    <t>B04812_1</t>
  </si>
  <si>
    <t>대가 722호표</t>
  </si>
  <si>
    <t>대가434</t>
  </si>
  <si>
    <t>B05378</t>
  </si>
  <si>
    <t>대가435</t>
  </si>
  <si>
    <t>B05379</t>
  </si>
  <si>
    <t>대가436</t>
  </si>
  <si>
    <t>B05380</t>
  </si>
  <si>
    <t>대가437</t>
  </si>
  <si>
    <t>B05381</t>
  </si>
  <si>
    <t>대가438</t>
  </si>
  <si>
    <t>B05382</t>
  </si>
  <si>
    <t>대가439</t>
  </si>
  <si>
    <t>B05017</t>
  </si>
  <si>
    <t>_x0007_`COD|M05499_x0005_`EXI|0_x0005_`DVD|F_x0005_`BMK| _x0005_`IPR|0_x0005_`KWN|0_x0005_`BLA|F_x0005_`</t>
  </si>
  <si>
    <t>M05499_1</t>
  </si>
  <si>
    <t xml:space="preserve">자재296 </t>
  </si>
  <si>
    <t>대가440</t>
  </si>
  <si>
    <t>B05018</t>
  </si>
  <si>
    <t>_x0007_`COD|M02071_x0005_`EXI|0_x0005_`DVD|F_x0005_`BMK| _x0005_`IPR|0_x0005_`KWN|0_x0005_`BLA|F_x0005_`</t>
  </si>
  <si>
    <t xml:space="preserve">자재297 </t>
  </si>
  <si>
    <t>대가441</t>
  </si>
  <si>
    <t>B05019</t>
  </si>
  <si>
    <t>_x0007_`COD|M03181_x0005_`EXI|0_x0005_`DVD|F_x0005_`BMK| _x0005_`IPR|0_x0005_`KWN|0_x0005_`BLA|F_x0005_`</t>
  </si>
  <si>
    <t xml:space="preserve">자재293 </t>
  </si>
  <si>
    <t>대가442</t>
  </si>
  <si>
    <t>B05020</t>
  </si>
  <si>
    <t>_x0007_`COD|M06547_x0005_`EXI|0_x0005_`DVD|F_x0005_`BMK| _x0005_`IPR|0_x0005_`KWN|0_x0005_`BLA|F_x0005_`</t>
  </si>
  <si>
    <t xml:space="preserve">자재294 </t>
  </si>
  <si>
    <t>대가443</t>
  </si>
  <si>
    <t>B05021</t>
  </si>
  <si>
    <t>_x0007_`COD|M06546_x0005_`EXI|0_x0005_`DVD|F_x0005_`BMK| _x0005_`IPR|0_x0005_`KWN|0_x0005_`BLA|F_x0005_`</t>
  </si>
  <si>
    <t xml:space="preserve">자재295 </t>
  </si>
  <si>
    <t>대가444</t>
  </si>
  <si>
    <t>B05383</t>
  </si>
  <si>
    <t>대가445</t>
  </si>
  <si>
    <t>B05384</t>
  </si>
  <si>
    <t>대가446</t>
  </si>
  <si>
    <t>B05385</t>
  </si>
  <si>
    <t>대가447</t>
  </si>
  <si>
    <t>B05386</t>
  </si>
  <si>
    <t>대가448</t>
  </si>
  <si>
    <t>B05387</t>
  </si>
  <si>
    <t>대가449</t>
  </si>
  <si>
    <t>B05388</t>
  </si>
  <si>
    <t>대가450</t>
  </si>
  <si>
    <t>B05389</t>
  </si>
  <si>
    <t>대가451</t>
  </si>
  <si>
    <t>B05390</t>
  </si>
  <si>
    <t>대가452</t>
  </si>
  <si>
    <t>B05391</t>
  </si>
  <si>
    <t>대가453</t>
  </si>
  <si>
    <t>B05392</t>
  </si>
  <si>
    <t>대가454</t>
  </si>
  <si>
    <t>B05393</t>
  </si>
  <si>
    <t>대가455</t>
  </si>
  <si>
    <t>B05394</t>
  </si>
  <si>
    <t>대가456</t>
  </si>
  <si>
    <t>B05395</t>
  </si>
  <si>
    <t>대가457</t>
  </si>
  <si>
    <t>B05396</t>
  </si>
  <si>
    <t>대가458</t>
  </si>
  <si>
    <t>B05397</t>
  </si>
  <si>
    <t>대가459</t>
  </si>
  <si>
    <t>B05067</t>
  </si>
  <si>
    <t>_x0007_`COD|B05068_x0005_`EXI|0_x0005_`DVD|F_x0005_`BMK| _x0005_`IPR|0_x0005_`BLA|F_x0005_`</t>
  </si>
  <si>
    <t>B05068_1</t>
  </si>
  <si>
    <t>대가 726호표</t>
  </si>
  <si>
    <t>_x0007_`COD|M06691_x0005_`EXI|0_x0005_`DVD|F_x0005_`BMK| _x0005_`IPR|0_x0005_`KWN|0_x0005_`BLA|F_x0005_`</t>
  </si>
  <si>
    <t>M06691_1</t>
  </si>
  <si>
    <t xml:space="preserve">자재314 </t>
  </si>
  <si>
    <t>대가460</t>
  </si>
  <si>
    <t>B05022</t>
  </si>
  <si>
    <t>_x0007_`COD|M06548_x0005_`EXI|0_x0005_`DVD|F_x0005_`BMK| _x0005_`IPR|0_x0005_`KWN|0_x0005_`BLA|F_x0005_`</t>
  </si>
  <si>
    <t>M06548_1</t>
  </si>
  <si>
    <t xml:space="preserve">자재315 </t>
  </si>
  <si>
    <t>대가461</t>
  </si>
  <si>
    <t>B05398</t>
  </si>
  <si>
    <t>대가462</t>
  </si>
  <si>
    <t>B05399</t>
  </si>
  <si>
    <t>대가463</t>
  </si>
  <si>
    <t>B05400</t>
  </si>
  <si>
    <t>대가464</t>
  </si>
  <si>
    <t>B05401</t>
  </si>
  <si>
    <t>대가465</t>
  </si>
  <si>
    <t>B05402</t>
  </si>
  <si>
    <t>대가466</t>
  </si>
  <si>
    <t>B05403</t>
  </si>
  <si>
    <t>대가467</t>
  </si>
  <si>
    <t>B05023</t>
  </si>
  <si>
    <t>_x0007_`COD|M06550_x0005_`EXI|0_x0005_`DVD|F_x0005_`BMK| _x0005_`IPR|0_x0005_`KWN|0_x0005_`BLA|F_x0005_`</t>
  </si>
  <si>
    <t xml:space="preserve">자재228 </t>
  </si>
  <si>
    <t>대가468</t>
  </si>
  <si>
    <t>B05024</t>
  </si>
  <si>
    <t>_x0007_`COD|M06549_x0005_`EXI|0_x0005_`DVD|F_x0005_`BMK| _x0005_`IPR|0_x0005_`KWN|0_x0005_`BLA|F_x0005_`</t>
  </si>
  <si>
    <t xml:space="preserve">자재224 </t>
  </si>
  <si>
    <t>대가469</t>
  </si>
  <si>
    <t>B05025</t>
  </si>
  <si>
    <t>_x0007_`COD|M06551_x0005_`EXI|0_x0005_`DVD|F_x0005_`BMK| _x0005_`IPR|0_x0005_`KWN|0_x0005_`BLA|F_x0005_`</t>
  </si>
  <si>
    <t xml:space="preserve">자재225 </t>
  </si>
  <si>
    <t>대가470</t>
  </si>
  <si>
    <t>B05026</t>
  </si>
  <si>
    <t>_x0007_`COD|M06552_x0005_`EXI|0_x0005_`DVD|F_x0005_`BMK| _x0005_`IPR|0_x0005_`KWN|0_x0005_`BLA|F_x0005_`</t>
  </si>
  <si>
    <t xml:space="preserve">자재226 </t>
  </si>
  <si>
    <t>대가471</t>
  </si>
  <si>
    <t>B05070</t>
  </si>
  <si>
    <t>_x0007_`COD|B05071_x0005_`EXI|0_x0005_`DVD|F_x0005_`BMK| _x0005_`IPR|0_x0005_`BLA|F_x0005_`</t>
  </si>
  <si>
    <t>B05071_1</t>
  </si>
  <si>
    <t>대가 727호표</t>
  </si>
  <si>
    <t>_x0007_`COD|M06692_x0005_`EXI|0_x0005_`DVD|F_x0005_`BMK| _x0005_`IPR|0_x0005_`KWN|0_x0005_`BLA|F_x0005_`</t>
  </si>
  <si>
    <t xml:space="preserve">자재227 </t>
  </si>
  <si>
    <t>대가472</t>
  </si>
  <si>
    <t>B05404</t>
  </si>
  <si>
    <t>대가473</t>
  </si>
  <si>
    <t>B05405</t>
  </si>
  <si>
    <t>대가474</t>
  </si>
  <si>
    <t>B05406</t>
  </si>
  <si>
    <t>대가475</t>
  </si>
  <si>
    <t>B05407</t>
  </si>
  <si>
    <t>대가476</t>
  </si>
  <si>
    <t>B05408</t>
  </si>
  <si>
    <t>대가477</t>
  </si>
  <si>
    <t>B05409</t>
  </si>
  <si>
    <t>대가478</t>
  </si>
  <si>
    <t>B05410</t>
  </si>
  <si>
    <t>대가479</t>
  </si>
  <si>
    <t>B05411</t>
  </si>
  <si>
    <t>대가480</t>
  </si>
  <si>
    <t>B05412</t>
  </si>
  <si>
    <t>대가481</t>
  </si>
  <si>
    <t>B05413</t>
  </si>
  <si>
    <t>대가482</t>
  </si>
  <si>
    <t>B05414</t>
  </si>
  <si>
    <t>대가483</t>
  </si>
  <si>
    <t>B05415</t>
  </si>
  <si>
    <t>대가484</t>
  </si>
  <si>
    <t>B05027</t>
  </si>
  <si>
    <t>_x0007_`COD|M06553_x0005_`EXI|0_x0005_`DVD|F_x0005_`BMK| _x0005_`IPR|0_x0005_`KWN|0_x0005_`BLA|F_x0005_`</t>
  </si>
  <si>
    <t xml:space="preserve">자재215 </t>
  </si>
  <si>
    <t>대가485</t>
  </si>
  <si>
    <t>B05028</t>
  </si>
  <si>
    <t>_x0007_`COD|M06554_x0005_`EXI|0_x0005_`DVD|F_x0005_`BMK| _x0005_`IPR|0_x0005_`KWN|0_x0005_`BLA|F_x0005_`</t>
  </si>
  <si>
    <t xml:space="preserve">자재216 </t>
  </si>
  <si>
    <t>대가486</t>
  </si>
  <si>
    <t>B05029</t>
  </si>
  <si>
    <t>_x0007_`COD|M06555_x0005_`EXI|0_x0005_`DVD|F_x0005_`BMK| _x0005_`IPR|0_x0005_`KWN|0_x0005_`BLA|F_x0005_`</t>
  </si>
  <si>
    <t xml:space="preserve">자재211 </t>
  </si>
  <si>
    <t>대가487</t>
  </si>
  <si>
    <t>B05030</t>
  </si>
  <si>
    <t>_x0007_`COD|M06556_x0005_`EXI|0_x0005_`DVD|F_x0005_`BMK| _x0005_`IPR|0_x0005_`KWN|0_x0005_`BLA|F_x0005_`</t>
  </si>
  <si>
    <t xml:space="preserve">자재212 </t>
  </si>
  <si>
    <t>대가488</t>
  </si>
  <si>
    <t>B05031</t>
  </si>
  <si>
    <t>_x0007_`COD|M06682_x0005_`EXI|0_x0005_`DVD|F_x0005_`BMK| _x0005_`IPR|0_x0005_`KWN|0_x0005_`BLA|F_x0005_`</t>
  </si>
  <si>
    <t xml:space="preserve">자재213 </t>
  </si>
  <si>
    <t>대가489</t>
  </si>
  <si>
    <t>B05072</t>
  </si>
  <si>
    <t>_x0007_`COD|M06693_x0005_`EXI|0_x0005_`DVD|F_x0005_`BMK| _x0005_`IPR|0_x0005_`KWN|0_x0005_`BLA|F_x0005_`</t>
  </si>
  <si>
    <t xml:space="preserve">자재214 </t>
  </si>
  <si>
    <t>대가490</t>
  </si>
  <si>
    <t>B05416</t>
  </si>
  <si>
    <t>대가491</t>
  </si>
  <si>
    <t>B05417</t>
  </si>
  <si>
    <t>대가492</t>
  </si>
  <si>
    <t>B05418</t>
  </si>
  <si>
    <t>대가493</t>
  </si>
  <si>
    <t>B05419</t>
  </si>
  <si>
    <t>대가494</t>
  </si>
  <si>
    <t>B05420</t>
  </si>
  <si>
    <t>대가495</t>
  </si>
  <si>
    <t>B05421</t>
  </si>
  <si>
    <t>대가496</t>
  </si>
  <si>
    <t>B05422</t>
  </si>
  <si>
    <t>대가497</t>
  </si>
  <si>
    <t>B05423</t>
  </si>
  <si>
    <t>대가498</t>
  </si>
  <si>
    <t>B05424</t>
  </si>
  <si>
    <t>대가499</t>
  </si>
  <si>
    <t>B05425</t>
  </si>
  <si>
    <t>대가500</t>
  </si>
  <si>
    <t>B05426</t>
  </si>
  <si>
    <t>대가501</t>
  </si>
  <si>
    <t>B05427</t>
  </si>
  <si>
    <t>대가502</t>
  </si>
  <si>
    <t>B05428</t>
  </si>
  <si>
    <t>대가503</t>
  </si>
  <si>
    <t>B05429</t>
  </si>
  <si>
    <t>대가504</t>
  </si>
  <si>
    <t>B05430</t>
  </si>
  <si>
    <t>대가505</t>
  </si>
  <si>
    <t>B05431</t>
  </si>
  <si>
    <t>대가506</t>
  </si>
  <si>
    <t>B05432</t>
  </si>
  <si>
    <t>대가507</t>
  </si>
  <si>
    <t>B05433</t>
  </si>
  <si>
    <t>대가508</t>
  </si>
  <si>
    <t>B05032</t>
  </si>
  <si>
    <t>_x0007_`COD|M06557_x0005_`EXI|0_x0005_`DVD|F_x0005_`BMK| _x0005_`IPR|0_x0005_`KWN|0_x0005_`BLA|F_x0005_`</t>
  </si>
  <si>
    <t xml:space="preserve">자재110 </t>
  </si>
  <si>
    <t>대가509</t>
  </si>
  <si>
    <t>B05033</t>
  </si>
  <si>
    <t>_x0007_`COD|M06558_x0005_`EXI|0_x0005_`DVD|F_x0005_`BMK| _x0005_`IPR|0_x0005_`KWN|0_x0005_`BLA|F_x0005_`</t>
  </si>
  <si>
    <t xml:space="preserve">자재111 </t>
  </si>
  <si>
    <t>대가510</t>
  </si>
  <si>
    <t>B05034</t>
  </si>
  <si>
    <t>_x0007_`COD|M06559_x0005_`EXI|0_x0005_`DVD|F_x0005_`BMK| _x0005_`IPR|0_x0005_`KWN|0_x0005_`BLA|F_x0005_`</t>
  </si>
  <si>
    <t xml:space="preserve">자재107 </t>
  </si>
  <si>
    <t>대가511</t>
  </si>
  <si>
    <t>B05035</t>
  </si>
  <si>
    <t>_x0007_`COD|M06560_x0005_`EXI|0_x0005_`DVD|F_x0005_`BMK| _x0005_`IPR|0_x0005_`KWN|0_x0005_`BLA|F_x0005_`</t>
  </si>
  <si>
    <t xml:space="preserve">자재108 </t>
  </si>
  <si>
    <t>대가512</t>
  </si>
  <si>
    <t>B05036</t>
  </si>
  <si>
    <t>_x0007_`COD|M06561_x0005_`EXI|0_x0005_`DVD|F_x0005_`BMK| _x0005_`IPR|0_x0005_`KWN|0_x0005_`BLA|F_x0005_`</t>
  </si>
  <si>
    <t xml:space="preserve">자재109 </t>
  </si>
  <si>
    <t>대가513</t>
  </si>
  <si>
    <t>B05434</t>
  </si>
  <si>
    <t>대가514</t>
  </si>
  <si>
    <t>B05435</t>
  </si>
  <si>
    <t>대가515</t>
  </si>
  <si>
    <t>B05436</t>
  </si>
  <si>
    <t>대가516</t>
  </si>
  <si>
    <t>B05437</t>
  </si>
  <si>
    <t>대가517</t>
  </si>
  <si>
    <t>B05438</t>
  </si>
  <si>
    <t>대가518</t>
  </si>
  <si>
    <t>B05439</t>
  </si>
  <si>
    <t>대가519</t>
  </si>
  <si>
    <t>B05440</t>
  </si>
  <si>
    <t>대가520</t>
  </si>
  <si>
    <t>B05441</t>
  </si>
  <si>
    <t>대가521</t>
  </si>
  <si>
    <t>B05442</t>
  </si>
  <si>
    <t>대가522</t>
  </si>
  <si>
    <t>B05443</t>
  </si>
  <si>
    <t>대가523</t>
  </si>
  <si>
    <t>B05444</t>
  </si>
  <si>
    <t>대가524</t>
  </si>
  <si>
    <t>B05445</t>
  </si>
  <si>
    <t>대가525</t>
  </si>
  <si>
    <t>B05446</t>
  </si>
  <si>
    <t>대가526</t>
  </si>
  <si>
    <t>B05447</t>
  </si>
  <si>
    <t>대가527</t>
  </si>
  <si>
    <t>B05448</t>
  </si>
  <si>
    <t>대가528</t>
  </si>
  <si>
    <t>B05037</t>
  </si>
  <si>
    <t>_x0007_`COD|B05038_x0005_`EXI|0_x0005_`DVD|F_x0005_`BMK| _x0005_`IPR|0_x0005_`BLA|F_x0005_`</t>
  </si>
  <si>
    <t>B05038_1</t>
  </si>
  <si>
    <t>대가 728호표</t>
  </si>
  <si>
    <t>_x0007_`COD|M06683_x0005_`EXI|0_x0005_`DVD|F_x0005_`BMK| _x0005_`IPR|0_x0005_`KWN|0_x0005_`BLA|F_x0005_`</t>
  </si>
  <si>
    <t xml:space="preserve">자재364 </t>
  </si>
  <si>
    <t>대가529</t>
  </si>
  <si>
    <t>B05045</t>
  </si>
  <si>
    <t>_x0007_`COD|B05039_x0005_`EXI|0_x0005_`DVD|F_x0005_`BMK| _x0005_`IPR|0_x0005_`BLA|F_x0005_`</t>
  </si>
  <si>
    <t>B05039_1</t>
  </si>
  <si>
    <t>대가 731호표</t>
  </si>
  <si>
    <t>_x0007_`COD|M05149_x0005_`EXI|0_x0005_`DVD|F_x0005_`BMK| _x0005_`IPR|0_x0005_`KWN|0_x0005_`BLA|F_x0005_`</t>
  </si>
  <si>
    <t xml:space="preserve">자재365 </t>
  </si>
  <si>
    <t>대가530</t>
  </si>
  <si>
    <t>B05046</t>
  </si>
  <si>
    <t>_x0007_`COD|B05040_x0005_`EXI|0_x0005_`DVD|F_x0005_`BMK| _x0005_`IPR|0_x0005_`BLA|F_x0005_`</t>
  </si>
  <si>
    <t>B05040_1</t>
  </si>
  <si>
    <t>대가 734호표</t>
  </si>
  <si>
    <t>_x0007_`COD|M06386_x0005_`EXI|0_x0005_`DVD|F_x0005_`BMK| _x0005_`IPR|0_x0005_`KWN|0_x0005_`BLA|F_x0005_`</t>
  </si>
  <si>
    <t xml:space="preserve">자재359 </t>
  </si>
  <si>
    <t>대가531</t>
  </si>
  <si>
    <t>B05047</t>
  </si>
  <si>
    <t>_x0007_`COD|B05041_x0005_`EXI|0_x0005_`DVD|F_x0005_`BMK| _x0005_`IPR|0_x0005_`BLA|F_x0005_`</t>
  </si>
  <si>
    <t>B05041_1</t>
  </si>
  <si>
    <t>대가 737호표</t>
  </si>
  <si>
    <t>_x0007_`COD|M05493_x0005_`EXI|0_x0005_`DVD|F_x0005_`BMK| _x0005_`IPR|0_x0005_`KWN|0_x0005_`BLA|F_x0005_`</t>
  </si>
  <si>
    <t>M05493_1</t>
  </si>
  <si>
    <t xml:space="preserve">자재361 </t>
  </si>
  <si>
    <t>대가532</t>
  </si>
  <si>
    <t>B05048</t>
  </si>
  <si>
    <t>_x0007_`COD|B05042_x0005_`EXI|0_x0005_`DVD|F_x0005_`BMK| _x0005_`IPR|0_x0005_`BLA|F_x0005_`</t>
  </si>
  <si>
    <t>B05042_1</t>
  </si>
  <si>
    <t>대가 740호표</t>
  </si>
  <si>
    <t>_x0007_`COD|M06562_x0005_`EXI|0_x0005_`DVD|F_x0005_`BMK| _x0005_`IPR|0_x0005_`KWN|0_x0005_`BLA|F_x0005_`</t>
  </si>
  <si>
    <t xml:space="preserve">자재362 </t>
  </si>
  <si>
    <t>대가533</t>
  </si>
  <si>
    <t>B05049</t>
  </si>
  <si>
    <t>_x0007_`COD|B05043_x0005_`EXI|0_x0005_`DVD|F_x0005_`BMK| _x0005_`IPR|0_x0005_`BLA|F_x0005_`</t>
  </si>
  <si>
    <t>B05043_1</t>
  </si>
  <si>
    <t>대가 743호표</t>
  </si>
  <si>
    <t>_x0007_`COD|M05224_x0005_`EXI|0_x0005_`DVD|F_x0005_`BMK| _x0005_`IPR|0_x0005_`KWN|0_x0005_`BLA|F_x0005_`</t>
  </si>
  <si>
    <t xml:space="preserve">자재363 </t>
  </si>
  <si>
    <t>대가534</t>
  </si>
  <si>
    <t>B05449</t>
  </si>
  <si>
    <t>대가535</t>
  </si>
  <si>
    <t>B05450</t>
  </si>
  <si>
    <t>대가536</t>
  </si>
  <si>
    <t>B05451</t>
  </si>
  <si>
    <t>대가537</t>
  </si>
  <si>
    <t>B05452</t>
  </si>
  <si>
    <t>대가538</t>
  </si>
  <si>
    <t>B05453</t>
  </si>
  <si>
    <t>대가539</t>
  </si>
  <si>
    <t>B05454</t>
  </si>
  <si>
    <t>대가540</t>
  </si>
  <si>
    <t>B05455</t>
  </si>
  <si>
    <t>_x0007_`COD|B04838_x0005_`EXI|0_x0005_`DVD|F_x0005_`BMK| _x0005_`IPR|0_x0005_`BLA|F_x0005_`</t>
  </si>
  <si>
    <t>B04838_1</t>
  </si>
  <si>
    <t>대가 730호표</t>
  </si>
  <si>
    <t>대가541</t>
  </si>
  <si>
    <t>B05456</t>
  </si>
  <si>
    <t>_x0007_`COD|B04839_x0005_`EXI|0_x0005_`DVD|F_x0005_`BMK| _x0005_`IPR|0_x0005_`BLA|F_x0005_`</t>
  </si>
  <si>
    <t>B04839_1</t>
  </si>
  <si>
    <t>대가 733호표</t>
  </si>
  <si>
    <t>대가542</t>
  </si>
  <si>
    <t>B05457</t>
  </si>
  <si>
    <t>_x0007_`COD|B04840_x0005_`EXI|0_x0005_`DVD|F_x0005_`BMK| _x0005_`IPR|0_x0005_`BLA|F_x0005_`</t>
  </si>
  <si>
    <t>B04840_1</t>
  </si>
  <si>
    <t>대가 736호표</t>
  </si>
  <si>
    <t>대가543</t>
  </si>
  <si>
    <t>B05458</t>
  </si>
  <si>
    <t>_x0007_`COD|B04841_x0005_`EXI|0_x0005_`DVD|F_x0005_`BMK| _x0005_`IPR|0_x0005_`BLA|F_x0005_`</t>
  </si>
  <si>
    <t>B04841_1</t>
  </si>
  <si>
    <t>대가 739호표</t>
  </si>
  <si>
    <t>대가544</t>
  </si>
  <si>
    <t>B05459</t>
  </si>
  <si>
    <t>_x0007_`COD|B04842_x0005_`EXI|0_x0005_`DVD|F_x0005_`BMK| _x0005_`IPR|0_x0005_`BLA|F_x0005_`</t>
  </si>
  <si>
    <t>B04842_1</t>
  </si>
  <si>
    <t>대가 742호표</t>
  </si>
  <si>
    <t>대가545</t>
  </si>
  <si>
    <t>B05460</t>
  </si>
  <si>
    <t>_x0007_`COD|B04843_x0005_`EXI|0_x0005_`DVD|F_x0005_`BMK| _x0005_`IPR|0_x0005_`BLA|F_x0005_`</t>
  </si>
  <si>
    <t>B04843_1</t>
  </si>
  <si>
    <t>대가 745호표</t>
  </si>
  <si>
    <t>대가546</t>
  </si>
  <si>
    <t>B05461</t>
  </si>
  <si>
    <t>_x0007_`COD|B04845_x0005_`EXI|0_x0005_`DVD|F_x0005_`BMK| _x0005_`IPR|0_x0005_`BLA|F_x0005_`</t>
  </si>
  <si>
    <t>B04845_1</t>
  </si>
  <si>
    <t>대가 729호표</t>
  </si>
  <si>
    <t>대가547</t>
  </si>
  <si>
    <t>B05462</t>
  </si>
  <si>
    <t>_x0007_`COD|B04846_x0005_`EXI|0_x0005_`DVD|F_x0005_`BMK| _x0005_`IPR|0_x0005_`BLA|F_x0005_`</t>
  </si>
  <si>
    <t>B04846_1</t>
  </si>
  <si>
    <t>대가 732호표</t>
  </si>
  <si>
    <t>대가548</t>
  </si>
  <si>
    <t>B05463</t>
  </si>
  <si>
    <t>_x0007_`COD|B04847_x0005_`EXI|0_x0005_`DVD|F_x0005_`BMK| _x0005_`IPR|0_x0005_`BLA|F_x0005_`</t>
  </si>
  <si>
    <t>B04847_1</t>
  </si>
  <si>
    <t>대가 735호표</t>
  </si>
  <si>
    <t>대가549</t>
  </si>
  <si>
    <t>B05464</t>
  </si>
  <si>
    <t>_x0007_`COD|B04848_x0005_`EXI|0_x0005_`DVD|F_x0005_`BMK| _x0005_`IPR|0_x0005_`BLA|F_x0005_`</t>
  </si>
  <si>
    <t>B04848_1</t>
  </si>
  <si>
    <t>대가 738호표</t>
  </si>
  <si>
    <t>대가550</t>
  </si>
  <si>
    <t>B05465</t>
  </si>
  <si>
    <t>_x0007_`COD|B04849_x0005_`EXI|0_x0005_`DVD|F_x0005_`BMK| _x0005_`IPR|0_x0005_`BLA|F_x0005_`</t>
  </si>
  <si>
    <t>B04849_1</t>
  </si>
  <si>
    <t>대가 741호표</t>
  </si>
  <si>
    <t>대가551</t>
  </si>
  <si>
    <t>B05466</t>
  </si>
  <si>
    <t>_x0007_`COD|B04850_x0005_`EXI|0_x0005_`DVD|F_x0005_`BMK| _x0005_`IPR|0_x0005_`BLA|F_x0005_`</t>
  </si>
  <si>
    <t>B04850_1</t>
  </si>
  <si>
    <t>대가 744호표</t>
  </si>
  <si>
    <t>대가552</t>
  </si>
  <si>
    <t>B05051</t>
  </si>
  <si>
    <t>_x0007_`COD|M06564_x0005_`EXI|0_x0005_`DVD|F_x0005_`BMK| _x0005_`IPR|0_x0005_`KWN|0_x0005_`BLA|F_x0005_`</t>
  </si>
  <si>
    <t>M06564_1</t>
  </si>
  <si>
    <t xml:space="preserve">자재313 </t>
  </si>
  <si>
    <t>대가553</t>
  </si>
  <si>
    <t>B05052</t>
  </si>
  <si>
    <t>_x0007_`COD|M06565_x0005_`EXI|0_x0005_`DVD|F_x0005_`BMK| _x0005_`IPR|0_x0005_`KWN|0_x0005_`BLA|F_x0005_`</t>
  </si>
  <si>
    <t>M06565_1</t>
  </si>
  <si>
    <t xml:space="preserve">자재310 </t>
  </si>
  <si>
    <t>대가554</t>
  </si>
  <si>
    <t>B05053</t>
  </si>
  <si>
    <t>_x0007_`COD|M06566_x0005_`EXI|0_x0005_`DVD|F_x0005_`BMK| _x0005_`IPR|0_x0005_`KWN|0_x0005_`BLA|F_x0005_`</t>
  </si>
  <si>
    <t>M06566_1</t>
  </si>
  <si>
    <t xml:space="preserve">자재311 </t>
  </si>
  <si>
    <t>대가555</t>
  </si>
  <si>
    <t>B05054</t>
  </si>
  <si>
    <t>_x0007_`COD|M06567_x0005_`EXI|0_x0005_`DVD|F_x0005_`BMK| _x0005_`IPR|0_x0005_`KWN|0_x0005_`BLA|F_x0005_`</t>
  </si>
  <si>
    <t>M06567_1</t>
  </si>
  <si>
    <t xml:space="preserve">자재312 </t>
  </si>
  <si>
    <t>대가556</t>
  </si>
  <si>
    <t>B05467</t>
  </si>
  <si>
    <t>대가557</t>
  </si>
  <si>
    <t>B05468</t>
  </si>
  <si>
    <t>대가558</t>
  </si>
  <si>
    <t>B05469</t>
  </si>
  <si>
    <t>대가559</t>
  </si>
  <si>
    <t>B05470</t>
  </si>
  <si>
    <t>대가560</t>
  </si>
  <si>
    <t>B05471</t>
  </si>
  <si>
    <t>대가561</t>
  </si>
  <si>
    <t>B05472</t>
  </si>
  <si>
    <t>대가562</t>
  </si>
  <si>
    <t>B05473</t>
  </si>
  <si>
    <t>대가563</t>
  </si>
  <si>
    <t>B05474</t>
  </si>
  <si>
    <t>대가564</t>
  </si>
  <si>
    <t>B05475</t>
  </si>
  <si>
    <t>대가565</t>
  </si>
  <si>
    <t>B05476</t>
  </si>
  <si>
    <t>대가566</t>
  </si>
  <si>
    <t>B05477</t>
  </si>
  <si>
    <t>대가567</t>
  </si>
  <si>
    <t>B05478</t>
  </si>
  <si>
    <t>대가568</t>
  </si>
  <si>
    <t>B05055</t>
  </si>
  <si>
    <t>_x0007_`COD|W00270_x0005_`EXI|0_x0005_`DVD|F_x0005_`BMK| _x0005_`IPR|0_x0005_`BLA|F_x0005_`</t>
  </si>
  <si>
    <t>W00270_1</t>
  </si>
  <si>
    <t xml:space="preserve">기타10 </t>
  </si>
  <si>
    <t>_x0007_`COD|M06568_x0005_`EXI|0_x0005_`DVD|F_x0005_`BMK| _x0005_`IPR|0_x0005_`KWN|0_x0005_`BLA|F_x0005_`</t>
  </si>
  <si>
    <t>M06568_1</t>
  </si>
  <si>
    <t xml:space="preserve">자재231 </t>
  </si>
  <si>
    <t>대가569</t>
  </si>
  <si>
    <t>B05056</t>
  </si>
  <si>
    <t>_x0007_`COD|W00271_x0005_`EXI|0_x0005_`DVD|F_x0005_`BMK| _x0005_`IPR|0_x0005_`BLA|F_x0005_`</t>
  </si>
  <si>
    <t>W00271_1</t>
  </si>
  <si>
    <t xml:space="preserve">기타11 </t>
  </si>
  <si>
    <t>_x0007_`COD|M06569_x0005_`EXI|0_x0005_`DVD|F_x0005_`BMK| _x0005_`IPR|0_x0005_`KWN|0_x0005_`BLA|F_x0005_`</t>
  </si>
  <si>
    <t>M06569_1</t>
  </si>
  <si>
    <t xml:space="preserve">자재232 </t>
  </si>
  <si>
    <t>대가570</t>
  </si>
  <si>
    <t>B05479</t>
  </si>
  <si>
    <t>대가571</t>
  </si>
  <si>
    <t>B05480</t>
  </si>
  <si>
    <t>대가572</t>
  </si>
  <si>
    <t>B05481</t>
  </si>
  <si>
    <t>대가573</t>
  </si>
  <si>
    <t>B05482</t>
  </si>
  <si>
    <t>대가574</t>
  </si>
  <si>
    <t>B05483</t>
  </si>
  <si>
    <t>_x0007_`COD|W00270_x0005_`EXI|0_x0005_`DVD|F_x0005_`BMK| _x0005_`IPR|1_x0005_`BLA|F_x0005_`</t>
  </si>
  <si>
    <t>소계(제외금액)</t>
  </si>
  <si>
    <t>_x0007_`COD|C1_x0005_`EXI|0_x0005_`TPR|0_x0005_`</t>
  </si>
  <si>
    <t>C1_1</t>
  </si>
  <si>
    <t>설치비의 50% 적용</t>
  </si>
  <si>
    <t>_x0007_`COD|PR_x0005_`EXI|1_x0005_`DVD|F_x0005_`BMK| _x0005_`IPR|0_x0005_`EQC|A01_x0005_`PRI|2_x0005_`PRO|2_x0005_`UNI|%_x0005_`BLA|F_x0005_`</t>
  </si>
  <si>
    <t>대가575</t>
  </si>
  <si>
    <t>B05484</t>
  </si>
  <si>
    <t>_x0007_`COD|W00271_x0005_`EXI|0_x0005_`DVD|F_x0005_`BMK| _x0005_`IPR|1_x0005_`BLA|F_x0005_`</t>
  </si>
  <si>
    <t>대가576</t>
  </si>
  <si>
    <t>B04887</t>
  </si>
  <si>
    <t>적산정보 347P</t>
  </si>
  <si>
    <t>_x0007_`COD|B04880_x0005_`EXI|0_x0005_`DVD|F_x0005_`BMK| _x0005_`IPR|0_x0005_`BLA|F_x0005_`</t>
  </si>
  <si>
    <t>_x0007_`COD|B04873_x0005_`EXI|0_x0005_`DVD|F_x0005_`BMK| _x0005_`IPR|0_x0005_`BLA|F_x0005_`</t>
  </si>
  <si>
    <t>대가577</t>
  </si>
  <si>
    <t>B04888</t>
  </si>
  <si>
    <t>대가578</t>
  </si>
  <si>
    <t>B04889</t>
  </si>
  <si>
    <t>_x0007_`COD|B04881_x0005_`EXI|0_x0005_`DVD|F_x0005_`BMK| _x0005_`IPR|0_x0005_`BLA|F_x0005_`</t>
  </si>
  <si>
    <t>_x0007_`COD|B04874_x0005_`EXI|0_x0005_`DVD|F_x0005_`BMK| _x0005_`IPR|0_x0005_`BLA|F_x0005_`</t>
  </si>
  <si>
    <t>대가579</t>
  </si>
  <si>
    <t>B04890</t>
  </si>
  <si>
    <t>_x0007_`COD|B04883_x0005_`EXI|0_x0005_`DVD|F_x0005_`BMK| _x0005_`IPR|0_x0005_`BLA|F_x0005_`</t>
  </si>
  <si>
    <t>_x0007_`COD|B04876_x0005_`EXI|0_x0005_`DVD|F_x0005_`BMK| _x0005_`IPR|0_x0005_`BLA|F_x0005_`</t>
  </si>
  <si>
    <t>대가580</t>
  </si>
  <si>
    <t>B04891</t>
  </si>
  <si>
    <t>_x0007_`COD|B04884_x0005_`EXI|0_x0005_`DVD|F_x0005_`BMK| _x0005_`IPR|0_x0005_`BLA|F_x0005_`</t>
  </si>
  <si>
    <t>_x0007_`COD|B04877_x0005_`EXI|0_x0005_`DVD|F_x0005_`BMK| _x0005_`IPR|0_x0005_`BLA|F_x0005_`</t>
  </si>
  <si>
    <t>대가581</t>
  </si>
  <si>
    <t>B04892</t>
  </si>
  <si>
    <t>_x0007_`COD|B04885_x0005_`EXI|0_x0005_`DVD|F_x0005_`BMK| _x0005_`IPR|0_x0005_`BLA|F_x0005_`</t>
  </si>
  <si>
    <t>_x0007_`COD|B04878_x0005_`EXI|0_x0005_`DVD|F_x0005_`BMK| _x0005_`IPR|0_x0005_`BLA|F_x0005_`</t>
  </si>
  <si>
    <t>대가582</t>
  </si>
  <si>
    <t>B04873</t>
  </si>
  <si>
    <t>_x0007_`COD|L00027_x0005_`EXI|0_x0005_`DVD|F_x0005_`BMK| _x0005_`IPR|1_x0005_`BLA|F_x0005_`</t>
  </si>
  <si>
    <t>L00027_1</t>
  </si>
  <si>
    <t xml:space="preserve">노무8 </t>
  </si>
  <si>
    <t>_x0007_`COD|L00001_x0005_`EXI|0_x0005_`DVD|F_x0005_`BMK| _x0005_`IPR|1_x0005_`BLA|F_x0005_`</t>
  </si>
  <si>
    <t>L00001_1</t>
  </si>
  <si>
    <t xml:space="preserve">노무9 </t>
  </si>
  <si>
    <t>공구손료및기계경비</t>
  </si>
  <si>
    <t>대가583</t>
  </si>
  <si>
    <t>B04874</t>
  </si>
  <si>
    <t>대가584</t>
  </si>
  <si>
    <t>B04875</t>
  </si>
  <si>
    <t>대가585</t>
  </si>
  <si>
    <t>B04876</t>
  </si>
  <si>
    <t>대가586</t>
  </si>
  <si>
    <t>B04877</t>
  </si>
  <si>
    <t>대가587</t>
  </si>
  <si>
    <t>B04878</t>
  </si>
  <si>
    <t>대가588</t>
  </si>
  <si>
    <t>B04880</t>
  </si>
  <si>
    <t>대가589</t>
  </si>
  <si>
    <t>B04881</t>
  </si>
  <si>
    <t>대가590</t>
  </si>
  <si>
    <t>B04882</t>
  </si>
  <si>
    <t>_x0007_`COD|B04875_x0005_`EXI|0_x0005_`DVD|F_x0005_`BMK| _x0005_`IPR|0_x0005_`BLA|F_x0005_`</t>
  </si>
  <si>
    <t>대가591</t>
  </si>
  <si>
    <t>B04883</t>
  </si>
  <si>
    <t>대가592</t>
  </si>
  <si>
    <t>B04884</t>
  </si>
  <si>
    <t>대가593</t>
  </si>
  <si>
    <t>B04885</t>
  </si>
  <si>
    <t>대가594</t>
  </si>
  <si>
    <t>B05057</t>
  </si>
  <si>
    <t>_x0007_`COD|M06699_x0005_`EXI|0_x0005_`DVD|F_x0005_`BMK| _x0005_`IPR|0_x0005_`KWN|0_x0005_`BLA|F_x0005_`</t>
  </si>
  <si>
    <t>M06699_1</t>
  </si>
  <si>
    <t xml:space="preserve">자재25 </t>
  </si>
  <si>
    <t>_x0007_`COD|B01015_x0005_`EXI|0_x0005_`DVD|F_x0005_`BMK| _x0005_`IPR|0_x0005_`BLA|F_x0005_`</t>
  </si>
  <si>
    <t>B01015_1</t>
  </si>
  <si>
    <t>대가 746호표</t>
  </si>
  <si>
    <t>대가595</t>
  </si>
  <si>
    <t>B05058</t>
  </si>
  <si>
    <t>_x0007_`COD|M06700_x0005_`EXI|0_x0005_`DVD|F_x0005_`BMK| _x0005_`IPR|0_x0005_`KWN|0_x0005_`BLA|F_x0005_`</t>
  </si>
  <si>
    <t>M06700_1</t>
  </si>
  <si>
    <t xml:space="preserve">자재26 </t>
  </si>
  <si>
    <t>_x0007_`COD|B02875_x0005_`EXI|0_x0005_`DVD|F_x0005_`BMK| _x0005_`IPR|0_x0005_`BLA|F_x0005_`</t>
  </si>
  <si>
    <t>B02875_1</t>
  </si>
  <si>
    <t>대가 747호표</t>
  </si>
  <si>
    <t>대가596</t>
  </si>
  <si>
    <t>B05059</t>
  </si>
  <si>
    <t>_x0007_`COD|M06701_x0005_`EXI|0_x0005_`DVD|F_x0005_`BMK| _x0005_`IPR|0_x0005_`KWN|0_x0005_`BLA|F_x0005_`</t>
  </si>
  <si>
    <t>M06701_1</t>
  </si>
  <si>
    <t xml:space="preserve">자재21 </t>
  </si>
  <si>
    <t>_x0007_`COD|B04852_x0005_`EXI|0_x0005_`DVD|F_x0005_`BMK| _x0005_`IPR|0_x0005_`BLA|F_x0005_`</t>
  </si>
  <si>
    <t>B04852_1</t>
  </si>
  <si>
    <t>대가 748호표</t>
  </si>
  <si>
    <t>대가597</t>
  </si>
  <si>
    <t>B05073</t>
  </si>
  <si>
    <t>_x0007_`COD|M06702_x0005_`EXI|0_x0005_`DVD|F_x0005_`BMK| _x0005_`IPR|0_x0005_`KWN|0_x0005_`BLA|F_x0005_`</t>
  </si>
  <si>
    <t>M06702_1</t>
  </si>
  <si>
    <t xml:space="preserve">자재23 </t>
  </si>
  <si>
    <t>_x0007_`COD|B04853_x0005_`EXI|0_x0005_`DVD|F_x0005_`BMK| _x0005_`IPR|0_x0005_`BLA|F_x0005_`</t>
  </si>
  <si>
    <t>B04853_1</t>
  </si>
  <si>
    <t>대가 749호표</t>
  </si>
  <si>
    <t>대가598</t>
  </si>
  <si>
    <t>B05074</t>
  </si>
  <si>
    <t>_x0007_`COD|M06571_x0005_`EXI|0_x0005_`DVD|F_x0005_`BMK| _x0005_`IPR|0_x0005_`KWN|0_x0005_`BLA|F_x0005_`</t>
  </si>
  <si>
    <t>M06571_1</t>
  </si>
  <si>
    <t xml:space="preserve">자재22 </t>
  </si>
  <si>
    <t>_x0007_`COD|B04854_x0005_`EXI|0_x0005_`DVD|F_x0005_`BMK| _x0005_`IPR|0_x0005_`BLA|F_x0005_`</t>
  </si>
  <si>
    <t>B04854_1</t>
  </si>
  <si>
    <t>대가 750호표</t>
  </si>
  <si>
    <t>대가599</t>
  </si>
  <si>
    <t>B05075</t>
  </si>
  <si>
    <t>_x0007_`COD|B04855_x0005_`EXI|0_x0005_`DVD|F_x0005_`BMK| _x0005_`IPR|0_x0005_`BLA|F_x0005_`</t>
  </si>
  <si>
    <t>B04855_1</t>
  </si>
  <si>
    <t>대가 751호표</t>
  </si>
  <si>
    <t>대가600</t>
  </si>
  <si>
    <t>B05076</t>
  </si>
  <si>
    <t>_x0007_`COD|M06697_x0005_`EXI|0_x0005_`DVD|F_x0005_`BMK| _x0005_`IPR|0_x0005_`KWN|0_x0005_`BLA|F_x0005_`</t>
  </si>
  <si>
    <t>M06697_1</t>
  </si>
  <si>
    <t xml:space="preserve">자재24 </t>
  </si>
  <si>
    <t>대가601</t>
  </si>
  <si>
    <t>B02128</t>
  </si>
  <si>
    <t>_x0007_`COD|L00043_x0005_`EXI|0_x0005_`DVD|F_x0005_`BMK| _x0005_`IPR|1_x0005_`BLA|F_x0005_`</t>
  </si>
  <si>
    <t>L00043_1</t>
  </si>
  <si>
    <t xml:space="preserve">노무11 </t>
  </si>
  <si>
    <t>_x0007_`COD|M00045_x0005_`EXI|0_x0005_`DVD|F_x0005_`BMK| _x0005_`IPR|0_x0005_`KWN|0_x0005_`BLA|F_x0005_`</t>
  </si>
  <si>
    <t>M00045_1</t>
  </si>
  <si>
    <t xml:space="preserve">자재247 </t>
  </si>
  <si>
    <t>_x0007_`COD|M02784_x0005_`EXI|0_x0005_`DVD|F_x0005_`BMK| _x0005_`IPR|0_x0005_`KWN|0_x0005_`BLA|F_x0005_`</t>
  </si>
  <si>
    <t>M02784_1</t>
  </si>
  <si>
    <t xml:space="preserve">자재233 </t>
  </si>
  <si>
    <t>공구손료및 경 장비</t>
  </si>
  <si>
    <t>대가602</t>
  </si>
  <si>
    <t>B00920</t>
  </si>
  <si>
    <t>대가603</t>
  </si>
  <si>
    <t>B02127</t>
  </si>
  <si>
    <t>공구손료및경장비</t>
  </si>
  <si>
    <t>대가604</t>
  </si>
  <si>
    <t>B04857</t>
  </si>
  <si>
    <t>대가605</t>
  </si>
  <si>
    <t>B04858</t>
  </si>
  <si>
    <t>대가606</t>
  </si>
  <si>
    <t>B04859</t>
  </si>
  <si>
    <t>대가607</t>
  </si>
  <si>
    <t>B05078</t>
  </si>
  <si>
    <t>대가608</t>
  </si>
  <si>
    <t>B02663</t>
  </si>
  <si>
    <t>표준품셈 기계설비공사 5-1-1 적용</t>
  </si>
  <si>
    <t>_x0007_`COD|L00028_x0005_`EXI|0_x0005_`DVD|F_x0005_`BMK| _x0005_`IPR|1_x0005_`BLA|F_x0005_`</t>
  </si>
  <si>
    <t>L00028_1</t>
  </si>
  <si>
    <t xml:space="preserve">노무7 </t>
  </si>
  <si>
    <t>공구손료</t>
  </si>
  <si>
    <t>대가609</t>
  </si>
  <si>
    <t>B02664</t>
  </si>
  <si>
    <t>대가610</t>
  </si>
  <si>
    <t>B02665</t>
  </si>
  <si>
    <t>대가611</t>
  </si>
  <si>
    <t>B02666</t>
  </si>
  <si>
    <t>대가612</t>
  </si>
  <si>
    <t>B02667</t>
  </si>
  <si>
    <t>대가613</t>
  </si>
  <si>
    <t>B05093</t>
  </si>
  <si>
    <t>_x0007_`COD|B02644_x0005_`EXI|0_x0005_`DVD|F_x0005_`BMK| _x0005_`IPR|0_x0005_`BLA|F_x0005_`</t>
  </si>
  <si>
    <t>B02644_1</t>
  </si>
  <si>
    <t>대가 752호표</t>
  </si>
  <si>
    <t>_x0007_`COD|M06723_x0005_`EXI|0_x0005_`DVD|F_x0005_`BMK| _x0005_`IPR|0_x0005_`KWN|0_x0005_`BLA|F_x0005_`</t>
  </si>
  <si>
    <t xml:space="preserve">자재65 </t>
  </si>
  <si>
    <t>대가614</t>
  </si>
  <si>
    <t>B05094</t>
  </si>
  <si>
    <t>_x0007_`COD|M06724_x0005_`EXI|0_x0005_`DVD|F_x0005_`BMK| _x0005_`IPR|0_x0005_`KWN|0_x0005_`BLA|F_x0005_`</t>
  </si>
  <si>
    <t xml:space="preserve">자재67 </t>
  </si>
  <si>
    <t>대가615</t>
  </si>
  <si>
    <t>B05095</t>
  </si>
  <si>
    <t>_x0007_`COD|M06726_x0005_`EXI|0_x0005_`DVD|F_x0005_`BMK| _x0005_`IPR|0_x0005_`KWN|0_x0005_`BLA|F_x0005_`</t>
  </si>
  <si>
    <t xml:space="preserve">자재69 </t>
  </si>
  <si>
    <t>대가616</t>
  </si>
  <si>
    <t>B05101</t>
  </si>
  <si>
    <t>_x0007_`COD|M06727_x0005_`EXI|0_x0005_`DVD|F_x0005_`BMK| _x0005_`IPR|0_x0005_`KWN|0_x0005_`BLA|F_x0005_`</t>
  </si>
  <si>
    <t xml:space="preserve">자재70 </t>
  </si>
  <si>
    <t>대가617</t>
  </si>
  <si>
    <t>B05096</t>
  </si>
  <si>
    <t>_x0007_`COD|M06728_x0005_`EXI|0_x0005_`DVD|F_x0005_`BMK| _x0005_`IPR|0_x0005_`KWN|0_x0005_`BLA|F_x0005_`</t>
  </si>
  <si>
    <t xml:space="preserve">자재71 </t>
  </si>
  <si>
    <t>대가618</t>
  </si>
  <si>
    <t>B05097</t>
  </si>
  <si>
    <t>_x0007_`COD|B02866_x0005_`EXI|0_x0005_`DVD|F_x0005_`BMK| _x0005_`IPR|0_x0005_`BLA|F_x0005_`</t>
  </si>
  <si>
    <t>B02866_1</t>
  </si>
  <si>
    <t>대가 753호표</t>
  </si>
  <si>
    <t>_x0007_`COD|M06729_x0005_`EXI|0_x0005_`DVD|F_x0005_`BMK| _x0005_`IPR|0_x0005_`KWN|0_x0005_`BLA|F_x0005_`</t>
  </si>
  <si>
    <t xml:space="preserve">자재72 </t>
  </si>
  <si>
    <t>대가619</t>
  </si>
  <si>
    <t>B05098</t>
  </si>
  <si>
    <t>_x0007_`COD|B02865_x0005_`EXI|0_x0005_`DVD|F_x0005_`BMK| _x0005_`IPR|0_x0005_`BLA|F_x0005_`</t>
  </si>
  <si>
    <t>B02865_1</t>
  </si>
  <si>
    <t>대가 754호표</t>
  </si>
  <si>
    <t>_x0007_`COD|M06730_x0005_`EXI|0_x0005_`DVD|F_x0005_`BMK| _x0005_`IPR|0_x0005_`KWN|0_x0005_`BLA|F_x0005_`</t>
  </si>
  <si>
    <t xml:space="preserve">자재63 </t>
  </si>
  <si>
    <t>대가620</t>
  </si>
  <si>
    <t>B05099</t>
  </si>
  <si>
    <t>_x0007_`COD|B05102_x0005_`EXI|0_x0005_`DVD|F_x0005_`BMK| _x0005_`IPR|0_x0005_`BLA|F_x0005_`</t>
  </si>
  <si>
    <t>B05102_1</t>
  </si>
  <si>
    <t>대가 755호표</t>
  </si>
  <si>
    <t>_x0007_`COD|M06731_x0005_`EXI|0_x0005_`DVD|F_x0005_`BMK| _x0005_`IPR|0_x0005_`KWN|0_x0005_`BLA|F_x0005_`</t>
  </si>
  <si>
    <t xml:space="preserve">자재64 </t>
  </si>
  <si>
    <t>대가621</t>
  </si>
  <si>
    <t>B05100</t>
  </si>
  <si>
    <t>_x0007_`COD|B05103_x0005_`EXI|0_x0005_`DVD|F_x0005_`BMK| _x0005_`IPR|0_x0005_`BLA|F_x0005_`</t>
  </si>
  <si>
    <t>B05103_1</t>
  </si>
  <si>
    <t>대가 756호표</t>
  </si>
  <si>
    <t>_x0007_`COD|M06732_x0005_`EXI|0_x0005_`DVD|F_x0005_`BMK| _x0005_`IPR|0_x0005_`KWN|0_x0005_`BLA|F_x0005_`</t>
  </si>
  <si>
    <t xml:space="preserve">자재66 </t>
  </si>
  <si>
    <t>대가622</t>
  </si>
  <si>
    <t>B04861</t>
  </si>
  <si>
    <t>적산정보 756P</t>
  </si>
  <si>
    <t>대가623</t>
  </si>
  <si>
    <t>B04860</t>
  </si>
  <si>
    <t>대가624</t>
  </si>
  <si>
    <t>B04862</t>
  </si>
  <si>
    <t>대가625</t>
  </si>
  <si>
    <t>B04863</t>
  </si>
  <si>
    <t>적산정보 154P</t>
  </si>
  <si>
    <t>_x0007_`COD|L00006_x0005_`EXI|0_x0005_`DVD|F_x0005_`BMK| _x0005_`IPR|0_x0005_`BLA|F_x0005_`</t>
  </si>
  <si>
    <t>L00006_1</t>
  </si>
  <si>
    <t xml:space="preserve">노무14 </t>
  </si>
  <si>
    <t>대가626</t>
  </si>
  <si>
    <t>B04864</t>
  </si>
  <si>
    <t>적산정보 930P(기타기계설비13-11-1)13-11-1</t>
  </si>
  <si>
    <t>_x0007_`COD|L00277_x0005_`EXI|0_x0005_`DVD|F_x0005_`BMK| _x0005_`IPR|1_x0005_`BLA|F_x0005_`</t>
  </si>
  <si>
    <t>L00277_1</t>
  </si>
  <si>
    <t xml:space="preserve">노무3 </t>
  </si>
  <si>
    <t>_x0007_`COD|L00095_x0005_`EXI|0_x0005_`DVD|F_x0005_`BMK| _x0005_`IPR|1_x0005_`BLA|F_x0005_`</t>
  </si>
  <si>
    <t>L00095_1</t>
  </si>
  <si>
    <t xml:space="preserve">노무4 </t>
  </si>
  <si>
    <t>_x0007_`COD|L00013_x0005_`EXI|0_x0005_`DVD|F_x0005_`BMK| _x0005_`IPR|1_x0005_`BLA|F_x0005_`</t>
  </si>
  <si>
    <t>L00013_1</t>
  </si>
  <si>
    <t xml:space="preserve">노무10 </t>
  </si>
  <si>
    <t>_x0007_`COD|L00079_x0005_`EXI|0_x0005_`DVD|F_x0005_`BMK| _x0005_`IPR|1_x0005_`BLA|F_x0005_`</t>
  </si>
  <si>
    <t>L00079_1</t>
  </si>
  <si>
    <t xml:space="preserve">노무17 </t>
  </si>
  <si>
    <t>검사및교정비(기술관리제외)</t>
  </si>
  <si>
    <t>_x0007_`COD|PR_x0005_`EXI|1_x0005_`DVD|F_x0005_`BMK| _x0005_`IPR|1_x0005_`EQC|A01_x0005_`PRI|2_x0005_`PRO|2_x0005_`UNI|%_x0005_`BLA|F_x0005_`</t>
  </si>
  <si>
    <t>대가627</t>
  </si>
  <si>
    <t>B00014</t>
  </si>
  <si>
    <t>표준품셈 9-1-2 적용</t>
  </si>
  <si>
    <t>_x0007_`COD|L00007_x0005_`EXI|0_x0005_`DVD|F_x0005_`BMK| _x0005_`IPR|1_x0005_`BLA|F_x0005_`</t>
  </si>
  <si>
    <t>L00007_1</t>
  </si>
  <si>
    <t xml:space="preserve">노무15 </t>
  </si>
  <si>
    <t>_x0007_`COD|L00105_x0005_`EXI|0_x0005_`DVD|F_x0005_`BMK| _x0005_`IPR|1_x0005_`BLA|F_x0005_`</t>
  </si>
  <si>
    <t>L00105_1</t>
  </si>
  <si>
    <t xml:space="preserve">노무12 </t>
  </si>
  <si>
    <t>공구손료 및 경장비의 기계경비</t>
  </si>
  <si>
    <t>잡재료비</t>
  </si>
  <si>
    <t>_x0007_`COD|PR_x0005_`EXI|1_x0005_`DVD|F_x0005_`BMK| _x0005_`IPR|0_x0005_`EQC|A01_x0005_`PRI|2_x0005_`PRO|1_x0005_`UNI|%_x0005_`BLA|F_x0005_`</t>
  </si>
  <si>
    <t>대가628</t>
  </si>
  <si>
    <t>B04866</t>
  </si>
  <si>
    <t>_x0007_`COD|L00079_x0005_`EXI|0_x0005_`DVD|F_x0005_`BMK| _x0005_`IPR|0_x0005_`BLA|F_x0005_`</t>
  </si>
  <si>
    <t>_x0007_`COD|L00001_x0005_`EXI|0_x0005_`DVD|F_x0005_`BMK| _x0005_`IPR|0_x0005_`BLA|F_x0005_`</t>
  </si>
  <si>
    <t>_x0007_`COD|B04867_x0005_`EXI|0_x0005_`DVD|F_x0005_`BMK| _x0005_`IPR|0_x0005_`BLA|F_x0005_`</t>
  </si>
  <si>
    <t>B04867_1</t>
  </si>
  <si>
    <t>대가 757호표</t>
  </si>
  <si>
    <t>_x0007_`COD|B01343_x0005_`EXI|0_x0005_`DVD|F_x0005_`BMK| _x0005_`IPR|0_x0005_`BLA|F_x0005_`</t>
  </si>
  <si>
    <t>B01343_1</t>
  </si>
  <si>
    <t>대가 758호표</t>
  </si>
  <si>
    <t>_x0007_`COD|B01337_x0005_`EXI|0_x0005_`DVD|F_x0005_`BMK| _x0005_`IPR|0_x0005_`BLA|F_x0005_`</t>
  </si>
  <si>
    <t>B01337_1</t>
  </si>
  <si>
    <t>대가 759호표</t>
  </si>
  <si>
    <t>_x0007_`COD|B00036_x0005_`EXI|0_x0005_`DVD|F_x0005_`BMK| _x0005_`IPR|0_x0005_`BLA|F_x0005_`</t>
  </si>
  <si>
    <t>B00036_1</t>
  </si>
  <si>
    <t>대가 760호표</t>
  </si>
  <si>
    <t>_x0007_`COD|B00037_x0005_`EXI|0_x0005_`DVD|F_x0005_`BMK| _x0005_`IPR|0_x0005_`BLA|F_x0005_`</t>
  </si>
  <si>
    <t>B00037_1</t>
  </si>
  <si>
    <t>대가 761호표</t>
  </si>
  <si>
    <t>_x0007_`COD|M06642_x0005_`EXI|0_x0005_`DVD|F_x0005_`BMK| _x0005_`IPR|0_x0005_`KWN|0_x0005_`BLA|F_x0005_`</t>
  </si>
  <si>
    <t>M06642_1</t>
  </si>
  <si>
    <t xml:space="preserve">자재300 </t>
  </si>
  <si>
    <t>_x0007_`COD|M06643_x0005_`EXI|0_x0005_`DVD|F_x0005_`BMK| _x0005_`IPR|0_x0005_`KWN|0_x0005_`BLA|F_x0005_`</t>
  </si>
  <si>
    <t>M06643_1</t>
  </si>
  <si>
    <t xml:space="preserve">자재301 </t>
  </si>
  <si>
    <t>_x0007_`COD|M06644_x0005_`EXI|0_x0005_`DVD|F_x0005_`BMK| _x0005_`IPR|0_x0005_`KWN|0_x0005_`BLA|F_x0005_`</t>
  </si>
  <si>
    <t>M06644_1</t>
  </si>
  <si>
    <t xml:space="preserve">자재73 </t>
  </si>
  <si>
    <t>_x0007_`COD|M06645_x0005_`EXI|0_x0005_`DVD|F_x0005_`BMK| _x0005_`IPR|0_x0005_`KWN|0_x0005_`BLA|F_x0005_`</t>
  </si>
  <si>
    <t>M06645_1</t>
  </si>
  <si>
    <t xml:space="preserve">자재245 </t>
  </si>
  <si>
    <t>_x0007_`COD|M06646_x0005_`EXI|0_x0005_`DVD|F_x0005_`BMK| _x0005_`IPR|0_x0005_`KWN|0_x0005_`BLA|F_x0005_`</t>
  </si>
  <si>
    <t>M06646_1</t>
  </si>
  <si>
    <t xml:space="preserve">자재367 </t>
  </si>
  <si>
    <t>_x0007_`COD|M06647_x0005_`EXI|0_x0005_`DVD|F_x0005_`BMK| _x0005_`IPR|0_x0005_`KWN|0_x0005_`BLA|F_x0005_`</t>
  </si>
  <si>
    <t>M06647_1</t>
  </si>
  <si>
    <t xml:space="preserve">자재366 </t>
  </si>
  <si>
    <t>_x0007_`COD|M06648_x0005_`EXI|0_x0005_`DVD|F_x0005_`BMK| _x0005_`IPR|0_x0005_`KWN|0_x0005_`BLA|F_x0005_`</t>
  </si>
  <si>
    <t>M06648_1</t>
  </si>
  <si>
    <t xml:space="preserve">자재114 </t>
  </si>
  <si>
    <t>_x0007_`COD|M06649_x0005_`EXI|0_x0005_`DVD|F_x0005_`BMK| _x0005_`IPR|0_x0005_`KWN|0_x0005_`BLA|F_x0005_`</t>
  </si>
  <si>
    <t>M06649_1</t>
  </si>
  <si>
    <t xml:space="preserve">자재112 </t>
  </si>
  <si>
    <t>_x0007_`COD|M06650_x0005_`EXI|0_x0005_`DVD|F_x0005_`BMK| _x0005_`IPR|0_x0005_`KWN|0_x0005_`BLA|F_x0005_`</t>
  </si>
  <si>
    <t>M06650_1</t>
  </si>
  <si>
    <t xml:space="preserve">자재113 </t>
  </si>
  <si>
    <t>대가629</t>
  </si>
  <si>
    <t>B04868</t>
  </si>
  <si>
    <t>_x0007_`COD|D04120_x0005_`EXI|0_x0005_`DVD|F_x0005_`BMK| _x0005_`IPR|0_x0005_`BLA|F_x0005_`</t>
  </si>
  <si>
    <t>D04120_1</t>
  </si>
  <si>
    <t>산근  11호표</t>
  </si>
  <si>
    <t>대가630</t>
  </si>
  <si>
    <t>B03019</t>
  </si>
  <si>
    <t>대가631</t>
  </si>
  <si>
    <t>B04870</t>
  </si>
  <si>
    <t>적산정보 777P(품셈9-3-2)</t>
  </si>
  <si>
    <t>_x0007_`COD|L00038_x0005_`EXI|0_x0005_`DVD|F_x0005_`BMK| _x0005_`IPR|0_x0005_`BLA|F_x0005_`</t>
  </si>
  <si>
    <t>L00038_1</t>
  </si>
  <si>
    <t xml:space="preserve">노무13 </t>
  </si>
  <si>
    <t>_x0007_`COD|X00127_x0005_`EXI|0_x0005_`DVD|F_x0005_`BMK| _x0005_`IPR|0_x0005_`BLA|F_x0005_`</t>
  </si>
  <si>
    <t>X00127_1</t>
  </si>
  <si>
    <t xml:space="preserve">중기4 </t>
  </si>
  <si>
    <t>대가632</t>
  </si>
  <si>
    <t>B04871</t>
  </si>
  <si>
    <t>대가633</t>
  </si>
  <si>
    <t>B04872</t>
  </si>
  <si>
    <t>대가634</t>
  </si>
  <si>
    <t>B04869</t>
  </si>
  <si>
    <t>대가635</t>
  </si>
  <si>
    <t>B05077</t>
  </si>
  <si>
    <t>유도전동기 철거및설치품의135% 적용</t>
  </si>
  <si>
    <t>_x0007_`COD|B04921_x0005_`EXI|0_x0005_`DVD|F_x0005_`BMK| _x0005_`IPR|1_x0005_`BLA|F_x0005_`</t>
  </si>
  <si>
    <t>대가636</t>
  </si>
  <si>
    <t>B05079</t>
  </si>
  <si>
    <t>대가637</t>
  </si>
  <si>
    <t>B05080</t>
  </si>
  <si>
    <t>대가638</t>
  </si>
  <si>
    <t>B05081</t>
  </si>
  <si>
    <t>_x0007_`COD|B04813_x0005_`EXI|0_x0005_`DVD|F_x0005_`BMK| _x0005_`IPR|1_x0005_`BLA|F_x0005_`</t>
  </si>
  <si>
    <t>대가639</t>
  </si>
  <si>
    <t>B05082</t>
  </si>
  <si>
    <t>_x0007_`COD|B04814_x0005_`EXI|0_x0005_`DVD|F_x0005_`BMK| _x0005_`IPR|1_x0005_`BLA|F_x0005_`</t>
  </si>
  <si>
    <t>대가640</t>
  </si>
  <si>
    <t>B05083</t>
  </si>
  <si>
    <t>_x0007_`COD|B04815_x0005_`EXI|0_x0005_`DVD|F_x0005_`BMK| _x0005_`IPR|1_x0005_`BLA|F_x0005_`</t>
  </si>
  <si>
    <t>대가641</t>
  </si>
  <si>
    <t>B05084</t>
  </si>
  <si>
    <t>_x0007_`COD|B04816_x0005_`EXI|0_x0005_`DVD|F_x0005_`BMK| _x0005_`IPR|1_x0005_`BLA|F_x0005_`</t>
  </si>
  <si>
    <t>대가642</t>
  </si>
  <si>
    <t>B05085</t>
  </si>
  <si>
    <t>_x0007_`COD|B04817_x0005_`EXI|0_x0005_`DVD|F_x0005_`BMK| _x0005_`IPR|1_x0005_`BLA|F_x0005_`</t>
  </si>
  <si>
    <t>대가643</t>
  </si>
  <si>
    <t>B05086</t>
  </si>
  <si>
    <t>대가644</t>
  </si>
  <si>
    <t>B05087</t>
  </si>
  <si>
    <t>_x0007_`COD|B04818_x0005_`EXI|0_x0005_`DVD|F_x0005_`BMK| _x0005_`IPR|1_x0005_`BLA|F_x0005_`</t>
  </si>
  <si>
    <t>대가645</t>
  </si>
  <si>
    <t>B05088</t>
  </si>
  <si>
    <t>_x0007_`COD|B04819_x0005_`EXI|0_x0005_`DVD|F_x0005_`BMK| _x0005_`IPR|1_x0005_`BLA|F_x0005_`</t>
  </si>
  <si>
    <t>대가646</t>
  </si>
  <si>
    <t>B05089</t>
  </si>
  <si>
    <t>_x0007_`COD|B04820_x0005_`EXI|0_x0005_`DVD|F_x0005_`BMK| _x0005_`IPR|1_x0005_`BLA|F_x0005_`</t>
  </si>
  <si>
    <t>대가647</t>
  </si>
  <si>
    <t>B05090</t>
  </si>
  <si>
    <t>_x0007_`COD|B04821_x0005_`EXI|0_x0005_`DVD|F_x0005_`BMK| _x0005_`IPR|1_x0005_`BLA|F_x0005_`</t>
  </si>
  <si>
    <t>대가648</t>
  </si>
  <si>
    <t>B05091</t>
  </si>
  <si>
    <t>_x0007_`COD|B04822_x0005_`EXI|0_x0005_`DVD|F_x0005_`BMK| _x0005_`IPR|1_x0005_`BLA|F_x0005_`</t>
  </si>
  <si>
    <t>대가649</t>
  </si>
  <si>
    <t>B05092</t>
  </si>
  <si>
    <t>_x0007_`COD|B04823_x0005_`EXI|0_x0005_`DVD|F_x0005_`BMK| _x0005_`IPR|1_x0005_`BLA|F_x0005_`</t>
  </si>
  <si>
    <t>대가650</t>
  </si>
  <si>
    <t>B04893</t>
  </si>
  <si>
    <t>적산정보 961P</t>
  </si>
  <si>
    <t>_x0007_`COD|L00060_x0005_`EXI|0_x0005_`DVD|F_x0005_`BMK| _x0005_`IPR|0_x0005_`BLA|F_x0005_`</t>
  </si>
  <si>
    <t>L00060_1</t>
  </si>
  <si>
    <t xml:space="preserve">노무6 </t>
  </si>
  <si>
    <t>_x0007_`COD|L00095_x0005_`EXI|0_x0005_`DVD|F_x0005_`BMK| _x0005_`IPR|0_x0005_`BLA|F_x0005_`</t>
  </si>
  <si>
    <t>대가651</t>
  </si>
  <si>
    <t>B04894</t>
  </si>
  <si>
    <t>_x0007_`COD|L00065_x0005_`EXI|0_x0005_`DVD|F_x0005_`BMK| _x0005_`IPR|0_x0005_`BLA|F_x0005_`</t>
  </si>
  <si>
    <t>L00065_1</t>
  </si>
  <si>
    <t xml:space="preserve">노무2 </t>
  </si>
  <si>
    <t>대가652</t>
  </si>
  <si>
    <t>B04895</t>
  </si>
  <si>
    <t>대가653</t>
  </si>
  <si>
    <t>B00700</t>
  </si>
  <si>
    <t>표준품셈 4-5-10 적용</t>
  </si>
  <si>
    <t>_x0007_`COD|D03779_x0005_`EXI|0_x0005_`DVD|F_x0005_`BMK| _x0005_`IPR|0_x0005_`BLA|F_x0005_`</t>
  </si>
  <si>
    <t>D03779_1</t>
  </si>
  <si>
    <t>산근  12호표</t>
  </si>
  <si>
    <t>대가654</t>
  </si>
  <si>
    <t>B03778</t>
  </si>
  <si>
    <t>표준품셈 4-5-10</t>
  </si>
  <si>
    <t>_x0007_`COD|D03780_x0005_`EXI|0_x0005_`DVD|F_x0005_`BMK| _x0005_`IPR|0_x0005_`BLA|F_x0005_`</t>
  </si>
  <si>
    <t>D03780_1</t>
  </si>
  <si>
    <t>산근  13호표</t>
  </si>
  <si>
    <t>대가655</t>
  </si>
  <si>
    <t>B04777</t>
  </si>
  <si>
    <t>대가656</t>
  </si>
  <si>
    <t>B04765</t>
  </si>
  <si>
    <t>대가657</t>
  </si>
  <si>
    <t>B04753</t>
  </si>
  <si>
    <t>_x0007_`COD|L00094_x0005_`EXI|0_x0005_`DVD|F_x0005_`BMK| _x0005_`IPR|1_x0005_`BLA|F_x0005_`</t>
  </si>
  <si>
    <t>L00094_1</t>
  </si>
  <si>
    <t xml:space="preserve">노무5 </t>
  </si>
  <si>
    <t>공구손료및잡재료비</t>
  </si>
  <si>
    <t>대가658</t>
  </si>
  <si>
    <t>B04778</t>
  </si>
  <si>
    <t>대가659</t>
  </si>
  <si>
    <t>B04766</t>
  </si>
  <si>
    <t>대가660</t>
  </si>
  <si>
    <t>B04754</t>
  </si>
  <si>
    <t>대가661</t>
  </si>
  <si>
    <t>B04779</t>
  </si>
  <si>
    <t>대가662</t>
  </si>
  <si>
    <t>B04767</t>
  </si>
  <si>
    <t>대가663</t>
  </si>
  <si>
    <t>B04755</t>
  </si>
  <si>
    <t>대가664</t>
  </si>
  <si>
    <t>B04780</t>
  </si>
  <si>
    <t>대가665</t>
  </si>
  <si>
    <t>B04768</t>
  </si>
  <si>
    <t>대가666</t>
  </si>
  <si>
    <t>B04756</t>
  </si>
  <si>
    <t>대가667</t>
  </si>
  <si>
    <t>B04781</t>
  </si>
  <si>
    <t>대가668</t>
  </si>
  <si>
    <t>B04769</t>
  </si>
  <si>
    <t>대가669</t>
  </si>
  <si>
    <t>B04757</t>
  </si>
  <si>
    <t>대가670</t>
  </si>
  <si>
    <t>B04782</t>
  </si>
  <si>
    <t>대가671</t>
  </si>
  <si>
    <t>B04770</t>
  </si>
  <si>
    <t>대가672</t>
  </si>
  <si>
    <t>B04758</t>
  </si>
  <si>
    <t>대가673</t>
  </si>
  <si>
    <t>B04783</t>
  </si>
  <si>
    <t>대가674</t>
  </si>
  <si>
    <t>B04771</t>
  </si>
  <si>
    <t>대가675</t>
  </si>
  <si>
    <t>B04759</t>
  </si>
  <si>
    <t>대가676</t>
  </si>
  <si>
    <t>B04784</t>
  </si>
  <si>
    <t>대가677</t>
  </si>
  <si>
    <t>B04772</t>
  </si>
  <si>
    <t>대가678</t>
  </si>
  <si>
    <t>B04760</t>
  </si>
  <si>
    <t>대가679</t>
  </si>
  <si>
    <t>B04785</t>
  </si>
  <si>
    <t>대가680</t>
  </si>
  <si>
    <t>B04773</t>
  </si>
  <si>
    <t>대가681</t>
  </si>
  <si>
    <t>B04761</t>
  </si>
  <si>
    <t>적산정보 753P</t>
  </si>
  <si>
    <t>대가682</t>
  </si>
  <si>
    <t>B04786</t>
  </si>
  <si>
    <t>대가683</t>
  </si>
  <si>
    <t>B04774</t>
  </si>
  <si>
    <t>대가684</t>
  </si>
  <si>
    <t>B04762</t>
  </si>
  <si>
    <t>대가685</t>
  </si>
  <si>
    <t>B04787</t>
  </si>
  <si>
    <t>대가686</t>
  </si>
  <si>
    <t>B04775</t>
  </si>
  <si>
    <t>대가687</t>
  </si>
  <si>
    <t>B04763</t>
  </si>
  <si>
    <t>대가688</t>
  </si>
  <si>
    <t>B04776</t>
  </si>
  <si>
    <t>대가689</t>
  </si>
  <si>
    <t>B04764</t>
  </si>
  <si>
    <t>대가690</t>
  </si>
  <si>
    <t>B04752</t>
  </si>
  <si>
    <t>대가691</t>
  </si>
  <si>
    <t>B04746</t>
  </si>
  <si>
    <t>적산정보 775P</t>
  </si>
  <si>
    <t>대가692</t>
  </si>
  <si>
    <t>B04735</t>
  </si>
  <si>
    <t>대가693</t>
  </si>
  <si>
    <t>B04734</t>
  </si>
  <si>
    <t>대가694</t>
  </si>
  <si>
    <t>B04747</t>
  </si>
  <si>
    <t>대가695</t>
  </si>
  <si>
    <t>B04737</t>
  </si>
  <si>
    <t>대가696</t>
  </si>
  <si>
    <t>B04736</t>
  </si>
  <si>
    <t>대가697</t>
  </si>
  <si>
    <t>B04748</t>
  </si>
  <si>
    <t>대가698</t>
  </si>
  <si>
    <t>B04742</t>
  </si>
  <si>
    <t>대가699</t>
  </si>
  <si>
    <t>B04738</t>
  </si>
  <si>
    <t>대가700</t>
  </si>
  <si>
    <t>B04749</t>
  </si>
  <si>
    <t>대가701</t>
  </si>
  <si>
    <t>B04743</t>
  </si>
  <si>
    <t>대가702</t>
  </si>
  <si>
    <t>B04739</t>
  </si>
  <si>
    <t>대가703</t>
  </si>
  <si>
    <t>B04750</t>
  </si>
  <si>
    <t>대가704</t>
  </si>
  <si>
    <t>B04744</t>
  </si>
  <si>
    <t>대가705</t>
  </si>
  <si>
    <t>B04740</t>
  </si>
  <si>
    <t>대가706</t>
  </si>
  <si>
    <t>B04751</t>
  </si>
  <si>
    <t>대가707</t>
  </si>
  <si>
    <t>B04745</t>
  </si>
  <si>
    <t>대가708</t>
  </si>
  <si>
    <t>B04741</t>
  </si>
  <si>
    <t>대가709</t>
  </si>
  <si>
    <t>B04834</t>
  </si>
  <si>
    <t>적산정보 833P</t>
  </si>
  <si>
    <t>대가710</t>
  </si>
  <si>
    <t>B04829</t>
  </si>
  <si>
    <t>대가711</t>
  </si>
  <si>
    <t>B04825</t>
  </si>
  <si>
    <t>_x0007_`COD|L00054_x0005_`EXI|0_x0005_`DVD|F_x0005_`BMK| _x0005_`IPR|1_x0005_`BLA|F_x0005_`</t>
  </si>
  <si>
    <t>L00054_1</t>
  </si>
  <si>
    <t xml:space="preserve">노무18 </t>
  </si>
  <si>
    <t>대가712</t>
  </si>
  <si>
    <t>B04835</t>
  </si>
  <si>
    <t>대가713</t>
  </si>
  <si>
    <t>B04830</t>
  </si>
  <si>
    <t>대가714</t>
  </si>
  <si>
    <t>B04826</t>
  </si>
  <si>
    <t>_x0007_`COD|L00054_x0005_`EXI|0_x0005_`DVD|F_x0005_`BMK| _x0005_`IPR|0_x0005_`BLA|F_x0005_`</t>
  </si>
  <si>
    <t>대가715</t>
  </si>
  <si>
    <t>B04836</t>
  </si>
  <si>
    <t>대가716</t>
  </si>
  <si>
    <t>B04831</t>
  </si>
  <si>
    <t>대가717</t>
  </si>
  <si>
    <t>B04827</t>
  </si>
  <si>
    <t>대가718</t>
  </si>
  <si>
    <t>B04837</t>
  </si>
  <si>
    <t>대가719</t>
  </si>
  <si>
    <t>B04832</t>
  </si>
  <si>
    <t>대가720</t>
  </si>
  <si>
    <t>B04828</t>
  </si>
  <si>
    <t>대가721</t>
  </si>
  <si>
    <t>B04833</t>
  </si>
  <si>
    <t>대가722</t>
  </si>
  <si>
    <t>B04812</t>
  </si>
  <si>
    <t>대가723</t>
  </si>
  <si>
    <t>B04824</t>
  </si>
  <si>
    <t>대가724</t>
  </si>
  <si>
    <t>B05066</t>
  </si>
  <si>
    <t>대가725</t>
  </si>
  <si>
    <t>B05069</t>
  </si>
  <si>
    <t>대가726</t>
  </si>
  <si>
    <t>B05068</t>
  </si>
  <si>
    <t>대가727</t>
  </si>
  <si>
    <t>B05071</t>
  </si>
  <si>
    <t>대가728</t>
  </si>
  <si>
    <t>B05038</t>
  </si>
  <si>
    <t>적산정보 759P</t>
  </si>
  <si>
    <t>대가729</t>
  </si>
  <si>
    <t>B04845</t>
  </si>
  <si>
    <t>대가730</t>
  </si>
  <si>
    <t>B04838</t>
  </si>
  <si>
    <t>_x0007_`COD|L00028_x0005_`EXI|0_x0005_`DVD|F_x0005_`BMK| _x0005_`IPR|0_x0005_`BLA|F_x0005_`</t>
  </si>
  <si>
    <t>대가731</t>
  </si>
  <si>
    <t>B05039</t>
  </si>
  <si>
    <t>대가732</t>
  </si>
  <si>
    <t>B04846</t>
  </si>
  <si>
    <t>대가733</t>
  </si>
  <si>
    <t>B04839</t>
  </si>
  <si>
    <t>대가734</t>
  </si>
  <si>
    <t>B05040</t>
  </si>
  <si>
    <t>대가735</t>
  </si>
  <si>
    <t>B04847</t>
  </si>
  <si>
    <t>대가736</t>
  </si>
  <si>
    <t>B04840</t>
  </si>
  <si>
    <t>대가737</t>
  </si>
  <si>
    <t>B05041</t>
  </si>
  <si>
    <t>대가738</t>
  </si>
  <si>
    <t>B04848</t>
  </si>
  <si>
    <t>대가739</t>
  </si>
  <si>
    <t>B04841</t>
  </si>
  <si>
    <t>대가740</t>
  </si>
  <si>
    <t>B05042</t>
  </si>
  <si>
    <t>대가741</t>
  </si>
  <si>
    <t>B04849</t>
  </si>
  <si>
    <t>대가742</t>
  </si>
  <si>
    <t>B04842</t>
  </si>
  <si>
    <t>대가743</t>
  </si>
  <si>
    <t>B05043</t>
  </si>
  <si>
    <t>대가744</t>
  </si>
  <si>
    <t>B04850</t>
  </si>
  <si>
    <t>대가745</t>
  </si>
  <si>
    <t>B04843</t>
  </si>
  <si>
    <t>대가746</t>
  </si>
  <si>
    <t>B01015</t>
  </si>
  <si>
    <t>_x0007_`COD|D04188_x0005_`EXI|0_x0005_`DVD|F_x0005_`BMK| _x0005_`IPR|0_x0005_`BLA|F_x0005_`</t>
  </si>
  <si>
    <t>D04188_1</t>
  </si>
  <si>
    <t>산근   2호표</t>
  </si>
  <si>
    <t>대가747</t>
  </si>
  <si>
    <t>B02875</t>
  </si>
  <si>
    <t>_x0007_`COD|D00119_x0005_`EXI|0_x0005_`DVD|F_x0005_`BMK| _x0005_`IPR|0_x0005_`BLA|F_x0005_`</t>
  </si>
  <si>
    <t>D00119_1</t>
  </si>
  <si>
    <t>산근   3호표</t>
  </si>
  <si>
    <t>대가748</t>
  </si>
  <si>
    <t>B04852</t>
  </si>
  <si>
    <t>_x0007_`COD|D03271_x0005_`EXI|0_x0005_`DVD|F_x0005_`BMK| _x0005_`IPR|0_x0005_`BLA|F_x0005_`</t>
  </si>
  <si>
    <t>D03271_1</t>
  </si>
  <si>
    <t>산근   4호표</t>
  </si>
  <si>
    <t>대가749</t>
  </si>
  <si>
    <t>B04853</t>
  </si>
  <si>
    <t>_x0007_`COD|D00118_x0005_`EXI|0_x0005_`DVD|F_x0005_`BMK| _x0005_`IPR|0_x0005_`BLA|F_x0005_`</t>
  </si>
  <si>
    <t>D00118_1</t>
  </si>
  <si>
    <t>산근   5호표</t>
  </si>
  <si>
    <t>대가750</t>
  </si>
  <si>
    <t>B04854</t>
  </si>
  <si>
    <t>_x0007_`COD|D01585_x0005_`EXI|0_x0005_`DVD|F_x0005_`BMK| _x0005_`IPR|0_x0005_`BLA|F_x0005_`</t>
  </si>
  <si>
    <t>D01585_1</t>
  </si>
  <si>
    <t>산근   6호표</t>
  </si>
  <si>
    <t>대가751</t>
  </si>
  <si>
    <t>B04855</t>
  </si>
  <si>
    <t>_x0007_`COD|D04200_x0005_`EXI|0_x0005_`DVD|F_x0005_`BMK| _x0005_`IPR|0_x0005_`BLA|F_x0005_`</t>
  </si>
  <si>
    <t>D04200_1</t>
  </si>
  <si>
    <t>산근   7호표</t>
  </si>
  <si>
    <t>대가752</t>
  </si>
  <si>
    <t>B02644</t>
  </si>
  <si>
    <t>공구손료및자재료비</t>
  </si>
  <si>
    <t>대가753</t>
  </si>
  <si>
    <t>B02866</t>
  </si>
  <si>
    <t>대가754</t>
  </si>
  <si>
    <t>B02865</t>
  </si>
  <si>
    <t>대가755</t>
  </si>
  <si>
    <t>B05102</t>
  </si>
  <si>
    <t>대가756</t>
  </si>
  <si>
    <t>B05103</t>
  </si>
  <si>
    <t>대가757</t>
  </si>
  <si>
    <t>B04867</t>
  </si>
  <si>
    <t>_x0007_`COD|L00024_x0005_`EXI|0_x0005_`DVD|F_x0005_`BMK| _x0005_`IPR|0_x0005_`BLA|F_x0005_`</t>
  </si>
  <si>
    <t>L00024_1</t>
  </si>
  <si>
    <t xml:space="preserve">노무16 </t>
  </si>
  <si>
    <t>_x0007_`COD|M02940_x0005_`EXI|0_x0005_`DVD|F_x0005_`BMK| _x0005_`IPR|0_x0005_`KWN|0_x0005_`BLA|F_x0005_`</t>
  </si>
  <si>
    <t>M02940_1</t>
  </si>
  <si>
    <t xml:space="preserve">자재229 </t>
  </si>
  <si>
    <t>_x0007_`COD|M03575_x0005_`EXI|0_x0005_`DVD|F_x0005_`BMK| _x0005_`IPR|0_x0005_`KWN|0_x0005_`BLA|F_x0005_`</t>
  </si>
  <si>
    <t>M03575_1</t>
  </si>
  <si>
    <t xml:space="preserve">자재78 </t>
  </si>
  <si>
    <t>_x0007_`COD|M03596_x0005_`EXI|0_x0005_`DVD|F_x0005_`BMK| _x0005_`IPR|0_x0005_`KWN|0_x0005_`BLA|F_x0005_`</t>
  </si>
  <si>
    <t>M03596_1</t>
  </si>
  <si>
    <t xml:space="preserve">자재292 </t>
  </si>
  <si>
    <t>대가758</t>
  </si>
  <si>
    <t>B01343</t>
  </si>
  <si>
    <t>품셈(일반공통) 6-3-2</t>
  </si>
  <si>
    <t>1. 재료비</t>
  </si>
  <si>
    <t>_x0007_`COD|D00362_x0005_`EXI|0_x0005_`DVD|F_x0005_`BMK| _x0005_`IPR|0_x0005_`BLA|F_x0005_`</t>
  </si>
  <si>
    <t>D00362_1</t>
  </si>
  <si>
    <t>산근   8호표</t>
  </si>
  <si>
    <t>대가759</t>
  </si>
  <si>
    <t>B01337</t>
  </si>
  <si>
    <t>품셈 일반공통 3-2-1</t>
  </si>
  <si>
    <t>_x0007_`COD|D04119_x0005_`EXI|0_x0005_`DVD|F_x0005_`BMK| _x0005_`IPR|0_x0005_`BLA|F_x0005_`</t>
  </si>
  <si>
    <t>D04119_1</t>
  </si>
  <si>
    <t>산근   9호표</t>
  </si>
  <si>
    <t>대가760</t>
  </si>
  <si>
    <t>B00036</t>
  </si>
  <si>
    <t>_x0007_`COD|D03632_x0005_`EXI|0_x0005_`DVD|F_x0005_`BMK| _x0005_`IPR|0_x0005_`BLA|F_x0005_`</t>
  </si>
  <si>
    <t>D03632_1</t>
  </si>
  <si>
    <t>산근  10호표</t>
  </si>
  <si>
    <t>대가761</t>
  </si>
  <si>
    <t>B00037</t>
  </si>
  <si>
    <t>품셈(일반공통) 8-2-3</t>
  </si>
  <si>
    <t>공  종</t>
  </si>
  <si>
    <t>산  출  내  역</t>
  </si>
  <si>
    <t>QTY</t>
  </si>
  <si>
    <t>T</t>
  </si>
  <si>
    <t>S</t>
  </si>
  <si>
    <t>맨홀준설 및 세정(흡입식, 처리비제외, 화성)   / ㎥</t>
  </si>
  <si>
    <t>D03653</t>
  </si>
  <si>
    <t>_x0007_</t>
  </si>
  <si>
    <t>_x0007_    '※ 토목품셈 16-4-2 '</t>
  </si>
  <si>
    <t xml:space="preserve">     ※ 토목품셈 16-4-2  </t>
  </si>
  <si>
    <t>_x0007_ '1.하수관준설(흡입식)'</t>
  </si>
  <si>
    <t xml:space="preserve">  1.하수관준설(흡입식) </t>
  </si>
  <si>
    <t>_x0007_  E = 0.9,  f = 1,  q = 7.64</t>
  </si>
  <si>
    <t>_x0007_  t1 = 20 '(준비시간)' , t4 = 0 '(준설토적하시간)'</t>
  </si>
  <si>
    <t>=</t>
  </si>
  <si>
    <t>,</t>
  </si>
  <si>
    <t>_x0007_  t2 = 12*q =  ' (세정/흡입시간 12min/㎥×q) '</t>
  </si>
  <si>
    <t>_x0007_  t3 = 0 '(준설토운반시간)'</t>
  </si>
  <si>
    <t>*</t>
  </si>
  <si>
    <t>_x0007_  Cm = t1+t2+t3+t4 =</t>
  </si>
  <si>
    <t>_x0007_  To = (Cm-t1)/Cm =</t>
  </si>
  <si>
    <t>+</t>
  </si>
  <si>
    <t>_x0007_  Q1 = 60*q*f*E/Cm =  '㎥/Hr'</t>
  </si>
  <si>
    <t>(</t>
  </si>
  <si>
    <t>-</t>
  </si>
  <si>
    <t>)/</t>
  </si>
  <si>
    <t>_x0007_ '노 무 비 : '&amp;X00114L&amp; / Q1 =</t>
  </si>
  <si>
    <t>/</t>
  </si>
  <si>
    <t>중기3L</t>
  </si>
  <si>
    <t>X00114_1</t>
  </si>
  <si>
    <t>1/</t>
  </si>
  <si>
    <t>_x0007_ '재 료 비 : '&amp;X00114M&amp; / Q1 * To=</t>
  </si>
  <si>
    <t>중기3M</t>
  </si>
  <si>
    <t>_x0007_ '경    비 : '&amp;X00114S&amp; / Q1 =</t>
  </si>
  <si>
    <t>중기3S</t>
  </si>
  <si>
    <t>_x0007_ (=)</t>
  </si>
  <si>
    <t>소계</t>
  </si>
  <si>
    <t>T1_1</t>
  </si>
  <si>
    <t>_x0007_ '2.준설토운반(처인구청~화성시 송산면:66km)'</t>
  </si>
  <si>
    <t xml:space="preserve">  2.준설토운반(처인구청~화성시 송산면:66km) </t>
  </si>
  <si>
    <t>_x0007_  E = 0.9,  f = 1,  q = 7.64,  L = 66 'km' ,</t>
  </si>
  <si>
    <t>_x0007_  t1 = 0 '(준비시간)' , t2 = 0 '(세정/흡입시간)'</t>
  </si>
  <si>
    <t>_x0007_  t3 = (L/50*2+0.1/10*2)*60 =</t>
  </si>
  <si>
    <t>_x0007_  t4 = 18 '(준설토적하시간)'</t>
  </si>
  <si>
    <t>)*</t>
  </si>
  <si>
    <t>_x0007_  Q2 = 60*q*f*E/Cm =   '㎥/Hr'</t>
  </si>
  <si>
    <t>_x0007_ '노 무 비 : '&amp;X00114L&amp; / Q2 =</t>
  </si>
  <si>
    <t>_x0007_ '재 료 비 : '&amp;X00114M&amp; / Q2 =</t>
  </si>
  <si>
    <t>_x0007_ '경    비 : '&amp;X00114S&amp; / Q2 =</t>
  </si>
  <si>
    <t>_x0007_(=)</t>
  </si>
  <si>
    <t>_x0007_' 3.물공급(물탱크 5,500ℓ) '</t>
  </si>
  <si>
    <t xml:space="preserve">  3.물공급(물탱크 5,500ℓ)  </t>
  </si>
  <si>
    <t>_x0007_  q = 5.5, f = 1, E = 0.9, L=5 'km'</t>
  </si>
  <si>
    <t>_x0007_  t1 = 15 '(급수시간)' , t3 = 15 '(세정수공급시간)'</t>
  </si>
  <si>
    <t>_x0007_  t2 = (L/20+L/25)*60 =</t>
  </si>
  <si>
    <t>_x0007_  Cm = t1+t2+t3 =</t>
  </si>
  <si>
    <t>_x0007_  Q  = 60*q*f*E/Cm =    '㎥/Hr'</t>
  </si>
  <si>
    <t>_x0007_'노 무 비 : '&amp;X00051L&amp; / Q =</t>
  </si>
  <si>
    <t>중기2L</t>
  </si>
  <si>
    <t>X00051_1</t>
  </si>
  <si>
    <t>_x0007_'재 료 비 : '&amp;X00051M&amp; / Q * To=</t>
  </si>
  <si>
    <t>중기2M</t>
  </si>
  <si>
    <t>_x0007_'경    비 : '&amp;X00051S&amp; / Q =</t>
  </si>
  <si>
    <t>중기2S</t>
  </si>
  <si>
    <t>_x0007_ '4.작업편성 '</t>
  </si>
  <si>
    <t xml:space="preserve">  4.작업편성  </t>
  </si>
  <si>
    <t>_x0007_  Q = 3.69 * 8 =   '㎥/일'</t>
  </si>
  <si>
    <t>_x0007_   '특별인부 :'&amp;L00079&amp; * 2.2'인' / Q=</t>
  </si>
  <si>
    <t>노무17</t>
  </si>
  <si>
    <t>1*</t>
  </si>
  <si>
    <t>_x0007_   '보통인부 :'&amp;L00001&amp; * 1.4'인'/Q =</t>
  </si>
  <si>
    <t>노무9</t>
  </si>
  <si>
    <t>_x0007_(==)</t>
  </si>
  <si>
    <t>계</t>
  </si>
  <si>
    <t>T2_1</t>
  </si>
  <si>
    <t>총        계</t>
  </si>
  <si>
    <t>D04188</t>
  </si>
  <si>
    <t>_x0007_ '품셈(배관공사) 1-3-2'</t>
  </si>
  <si>
    <t xml:space="preserve">  품셈(배관공사) 1-3-2 </t>
  </si>
  <si>
    <t>_x0007_'  용접배관(스테인리스관)'</t>
  </si>
  <si>
    <t xml:space="preserve">   용접배관(스테인리스관) </t>
  </si>
  <si>
    <t>_x0007_   '옥외배관 품의  +11% 가산'</t>
  </si>
  <si>
    <t xml:space="preserve">    옥외배관 품의  +11% 가산 </t>
  </si>
  <si>
    <t>_x0007_   '개소당 시공량' Q = 35'm/일' * 1.11'%' =</t>
  </si>
  <si>
    <t>_x0007_   '시간당 시공량:' Q1 = Q / 8 =   'm/Hr'</t>
  </si>
  <si>
    <t>_x0007_'1. 용접 배관'</t>
  </si>
  <si>
    <t xml:space="preserve"> 1. 용접 배관 </t>
  </si>
  <si>
    <t>_x0007_    '배 관 공 :'&amp;L00028&amp; * 3'인'/ Q'인':=A01</t>
  </si>
  <si>
    <t>노무7</t>
  </si>
  <si>
    <t>_x0007_    '보통인부 :'&amp;L00001&amp; * 1'인'/ Q'인':=A01</t>
  </si>
  <si>
    <t>_x0007_   '공구손료 및 경장비(절단기, 고소작업대 등) :'&amp;PA01L:S&amp; * 2'%' =</t>
  </si>
  <si>
    <t>PR_1</t>
  </si>
  <si>
    <t>D00119</t>
  </si>
  <si>
    <t>_x0007_   '개소당 시공량' Q = 25'm/일' * 1.11'%' =</t>
  </si>
  <si>
    <t>D03271</t>
  </si>
  <si>
    <t>_x0007_   '개소당 시공량' Q = 18'm/일' * 1.11'%' =</t>
  </si>
  <si>
    <t>D00118</t>
  </si>
  <si>
    <t>_x0007_   '개소당 시공량' Q = 12'm/일' * 1.11'%' =</t>
  </si>
  <si>
    <t>D01585</t>
  </si>
  <si>
    <t>_x0007_   '개소당 시공량' Q = 11'm/일' * 1.11'%' =</t>
  </si>
  <si>
    <t>_x0007_    '배 관 공 :'&amp;L00028&amp; * 4'인'/ Q'인':=A01</t>
  </si>
  <si>
    <t>D04200</t>
  </si>
  <si>
    <t>_x0007_   '개소당 시공량' Q = 8'm/일' * 1.11'%' =</t>
  </si>
  <si>
    <t>D00362</t>
  </si>
  <si>
    <t>_x0007_'※ 토목품셈 6-3-2'</t>
  </si>
  <si>
    <t xml:space="preserve"> ※ 토목품셈 6-3-2 </t>
  </si>
  <si>
    <t>_x0007_  ' 간단(50㎡)'</t>
  </si>
  <si>
    <t xml:space="preserve">    간단(50㎡) </t>
  </si>
  <si>
    <t>_x0007_ Q1 = 5.0'인'/8'hr/일'='hr/일'</t>
  </si>
  <si>
    <t>_x0007_ Q2 = 2.0'인'/8'hr/일'='hr/일'</t>
  </si>
  <si>
    <t>_x0007_ Q = 50'㎥/일'/8'hr/일'='㎥/hr'</t>
  </si>
  <si>
    <t>_x0007_'1.재료비(주자재비의 32.7%)'</t>
  </si>
  <si>
    <t xml:space="preserve"> 1.재료비(주자재비의 32.7%) </t>
  </si>
  <si>
    <t>_x0007_  '합판(내수1급,12m/m) :'&amp;M05556&amp; * 1.03'㎡' *0.327:=A01</t>
  </si>
  <si>
    <t>자재353</t>
  </si>
  <si>
    <t>M05556_1</t>
  </si>
  <si>
    <t>_x0007_  '각재(외송) :'&amp;M05530&amp; * 0.038'㎥' *0.327:=A01</t>
  </si>
  <si>
    <t>자재5</t>
  </si>
  <si>
    <t>M05530_1</t>
  </si>
  <si>
    <t>_x0007_'2. 소모자재(철선, 못, 박리제) 주자비의11%'</t>
  </si>
  <si>
    <t xml:space="preserve"> 2. 소모자재(철선, 못, 박리제) 주자비의11% </t>
  </si>
  <si>
    <t>_x0007_   '손료계산 :'&amp;PA01M:M&amp; * 11'%' =</t>
  </si>
  <si>
    <t>_x0007_'2.노무비'</t>
  </si>
  <si>
    <t xml:space="preserve"> 2.노무비 </t>
  </si>
  <si>
    <t>_x0007_  '형틀목공 :'&amp;L00004&amp; * Q1 / Q '인' := A01</t>
  </si>
  <si>
    <t>노무20</t>
  </si>
  <si>
    <t>L00004_1</t>
  </si>
  <si>
    <t>_x0007_  '보통인부 :'&amp;L00001&amp; * Q2 / Q '인' := A01</t>
  </si>
  <si>
    <t>_x0007_  '공구손료 :'&amp;PA01L:S&amp; * 1'%' =</t>
  </si>
  <si>
    <t>_x0007_  (=)</t>
  </si>
  <si>
    <t>D04119</t>
  </si>
  <si>
    <t>_x0007_ '품셈(일반공통) 굴착 3-2-1 '</t>
  </si>
  <si>
    <t xml:space="preserve">  품셈(일반공통) 굴착 3-2-1  </t>
  </si>
  <si>
    <t>_x0007_     '인력 100% 보통토사 : 3.6 인/일'</t>
  </si>
  <si>
    <t xml:space="preserve">      인력 100% 보통토사 : 3.6 인/일 </t>
  </si>
  <si>
    <t>_x0007_      Q = 3.6 'hr/일'</t>
  </si>
  <si>
    <t>_x0007_   '특별인부:'  &amp;L00079&amp; * 1'인' /  Q '인' = '㎥'</t>
  </si>
  <si>
    <t>D03632</t>
  </si>
  <si>
    <t>_x0007_'1.인 력 (100%) &lt;2019년품셈 3-3-1&gt;'</t>
  </si>
  <si>
    <t xml:space="preserve"> 1.인 력 (100%) &lt;2019년품셈 3-3-1&gt; </t>
  </si>
  <si>
    <t>_x0007_'인  부:'0.10'인'*&amp;L00001&amp; =</t>
  </si>
  <si>
    <t>*1</t>
  </si>
  <si>
    <t>D04120</t>
  </si>
  <si>
    <t>_x0007_     '인력 100% 경질토사 : 2.7 인/일'</t>
  </si>
  <si>
    <t xml:space="preserve">      인력 100% 경질토사 : 2.7 인/일 </t>
  </si>
  <si>
    <t>_x0007_      Q = 2.7 'hr/일'</t>
  </si>
  <si>
    <t>D03779</t>
  </si>
  <si>
    <t>_x0007_  '품셈4-5-9적용'</t>
  </si>
  <si>
    <t xml:space="preserve">   품셈4-5-9적용 </t>
  </si>
  <si>
    <t>_x0007_ Q1 = 1.0'인'/8'hr/일'='hr/일'</t>
  </si>
  <si>
    <t>_x0007_ Q2 = 5.0'인'/8'hr/일'='hr/일'</t>
  </si>
  <si>
    <t>_x0007_ Q = 1400'㎡/일'/8'hr/일'='㎡/hr'</t>
  </si>
  <si>
    <t>_x0007_'1. 노무비'</t>
  </si>
  <si>
    <t xml:space="preserve"> 1. 노무비 </t>
  </si>
  <si>
    <t>_x0007_ '특별인부'&amp;L00079&amp;*Q1/Q =</t>
  </si>
  <si>
    <t>_x0007_ '인    부'&amp;L00001&amp; *Q2/Q=</t>
  </si>
  <si>
    <t xml:space="preserve">_x0007_   </t>
  </si>
  <si>
    <t>D03780</t>
  </si>
  <si>
    <t>_x0007_ Q = 1000'㎡/일'/8'hr/일'='㎡/hr'</t>
  </si>
  <si>
    <t>중 기 사 용 료</t>
  </si>
  <si>
    <t xml:space="preserve"> 제    1 호표  굴착기(무한궤도)  0.4㎥  /  시간</t>
  </si>
  <si>
    <t>X00108</t>
  </si>
  <si>
    <t>_x0007_`COD|S00125_x0005_`EXI|0_x0005_`DVD|F_x0005_`BMK| _x0005_`IPR|0_x0005_`BLA|F_x0005_`</t>
  </si>
  <si>
    <t>S00125_1</t>
  </si>
  <si>
    <t xml:space="preserve">경비1 </t>
  </si>
  <si>
    <t>_x0007_`COD|L00082_x0005_`EXI|0_x0005_`DVD|F_x0005_`BMK| _x0005_`IPR|0_x0005_`BLA|F_x0005_`</t>
  </si>
  <si>
    <t>L00082_1</t>
  </si>
  <si>
    <t xml:space="preserve">노무1 </t>
  </si>
  <si>
    <t>_x0007_`COD|M00258_x0005_`EXI|0_x0005_`DVD|F_x0005_`BMK| _x0005_`IPR|1_x0005_`KWN|0_x0005_`BLA|F_x0005_`</t>
  </si>
  <si>
    <t>M00258_1</t>
  </si>
  <si>
    <t xml:space="preserve">자재10 </t>
  </si>
  <si>
    <t>잡품</t>
  </si>
  <si>
    <t>주연료의%</t>
  </si>
  <si>
    <t>_x0007_`COD|PR_x0005_`EXI|1_x0005_`DVD|F_x0005_`BMK| _x0005_`IPR|0_x0005_`EQC|A01_x0005_`PRI|1_x0005_`PRO|1_x0005_`UNI|%_x0005_`BLA|F_x0005_`</t>
  </si>
  <si>
    <t>X00051</t>
  </si>
  <si>
    <t>_x0007_`COD|S00049_x0005_`EXI|0_x0005_`DVD|F_x0005_`BMK| _x0005_`IPR|0_x0005_`BLA|F_x0005_`</t>
  </si>
  <si>
    <t>S00049_1</t>
  </si>
  <si>
    <t xml:space="preserve">경비2 </t>
  </si>
  <si>
    <t>_x0007_`COD|L00083_x0005_`EXI|0_x0005_`DVD|F_x0005_`BMK| _x0005_`IPR|0_x0005_`BLA|F_x0005_`</t>
  </si>
  <si>
    <t>L00083_1</t>
  </si>
  <si>
    <t xml:space="preserve">노무21 </t>
  </si>
  <si>
    <t>X00114</t>
  </si>
  <si>
    <t>_x0007_`COD|S00134_x0005_`EXI|0_x0005_`DVD|F_x0005_`BMK| _x0005_`IPR|0_x0005_`BLA|F_x0005_`</t>
  </si>
  <si>
    <t>S00134_1</t>
  </si>
  <si>
    <t xml:space="preserve">경비3 </t>
  </si>
  <si>
    <t>X00127</t>
  </si>
  <si>
    <t>_x0007_`COD|S00160_x0005_`EXI|0_x0005_`DVD|F_x0005_`BMK| _x0005_`IPR|0_x0005_`BLA|F_x0005_`</t>
  </si>
  <si>
    <t>S00160_1</t>
  </si>
  <si>
    <t xml:space="preserve">경비4 </t>
  </si>
  <si>
    <t>X00031</t>
  </si>
  <si>
    <t>_x0007_`COD|S00029_x0005_`EXI|0_x0005_`DVD|F_x0005_`BMK| _x0005_`IPR|0_x0005_`BLA|F_x0005_`</t>
  </si>
  <si>
    <t>S00029_1</t>
  </si>
  <si>
    <t xml:space="preserve">경비5 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</si>
  <si>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</si>
  <si>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</si>
  <si>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</si>
  <si>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</si>
  <si>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</si>
  <si>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</si>
  <si>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</si>
  <si>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 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</si>
  <si>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</si>
  <si>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【총괄내역서】21번째줄의 I열 이윤보정액은 총공사비 금액이 다를경우 임의조정(±α) 하십시요.</t>
  </si>
  <si>
    <t>목    차</t>
  </si>
  <si>
    <t>1. ※※안내※※</t>
  </si>
  <si>
    <t>2. 공사원가계산서</t>
  </si>
  <si>
    <t>3. 총괄내역서</t>
  </si>
  <si>
    <t>4. 설계내역서</t>
  </si>
  <si>
    <t>5. 일위대가목록표</t>
  </si>
  <si>
    <t>6. 일위대가표</t>
  </si>
  <si>
    <t>7. 단가산출근거목록표</t>
  </si>
  <si>
    <t>8. 단가산출근거</t>
  </si>
  <si>
    <t>9. 환율및기초자료</t>
  </si>
  <si>
    <t>10. 중기목록표</t>
  </si>
  <si>
    <t>11. 중기사용료</t>
  </si>
  <si>
    <t>12. 재료비목록표</t>
  </si>
  <si>
    <t>13. 노무비목록표</t>
  </si>
  <si>
    <t>14. 경비목록표</t>
  </si>
  <si>
    <t>15. 일식견적목록표</t>
  </si>
  <si>
    <t>16. 자재단가대비표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</si>
  <si>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</si>
  <si>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</si>
  <si>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</si>
  <si>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</si>
  <si>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</si>
  <si>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</si>
  <si>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</si>
  <si>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</si>
  <si>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</si>
  <si>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</si>
  <si>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</si>
  <si>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</si>
  <si>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</si>
  <si>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</si>
  <si>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</si>
  <si>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</si>
  <si>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</si>
  <si>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</si>
  <si>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</si>
  <si>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</si>
  <si>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</si>
  <si>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</si>
  <si>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</si>
  <si>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</si>
  <si>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</si>
  <si>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</si>
  <si>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</si>
  <si>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</si>
  <si>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</si>
  <si>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</si>
  <si>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</si>
  <si>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</si>
  <si>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</si>
  <si>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</si>
  <si>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</si>
  <si>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</si>
  <si>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</si>
  <si>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</si>
  <si>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</si>
  <si>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</si>
  <si>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</si>
  <si>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</si>
  <si>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</si>
  <si>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</si>
  <si>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26.07</t>
  </si>
  <si>
    <t>PNAME</t>
  </si>
  <si>
    <t>2026년도 무인화시설물 유지보수(기계) 연간단가공사(1권역)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</si>
  <si>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</si>
  <si>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</si>
  <si>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</si>
  <si>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</si>
  <si>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</si>
  <si>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</si>
  <si>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</si>
  <si>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</si>
  <si>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</si>
  <si>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</si>
  <si>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</si>
  <si>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RXNM_</t>
  </si>
  <si>
    <t>EXRNM</t>
  </si>
  <si>
    <t>1/8 * 16/12 * 25/20</t>
  </si>
  <si>
    <t>1/8*16/12*25/20*12/10</t>
  </si>
  <si>
    <t>COND_</t>
  </si>
  <si>
    <t>L00082L00084L00085L00083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</si>
  <si>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</si>
  <si>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</si>
  <si>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</si>
  <si>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</si>
  <si>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</si>
  <si>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</si>
  <si>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</si>
  <si>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</si>
  <si>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</si>
  <si>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</si>
  <si>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False</t>
  </si>
  <si>
    <t>OPTNM</t>
  </si>
  <si>
    <t>SML</t>
  </si>
  <si>
    <t>S_JDA</t>
  </si>
  <si>
    <t>SUBNM</t>
  </si>
  <si>
    <t>[인쇄정보]</t>
  </si>
  <si>
    <t>BMSTR</t>
  </si>
  <si>
    <t>BMKNM</t>
  </si>
  <si>
    <t>TLMS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</si>
  <si>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</si>
  <si>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</si>
  <si>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</si>
  <si>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</si>
  <si>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</si>
  <si>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</si>
  <si>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</si>
  <si>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</si>
  <si>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</si>
  <si>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</si>
  <si>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</si>
  <si>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</si>
  <si>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</si>
  <si>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</si>
  <si>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</si>
  <si>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</si>
  <si>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</si>
  <si>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</si>
  <si>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</si>
  <si>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</si>
  <si>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</si>
  <si>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</si>
  <si>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</si>
  <si>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</si>
  <si>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</si>
  <si>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</si>
  <si>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w26.07</t>
  </si>
  <si>
    <t>PREP_COP</t>
  </si>
  <si>
    <t>장 학 봉</t>
  </si>
  <si>
    <t>PREP_DATE</t>
  </si>
  <si>
    <t>2026-07-29 09:41</t>
  </si>
  <si>
    <t>[.끝.]</t>
  </si>
  <si>
    <t>※ 본 엑셀자료는 【STmate w26.07】버전 이상에서 STmate 자료로 다시 등록할 수 있습니다.</t>
  </si>
  <si>
    <t xml:space="preserve">   단, 임의로 수정한 내용(Sheet삭제, 산근내용변경, 기타계산식변경..)은 반영되지 않을 수 있습니다.</t>
  </si>
  <si>
    <t>공사명 : 2026년도 무인화시설물 유지보수(기계) 연간단가공사(1권역) 2차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</si>
</sst>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76" formatCode="#,###"/>
    <numFmt numFmtId="177" formatCode="#,##0.#######;\-#,##0.#######;#"/>
    <numFmt numFmtId="178" formatCode="#,##0.00#"/>
    <numFmt numFmtId="179" formatCode="#,##0.00\ &quot;(원/$)&quot;"/>
    <numFmt numFmtId="180" formatCode="#,##0.00\ &quot;(원/€)&quot;"/>
    <numFmt numFmtId="181" formatCode="#,##0.00\ &quot;(원/100￥)&quot;"/>
    <numFmt numFmtId="182" formatCode="#,##0.00#\ "/>
    <numFmt numFmtId="183" formatCode="#,##0;\-#,##0;#"/>
    <numFmt numFmtId="184" formatCode="#,##0.00#;\-#,##0.00#;#"/>
    <numFmt numFmtId="185" formatCode="#,##0.#######"/>
    <numFmt numFmtId="186" formatCode="#,##0.####;\-#,##0.####;#"/>
    <numFmt numFmtId="187" formatCode="#,##0.###;\-#,##0.###;#"/>
    <numFmt numFmtId="188" formatCode="#,##0.######;\-#,##0.######;#"/>
    <numFmt numFmtId="189" formatCode="0.000\ &quot;%&quot;;;#"/>
    <numFmt numFmtId="190" formatCode="0.#######;\-0.#######;#"/>
    <numFmt numFmtId="191" formatCode="#,##0.#;\-#,##0.#;#"/>
    <numFmt numFmtId="192" formatCode="0.######;\-0.######;#"/>
    <numFmt numFmtId="193" formatCode="#,##0.0#;\-#,##0.0#;#"/>
  </numFmts>
  <fonts count="27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22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17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6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182" fontId="2" fillId="0" borderId="5" xfId="0" applyNumberFormat="1" applyFont="1" applyBorder="1" applyAlignment="1">
      <alignment horizontal="right" vertical="center" shrinkToFit="1"/>
    </xf>
    <xf numFmtId="182" fontId="2" fillId="0" borderId="7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84" fontId="2" fillId="0" borderId="2" xfId="0" applyNumberFormat="1" applyFont="1" applyBorder="1" applyAlignment="1">
      <alignment horizontal="righ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185" fontId="2" fillId="0" borderId="2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176" fontId="2" fillId="0" borderId="0" xfId="0" applyNumberFormat="1" applyFont="1" applyAlignment="1">
      <alignment horizontal="right" vertical="center" shrinkToFit="1"/>
    </xf>
    <xf numFmtId="185" fontId="2" fillId="0" borderId="0" xfId="0" applyNumberFormat="1" applyFont="1" applyAlignment="1">
      <alignment horizontal="right" vertical="center" shrinkToFit="1"/>
    </xf>
    <xf numFmtId="183" fontId="2" fillId="0" borderId="0" xfId="0" applyNumberFormat="1" applyFont="1" applyAlignment="1">
      <alignment horizontal="center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86" fontId="2" fillId="0" borderId="5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188" fontId="2" fillId="0" borderId="5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3" fontId="2" fillId="0" borderId="4" xfId="0" applyNumberFormat="1" applyFont="1" applyBorder="1" applyAlignment="1">
      <alignment horizontal="right" vertical="center" shrinkToFit="1"/>
    </xf>
    <xf numFmtId="183" fontId="2" fillId="0" borderId="3" xfId="0" applyNumberFormat="1" applyFont="1" applyBorder="1" applyAlignment="1">
      <alignment horizontal="right" vertical="center" shrinkToFit="1"/>
    </xf>
    <xf numFmtId="183" fontId="2" fillId="0" borderId="0" xfId="0" applyNumberFormat="1" applyFont="1" applyAlignment="1">
      <alignment horizontal="right" vertical="center" shrinkToFit="1"/>
    </xf>
    <xf numFmtId="188" fontId="2" fillId="0" borderId="4" xfId="0" applyNumberFormat="1" applyFont="1" applyBorder="1" applyAlignment="1">
      <alignment horizontal="right" vertical="center" shrinkToFit="1"/>
    </xf>
    <xf numFmtId="187" fontId="2" fillId="0" borderId="5" xfId="0" applyNumberFormat="1" applyFont="1" applyBorder="1" applyAlignment="1">
      <alignment horizontal="right" vertical="center" shrinkToFit="1"/>
    </xf>
    <xf numFmtId="188" fontId="2" fillId="0" borderId="3" xfId="0" applyNumberFormat="1" applyFont="1" applyBorder="1" applyAlignment="1">
      <alignment horizontal="right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188" fontId="2" fillId="0" borderId="2" xfId="0" applyNumberFormat="1" applyFont="1" applyBorder="1" applyAlignment="1">
      <alignment horizontal="right" vertical="center" shrinkToFit="1"/>
    </xf>
    <xf numFmtId="187" fontId="2" fillId="0" borderId="2" xfId="0" applyNumberFormat="1" applyFont="1" applyBorder="1" applyAlignment="1">
      <alignment horizontal="right" vertical="center" shrinkToFit="1"/>
    </xf>
    <xf numFmtId="183" fontId="2" fillId="0" borderId="5" xfId="0" applyNumberFormat="1" applyFont="1" applyBorder="1" applyAlignment="1">
      <alignment horizontal="right" vertical="center" shrinkToFit="1"/>
    </xf>
    <xf numFmtId="176" fontId="2" fillId="3" borderId="0" xfId="0" applyNumberFormat="1" applyFont="1" applyFill="1" applyAlignment="1">
      <alignment horizontal="right" vertical="center" shrinkToFit="1"/>
    </xf>
    <xf numFmtId="185" fontId="2" fillId="3" borderId="0" xfId="0" applyNumberFormat="1" applyFont="1" applyFill="1" applyAlignment="1">
      <alignment horizontal="right" vertical="center" shrinkToFi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189" fontId="2" fillId="0" borderId="10" xfId="0" applyNumberFormat="1" applyFont="1" applyBorder="1" applyAlignment="1">
      <alignment horizontal="right" vertical="center" shrinkToFit="1"/>
    </xf>
    <xf numFmtId="189" fontId="2" fillId="0" borderId="6" xfId="0" applyNumberFormat="1" applyFont="1" applyBorder="1" applyAlignment="1">
      <alignment horizontal="right" vertical="center" shrinkToFit="1"/>
    </xf>
    <xf numFmtId="189" fontId="2" fillId="0" borderId="5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10" xfId="0" applyNumberFormat="1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49" fontId="2" fillId="0" borderId="6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left" vertical="center" shrinkToFit="1"/>
    </xf>
    <xf numFmtId="177" fontId="2" fillId="0" borderId="3" xfId="0" applyNumberFormat="1" applyFont="1" applyBorder="1" applyAlignment="1">
      <alignment horizontal="left" vertical="center" shrinkToFit="1"/>
    </xf>
    <xf numFmtId="0" fontId="11" fillId="0" borderId="3" xfId="0" applyFont="1" applyBorder="1" applyAlignment="1">
      <alignment shrinkToFit="1"/>
    </xf>
    <xf numFmtId="0" fontId="0" fillId="0" borderId="3" xfId="0" applyBorder="1" applyAlignment="1">
      <alignment shrinkToFit="1"/>
    </xf>
    <xf numFmtId="190" fontId="2" fillId="0" borderId="3" xfId="0" applyNumberFormat="1" applyFont="1" applyBorder="1" applyAlignment="1">
      <alignment horizontal="right" vertical="center" shrinkToFit="1"/>
    </xf>
    <xf numFmtId="191" fontId="2" fillId="0" borderId="2" xfId="0" applyNumberFormat="1" applyFont="1" applyBorder="1" applyAlignment="1">
      <alignment horizontal="right" vertical="center" shrinkToFit="1"/>
    </xf>
    <xf numFmtId="191" fontId="2" fillId="0" borderId="3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91" fontId="2" fillId="0" borderId="5" xfId="0" applyNumberFormat="1" applyFont="1" applyBorder="1" applyAlignment="1">
      <alignment horizontal="right" vertical="center" shrinkToFit="1"/>
    </xf>
    <xf numFmtId="191" fontId="2" fillId="0" borderId="4" xfId="0" applyNumberFormat="1" applyFont="1" applyBorder="1" applyAlignment="1">
      <alignment horizontal="right" vertical="center" shrinkToFit="1"/>
    </xf>
    <xf numFmtId="177" fontId="2" fillId="0" borderId="2" xfId="0" applyNumberFormat="1" applyFont="1" applyBorder="1" applyAlignment="1">
      <alignment horizontal="right" vertical="center" shrinkToFit="1"/>
    </xf>
    <xf numFmtId="0" fontId="12" fillId="0" borderId="0" xfId="0" applyFont="1" applyAlignment="1">
      <alignment shrinkToFit="1"/>
    </xf>
    <xf numFmtId="0" fontId="3" fillId="0" borderId="0" xfId="0" applyFont="1" applyAlignment="1">
      <alignment horizontal="left" vertical="center" shrinkToFit="1"/>
    </xf>
    <xf numFmtId="49" fontId="13" fillId="0" borderId="0" xfId="0" applyNumberFormat="1" applyFont="1" applyAlignment="1">
      <alignment horizontal="left" vertical="center"/>
    </xf>
    <xf numFmtId="49" fontId="14" fillId="0" borderId="10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shrinkToFit="1"/>
    </xf>
    <xf numFmtId="49" fontId="14" fillId="0" borderId="10" xfId="0" applyNumberFormat="1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0" fillId="0" borderId="9" xfId="0" applyBorder="1" applyAlignment="1">
      <alignment shrinkToFit="1"/>
    </xf>
    <xf numFmtId="193" fontId="2" fillId="0" borderId="10" xfId="0" applyNumberFormat="1" applyFont="1" applyBorder="1" applyAlignment="1">
      <alignment horizontal="right" vertical="center" shrinkToFit="1"/>
    </xf>
    <xf numFmtId="193" fontId="2" fillId="0" borderId="3" xfId="0" applyNumberFormat="1" applyFont="1" applyBorder="1" applyAlignment="1">
      <alignment horizontal="right" vertical="center" shrinkToFit="1"/>
    </xf>
    <xf numFmtId="193" fontId="2" fillId="0" borderId="6" xfId="0" applyNumberFormat="1" applyFont="1" applyBorder="1" applyAlignment="1">
      <alignment horizontal="right" vertical="center" shrinkToFit="1"/>
    </xf>
    <xf numFmtId="192" fontId="2" fillId="0" borderId="0" xfId="0" applyNumberFormat="1" applyFont="1" applyAlignment="1">
      <alignment horizontal="right" vertical="center" shrinkToFit="1"/>
    </xf>
    <xf numFmtId="193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0" fillId="0" borderId="0" xfId="0" applyAlignment="1">
      <alignment horizontal="center" shrinkToFit="1"/>
    </xf>
    <xf numFmtId="185" fontId="15" fillId="3" borderId="0" xfId="0" applyNumberFormat="1" applyFont="1" applyFill="1" applyAlignment="1">
      <alignment horizontal="center" vertical="center" shrinkToFit="1"/>
    </xf>
    <xf numFmtId="176" fontId="15" fillId="3" borderId="0" xfId="0" applyNumberFormat="1" applyFont="1" applyFill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2" fillId="4" borderId="0" xfId="0" applyNumberFormat="1" applyFont="1" applyFill="1" applyAlignment="1">
      <alignment horizontal="center" vertical="center" shrinkToFit="1"/>
    </xf>
    <xf numFmtId="49" fontId="16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2" fillId="6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16" fillId="0" borderId="0" xfId="0" applyFont="1" applyAlignment="1">
      <alignment horizontal="left" vertical="center"/>
    </xf>
    <xf numFmtId="49" fontId="24" fillId="0" borderId="0" xfId="0" applyNumberFormat="1" applyFont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0" fillId="0" borderId="0" xfId="0"/>
    <xf numFmtId="49" fontId="10" fillId="0" borderId="2" xfId="0" applyNumberFormat="1" applyFont="1" applyBorder="1" applyAlignment="1">
      <alignment horizontal="distributed" vertical="center" indent="2" shrinkToFit="1"/>
    </xf>
    <xf numFmtId="0" fontId="0" fillId="0" borderId="5" xfId="0" applyBorder="1" applyAlignment="1">
      <alignment horizontal="distributed" indent="2"/>
    </xf>
    <xf numFmtId="49" fontId="2" fillId="0" borderId="2" xfId="0" applyNumberFormat="1" applyFont="1" applyBorder="1" applyAlignment="1">
      <alignment horizontal="distributed" vertical="center" indent="2" shrinkToFit="1"/>
    </xf>
    <xf numFmtId="49" fontId="2" fillId="0" borderId="10" xfId="0" applyNumberFormat="1" applyFont="1" applyBorder="1" applyAlignment="1">
      <alignment horizontal="center" vertical="center" textRotation="255" shrinkToFit="1"/>
    </xf>
    <xf numFmtId="0" fontId="0" fillId="0" borderId="10" xfId="0" applyBorder="1"/>
    <xf numFmtId="0" fontId="0" fillId="0" borderId="3" xfId="0" applyBorder="1"/>
    <xf numFmtId="49" fontId="2" fillId="0" borderId="3" xfId="0" applyNumberFormat="1" applyFont="1" applyBorder="1" applyAlignment="1">
      <alignment horizontal="distributed" vertical="center" indent="2" shrinkToFit="1"/>
    </xf>
    <xf numFmtId="0" fontId="0" fillId="0" borderId="3" xfId="0" applyBorder="1" applyAlignment="1">
      <alignment horizontal="distributed" indent="2"/>
    </xf>
    <xf numFmtId="0" fontId="0" fillId="0" borderId="1" xfId="0" applyBorder="1" applyAlignment="1">
      <alignment horizontal="distributed" indent="2"/>
    </xf>
    <xf numFmtId="49" fontId="1" fillId="0" borderId="0" xfId="0" applyNumberFormat="1" applyFont="1" applyAlignment="1">
      <alignment horizontal="center" vertical="center" shrinkToFit="1"/>
    </xf>
    <xf numFmtId="49" fontId="2" fillId="0" borderId="9" xfId="0" applyNumberFormat="1" applyFont="1" applyBorder="1" applyAlignment="1">
      <alignment horizontal="right" vertical="center" shrinkToFit="1"/>
    </xf>
    <xf numFmtId="0" fontId="0" fillId="0" borderId="9" xfId="0" applyBorder="1"/>
    <xf numFmtId="49" fontId="2" fillId="0" borderId="6" xfId="0" applyNumberFormat="1" applyFont="1" applyBorder="1" applyAlignment="1">
      <alignment horizontal="center" vertical="center" shrinkToFit="1"/>
    </xf>
    <xf numFmtId="0" fontId="0" fillId="0" borderId="6" xfId="0" applyBorder="1"/>
    <xf numFmtId="49" fontId="2" fillId="0" borderId="3" xfId="0" applyNumberFormat="1" applyFont="1" applyBorder="1" applyAlignment="1">
      <alignment horizontal="left" vertical="center" shrinkToFit="1"/>
    </xf>
    <xf numFmtId="177" fontId="2" fillId="0" borderId="5" xfId="0" applyNumberFormat="1" applyFont="1" applyBorder="1" applyAlignment="1">
      <alignment horizontal="left" vertical="center" shrinkToFit="1"/>
    </xf>
    <xf numFmtId="0" fontId="0" fillId="0" borderId="5" xfId="0" applyBorder="1"/>
    <xf numFmtId="0" fontId="0" fillId="0" borderId="4" xfId="0" applyBorder="1"/>
    <xf numFmtId="49" fontId="2" fillId="0" borderId="5" xfId="0" applyNumberFormat="1" applyFont="1" applyBorder="1" applyAlignment="1">
      <alignment horizontal="left" vertical="center" shrinkToFit="1"/>
    </xf>
    <xf numFmtId="49" fontId="9" fillId="2" borderId="0" xfId="0" applyNumberFormat="1" applyFont="1" applyFill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0" fontId="0" fillId="0" borderId="2" xfId="0" applyBorder="1"/>
    <xf numFmtId="49" fontId="2" fillId="0" borderId="2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7" xfId="0" applyBorder="1"/>
    <xf numFmtId="49" fontId="8" fillId="0" borderId="0" xfId="0" applyNumberFormat="1" applyFont="1" applyAlignment="1">
      <alignment horizontal="left" vertical="center" shrinkToFit="1"/>
    </xf>
    <xf numFmtId="180" fontId="2" fillId="0" borderId="7" xfId="0" applyNumberFormat="1" applyFont="1" applyBorder="1" applyAlignment="1">
      <alignment horizontal="center" vertical="center" shrinkToFit="1"/>
    </xf>
    <xf numFmtId="181" fontId="2" fillId="0" borderId="7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3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6">
    <dxf>
      <fill>
        <patternFill>
          <bgColor rgb="FF808000"/>
        </patternFill>
      </fill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E1F945F4-D2B9-FBFA-4041-28A1B1641CCA}"/>
            </a:ext>
          </a:extLst>
        </xdr:cNvPr>
        <xdr:cNvCxnSpPr/>
      </xdr:nvCxnSpPr>
      <xdr:spPr>
        <a:xfrm>
          <a:off x="0" y="647700"/>
          <a:ext cx="2514600" cy="666750"/>
        </a:xfrm>
        <a:prstGeom prst="line">
          <a:avLst/>
        </a:prstGeom>
        <a:ln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2.xml"/><Relationship Id="rId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3.xml"/><Relationship Id="rId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5.xml"/><Relationship Id="rId4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6.xml"/><Relationship Id="rId4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7.xml"/><Relationship Id="rId4" Type="http://schemas.openxmlformats.org/officeDocument/2006/relationships/vmlDrawing" Target="../drawings/vmlDrawing1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5EF7-3587-4CC2-AA15-D95EE04E8F2B}">
  <sheetPr>
    <tabColor rgb="FF0000FF"/>
  </sheetPr>
  <dimension ref="B1:D19"/>
  <sheetViews>
    <sheetView workbookViewId="0"/>
  </sheetViews>
  <sheetFormatPr defaultRowHeight="16.5" x14ac:dyDescent="0.3"/>
  <cols>
    <col min="2" max="2" width="23.625" customWidth="1"/>
    <col min="4" max="4" width="21.625" customWidth="1"/>
  </cols>
  <sheetData>
    <row r="1" spans="2:4" ht="24.95" customHeight="1" x14ac:dyDescent="0.3">
      <c r="D1" s="118" t="str">
        <f ca="1">IF('〓 INITIAL 〓'!C4,"※※ 기본정보의 일부가 삭제되어 Stmate로 변환할 수 없습니다 ※※","")</f>
        <v/>
      </c>
    </row>
    <row r="2" spans="2:4" ht="23.85" customHeight="1" x14ac:dyDescent="0.3">
      <c r="B2" s="107" t="s">
        <v>9081</v>
      </c>
      <c r="D2" s="119" t="s">
        <v>9213</v>
      </c>
    </row>
    <row r="3" spans="2:4" ht="23.85" customHeight="1" x14ac:dyDescent="0.3">
      <c r="D3" s="119" t="s">
        <v>9214</v>
      </c>
    </row>
    <row r="4" spans="2:4" ht="23.85" customHeight="1" x14ac:dyDescent="0.3">
      <c r="B4" s="23" t="s">
        <v>9082</v>
      </c>
      <c r="D4" s="3" t="str">
        <f>HYPERLINK("#'※※안내※※'!A1","※※안내※※ →")</f>
        <v>※※안내※※ →</v>
      </c>
    </row>
    <row r="5" spans="2:4" ht="23.85" customHeight="1" x14ac:dyDescent="0.3">
      <c r="B5" s="23" t="s">
        <v>9083</v>
      </c>
      <c r="D5" s="3" t="str">
        <f ca="1">HYPERLINK("#"&amp;공사원가계산서!G2&amp;"!A1","공사원가계산서 →")</f>
        <v>공사원가계산서 →</v>
      </c>
    </row>
    <row r="6" spans="2:4" ht="23.85" customHeight="1" x14ac:dyDescent="0.3">
      <c r="B6" s="23" t="s">
        <v>9084</v>
      </c>
      <c r="D6" s="3" t="str">
        <f ca="1">HYPERLINK("#"&amp;총괄내역서!H2&amp;"!A1","총괄내역서 →")</f>
        <v>총괄내역서 →</v>
      </c>
    </row>
    <row r="7" spans="2:4" ht="23.85" customHeight="1" x14ac:dyDescent="0.3">
      <c r="B7" s="23" t="s">
        <v>9085</v>
      </c>
      <c r="D7" s="3" t="str">
        <f ca="1">HYPERLINK("#"&amp;설계내역서!O2&amp;"!A1","설계내역서 →")</f>
        <v>설계내역서 →</v>
      </c>
    </row>
    <row r="8" spans="2:4" ht="23.85" customHeight="1" x14ac:dyDescent="0.3">
      <c r="B8" s="23" t="s">
        <v>9086</v>
      </c>
      <c r="D8" s="3" t="str">
        <f ca="1">HYPERLINK("#"&amp;일위대가목록표!J2&amp;"!A1","일위대가목록표 →")</f>
        <v>일위대가목록표 →</v>
      </c>
    </row>
    <row r="9" spans="2:4" ht="23.85" customHeight="1" x14ac:dyDescent="0.3">
      <c r="B9" s="23" t="s">
        <v>9087</v>
      </c>
      <c r="D9" s="3" t="str">
        <f ca="1">HYPERLINK("#"&amp;일위대가표!N2&amp;"!A1","일위대가표 →")</f>
        <v>일위대가표 →</v>
      </c>
    </row>
    <row r="10" spans="2:4" ht="23.85" customHeight="1" x14ac:dyDescent="0.3">
      <c r="B10" s="23" t="s">
        <v>9088</v>
      </c>
      <c r="D10" s="3" t="str">
        <f ca="1">HYPERLINK("#"&amp;단가산출근거목록표!J2&amp;"!A1","단가산출근거목록표 →")</f>
        <v>단가산출근거목록표 →</v>
      </c>
    </row>
    <row r="11" spans="2:4" ht="23.85" customHeight="1" x14ac:dyDescent="0.3">
      <c r="B11" s="23" t="s">
        <v>9089</v>
      </c>
      <c r="D11" s="3" t="str">
        <f ca="1">HYPERLINK("#"&amp;단가산출근거!G2&amp;"!A1","단가산출근거 →")</f>
        <v>단가산출근거 →</v>
      </c>
    </row>
    <row r="12" spans="2:4" ht="23.85" customHeight="1" x14ac:dyDescent="0.3">
      <c r="B12" s="23" t="s">
        <v>9090</v>
      </c>
      <c r="D12" s="3" t="str">
        <f ca="1">HYPERLINK("#"&amp;환율및기초자료!I2&amp;"!A1","환율및기초자료 →")</f>
        <v>환율및기초자료 →</v>
      </c>
    </row>
    <row r="13" spans="2:4" ht="23.85" customHeight="1" x14ac:dyDescent="0.3">
      <c r="B13" s="23" t="s">
        <v>9091</v>
      </c>
      <c r="D13" s="3" t="str">
        <f ca="1">HYPERLINK("#"&amp;중기목록표!J2&amp;"!A1","중기목록표 →")</f>
        <v>중기목록표 →</v>
      </c>
    </row>
    <row r="14" spans="2:4" ht="23.85" customHeight="1" x14ac:dyDescent="0.3">
      <c r="B14" s="23" t="s">
        <v>9092</v>
      </c>
      <c r="D14" s="3" t="str">
        <f ca="1">HYPERLINK("#"&amp;중기사용료!N2&amp;"!A1","중기사용료 →")</f>
        <v>중기사용료 →</v>
      </c>
    </row>
    <row r="15" spans="2:4" ht="23.85" customHeight="1" x14ac:dyDescent="0.3">
      <c r="B15" s="23" t="s">
        <v>9093</v>
      </c>
      <c r="D15" s="3" t="str">
        <f ca="1">HYPERLINK("#"&amp;재료비목록표!G2&amp;"!A1","재료비목록표 →")</f>
        <v>재료비목록표 →</v>
      </c>
    </row>
    <row r="16" spans="2:4" ht="23.85" customHeight="1" x14ac:dyDescent="0.3">
      <c r="B16" s="23" t="s">
        <v>9094</v>
      </c>
      <c r="D16" s="3" t="str">
        <f ca="1">HYPERLINK("#"&amp;노무비목록표!G2&amp;"!A1","노무비목록표 →")</f>
        <v>노무비목록표 →</v>
      </c>
    </row>
    <row r="17" spans="2:4" ht="23.85" customHeight="1" x14ac:dyDescent="0.3">
      <c r="B17" s="23" t="s">
        <v>9095</v>
      </c>
      <c r="D17" s="3" t="str">
        <f ca="1">HYPERLINK("#"&amp;경비목록표!G2&amp;"!A1","경비목록표 →")</f>
        <v>경비목록표 →</v>
      </c>
    </row>
    <row r="18" spans="2:4" ht="23.85" customHeight="1" x14ac:dyDescent="0.3">
      <c r="B18" s="23" t="s">
        <v>9096</v>
      </c>
      <c r="D18" s="3" t="str">
        <f ca="1">HYPERLINK("#"&amp;일식견적목록표!J2&amp;"!A1","일식견적목록표 →")</f>
        <v>일식견적목록표 →</v>
      </c>
    </row>
    <row r="19" spans="2:4" ht="23.85" customHeight="1" x14ac:dyDescent="0.3">
      <c r="B19" s="23" t="s">
        <v>9097</v>
      </c>
      <c r="D19" s="3" t="str">
        <f ca="1">HYPERLINK("#"&amp;자재단가대비표!R2&amp;"!A1","자재단가대비표 →")</f>
        <v>자재단가대비표 →</v>
      </c>
    </row>
  </sheetData>
  <phoneticPr fontId="25" type="noConversion"/>
  <printOptions horizontalCentered="1"/>
  <pageMargins left="0.39370078740157483" right="0.78740157480314954" top="0.78740157480314965" bottom="0.82677165354330706" header="0" footer="0.62992125984251968"/>
  <pageSetup paperSize="9" fitToWidth="0" fitToHeight="0" orientation="portrait" r:id="rId1"/>
  <headerFooter alignWithMargins="0">
    <oddFooter xml:space="preserve">&amp;C&amp;"굴림체,"&amp;9 - &amp;P -&amp;R&amp;"굴림체,"&amp;9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73683-DC7A-4BB9-92AC-281B61304DDC}">
  <sheetPr>
    <tabColor rgb="FFFF0000"/>
  </sheetPr>
  <dimension ref="A2:I16"/>
  <sheetViews>
    <sheetView workbookViewId="0"/>
  </sheetViews>
  <sheetFormatPr defaultRowHeight="16.5" x14ac:dyDescent="0.3"/>
  <cols>
    <col min="1" max="1" width="9.125" style="4" customWidth="1"/>
    <col min="2" max="2" width="4.75" customWidth="1"/>
  </cols>
  <sheetData>
    <row r="2" spans="1:9" x14ac:dyDescent="0.3">
      <c r="A2" s="3" t="str">
        <f>HYPERLINK("#'〓 목 차 〓'!B2","목차 →")</f>
        <v>목차 →</v>
      </c>
      <c r="B2" s="102" t="s">
        <v>2033</v>
      </c>
    </row>
    <row r="4" spans="1:9" ht="18.75" x14ac:dyDescent="0.3">
      <c r="B4" s="103" t="s">
        <v>9071</v>
      </c>
    </row>
    <row r="6" spans="1:9" x14ac:dyDescent="0.3">
      <c r="B6" s="85" t="s">
        <v>9072</v>
      </c>
    </row>
    <row r="7" spans="1:9" x14ac:dyDescent="0.3">
      <c r="B7" s="85" t="s">
        <v>9073</v>
      </c>
    </row>
    <row r="8" spans="1:9" x14ac:dyDescent="0.3">
      <c r="B8" s="104" t="s">
        <v>9074</v>
      </c>
    </row>
    <row r="9" spans="1:9" x14ac:dyDescent="0.3">
      <c r="B9" s="85" t="s">
        <v>9075</v>
      </c>
    </row>
    <row r="10" spans="1:9" x14ac:dyDescent="0.3">
      <c r="B10" s="85" t="s">
        <v>9076</v>
      </c>
    </row>
    <row r="11" spans="1:9" x14ac:dyDescent="0.3">
      <c r="B11" s="85" t="s">
        <v>9077</v>
      </c>
    </row>
    <row r="12" spans="1:9" x14ac:dyDescent="0.3">
      <c r="B12" s="120" t="str">
        <f ca="1">HYPERLINK("#"&amp;단가산출근거!G2&amp;"!Y3","◈ 단가산출근거의 수량부분은 산출근거 우측 연두색 부분에서 수정합니다. →")</f>
        <v>◈ 단가산출근거의 수량부분은 산출근거 우측 연두색 부분에서 수정합니다. →</v>
      </c>
      <c r="C12" s="121"/>
      <c r="D12" s="121"/>
      <c r="E12" s="121"/>
      <c r="F12" s="121"/>
      <c r="G12" s="121"/>
      <c r="H12" s="121"/>
      <c r="I12" s="121"/>
    </row>
    <row r="13" spans="1:9" x14ac:dyDescent="0.3">
      <c r="B13" s="85" t="s">
        <v>9078</v>
      </c>
    </row>
    <row r="15" spans="1:9" x14ac:dyDescent="0.3">
      <c r="B15" s="105" t="s">
        <v>9079</v>
      </c>
    </row>
    <row r="16" spans="1:9" x14ac:dyDescent="0.3">
      <c r="B16" s="2" t="str">
        <f ca="1">HYPERLINK("#"&amp;총괄내역서!H2&amp;"!I"&amp;ROW(총괄내역서!I21)," → ")</f>
        <v xml:space="preserve"> → </v>
      </c>
      <c r="C16" s="106" t="s">
        <v>9080</v>
      </c>
    </row>
  </sheetData>
  <mergeCells count="1">
    <mergeCell ref="B12:I12"/>
  </mergeCells>
  <phoneticPr fontId="25" type="noConversion"/>
  <printOptions horizontalCentered="1"/>
  <pageMargins left="0.39370078740157483" right="0.78740157480314954" top="0.78740157480314965" bottom="1" header="0" footer="0.5"/>
  <pageSetup paperSize="9" fitToWidth="0" fitToHeight="0" orientation="portrait"/>
  <headerFooter alignWithMargins="0">
    <oddFooter xml:space="preserve">&amp;C&amp;"굴림체,"&amp;9 - &amp;P -&amp;R&amp;"굴림체,"&amp;9 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FEEC5-B0D8-4819-A640-89F3AED66877}">
  <dimension ref="A1:H31"/>
  <sheetViews>
    <sheetView tabSelected="1" workbookViewId="0">
      <pane ySplit="4" topLeftCell="A5" activePane="bottomLeft" state="frozenSplit"/>
      <selection pane="bottomLeft" activeCell="F7" sqref="F7"/>
    </sheetView>
  </sheetViews>
  <sheetFormatPr defaultColWidth="9.125" defaultRowHeight="16.5" x14ac:dyDescent="0.3"/>
  <cols>
    <col min="1" max="2" width="4.75" style="6" customWidth="1"/>
    <col min="3" max="3" width="23.5" style="6" customWidth="1"/>
    <col min="4" max="4" width="11.5" style="6" customWidth="1"/>
    <col min="5" max="5" width="8.5" style="6" customWidth="1"/>
    <col min="6" max="6" width="49.75" style="6" customWidth="1"/>
    <col min="7" max="7" width="9.125" style="6" hidden="1" customWidth="1"/>
    <col min="8" max="8" width="9.125" style="18" customWidth="1"/>
    <col min="9" max="16384" width="9.125" style="6"/>
  </cols>
  <sheetData>
    <row r="1" spans="1:8" ht="24.95" customHeight="1" x14ac:dyDescent="0.3">
      <c r="A1" s="131" t="s">
        <v>6364</v>
      </c>
      <c r="B1" s="121"/>
      <c r="C1" s="121"/>
      <c r="D1" s="121"/>
      <c r="E1" s="121"/>
      <c r="F1" s="121"/>
      <c r="G1" s="5" t="s">
        <v>1982</v>
      </c>
      <c r="H1" s="19" t="s">
        <v>1982</v>
      </c>
    </row>
    <row r="2" spans="1:8" ht="26.45" customHeight="1" x14ac:dyDescent="0.3">
      <c r="A2" s="1" t="s">
        <v>9215</v>
      </c>
      <c r="F2" s="67" t="s">
        <v>6365</v>
      </c>
      <c r="G2" s="20" t="str">
        <f ca="1">MID(CELL("filename",$A$1),FIND("]",CELL("filename",$A$1))+1,LEN(CELL("filename",$A$1)))</f>
        <v>공사원가계산서</v>
      </c>
    </row>
    <row r="3" spans="1:8" ht="26.45" customHeight="1" x14ac:dyDescent="0.3">
      <c r="A3" s="132" t="s">
        <v>6367</v>
      </c>
      <c r="B3" s="133"/>
      <c r="C3" s="133"/>
      <c r="D3" s="134" t="s">
        <v>3335</v>
      </c>
      <c r="E3" s="134" t="s">
        <v>6368</v>
      </c>
      <c r="F3" s="134" t="s">
        <v>6369</v>
      </c>
    </row>
    <row r="4" spans="1:8" ht="26.45" customHeight="1" x14ac:dyDescent="0.3">
      <c r="A4" s="136" t="s">
        <v>6366</v>
      </c>
      <c r="B4" s="127"/>
      <c r="C4" s="127"/>
      <c r="D4" s="135"/>
      <c r="E4" s="135"/>
      <c r="F4" s="135"/>
      <c r="H4" s="3" t="str">
        <f>HYPERLINK("#'〓 목 차 〓'!B2","목차 →")</f>
        <v>목차 →</v>
      </c>
    </row>
    <row r="5" spans="1:8" ht="26.45" customHeight="1" x14ac:dyDescent="0.3">
      <c r="A5" s="125" t="s">
        <v>6395</v>
      </c>
      <c r="B5" s="125" t="s">
        <v>8</v>
      </c>
      <c r="C5" s="59" t="s">
        <v>6370</v>
      </c>
      <c r="D5" s="61">
        <f>총괄내역서!F4-D6+D7</f>
        <v>9620799</v>
      </c>
      <c r="E5" s="64">
        <f>D5/D31*100</f>
        <v>17.492361818181816</v>
      </c>
      <c r="F5" s="68"/>
      <c r="H5" s="3" t="str">
        <f ca="1">HYPERLINK("#"&amp;총괄내역서!H2&amp;"!F"&amp;ROW(총괄내역서!F4),"총괄표 →")</f>
        <v>총괄표 →</v>
      </c>
    </row>
    <row r="6" spans="1:8" ht="26.45" customHeight="1" x14ac:dyDescent="0.3">
      <c r="A6" s="126"/>
      <c r="B6" s="126"/>
      <c r="C6" s="59" t="s">
        <v>6371</v>
      </c>
      <c r="D6" s="62">
        <v>0</v>
      </c>
      <c r="E6" s="64">
        <f>D6/D31*100</f>
        <v>0</v>
      </c>
      <c r="F6" s="69"/>
    </row>
    <row r="7" spans="1:8" ht="26.45" customHeight="1" x14ac:dyDescent="0.3">
      <c r="A7" s="126"/>
      <c r="B7" s="126"/>
      <c r="C7" s="59" t="s">
        <v>6372</v>
      </c>
      <c r="D7" s="62">
        <v>0</v>
      </c>
      <c r="E7" s="64">
        <f>D7/D31*100</f>
        <v>0</v>
      </c>
      <c r="F7" s="69"/>
    </row>
    <row r="8" spans="1:8" ht="26.45" customHeight="1" x14ac:dyDescent="0.3">
      <c r="A8" s="126"/>
      <c r="B8" s="127"/>
      <c r="C8" s="14" t="s">
        <v>6373</v>
      </c>
      <c r="D8" s="63">
        <f>+D5+D6-D7</f>
        <v>9620799</v>
      </c>
      <c r="E8" s="65">
        <f>D8/D31*100</f>
        <v>17.492361818181816</v>
      </c>
      <c r="F8" s="70"/>
    </row>
    <row r="9" spans="1:8" ht="26.45" customHeight="1" x14ac:dyDescent="0.3">
      <c r="A9" s="126"/>
      <c r="B9" s="125" t="s">
        <v>7</v>
      </c>
      <c r="C9" s="59" t="s">
        <v>6374</v>
      </c>
      <c r="D9" s="61">
        <f>총괄내역서!E4</f>
        <v>20883787</v>
      </c>
      <c r="E9" s="64">
        <f>D9/D31*100</f>
        <v>37.970521818181815</v>
      </c>
      <c r="F9" s="68"/>
      <c r="H9" s="3" t="str">
        <f ca="1">HYPERLINK("#"&amp;총괄내역서!H2&amp;"!E"&amp;ROW(총괄내역서!E4),"총괄표 →")</f>
        <v>총괄표 →</v>
      </c>
    </row>
    <row r="10" spans="1:8" ht="26.45" customHeight="1" x14ac:dyDescent="0.3">
      <c r="A10" s="126"/>
      <c r="B10" s="126"/>
      <c r="C10" s="59" t="s">
        <v>6375</v>
      </c>
      <c r="D10" s="61">
        <f>총괄내역서!D5</f>
        <v>3988803</v>
      </c>
      <c r="E10" s="64">
        <f>D10/D31*100</f>
        <v>7.2523690909090917</v>
      </c>
      <c r="F10" s="71" t="str">
        <f>총괄내역서!E5</f>
        <v>직접노무비 x 19.1%</v>
      </c>
      <c r="H10" s="3" t="str">
        <f ca="1">HYPERLINK("#"&amp;총괄내역서!H2&amp;"!D"&amp;ROW(총괄내역서!D5),"총괄표 →")</f>
        <v>총괄표 →</v>
      </c>
    </row>
    <row r="11" spans="1:8" ht="26.45" customHeight="1" x14ac:dyDescent="0.3">
      <c r="A11" s="126"/>
      <c r="B11" s="127"/>
      <c r="C11" s="14" t="s">
        <v>6373</v>
      </c>
      <c r="D11" s="63">
        <f>+D9+D10</f>
        <v>24872590</v>
      </c>
      <c r="E11" s="65">
        <f>D11/D31*100</f>
        <v>45.222890909090907</v>
      </c>
      <c r="F11" s="70"/>
    </row>
    <row r="12" spans="1:8" ht="26.45" customHeight="1" x14ac:dyDescent="0.3">
      <c r="A12" s="126"/>
      <c r="B12" s="125" t="s">
        <v>9</v>
      </c>
      <c r="C12" s="59" t="s">
        <v>6376</v>
      </c>
      <c r="D12" s="61">
        <f>총괄내역서!G4</f>
        <v>279558</v>
      </c>
      <c r="E12" s="64">
        <f>D12/D31*100</f>
        <v>0.5082872727272727</v>
      </c>
      <c r="F12" s="68"/>
      <c r="H12" s="3" t="str">
        <f ca="1">HYPERLINK("#"&amp;총괄내역서!H2&amp;"!G"&amp;ROW(총괄내역서!G4),"총괄표 →")</f>
        <v>총괄표 →</v>
      </c>
    </row>
    <row r="13" spans="1:8" ht="26.45" customHeight="1" x14ac:dyDescent="0.3">
      <c r="A13" s="126"/>
      <c r="B13" s="126"/>
      <c r="C13" s="59" t="s">
        <v>6377</v>
      </c>
      <c r="D13" s="61">
        <f>총괄내역서!D6</f>
        <v>885464</v>
      </c>
      <c r="E13" s="64">
        <f>D13/D31*100</f>
        <v>1.6099345454545455</v>
      </c>
      <c r="F13" s="71" t="str">
        <f>총괄내역서!E6</f>
        <v>(직접노무비+간접노무비) x 3.56%</v>
      </c>
      <c r="H13" s="3" t="str">
        <f ca="1">HYPERLINK("#"&amp;총괄내역서!H2&amp;"!D"&amp;ROW(총괄내역서!D6),"총괄표 →")</f>
        <v>총괄표 →</v>
      </c>
    </row>
    <row r="14" spans="1:8" ht="26.45" customHeight="1" x14ac:dyDescent="0.3">
      <c r="A14" s="126"/>
      <c r="B14" s="126"/>
      <c r="C14" s="59" t="s">
        <v>6378</v>
      </c>
      <c r="D14" s="61">
        <f>총괄내역서!D7</f>
        <v>251213</v>
      </c>
      <c r="E14" s="64">
        <f>D14/D31*100</f>
        <v>0.4567509090909091</v>
      </c>
      <c r="F14" s="71" t="str">
        <f>총괄내역서!E7</f>
        <v>(직접노무비+간접노무비) x 1.01%</v>
      </c>
      <c r="H14" s="3" t="str">
        <f ca="1">HYPERLINK("#"&amp;총괄내역서!H2&amp;"!D"&amp;ROW(총괄내역서!D7),"총괄표 →")</f>
        <v>총괄표 →</v>
      </c>
    </row>
    <row r="15" spans="1:8" ht="26.45" customHeight="1" x14ac:dyDescent="0.3">
      <c r="A15" s="126"/>
      <c r="B15" s="126"/>
      <c r="C15" s="59" t="s">
        <v>6379</v>
      </c>
      <c r="D15" s="61">
        <f>총괄내역서!D8</f>
        <v>750772</v>
      </c>
      <c r="E15" s="64">
        <f>D15/D31*100</f>
        <v>1.36504</v>
      </c>
      <c r="F15" s="71" t="str">
        <f>총괄내역서!E8</f>
        <v>직접노무비 x 3.595%</v>
      </c>
      <c r="H15" s="3" t="str">
        <f ca="1">HYPERLINK("#"&amp;총괄내역서!H2&amp;"!D"&amp;ROW(총괄내역서!D8),"총괄표 →")</f>
        <v>총괄표 →</v>
      </c>
    </row>
    <row r="16" spans="1:8" ht="26.45" customHeight="1" x14ac:dyDescent="0.3">
      <c r="A16" s="126"/>
      <c r="B16" s="126"/>
      <c r="C16" s="59" t="s">
        <v>6380</v>
      </c>
      <c r="D16" s="61">
        <f>총괄내역서!D9</f>
        <v>98651</v>
      </c>
      <c r="E16" s="64">
        <f>D16/D31*100</f>
        <v>0.17936545454545455</v>
      </c>
      <c r="F16" s="71" t="str">
        <f>총괄내역서!E9</f>
        <v>건강보험료 x 13.14%</v>
      </c>
      <c r="H16" s="3" t="str">
        <f ca="1">HYPERLINK("#"&amp;총괄내역서!H2&amp;"!D"&amp;ROW(총괄내역서!D9),"총괄표 →")</f>
        <v>총괄표 →</v>
      </c>
    </row>
    <row r="17" spans="1:8" ht="26.45" customHeight="1" x14ac:dyDescent="0.3">
      <c r="A17" s="126"/>
      <c r="B17" s="126"/>
      <c r="C17" s="59" t="s">
        <v>6381</v>
      </c>
      <c r="D17" s="61">
        <f>총괄내역서!D10</f>
        <v>991979</v>
      </c>
      <c r="E17" s="64">
        <f>D17/D31*100</f>
        <v>1.8035981818181817</v>
      </c>
      <c r="F17" s="71" t="str">
        <f>총괄내역서!E10</f>
        <v>직접노무비 x 4.75%</v>
      </c>
      <c r="H17" s="3" t="str">
        <f ca="1">HYPERLINK("#"&amp;총괄내역서!H2&amp;"!D"&amp;ROW(총괄내역서!D10),"총괄표 →")</f>
        <v>총괄표 →</v>
      </c>
    </row>
    <row r="18" spans="1:8" ht="26.45" customHeight="1" x14ac:dyDescent="0.3">
      <c r="A18" s="126"/>
      <c r="B18" s="126"/>
      <c r="C18" s="59" t="s">
        <v>6382</v>
      </c>
      <c r="D18" s="61">
        <f>총괄내역서!D11</f>
        <v>480327</v>
      </c>
      <c r="E18" s="64">
        <f>D18/D31*100</f>
        <v>0.87332181818181809</v>
      </c>
      <c r="F18" s="71" t="str">
        <f>총괄내역서!E11</f>
        <v>직접노무비 x 2.3%</v>
      </c>
      <c r="H18" s="3" t="str">
        <f ca="1">HYPERLINK("#"&amp;총괄내역서!H2&amp;"!D"&amp;ROW(총괄내역서!D11),"총괄표 →")</f>
        <v>총괄표 →</v>
      </c>
    </row>
    <row r="19" spans="1:8" ht="26.45" customHeight="1" x14ac:dyDescent="0.3">
      <c r="A19" s="126"/>
      <c r="B19" s="126"/>
      <c r="C19" s="59" t="s">
        <v>6383</v>
      </c>
      <c r="D19" s="61">
        <f>총괄내역서!D12</f>
        <v>960894</v>
      </c>
      <c r="E19" s="64">
        <f>D19/D31*100</f>
        <v>1.7470800000000002</v>
      </c>
      <c r="F19" s="71" t="str">
        <f>총괄내역서!E12</f>
        <v>(직노+직재+간재) x 3.15% = 960,894</v>
      </c>
      <c r="H19" s="3" t="str">
        <f ca="1">HYPERLINK("#"&amp;총괄내역서!H2&amp;"!D"&amp;ROW(총괄내역서!D12),"총괄표 →")</f>
        <v>총괄표 →</v>
      </c>
    </row>
    <row r="20" spans="1:8" ht="26.45" customHeight="1" x14ac:dyDescent="0.3">
      <c r="A20" s="126"/>
      <c r="B20" s="126"/>
      <c r="C20" s="59" t="s">
        <v>6384</v>
      </c>
      <c r="D20" s="61">
        <f>총괄내역서!D13</f>
        <v>1897136</v>
      </c>
      <c r="E20" s="64">
        <f>D20/D31*100</f>
        <v>3.4493381818181819</v>
      </c>
      <c r="F20" s="71" t="str">
        <f>총괄내역서!E13</f>
        <v>(직접노무비+간접노무비+재료비) x 5.5%</v>
      </c>
      <c r="H20" s="3" t="str">
        <f ca="1">HYPERLINK("#"&amp;총괄내역서!H2&amp;"!D"&amp;ROW(총괄내역서!D13),"총괄표 →")</f>
        <v>총괄표 →</v>
      </c>
    </row>
    <row r="21" spans="1:8" ht="26.45" customHeight="1" x14ac:dyDescent="0.3">
      <c r="A21" s="126"/>
      <c r="B21" s="126"/>
      <c r="C21" s="59" t="s">
        <v>6385</v>
      </c>
      <c r="D21" s="61">
        <f>총괄내역서!D14</f>
        <v>153920</v>
      </c>
      <c r="E21" s="64">
        <f>D21/D31*100</f>
        <v>0.27985454545454547</v>
      </c>
      <c r="F21" s="71" t="str">
        <f>총괄내역서!E14</f>
        <v>(재료비 + 직접노무비 + 산출경비) x 0.5%</v>
      </c>
      <c r="H21" s="3" t="str">
        <f ca="1">HYPERLINK("#"&amp;총괄내역서!H2&amp;"!D"&amp;ROW(총괄내역서!D14),"총괄표 →")</f>
        <v>총괄표 →</v>
      </c>
    </row>
    <row r="22" spans="1:8" ht="26.45" customHeight="1" x14ac:dyDescent="0.3">
      <c r="A22" s="126"/>
      <c r="B22" s="126"/>
      <c r="C22" s="59" t="s">
        <v>6386</v>
      </c>
      <c r="D22" s="61">
        <f>총괄내역서!D15</f>
        <v>156999</v>
      </c>
      <c r="E22" s="64">
        <f>D22/D31*100</f>
        <v>0.28545272727272725</v>
      </c>
      <c r="F22" s="71" t="str">
        <f>총괄내역서!E15</f>
        <v>(재료비 + 직접노무비 + 산출경비) x 0.51%</v>
      </c>
      <c r="H22" s="3" t="str">
        <f ca="1">HYPERLINK("#"&amp;총괄내역서!H2&amp;"!D"&amp;ROW(총괄내역서!D15),"총괄표 →")</f>
        <v>총괄표 →</v>
      </c>
    </row>
    <row r="23" spans="1:8" ht="26.45" customHeight="1" x14ac:dyDescent="0.3">
      <c r="A23" s="126"/>
      <c r="B23" s="126"/>
      <c r="C23" s="59" t="s">
        <v>6387</v>
      </c>
      <c r="D23" s="61">
        <f>총괄내역서!D16</f>
        <v>1492</v>
      </c>
      <c r="E23" s="64">
        <f>D23/D31*100</f>
        <v>2.7127272727272729E-3</v>
      </c>
      <c r="F23" s="71" t="str">
        <f>총괄내역서!E16</f>
        <v>(직접노무비+간접노무비) x 0.006%</v>
      </c>
      <c r="H23" s="3" t="str">
        <f ca="1">HYPERLINK("#"&amp;총괄내역서!H2&amp;"!D"&amp;ROW(총괄내역서!D16),"총괄표 →")</f>
        <v>총괄표 →</v>
      </c>
    </row>
    <row r="24" spans="1:8" ht="26.45" customHeight="1" x14ac:dyDescent="0.3">
      <c r="A24" s="126"/>
      <c r="B24" s="126"/>
      <c r="C24" s="59" t="s">
        <v>6388</v>
      </c>
      <c r="D24" s="61">
        <f>총괄내역서!D17</f>
        <v>22385</v>
      </c>
      <c r="E24" s="64">
        <f>D24/D31*100</f>
        <v>4.07E-2</v>
      </c>
      <c r="F24" s="71" t="str">
        <f>총괄내역서!E17</f>
        <v>(직접노무비+간접노무비) x 0.09%</v>
      </c>
      <c r="H24" s="3" t="str">
        <f ca="1">HYPERLINK("#"&amp;총괄내역서!H2&amp;"!D"&amp;ROW(총괄내역서!D17),"총괄표 →")</f>
        <v>총괄표 →</v>
      </c>
    </row>
    <row r="25" spans="1:8" ht="26.45" customHeight="1" x14ac:dyDescent="0.3">
      <c r="A25" s="127"/>
      <c r="B25" s="127"/>
      <c r="C25" s="60" t="s">
        <v>6373</v>
      </c>
      <c r="D25" s="63">
        <f>+D12+D13+D14+D15+D16+D17+D18+D19+D20+D21+D22+D23+D24</f>
        <v>6930790</v>
      </c>
      <c r="E25" s="65">
        <f>D25/D31*100</f>
        <v>12.601436363636365</v>
      </c>
      <c r="F25" s="70"/>
    </row>
    <row r="26" spans="1:8" ht="26.45" customHeight="1" x14ac:dyDescent="0.3">
      <c r="A26" s="128" t="s">
        <v>6389</v>
      </c>
      <c r="B26" s="129"/>
      <c r="C26" s="130"/>
      <c r="D26" s="48">
        <f>총괄내역서!D19</f>
        <v>3313934</v>
      </c>
      <c r="E26" s="66">
        <f>D26/D31*100</f>
        <v>6.0253345454545455</v>
      </c>
      <c r="F26" s="72" t="str">
        <f>"순공사원가 x "&amp;ROUND(총괄내역서!M19,5)&amp;"%"</f>
        <v>순공사원가 x 8%</v>
      </c>
      <c r="H26" s="3" t="str">
        <f ca="1">HYPERLINK("#"&amp;총괄내역서!H2&amp;"!D"&amp;ROW(총괄내역서!D19),"총괄표 →")</f>
        <v>총괄표 →</v>
      </c>
    </row>
    <row r="27" spans="1:8" ht="26.45" customHeight="1" x14ac:dyDescent="0.3">
      <c r="A27" s="124" t="s">
        <v>6390</v>
      </c>
      <c r="B27" s="123"/>
      <c r="C27" s="123"/>
      <c r="D27" s="48">
        <f>총괄내역서!D21</f>
        <v>5261887</v>
      </c>
      <c r="E27" s="66">
        <f>D27/D31*100</f>
        <v>9.5670672727272734</v>
      </c>
      <c r="F27" s="72" t="str">
        <f>"(노무비+경비+일반관리비) x "&amp;ROUND(총괄내역서!M21,5)&amp;"%"</f>
        <v>(노무비+경비+일반관리비) x 14.98374%</v>
      </c>
      <c r="H27" s="3" t="str">
        <f ca="1">HYPERLINK("#"&amp;총괄내역서!H2&amp;"!D"&amp;ROW(총괄내역서!D21),"총괄표 →")</f>
        <v>총괄표 →</v>
      </c>
    </row>
    <row r="28" spans="1:8" ht="26.45" customHeight="1" x14ac:dyDescent="0.3">
      <c r="A28" s="122" t="s">
        <v>6391</v>
      </c>
      <c r="B28" s="123"/>
      <c r="C28" s="123"/>
      <c r="D28" s="48">
        <f>총괄내역서!D22</f>
        <v>50000000</v>
      </c>
      <c r="E28" s="66">
        <f>D28/D31*100</f>
        <v>90.909090909090907</v>
      </c>
      <c r="F28" s="41"/>
      <c r="H28" s="3" t="str">
        <f ca="1">HYPERLINK("#"&amp;총괄내역서!H2&amp;"!D"&amp;ROW(총괄내역서!D22),"총괄표 →")</f>
        <v>총괄표 →</v>
      </c>
    </row>
    <row r="29" spans="1:8" ht="26.45" customHeight="1" x14ac:dyDescent="0.3">
      <c r="A29" s="124" t="s">
        <v>6392</v>
      </c>
      <c r="B29" s="123"/>
      <c r="C29" s="123"/>
      <c r="D29" s="48">
        <f>총괄내역서!D23</f>
        <v>5000000</v>
      </c>
      <c r="E29" s="66">
        <f>D29/D31*100</f>
        <v>9.0909090909090917</v>
      </c>
      <c r="F29" s="72" t="str">
        <f>"총 원 가 x "&amp;ROUND(총괄내역서!M23,5)&amp;"%"</f>
        <v>총 원 가 x 10%</v>
      </c>
      <c r="H29" s="3" t="str">
        <f ca="1">HYPERLINK("#"&amp;총괄내역서!H2&amp;"!D"&amp;ROW(총괄내역서!D23),"총괄표 →")</f>
        <v>총괄표 →</v>
      </c>
    </row>
    <row r="30" spans="1:8" ht="26.45" customHeight="1" x14ac:dyDescent="0.3">
      <c r="A30" s="122" t="s">
        <v>6393</v>
      </c>
      <c r="B30" s="123"/>
      <c r="C30" s="123"/>
      <c r="D30" s="48">
        <f>총괄내역서!D24</f>
        <v>55000000</v>
      </c>
      <c r="E30" s="66">
        <f>D30/D31*100</f>
        <v>100</v>
      </c>
      <c r="F30" s="41"/>
      <c r="H30" s="3" t="str">
        <f ca="1">HYPERLINK("#"&amp;총괄내역서!H2&amp;"!D"&amp;ROW(총괄내역서!D24),"총괄표 →")</f>
        <v>총괄표 →</v>
      </c>
    </row>
    <row r="31" spans="1:8" ht="26.45" customHeight="1" x14ac:dyDescent="0.3">
      <c r="A31" s="122" t="s">
        <v>6394</v>
      </c>
      <c r="B31" s="123"/>
      <c r="C31" s="123"/>
      <c r="D31" s="48">
        <f>D30</f>
        <v>55000000</v>
      </c>
      <c r="E31" s="66">
        <v>100</v>
      </c>
      <c r="F31" s="41"/>
    </row>
  </sheetData>
  <mergeCells count="16">
    <mergeCell ref="A1:F1"/>
    <mergeCell ref="A3:C3"/>
    <mergeCell ref="D3:D4"/>
    <mergeCell ref="E3:E4"/>
    <mergeCell ref="F3:F4"/>
    <mergeCell ref="A4:C4"/>
    <mergeCell ref="A28:C28"/>
    <mergeCell ref="A29:C29"/>
    <mergeCell ref="A30:C30"/>
    <mergeCell ref="A31:C31"/>
    <mergeCell ref="A5:A25"/>
    <mergeCell ref="B5:B8"/>
    <mergeCell ref="B9:B11"/>
    <mergeCell ref="B12:B25"/>
    <mergeCell ref="A26:C26"/>
    <mergeCell ref="A27:C27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 xr:uid="{9E09E568-9833-48CE-9B8C-4A10521E518E}"/>
    <hyperlink ref="G1" r:id="rId2" tooltip="설계예산시스템(STmate w26.07)으로 작성 하였으며,_x000a_엑셀 인쇄품질 600 dpi에 최적화 되어 있습니다._x000a_경영정보(주) http://www.stma.co.kr_x000a_Tel) 070-4350-0040_x000a_Fax) 0505-300-3948" xr:uid="{F163C07E-59D2-480E-BF10-1457CF08D817}"/>
  </hyperlinks>
  <printOptions horizontalCentered="1"/>
  <pageMargins left="0.39370078740157483" right="0.78740157480314954" top="0.78740157480314965" bottom="0.74803149606299202" header="0" footer="0.55118110236220463"/>
  <pageSetup paperSize="9" scale="80" fitToWidth="0" fitToHeight="0" orientation="portrait" r:id="rId3"/>
  <headerFooter alignWithMargins="0">
    <oddFooter xml:space="preserve">&amp;R&amp;"굴림체,"&amp;9 </oddFooter>
  </headerFooter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6E6A8-95D2-4C47-9C10-C26747554F73}">
  <dimension ref="A1:Q24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2" width="26.5" style="6" customWidth="1"/>
    <col min="3" max="3" width="22.75" style="6" customWidth="1"/>
    <col min="4" max="7" width="17.5" style="6" customWidth="1"/>
    <col min="8" max="8" width="9.125" style="16" hidden="1" customWidth="1"/>
    <col min="9" max="12" width="2.125" style="6" customWidth="1"/>
    <col min="13" max="16" width="4" style="6" customWidth="1"/>
    <col min="17" max="17" width="9.125" style="18" customWidth="1"/>
    <col min="18" max="16384" width="9.125" style="6"/>
  </cols>
  <sheetData>
    <row r="1" spans="1:17" ht="24.95" customHeight="1" x14ac:dyDescent="0.3">
      <c r="A1" s="131" t="s">
        <v>3336</v>
      </c>
      <c r="B1" s="121"/>
      <c r="C1" s="121"/>
      <c r="D1" s="121"/>
      <c r="E1" s="121"/>
      <c r="F1" s="121"/>
      <c r="G1" s="121"/>
      <c r="H1" s="19" t="s">
        <v>1982</v>
      </c>
      <c r="Q1" s="19" t="s">
        <v>1982</v>
      </c>
    </row>
    <row r="2" spans="1:17" ht="24" customHeight="1" x14ac:dyDescent="0.3">
      <c r="A2" s="1" t="s">
        <v>1</v>
      </c>
      <c r="H2" s="20" t="str">
        <f ca="1">MID(CELL("filename",$A$1),FIND("]",CELL("filename",$A$1))+1,LEN(CELL("filename",$A$1)))</f>
        <v>총괄내역서</v>
      </c>
    </row>
    <row r="3" spans="1:17" ht="24" customHeight="1" x14ac:dyDescent="0.3">
      <c r="A3" s="8" t="s">
        <v>3333</v>
      </c>
      <c r="B3" s="8" t="s">
        <v>3</v>
      </c>
      <c r="C3" s="8" t="s">
        <v>4</v>
      </c>
      <c r="D3" s="8" t="s">
        <v>6</v>
      </c>
      <c r="E3" s="8" t="s">
        <v>7</v>
      </c>
      <c r="F3" s="8" t="s">
        <v>8</v>
      </c>
      <c r="G3" s="14" t="s">
        <v>9</v>
      </c>
      <c r="H3" s="17" t="s">
        <v>6317</v>
      </c>
      <c r="I3" s="141" t="s">
        <v>6363</v>
      </c>
      <c r="J3" s="121"/>
      <c r="K3" s="121"/>
      <c r="L3" s="121"/>
      <c r="M3" s="121"/>
      <c r="N3" s="121"/>
      <c r="O3" s="121"/>
      <c r="P3" s="121"/>
      <c r="Q3" s="3" t="str">
        <f>HYPERLINK("#'〓 목 차 〓'!B2","목차 →")</f>
        <v>목차 →</v>
      </c>
    </row>
    <row r="4" spans="1:17" ht="24" customHeight="1" x14ac:dyDescent="0.3">
      <c r="A4" s="10" t="s">
        <v>6318</v>
      </c>
      <c r="B4" s="10" t="s">
        <v>6319</v>
      </c>
      <c r="C4" s="10"/>
      <c r="D4" s="48">
        <f>설계내역서!G1025</f>
        <v>30784144</v>
      </c>
      <c r="E4" s="47">
        <f>설계내역서!I1025</f>
        <v>20883787</v>
      </c>
      <c r="F4" s="56">
        <f>설계내역서!K1025</f>
        <v>9620799</v>
      </c>
      <c r="G4" s="48">
        <f>설계내역서!M1025</f>
        <v>279558</v>
      </c>
      <c r="Q4" s="3" t="str">
        <f ca="1">HYPERLINK("#"&amp;설계내역서!O2&amp;"!A"&amp;ROW(설계내역서!A1025),"내역 →")</f>
        <v>내역 →</v>
      </c>
    </row>
    <row r="5" spans="1:17" ht="24" customHeight="1" x14ac:dyDescent="0.3">
      <c r="A5" s="10"/>
      <c r="B5" s="10" t="s">
        <v>6320</v>
      </c>
      <c r="C5" s="10"/>
      <c r="D5" s="48">
        <f>ROUNDDOWN(E4*M5/100,0)</f>
        <v>3988803</v>
      </c>
      <c r="E5" s="137" t="str">
        <f>"직접노무비 x "&amp;ROUND(M5,5)&amp;"%"</f>
        <v>직접노무비 x 19.1%</v>
      </c>
      <c r="F5" s="138"/>
      <c r="G5" s="139"/>
      <c r="H5" s="17" t="s">
        <v>6321</v>
      </c>
      <c r="I5" s="36">
        <v>0</v>
      </c>
      <c r="M5" s="58">
        <v>19.100000000000001</v>
      </c>
      <c r="N5" s="36">
        <v>0</v>
      </c>
      <c r="O5" s="36">
        <v>0</v>
      </c>
      <c r="P5" s="36">
        <v>0</v>
      </c>
    </row>
    <row r="6" spans="1:17" ht="24" customHeight="1" x14ac:dyDescent="0.3">
      <c r="A6" s="10"/>
      <c r="B6" s="10" t="s">
        <v>6322</v>
      </c>
      <c r="C6" s="10"/>
      <c r="D6" s="48">
        <f>ROUNDDOWN(((E4+D5))*M6/100,0)</f>
        <v>885464</v>
      </c>
      <c r="E6" s="137" t="str">
        <f>"(직접노무비+간접노무비) x "&amp;ROUND(M6,5)&amp;"%"</f>
        <v>(직접노무비+간접노무비) x 3.56%</v>
      </c>
      <c r="F6" s="138"/>
      <c r="G6" s="139"/>
      <c r="H6" s="17" t="s">
        <v>6323</v>
      </c>
      <c r="I6" s="36">
        <v>0</v>
      </c>
      <c r="M6" s="58">
        <v>3.56</v>
      </c>
      <c r="N6" s="36">
        <v>0</v>
      </c>
      <c r="O6" s="36">
        <v>0</v>
      </c>
      <c r="P6" s="36">
        <v>0</v>
      </c>
    </row>
    <row r="7" spans="1:17" ht="24" customHeight="1" x14ac:dyDescent="0.3">
      <c r="A7" s="10"/>
      <c r="B7" s="10" t="s">
        <v>6324</v>
      </c>
      <c r="C7" s="10"/>
      <c r="D7" s="48">
        <f>ROUNDDOWN(((E4+D5))*M7/100,0)</f>
        <v>251213</v>
      </c>
      <c r="E7" s="137" t="str">
        <f>"(직접노무비+간접노무비) x "&amp;ROUND(M7,5)&amp;"%"</f>
        <v>(직접노무비+간접노무비) x 1.01%</v>
      </c>
      <c r="F7" s="138"/>
      <c r="G7" s="139"/>
      <c r="H7" s="17" t="s">
        <v>6325</v>
      </c>
      <c r="I7" s="36">
        <v>0</v>
      </c>
      <c r="M7" s="58">
        <v>1.01</v>
      </c>
      <c r="N7" s="36">
        <v>0</v>
      </c>
      <c r="O7" s="36">
        <v>0</v>
      </c>
      <c r="P7" s="36">
        <v>0</v>
      </c>
    </row>
    <row r="8" spans="1:17" ht="24" customHeight="1" x14ac:dyDescent="0.3">
      <c r="A8" s="10"/>
      <c r="B8" s="10" t="s">
        <v>6326</v>
      </c>
      <c r="C8" s="10"/>
      <c r="D8" s="48">
        <f>ROUNDDOWN((E4)*M8/100,0)</f>
        <v>750772</v>
      </c>
      <c r="E8" s="137" t="str">
        <f>"직접노무비 x "&amp;ROUND(M8,5)&amp;"%"</f>
        <v>직접노무비 x 3.595%</v>
      </c>
      <c r="F8" s="138"/>
      <c r="G8" s="139"/>
      <c r="H8" s="17" t="s">
        <v>6327</v>
      </c>
      <c r="I8" s="36">
        <v>0</v>
      </c>
      <c r="J8" s="49">
        <f>E4</f>
        <v>20883787</v>
      </c>
      <c r="M8" s="58">
        <v>3.5950000000000002</v>
      </c>
      <c r="N8" s="36">
        <v>0</v>
      </c>
      <c r="O8" s="36">
        <v>0</v>
      </c>
      <c r="P8" s="36">
        <v>0</v>
      </c>
    </row>
    <row r="9" spans="1:17" ht="24" customHeight="1" x14ac:dyDescent="0.3">
      <c r="A9" s="10"/>
      <c r="B9" s="10" t="s">
        <v>6328</v>
      </c>
      <c r="C9" s="10"/>
      <c r="D9" s="48">
        <f>ROUNDDOWN(D8*M9/100,0)</f>
        <v>98651</v>
      </c>
      <c r="E9" s="137" t="str">
        <f>"건강보험료 x "&amp;ROUND(M9,5)&amp;"%"</f>
        <v>건강보험료 x 13.14%</v>
      </c>
      <c r="F9" s="138"/>
      <c r="G9" s="139"/>
      <c r="H9" s="17" t="s">
        <v>6329</v>
      </c>
      <c r="I9" s="36">
        <v>0</v>
      </c>
      <c r="J9" s="49">
        <f>D8</f>
        <v>750772</v>
      </c>
      <c r="M9" s="58">
        <v>13.14</v>
      </c>
      <c r="N9" s="36">
        <v>0</v>
      </c>
      <c r="O9" s="36">
        <v>0</v>
      </c>
      <c r="P9" s="36">
        <v>0</v>
      </c>
    </row>
    <row r="10" spans="1:17" ht="24" customHeight="1" x14ac:dyDescent="0.3">
      <c r="A10" s="10"/>
      <c r="B10" s="10" t="s">
        <v>6330</v>
      </c>
      <c r="C10" s="10"/>
      <c r="D10" s="48">
        <f>ROUNDDOWN((E4)*M10/100,0)</f>
        <v>991979</v>
      </c>
      <c r="E10" s="137" t="str">
        <f>"직접노무비 x "&amp;ROUND(M10,5)&amp;"%"</f>
        <v>직접노무비 x 4.75%</v>
      </c>
      <c r="F10" s="138"/>
      <c r="G10" s="139"/>
      <c r="H10" s="17" t="s">
        <v>6331</v>
      </c>
      <c r="I10" s="36">
        <v>0</v>
      </c>
      <c r="J10" s="49">
        <f>E4</f>
        <v>20883787</v>
      </c>
      <c r="M10" s="58">
        <v>4.75</v>
      </c>
      <c r="N10" s="36">
        <v>0</v>
      </c>
      <c r="O10" s="36">
        <v>0</v>
      </c>
      <c r="P10" s="36">
        <v>0</v>
      </c>
    </row>
    <row r="11" spans="1:17" ht="24" customHeight="1" x14ac:dyDescent="0.3">
      <c r="A11" s="10"/>
      <c r="B11" s="10" t="s">
        <v>6332</v>
      </c>
      <c r="C11" s="10"/>
      <c r="D11" s="48">
        <f>ROUNDDOWN((E4)*M11/100,0)</f>
        <v>480327</v>
      </c>
      <c r="E11" s="137" t="str">
        <f>"직접노무비 x "&amp;ROUND(M11,5)&amp;"%"</f>
        <v>직접노무비 x 2.3%</v>
      </c>
      <c r="F11" s="138"/>
      <c r="G11" s="139"/>
      <c r="H11" s="17" t="s">
        <v>6333</v>
      </c>
      <c r="I11" s="36">
        <v>0</v>
      </c>
      <c r="J11" s="49">
        <f>E4</f>
        <v>20883787</v>
      </c>
      <c r="M11" s="58">
        <v>2.2999999999999998</v>
      </c>
      <c r="N11" s="36">
        <v>0</v>
      </c>
      <c r="O11" s="36">
        <v>0</v>
      </c>
      <c r="P11" s="36">
        <v>0</v>
      </c>
    </row>
    <row r="12" spans="1:17" ht="24" customHeight="1" x14ac:dyDescent="0.3">
      <c r="A12" s="10"/>
      <c r="B12" s="10" t="s">
        <v>6334</v>
      </c>
      <c r="C12" s="10"/>
      <c r="D12" s="48">
        <f>ROUNDDOWN(((E4+(F4)))*M12/100,0)</f>
        <v>960894</v>
      </c>
      <c r="E12" s="137" t="str">
        <f>"(직노+직재+간재) x "&amp;ROUND(M12,5)&amp;"% = "&amp;TEXT(D12,"#,0")&amp;""</f>
        <v>(직노+직재+간재) x 3.15% = 960,894</v>
      </c>
      <c r="F12" s="138"/>
      <c r="G12" s="139"/>
      <c r="H12" s="17" t="s">
        <v>6335</v>
      </c>
      <c r="I12" s="36">
        <v>0</v>
      </c>
      <c r="J12" s="49">
        <f>((E4+(F4)))</f>
        <v>30504586</v>
      </c>
      <c r="M12" s="58">
        <v>3.15</v>
      </c>
      <c r="N12" s="36">
        <v>0</v>
      </c>
      <c r="O12" s="36">
        <v>0</v>
      </c>
      <c r="P12" s="36">
        <v>0</v>
      </c>
    </row>
    <row r="13" spans="1:17" ht="24" customHeight="1" x14ac:dyDescent="0.3">
      <c r="A13" s="10"/>
      <c r="B13" s="10" t="s">
        <v>6336</v>
      </c>
      <c r="C13" s="10"/>
      <c r="D13" s="48">
        <f>ROUNDDOWN(((((E4+D5)+(F4))))*M13/100,0)</f>
        <v>1897136</v>
      </c>
      <c r="E13" s="137" t="str">
        <f>"(직접노무비+간접노무비+재료비) x "&amp;ROUND(M13,5)&amp;"%"</f>
        <v>(직접노무비+간접노무비+재료비) x 5.5%</v>
      </c>
      <c r="F13" s="138"/>
      <c r="G13" s="139"/>
      <c r="H13" s="17" t="s">
        <v>6337</v>
      </c>
      <c r="I13" s="36">
        <v>0</v>
      </c>
      <c r="M13" s="58">
        <v>5.5</v>
      </c>
      <c r="N13" s="36">
        <v>0</v>
      </c>
      <c r="O13" s="36">
        <v>0</v>
      </c>
      <c r="P13" s="36">
        <v>0</v>
      </c>
    </row>
    <row r="14" spans="1:17" ht="24" customHeight="1" x14ac:dyDescent="0.3">
      <c r="A14" s="10"/>
      <c r="B14" s="10" t="s">
        <v>6338</v>
      </c>
      <c r="C14" s="10"/>
      <c r="D14" s="48">
        <f>ROUNDDOWN((D4)*M14/100,0)</f>
        <v>153920</v>
      </c>
      <c r="E14" s="137" t="str">
        <f>"(재료비 + 직접노무비 + 산출경비) x "&amp;ROUND(M14,5)&amp;"%"</f>
        <v>(재료비 + 직접노무비 + 산출경비) x 0.5%</v>
      </c>
      <c r="F14" s="138"/>
      <c r="G14" s="139"/>
      <c r="H14" s="17" t="s">
        <v>6339</v>
      </c>
      <c r="I14" s="36">
        <v>0</v>
      </c>
      <c r="M14" s="58">
        <v>0.5</v>
      </c>
      <c r="N14" s="36">
        <v>0</v>
      </c>
      <c r="O14" s="36">
        <v>0</v>
      </c>
      <c r="P14" s="36">
        <v>0</v>
      </c>
    </row>
    <row r="15" spans="1:17" ht="24" customHeight="1" x14ac:dyDescent="0.3">
      <c r="A15" s="10"/>
      <c r="B15" s="10" t="s">
        <v>6340</v>
      </c>
      <c r="C15" s="10"/>
      <c r="D15" s="48">
        <f>ROUNDDOWN((D4)*M15/100,0)</f>
        <v>156999</v>
      </c>
      <c r="E15" s="137" t="str">
        <f>"(재료비 + 직접노무비 + 산출경비) x "&amp;ROUND(M15,5)&amp;"%"</f>
        <v>(재료비 + 직접노무비 + 산출경비) x 0.51%</v>
      </c>
      <c r="F15" s="138"/>
      <c r="G15" s="139"/>
      <c r="H15" s="17" t="s">
        <v>6341</v>
      </c>
      <c r="I15" s="36">
        <v>0</v>
      </c>
      <c r="M15" s="58">
        <v>0.51</v>
      </c>
      <c r="N15" s="36">
        <v>0</v>
      </c>
      <c r="O15" s="36">
        <v>0</v>
      </c>
      <c r="P15" s="36">
        <v>0</v>
      </c>
    </row>
    <row r="16" spans="1:17" ht="24" customHeight="1" x14ac:dyDescent="0.3">
      <c r="A16" s="10"/>
      <c r="B16" s="10" t="s">
        <v>6342</v>
      </c>
      <c r="C16" s="10"/>
      <c r="D16" s="48">
        <f>ROUNDDOWN(((E4+D5))*M16/100,0)</f>
        <v>1492</v>
      </c>
      <c r="E16" s="137" t="str">
        <f>"(직접노무비+간접노무비) x "&amp;ROUND(M16,5)&amp;"%"</f>
        <v>(직접노무비+간접노무비) x 0.006%</v>
      </c>
      <c r="F16" s="138"/>
      <c r="G16" s="139"/>
      <c r="H16" s="17" t="s">
        <v>6343</v>
      </c>
      <c r="I16" s="36">
        <v>0</v>
      </c>
      <c r="M16" s="58">
        <v>6.0000000000000001E-3</v>
      </c>
      <c r="N16" s="36">
        <v>0</v>
      </c>
      <c r="O16" s="36">
        <v>0</v>
      </c>
      <c r="P16" s="36">
        <v>0</v>
      </c>
    </row>
    <row r="17" spans="1:16" ht="24" customHeight="1" x14ac:dyDescent="0.3">
      <c r="A17" s="10"/>
      <c r="B17" s="10" t="s">
        <v>6344</v>
      </c>
      <c r="C17" s="10"/>
      <c r="D17" s="48">
        <f>ROUNDDOWN(((E4+D5))*M17/100,0)</f>
        <v>22385</v>
      </c>
      <c r="E17" s="137" t="str">
        <f>"(직접노무비+간접노무비) x "&amp;ROUND(M17,5)&amp;"%"</f>
        <v>(직접노무비+간접노무비) x 0.09%</v>
      </c>
      <c r="F17" s="138"/>
      <c r="G17" s="139"/>
      <c r="H17" s="17" t="s">
        <v>6345</v>
      </c>
      <c r="I17" s="36">
        <v>0</v>
      </c>
      <c r="M17" s="58">
        <v>0.09</v>
      </c>
      <c r="N17" s="36">
        <v>0</v>
      </c>
      <c r="O17" s="36">
        <v>0</v>
      </c>
      <c r="P17" s="36">
        <v>0</v>
      </c>
    </row>
    <row r="18" spans="1:16" ht="24" customHeight="1" x14ac:dyDescent="0.3">
      <c r="A18" s="10" t="s">
        <v>6346</v>
      </c>
      <c r="B18" s="10" t="s">
        <v>6347</v>
      </c>
      <c r="C18" s="10"/>
      <c r="D18" s="48">
        <f>(D4+D5+D6+D7+D8+D9+D10+D11+D12+D13+D14+D15+D16+D17)</f>
        <v>41424179</v>
      </c>
      <c r="E18" s="140"/>
      <c r="F18" s="138"/>
      <c r="G18" s="139"/>
      <c r="H18" s="17" t="s">
        <v>6348</v>
      </c>
      <c r="I18" s="36">
        <v>0</v>
      </c>
      <c r="M18" s="36">
        <v>0</v>
      </c>
      <c r="N18" s="36">
        <v>0</v>
      </c>
      <c r="O18" s="36">
        <v>0</v>
      </c>
      <c r="P18" s="36">
        <v>0</v>
      </c>
    </row>
    <row r="19" spans="1:16" ht="24" customHeight="1" x14ac:dyDescent="0.3">
      <c r="A19" s="10"/>
      <c r="B19" s="10" t="s">
        <v>6349</v>
      </c>
      <c r="C19" s="10"/>
      <c r="D19" s="48">
        <f>ROUNDDOWN(((D18)+0)*M19/100,0)</f>
        <v>3313934</v>
      </c>
      <c r="E19" s="137" t="str">
        <f>"(나.소  계) x "&amp;ROUND(M19,5)&amp;"%"</f>
        <v>(나.소  계) x 8%</v>
      </c>
      <c r="F19" s="138"/>
      <c r="G19" s="139"/>
      <c r="H19" s="17" t="s">
        <v>6350</v>
      </c>
      <c r="I19" s="36">
        <v>0</v>
      </c>
      <c r="M19" s="57">
        <v>8</v>
      </c>
      <c r="N19" s="36">
        <v>0</v>
      </c>
      <c r="O19" s="36">
        <v>0</v>
      </c>
      <c r="P19" s="36">
        <v>0</v>
      </c>
    </row>
    <row r="20" spans="1:16" ht="24" customHeight="1" x14ac:dyDescent="0.3">
      <c r="A20" s="10" t="s">
        <v>6351</v>
      </c>
      <c r="B20" s="10" t="s">
        <v>6347</v>
      </c>
      <c r="C20" s="10"/>
      <c r="D20" s="48">
        <f>(D18+D19)</f>
        <v>44738113</v>
      </c>
      <c r="E20" s="140"/>
      <c r="F20" s="138"/>
      <c r="G20" s="139"/>
      <c r="H20" s="17" t="s">
        <v>6352</v>
      </c>
      <c r="I20" s="36">
        <v>0</v>
      </c>
      <c r="J20" s="49">
        <f>D20</f>
        <v>44738113</v>
      </c>
      <c r="L20" s="49">
        <f>D20</f>
        <v>44738113</v>
      </c>
      <c r="M20" s="36">
        <v>0</v>
      </c>
      <c r="N20" s="36">
        <v>0</v>
      </c>
      <c r="O20" s="36">
        <v>0</v>
      </c>
      <c r="P20" s="36">
        <v>0</v>
      </c>
    </row>
    <row r="21" spans="1:16" ht="24" customHeight="1" x14ac:dyDescent="0.3">
      <c r="A21" s="10"/>
      <c r="B21" s="10" t="s">
        <v>6353</v>
      </c>
      <c r="C21" s="10"/>
      <c r="D21" s="48">
        <f>ROUNDDOWN(((D20)-(F4))*M21/100,0)-I21-K21</f>
        <v>5261887</v>
      </c>
      <c r="E21" s="137" t="str">
        <f>"(다.소계 - 재료비) x "&amp;ROUND(M21,5)&amp;"% = "&amp;TEXT(J21,"#,##0")</f>
        <v>(다.소계 - 재료비) x 14.98374% = 5,261,887</v>
      </c>
      <c r="F21" s="138"/>
      <c r="G21" s="139"/>
      <c r="H21" s="17" t="s">
        <v>6354</v>
      </c>
      <c r="I21" s="57">
        <v>0</v>
      </c>
      <c r="J21" s="49">
        <f>ROUNDDOWN(((J20)-(F4))*M21/100,0)</f>
        <v>5261887</v>
      </c>
      <c r="L21" s="49">
        <f>ROUNDDOWN(((L20)-(F4))*M21/100,0)-I21</f>
        <v>5261887</v>
      </c>
      <c r="M21" s="58">
        <v>14.983739999999999</v>
      </c>
      <c r="N21" s="36">
        <v>0</v>
      </c>
      <c r="O21" s="36">
        <v>0</v>
      </c>
      <c r="P21" s="36">
        <v>0</v>
      </c>
    </row>
    <row r="22" spans="1:16" ht="24" customHeight="1" x14ac:dyDescent="0.3">
      <c r="A22" s="10" t="s">
        <v>6355</v>
      </c>
      <c r="B22" s="10" t="s">
        <v>6356</v>
      </c>
      <c r="C22" s="10"/>
      <c r="D22" s="48">
        <f>(D20+D21)</f>
        <v>50000000</v>
      </c>
      <c r="E22" s="140"/>
      <c r="F22" s="138"/>
      <c r="G22" s="139"/>
      <c r="H22" s="17" t="s">
        <v>6357</v>
      </c>
      <c r="I22" s="36">
        <v>0</v>
      </c>
      <c r="J22" s="49">
        <f>(J20+J21)</f>
        <v>50000000</v>
      </c>
      <c r="L22" s="49">
        <f>(L20+L21)</f>
        <v>50000000</v>
      </c>
      <c r="M22" s="36">
        <v>0</v>
      </c>
      <c r="N22" s="36">
        <v>0</v>
      </c>
      <c r="O22" s="36">
        <v>0</v>
      </c>
      <c r="P22" s="36">
        <v>0</v>
      </c>
    </row>
    <row r="23" spans="1:16" ht="24" customHeight="1" x14ac:dyDescent="0.3">
      <c r="A23" s="10"/>
      <c r="B23" s="10" t="s">
        <v>6358</v>
      </c>
      <c r="C23" s="10"/>
      <c r="D23" s="48">
        <f>ROUNDDOWN((D22)*M23/100,0)+I23</f>
        <v>5000000</v>
      </c>
      <c r="E23" s="137" t="str">
        <f>"공급가액 x "&amp;ROUND(M23,5)&amp;"%"</f>
        <v>공급가액 x 10%</v>
      </c>
      <c r="F23" s="138"/>
      <c r="G23" s="139"/>
      <c r="H23" s="17" t="s">
        <v>6359</v>
      </c>
      <c r="I23" s="57">
        <v>0</v>
      </c>
      <c r="J23" s="49">
        <f>ROUNDDOWN((J22)*M23/100,0)+I23</f>
        <v>5000000</v>
      </c>
      <c r="L23" s="49">
        <f>ROUNDDOWN((L22)*M23/100,0)+I23</f>
        <v>5000000</v>
      </c>
      <c r="M23" s="57">
        <v>10</v>
      </c>
      <c r="N23" s="36">
        <v>0</v>
      </c>
      <c r="O23" s="36">
        <v>0</v>
      </c>
      <c r="P23" s="36">
        <v>0</v>
      </c>
    </row>
    <row r="24" spans="1:16" ht="24" customHeight="1" x14ac:dyDescent="0.3">
      <c r="A24" s="10" t="s">
        <v>6360</v>
      </c>
      <c r="B24" s="10" t="s">
        <v>6361</v>
      </c>
      <c r="C24" s="10"/>
      <c r="D24" s="48">
        <f>(D22+D23)</f>
        <v>55000000</v>
      </c>
      <c r="E24" s="140"/>
      <c r="F24" s="138"/>
      <c r="G24" s="139"/>
      <c r="H24" s="17" t="s">
        <v>6362</v>
      </c>
      <c r="I24" s="36">
        <v>0</v>
      </c>
      <c r="J24" s="49">
        <f>(J22+J23)</f>
        <v>55000000</v>
      </c>
      <c r="L24" s="49">
        <f>(L22+L23)</f>
        <v>55000000</v>
      </c>
      <c r="M24" s="36">
        <v>0</v>
      </c>
      <c r="N24" s="36">
        <v>0</v>
      </c>
      <c r="O24" s="36">
        <v>0</v>
      </c>
      <c r="P24" s="36">
        <v>0</v>
      </c>
    </row>
  </sheetData>
  <mergeCells count="22">
    <mergeCell ref="E14:G14"/>
    <mergeCell ref="A1:G1"/>
    <mergeCell ref="I3:P3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21:G21"/>
    <mergeCell ref="E22:G22"/>
    <mergeCell ref="E23:G23"/>
    <mergeCell ref="E24:G24"/>
    <mergeCell ref="E15:G15"/>
    <mergeCell ref="E16:G16"/>
    <mergeCell ref="E17:G17"/>
    <mergeCell ref="E18:G18"/>
    <mergeCell ref="E19:G19"/>
    <mergeCell ref="E20:G20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 xr:uid="{7A46E235-7EB5-415C-BBF7-F75006EA0264}"/>
    <hyperlink ref="Q1" r:id="rId2" tooltip="설계예산시스템(STmate w26.07)으로 작성 하였으며,_x000a_엑셀 인쇄품질 600 dpi에 최적화 되어 있습니다._x000a_경영정보(주) http://www.stma.co.kr_x000a_Tel) 070-4350-0040_x000a_Fax) 0505-300-3948" xr:uid="{F7F0A77A-80D5-42D2-B445-3E7FB9433C64}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5C7CA-49A9-44A9-B083-40523A2635A8}">
  <dimension ref="A1:AC1025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7" width="11.5" style="6" customWidth="1"/>
    <col min="8" max="8" width="10" style="6" customWidth="1"/>
    <col min="9" max="9" width="11.5" style="6" customWidth="1"/>
    <col min="10" max="10" width="10" style="6" customWidth="1"/>
    <col min="11" max="11" width="11.5" style="6" customWidth="1"/>
    <col min="12" max="12" width="10" style="6" customWidth="1"/>
    <col min="13" max="13" width="11.5" style="6" customWidth="1"/>
    <col min="14" max="14" width="10" style="6" customWidth="1"/>
    <col min="15" max="15" width="9.125" style="16" hidden="1" customWidth="1"/>
    <col min="16" max="28" width="2.125" style="6" customWidth="1"/>
    <col min="29" max="29" width="9.125" style="18" customWidth="1"/>
    <col min="30" max="16384" width="9.125" style="6"/>
  </cols>
  <sheetData>
    <row r="1" spans="1:29" ht="24.95" customHeight="1" x14ac:dyDescent="0.3">
      <c r="A1" s="131" t="s">
        <v>3332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5" t="s">
        <v>1982</v>
      </c>
      <c r="AC1" s="19" t="s">
        <v>1982</v>
      </c>
    </row>
    <row r="2" spans="1:29" ht="30.6" customHeight="1" x14ac:dyDescent="0.3">
      <c r="A2" s="1" t="s">
        <v>1</v>
      </c>
      <c r="O2" s="20" t="str">
        <f ca="1">MID(CELL("filename",$A$1),FIND("]",CELL("filename",$A$1))+1,LEN(CELL("filename",$A$1)))</f>
        <v>설계내역서</v>
      </c>
    </row>
    <row r="3" spans="1:29" ht="30.6" customHeight="1" x14ac:dyDescent="0.3">
      <c r="A3" s="142" t="s">
        <v>3333</v>
      </c>
      <c r="B3" s="142" t="s">
        <v>3</v>
      </c>
      <c r="C3" s="142" t="s">
        <v>4</v>
      </c>
      <c r="D3" s="142" t="s">
        <v>3334</v>
      </c>
      <c r="E3" s="142" t="s">
        <v>5</v>
      </c>
      <c r="F3" s="134" t="s">
        <v>6</v>
      </c>
      <c r="G3" s="143"/>
      <c r="H3" s="134" t="s">
        <v>7</v>
      </c>
      <c r="I3" s="143"/>
      <c r="J3" s="134" t="s">
        <v>8</v>
      </c>
      <c r="K3" s="143"/>
      <c r="L3" s="134" t="s">
        <v>9</v>
      </c>
      <c r="M3" s="143"/>
      <c r="N3" s="134" t="s">
        <v>10</v>
      </c>
    </row>
    <row r="4" spans="1:29" ht="30.6" customHeight="1" x14ac:dyDescent="0.3">
      <c r="A4" s="143"/>
      <c r="B4" s="143"/>
      <c r="C4" s="143"/>
      <c r="D4" s="143"/>
      <c r="E4" s="143"/>
      <c r="F4" s="9" t="s">
        <v>2035</v>
      </c>
      <c r="G4" s="9" t="s">
        <v>3335</v>
      </c>
      <c r="H4" s="9" t="s">
        <v>2035</v>
      </c>
      <c r="I4" s="9" t="s">
        <v>3335</v>
      </c>
      <c r="J4" s="9" t="s">
        <v>2035</v>
      </c>
      <c r="K4" s="9" t="s">
        <v>3335</v>
      </c>
      <c r="L4" s="9" t="s">
        <v>2035</v>
      </c>
      <c r="M4" s="9" t="s">
        <v>3335</v>
      </c>
      <c r="N4" s="135"/>
      <c r="AC4" s="3" t="str">
        <f>HYPERLINK("#'〓 목 차 〓'!B2","목차 →")</f>
        <v>목차 →</v>
      </c>
    </row>
    <row r="5" spans="1:29" ht="30.6" customHeight="1" x14ac:dyDescent="0.3">
      <c r="A5" s="10"/>
      <c r="B5" s="10" t="s">
        <v>3338</v>
      </c>
      <c r="C5" s="41"/>
      <c r="D5" s="42"/>
      <c r="E5" s="22"/>
      <c r="F5" s="12">
        <v>0</v>
      </c>
      <c r="G5" s="47">
        <f>SUMIF(Q6:Q993,P5,G6:G993)</f>
        <v>30784144</v>
      </c>
      <c r="H5" s="13">
        <v>0</v>
      </c>
      <c r="I5" s="48">
        <f>SUMIF(Q6:Q993,P5,I6:I993)</f>
        <v>20883787</v>
      </c>
      <c r="J5" s="13">
        <v>0</v>
      </c>
      <c r="K5" s="53">
        <f>SUMIF(Q6:Q993,P5,K6:K993)</f>
        <v>9620799</v>
      </c>
      <c r="L5" s="33">
        <v>0</v>
      </c>
      <c r="M5" s="53">
        <f>SUMIF(Q6:Q993,P5,M6:M993)</f>
        <v>279558</v>
      </c>
      <c r="N5" s="22"/>
      <c r="O5" s="17" t="str">
        <f>"_x0007_`COD|E3_x0005_`QTY1|1_x0005_`EXI|0_x0005_`ITT|0_x0005_`END|"&amp;ROW(M994)&amp;"_x0005_`"</f>
        <v>_x0007_`COD|E3_x0005_`QTY1|1_x0005_`EXI|0_x0005_`ITT|0_x0005_`END|994_x0005_`</v>
      </c>
      <c r="P5" s="7" t="s">
        <v>3340</v>
      </c>
      <c r="Q5" s="7" t="s">
        <v>3337</v>
      </c>
    </row>
    <row r="6" spans="1:29" ht="30.6" customHeight="1" x14ac:dyDescent="0.3">
      <c r="A6" s="10" t="s">
        <v>3341</v>
      </c>
      <c r="B6" s="10" t="s">
        <v>3342</v>
      </c>
      <c r="C6" s="41"/>
      <c r="D6" s="42"/>
      <c r="E6" s="22"/>
      <c r="F6" s="12">
        <v>0</v>
      </c>
      <c r="G6" s="47">
        <f>SUMIF(Q7:Q663,P6,G7:G663)</f>
        <v>25418144</v>
      </c>
      <c r="H6" s="13">
        <v>0</v>
      </c>
      <c r="I6" s="48">
        <f>SUMIF(Q7:Q663,P6,I7:I663)</f>
        <v>20883787</v>
      </c>
      <c r="J6" s="13">
        <v>0</v>
      </c>
      <c r="K6" s="53">
        <f>SUMIF(Q7:Q663,P6,K7:K663)</f>
        <v>4254799</v>
      </c>
      <c r="L6" s="33">
        <v>0</v>
      </c>
      <c r="M6" s="53">
        <f>SUMIF(Q7:Q663,P6,M7:M663)</f>
        <v>279558</v>
      </c>
      <c r="N6" s="22"/>
      <c r="O6" s="17" t="str">
        <f>"_x0007_`COD|E2_x0005_`QTY1|1_x0005_`EXI|0_x0005_`ITT|0_x0005_`END|"&amp;ROW(M664)&amp;"_x0005_`"</f>
        <v>_x0007_`COD|E2_x0005_`QTY1|1_x0005_`EXI|0_x0005_`ITT|0_x0005_`END|664_x0005_`</v>
      </c>
      <c r="P6" s="7" t="s">
        <v>3344</v>
      </c>
      <c r="Q6" s="7" t="s">
        <v>3340</v>
      </c>
    </row>
    <row r="7" spans="1:29" ht="30.6" customHeight="1" x14ac:dyDescent="0.3">
      <c r="A7" s="10"/>
      <c r="B7" s="10" t="s">
        <v>12</v>
      </c>
      <c r="C7" s="41" t="s">
        <v>13</v>
      </c>
      <c r="D7" s="43">
        <v>0</v>
      </c>
      <c r="E7" s="22" t="s">
        <v>14</v>
      </c>
      <c r="F7" s="45">
        <f t="shared" ref="F7:F70" si="0">J7+H7+L7</f>
        <v>8365273</v>
      </c>
      <c r="G7" s="48">
        <f t="shared" ref="G7:G70" si="1">K7+I7+M7</f>
        <v>0</v>
      </c>
      <c r="H7" s="50">
        <f>일위대가목록표!F4</f>
        <v>354635</v>
      </c>
      <c r="I7" s="13">
        <f t="shared" ref="I7:I70" si="2">ROUNDDOWN(H7*D7,0)</f>
        <v>0</v>
      </c>
      <c r="J7" s="52">
        <f>일위대가목록표!G4</f>
        <v>8000000</v>
      </c>
      <c r="K7" s="13">
        <f t="shared" ref="K7:K70" si="3">ROUNDDOWN(J7*D7,0)</f>
        <v>0</v>
      </c>
      <c r="L7" s="54">
        <f>일위대가목록표!H4</f>
        <v>10638</v>
      </c>
      <c r="M7" s="33">
        <f t="shared" ref="M7:M70" si="4">ROUNDDOWN(L7*D7,0)</f>
        <v>0</v>
      </c>
      <c r="N7" s="22" t="s">
        <v>3346</v>
      </c>
      <c r="O7" s="17" t="s">
        <v>3345</v>
      </c>
      <c r="P7" s="7" t="s">
        <v>3343</v>
      </c>
      <c r="Q7" s="7" t="s">
        <v>3344</v>
      </c>
      <c r="AC7" s="3" t="str">
        <f ca="1">HYPERLINK("#"&amp;일위대가목록표!J2&amp;"!A"&amp;ROW(일위대가목록표!A4),"대가1 →")</f>
        <v>대가1 →</v>
      </c>
    </row>
    <row r="8" spans="1:29" ht="30.6" customHeight="1" x14ac:dyDescent="0.3">
      <c r="A8" s="10"/>
      <c r="B8" s="10" t="s">
        <v>12</v>
      </c>
      <c r="C8" s="41" t="s">
        <v>17</v>
      </c>
      <c r="D8" s="43">
        <v>0</v>
      </c>
      <c r="E8" s="22" t="s">
        <v>14</v>
      </c>
      <c r="F8" s="45">
        <f t="shared" si="0"/>
        <v>9920901</v>
      </c>
      <c r="G8" s="48">
        <f t="shared" si="1"/>
        <v>0</v>
      </c>
      <c r="H8" s="50">
        <f>일위대가목록표!F5</f>
        <v>408643</v>
      </c>
      <c r="I8" s="13">
        <f t="shared" si="2"/>
        <v>0</v>
      </c>
      <c r="J8" s="52">
        <f>일위대가목록표!G5</f>
        <v>9500000</v>
      </c>
      <c r="K8" s="13">
        <f t="shared" si="3"/>
        <v>0</v>
      </c>
      <c r="L8" s="54">
        <f>일위대가목록표!H5</f>
        <v>12258</v>
      </c>
      <c r="M8" s="33">
        <f t="shared" si="4"/>
        <v>0</v>
      </c>
      <c r="N8" s="22" t="s">
        <v>3349</v>
      </c>
      <c r="O8" s="17" t="s">
        <v>3348</v>
      </c>
      <c r="P8" s="7" t="s">
        <v>3347</v>
      </c>
      <c r="Q8" s="7" t="s">
        <v>3344</v>
      </c>
      <c r="AC8" s="3" t="str">
        <f ca="1">HYPERLINK("#"&amp;일위대가목록표!J2&amp;"!A"&amp;ROW(일위대가목록표!A5),"대가2 →")</f>
        <v>대가2 →</v>
      </c>
    </row>
    <row r="9" spans="1:29" ht="30.6" customHeight="1" x14ac:dyDescent="0.3">
      <c r="A9" s="10"/>
      <c r="B9" s="10" t="s">
        <v>12</v>
      </c>
      <c r="C9" s="41" t="s">
        <v>20</v>
      </c>
      <c r="D9" s="43">
        <v>0</v>
      </c>
      <c r="E9" s="22" t="s">
        <v>14</v>
      </c>
      <c r="F9" s="45">
        <f t="shared" si="0"/>
        <v>11483348</v>
      </c>
      <c r="G9" s="48">
        <f t="shared" si="1"/>
        <v>0</v>
      </c>
      <c r="H9" s="50">
        <f>일위대가목록표!F6</f>
        <v>469271</v>
      </c>
      <c r="I9" s="13">
        <f t="shared" si="2"/>
        <v>0</v>
      </c>
      <c r="J9" s="52">
        <f>일위대가목록표!G6</f>
        <v>11000000</v>
      </c>
      <c r="K9" s="13">
        <f t="shared" si="3"/>
        <v>0</v>
      </c>
      <c r="L9" s="54">
        <f>일위대가목록표!H6</f>
        <v>14077</v>
      </c>
      <c r="M9" s="33">
        <f t="shared" si="4"/>
        <v>0</v>
      </c>
      <c r="N9" s="22" t="s">
        <v>3352</v>
      </c>
      <c r="O9" s="17" t="s">
        <v>3351</v>
      </c>
      <c r="P9" s="7" t="s">
        <v>3350</v>
      </c>
      <c r="Q9" s="7" t="s">
        <v>3344</v>
      </c>
      <c r="AC9" s="3" t="str">
        <f ca="1">HYPERLINK("#"&amp;일위대가목록표!J2&amp;"!A"&amp;ROW(일위대가목록표!A6),"대가3 →")</f>
        <v>대가3 →</v>
      </c>
    </row>
    <row r="10" spans="1:29" ht="30.6" customHeight="1" x14ac:dyDescent="0.3">
      <c r="A10" s="10"/>
      <c r="B10" s="10" t="s">
        <v>12</v>
      </c>
      <c r="C10" s="41" t="s">
        <v>23</v>
      </c>
      <c r="D10" s="43">
        <v>0</v>
      </c>
      <c r="E10" s="22" t="s">
        <v>14</v>
      </c>
      <c r="F10" s="45">
        <f t="shared" si="0"/>
        <v>13082367</v>
      </c>
      <c r="G10" s="48">
        <f t="shared" si="1"/>
        <v>0</v>
      </c>
      <c r="H10" s="50">
        <f>일위대가목록표!F7</f>
        <v>565406</v>
      </c>
      <c r="I10" s="13">
        <f t="shared" si="2"/>
        <v>0</v>
      </c>
      <c r="J10" s="52">
        <f>일위대가목록표!G7</f>
        <v>12500000</v>
      </c>
      <c r="K10" s="13">
        <f t="shared" si="3"/>
        <v>0</v>
      </c>
      <c r="L10" s="54">
        <f>일위대가목록표!H7</f>
        <v>16961</v>
      </c>
      <c r="M10" s="33">
        <f t="shared" si="4"/>
        <v>0</v>
      </c>
      <c r="N10" s="22" t="s">
        <v>3355</v>
      </c>
      <c r="O10" s="17" t="s">
        <v>3354</v>
      </c>
      <c r="P10" s="7" t="s">
        <v>3353</v>
      </c>
      <c r="Q10" s="7" t="s">
        <v>3344</v>
      </c>
      <c r="AC10" s="3" t="str">
        <f ca="1">HYPERLINK("#"&amp;일위대가목록표!J2&amp;"!A"&amp;ROW(일위대가목록표!A7),"대가4 →")</f>
        <v>대가4 →</v>
      </c>
    </row>
    <row r="11" spans="1:29" ht="30.6" customHeight="1" x14ac:dyDescent="0.3">
      <c r="A11" s="10"/>
      <c r="B11" s="10" t="s">
        <v>12</v>
      </c>
      <c r="C11" s="41" t="s">
        <v>26</v>
      </c>
      <c r="D11" s="43">
        <v>0</v>
      </c>
      <c r="E11" s="22" t="s">
        <v>14</v>
      </c>
      <c r="F11" s="45">
        <f t="shared" si="0"/>
        <v>14734777</v>
      </c>
      <c r="G11" s="48">
        <f t="shared" si="1"/>
        <v>0</v>
      </c>
      <c r="H11" s="50">
        <f>일위대가목록표!F8</f>
        <v>713377</v>
      </c>
      <c r="I11" s="13">
        <f t="shared" si="2"/>
        <v>0</v>
      </c>
      <c r="J11" s="52">
        <f>일위대가목록표!G8</f>
        <v>14000000</v>
      </c>
      <c r="K11" s="13">
        <f t="shared" si="3"/>
        <v>0</v>
      </c>
      <c r="L11" s="54">
        <f>일위대가목록표!H8</f>
        <v>21400</v>
      </c>
      <c r="M11" s="33">
        <f t="shared" si="4"/>
        <v>0</v>
      </c>
      <c r="N11" s="22" t="s">
        <v>3358</v>
      </c>
      <c r="O11" s="17" t="s">
        <v>3357</v>
      </c>
      <c r="P11" s="7" t="s">
        <v>3356</v>
      </c>
      <c r="Q11" s="7" t="s">
        <v>3344</v>
      </c>
      <c r="AC11" s="3" t="str">
        <f ca="1">HYPERLINK("#"&amp;일위대가목록표!J2&amp;"!A"&amp;ROW(일위대가목록표!A8),"대가5 →")</f>
        <v>대가5 →</v>
      </c>
    </row>
    <row r="12" spans="1:29" ht="30.6" customHeight="1" x14ac:dyDescent="0.3">
      <c r="A12" s="10"/>
      <c r="B12" s="10" t="s">
        <v>12</v>
      </c>
      <c r="C12" s="41" t="s">
        <v>29</v>
      </c>
      <c r="D12" s="43">
        <v>0</v>
      </c>
      <c r="E12" s="22" t="s">
        <v>14</v>
      </c>
      <c r="F12" s="45">
        <f t="shared" si="0"/>
        <v>16923410</v>
      </c>
      <c r="G12" s="48">
        <f t="shared" si="1"/>
        <v>0</v>
      </c>
      <c r="H12" s="50">
        <f>일위대가목록표!F9</f>
        <v>896515</v>
      </c>
      <c r="I12" s="13">
        <f t="shared" si="2"/>
        <v>0</v>
      </c>
      <c r="J12" s="52">
        <f>일위대가목록표!G9</f>
        <v>16000000</v>
      </c>
      <c r="K12" s="13">
        <f t="shared" si="3"/>
        <v>0</v>
      </c>
      <c r="L12" s="54">
        <f>일위대가목록표!H9</f>
        <v>26895</v>
      </c>
      <c r="M12" s="33">
        <f t="shared" si="4"/>
        <v>0</v>
      </c>
      <c r="N12" s="22" t="s">
        <v>3361</v>
      </c>
      <c r="O12" s="17" t="s">
        <v>3360</v>
      </c>
      <c r="P12" s="7" t="s">
        <v>3359</v>
      </c>
      <c r="Q12" s="7" t="s">
        <v>3344</v>
      </c>
      <c r="AC12" s="3" t="str">
        <f ca="1">HYPERLINK("#"&amp;일위대가목록표!J2&amp;"!A"&amp;ROW(일위대가목록표!A9),"대가6 →")</f>
        <v>대가6 →</v>
      </c>
    </row>
    <row r="13" spans="1:29" ht="30.6" customHeight="1" x14ac:dyDescent="0.3">
      <c r="A13" s="10"/>
      <c r="B13" s="10" t="s">
        <v>12</v>
      </c>
      <c r="C13" s="41" t="s">
        <v>32</v>
      </c>
      <c r="D13" s="43">
        <v>0</v>
      </c>
      <c r="E13" s="22" t="s">
        <v>14</v>
      </c>
      <c r="F13" s="45">
        <f t="shared" si="0"/>
        <v>19480333</v>
      </c>
      <c r="G13" s="48">
        <f t="shared" si="1"/>
        <v>0</v>
      </c>
      <c r="H13" s="50">
        <f>일위대가목록표!F10</f>
        <v>951780</v>
      </c>
      <c r="I13" s="13">
        <f t="shared" si="2"/>
        <v>0</v>
      </c>
      <c r="J13" s="52">
        <f>일위대가목록표!G10</f>
        <v>18500000</v>
      </c>
      <c r="K13" s="13">
        <f t="shared" si="3"/>
        <v>0</v>
      </c>
      <c r="L13" s="54">
        <f>일위대가목록표!H10</f>
        <v>28553</v>
      </c>
      <c r="M13" s="33">
        <f t="shared" si="4"/>
        <v>0</v>
      </c>
      <c r="N13" s="22" t="s">
        <v>3364</v>
      </c>
      <c r="O13" s="17" t="s">
        <v>3363</v>
      </c>
      <c r="P13" s="7" t="s">
        <v>3362</v>
      </c>
      <c r="Q13" s="7" t="s">
        <v>3344</v>
      </c>
      <c r="AC13" s="3" t="str">
        <f ca="1">HYPERLINK("#"&amp;일위대가목록표!J2&amp;"!A"&amp;ROW(일위대가목록표!A10),"대가7 →")</f>
        <v>대가7 →</v>
      </c>
    </row>
    <row r="14" spans="1:29" ht="30.6" customHeight="1" x14ac:dyDescent="0.3">
      <c r="A14" s="10"/>
      <c r="B14" s="10" t="s">
        <v>12</v>
      </c>
      <c r="C14" s="41" t="s">
        <v>35</v>
      </c>
      <c r="D14" s="43">
        <v>0</v>
      </c>
      <c r="E14" s="22" t="s">
        <v>14</v>
      </c>
      <c r="F14" s="45">
        <f t="shared" si="0"/>
        <v>22760750</v>
      </c>
      <c r="G14" s="48">
        <f t="shared" si="1"/>
        <v>0</v>
      </c>
      <c r="H14" s="50">
        <f>일위대가목록표!F11</f>
        <v>1537622</v>
      </c>
      <c r="I14" s="13">
        <f t="shared" si="2"/>
        <v>0</v>
      </c>
      <c r="J14" s="52">
        <f>일위대가목록표!G11</f>
        <v>21177000</v>
      </c>
      <c r="K14" s="13">
        <f t="shared" si="3"/>
        <v>0</v>
      </c>
      <c r="L14" s="54">
        <f>일위대가목록표!H11</f>
        <v>46128</v>
      </c>
      <c r="M14" s="33">
        <f t="shared" si="4"/>
        <v>0</v>
      </c>
      <c r="N14" s="22" t="s">
        <v>3367</v>
      </c>
      <c r="O14" s="17" t="s">
        <v>3366</v>
      </c>
      <c r="P14" s="7" t="s">
        <v>3365</v>
      </c>
      <c r="Q14" s="7" t="s">
        <v>3344</v>
      </c>
      <c r="AC14" s="3" t="str">
        <f ca="1">HYPERLINK("#"&amp;일위대가목록표!J2&amp;"!A"&amp;ROW(일위대가목록표!A11),"대가8 →")</f>
        <v>대가8 →</v>
      </c>
    </row>
    <row r="15" spans="1:29" ht="30.6" customHeight="1" x14ac:dyDescent="0.3">
      <c r="A15" s="10"/>
      <c r="B15" s="10" t="s">
        <v>12</v>
      </c>
      <c r="C15" s="41" t="s">
        <v>38</v>
      </c>
      <c r="D15" s="43">
        <v>0</v>
      </c>
      <c r="E15" s="22" t="s">
        <v>14</v>
      </c>
      <c r="F15" s="45">
        <f t="shared" si="0"/>
        <v>28044858</v>
      </c>
      <c r="G15" s="48">
        <f t="shared" si="1"/>
        <v>0</v>
      </c>
      <c r="H15" s="50">
        <f>일위대가목록표!F12</f>
        <v>1985300</v>
      </c>
      <c r="I15" s="13">
        <f t="shared" si="2"/>
        <v>0</v>
      </c>
      <c r="J15" s="52">
        <f>일위대가목록표!G12</f>
        <v>26000000</v>
      </c>
      <c r="K15" s="13">
        <f t="shared" si="3"/>
        <v>0</v>
      </c>
      <c r="L15" s="54">
        <f>일위대가목록표!H12</f>
        <v>59558</v>
      </c>
      <c r="M15" s="33">
        <f t="shared" si="4"/>
        <v>0</v>
      </c>
      <c r="N15" s="22" t="s">
        <v>3370</v>
      </c>
      <c r="O15" s="17" t="s">
        <v>3369</v>
      </c>
      <c r="P15" s="7" t="s">
        <v>3368</v>
      </c>
      <c r="Q15" s="7" t="s">
        <v>3344</v>
      </c>
      <c r="AC15" s="3" t="str">
        <f ca="1">HYPERLINK("#"&amp;일위대가목록표!J2&amp;"!A"&amp;ROW(일위대가목록표!A12),"대가9 →")</f>
        <v>대가9 →</v>
      </c>
    </row>
    <row r="16" spans="1:29" ht="30.6" customHeight="1" x14ac:dyDescent="0.3">
      <c r="A16" s="10"/>
      <c r="B16" s="10" t="s">
        <v>12</v>
      </c>
      <c r="C16" s="41" t="s">
        <v>41</v>
      </c>
      <c r="D16" s="43">
        <v>0</v>
      </c>
      <c r="E16" s="22" t="s">
        <v>14</v>
      </c>
      <c r="F16" s="45">
        <f t="shared" si="0"/>
        <v>35289807</v>
      </c>
      <c r="G16" s="48">
        <f t="shared" si="1"/>
        <v>0</v>
      </c>
      <c r="H16" s="50">
        <f>일위대가목록표!F13</f>
        <v>3193989</v>
      </c>
      <c r="I16" s="13">
        <f t="shared" si="2"/>
        <v>0</v>
      </c>
      <c r="J16" s="52">
        <f>일위대가목록표!G13</f>
        <v>32000000</v>
      </c>
      <c r="K16" s="13">
        <f t="shared" si="3"/>
        <v>0</v>
      </c>
      <c r="L16" s="54">
        <f>일위대가목록표!H13</f>
        <v>95818</v>
      </c>
      <c r="M16" s="33">
        <f t="shared" si="4"/>
        <v>0</v>
      </c>
      <c r="N16" s="22" t="s">
        <v>3373</v>
      </c>
      <c r="O16" s="17" t="s">
        <v>3372</v>
      </c>
      <c r="P16" s="7" t="s">
        <v>3371</v>
      </c>
      <c r="Q16" s="7" t="s">
        <v>3344</v>
      </c>
      <c r="AC16" s="3" t="str">
        <f ca="1">HYPERLINK("#"&amp;일위대가목록표!J2&amp;"!A"&amp;ROW(일위대가목록표!A13),"대가10 →")</f>
        <v>대가10 →</v>
      </c>
    </row>
    <row r="17" spans="1:29" ht="30.6" customHeight="1" x14ac:dyDescent="0.3">
      <c r="A17" s="10"/>
      <c r="B17" s="10" t="s">
        <v>12</v>
      </c>
      <c r="C17" s="41" t="s">
        <v>44</v>
      </c>
      <c r="D17" s="43">
        <v>0</v>
      </c>
      <c r="E17" s="22" t="s">
        <v>14</v>
      </c>
      <c r="F17" s="45">
        <f t="shared" si="0"/>
        <v>42289807</v>
      </c>
      <c r="G17" s="48">
        <f t="shared" si="1"/>
        <v>0</v>
      </c>
      <c r="H17" s="50">
        <f>일위대가목록표!F14</f>
        <v>3193989</v>
      </c>
      <c r="I17" s="13">
        <f t="shared" si="2"/>
        <v>0</v>
      </c>
      <c r="J17" s="52">
        <f>일위대가목록표!G14</f>
        <v>39000000</v>
      </c>
      <c r="K17" s="13">
        <f t="shared" si="3"/>
        <v>0</v>
      </c>
      <c r="L17" s="54">
        <f>일위대가목록표!H14</f>
        <v>95818</v>
      </c>
      <c r="M17" s="33">
        <f t="shared" si="4"/>
        <v>0</v>
      </c>
      <c r="N17" s="22" t="s">
        <v>3376</v>
      </c>
      <c r="O17" s="17" t="s">
        <v>3375</v>
      </c>
      <c r="P17" s="7" t="s">
        <v>3374</v>
      </c>
      <c r="Q17" s="7" t="s">
        <v>3344</v>
      </c>
      <c r="AC17" s="3" t="str">
        <f ca="1">HYPERLINK("#"&amp;일위대가목록표!J2&amp;"!A"&amp;ROW(일위대가목록표!A14),"대가11 →")</f>
        <v>대가11 →</v>
      </c>
    </row>
    <row r="18" spans="1:29" ht="30.6" customHeight="1" x14ac:dyDescent="0.3">
      <c r="A18" s="10"/>
      <c r="B18" s="10" t="s">
        <v>12</v>
      </c>
      <c r="C18" s="41" t="s">
        <v>47</v>
      </c>
      <c r="D18" s="43">
        <v>0</v>
      </c>
      <c r="E18" s="22" t="s">
        <v>14</v>
      </c>
      <c r="F18" s="45">
        <f t="shared" si="0"/>
        <v>103530109</v>
      </c>
      <c r="G18" s="48">
        <f t="shared" si="1"/>
        <v>0</v>
      </c>
      <c r="H18" s="50">
        <f>일위대가목록표!F15</f>
        <v>3912728</v>
      </c>
      <c r="I18" s="13">
        <f t="shared" si="2"/>
        <v>0</v>
      </c>
      <c r="J18" s="52">
        <f>일위대가목록표!G15</f>
        <v>99500000</v>
      </c>
      <c r="K18" s="13">
        <f t="shared" si="3"/>
        <v>0</v>
      </c>
      <c r="L18" s="54">
        <f>일위대가목록표!H15</f>
        <v>117381</v>
      </c>
      <c r="M18" s="33">
        <f t="shared" si="4"/>
        <v>0</v>
      </c>
      <c r="N18" s="22" t="s">
        <v>3379</v>
      </c>
      <c r="O18" s="17" t="s">
        <v>3378</v>
      </c>
      <c r="P18" s="7" t="s">
        <v>3377</v>
      </c>
      <c r="Q18" s="7" t="s">
        <v>3344</v>
      </c>
      <c r="AC18" s="3" t="str">
        <f ca="1">HYPERLINK("#"&amp;일위대가목록표!J2&amp;"!A"&amp;ROW(일위대가목록표!A15),"대가12 →")</f>
        <v>대가12 →</v>
      </c>
    </row>
    <row r="19" spans="1:29" ht="30.6" customHeight="1" x14ac:dyDescent="0.3">
      <c r="A19" s="10"/>
      <c r="B19" s="10" t="s">
        <v>50</v>
      </c>
      <c r="C19" s="41" t="s">
        <v>13</v>
      </c>
      <c r="D19" s="43">
        <v>1</v>
      </c>
      <c r="E19" s="22" t="s">
        <v>14</v>
      </c>
      <c r="F19" s="45">
        <f t="shared" si="0"/>
        <v>365273</v>
      </c>
      <c r="G19" s="48">
        <f t="shared" si="1"/>
        <v>365273</v>
      </c>
      <c r="H19" s="50">
        <f>일위대가목록표!F16</f>
        <v>354635</v>
      </c>
      <c r="I19" s="13">
        <f t="shared" si="2"/>
        <v>354635</v>
      </c>
      <c r="J19" s="52">
        <f>일위대가목록표!G16</f>
        <v>0</v>
      </c>
      <c r="K19" s="13">
        <f t="shared" si="3"/>
        <v>0</v>
      </c>
      <c r="L19" s="54">
        <f>일위대가목록표!H16</f>
        <v>10638</v>
      </c>
      <c r="M19" s="33">
        <f t="shared" si="4"/>
        <v>10638</v>
      </c>
      <c r="N19" s="22" t="s">
        <v>3382</v>
      </c>
      <c r="O19" s="17" t="s">
        <v>3381</v>
      </c>
      <c r="P19" s="7" t="s">
        <v>3380</v>
      </c>
      <c r="Q19" s="7" t="s">
        <v>3344</v>
      </c>
      <c r="AC19" s="3" t="str">
        <f ca="1">HYPERLINK("#"&amp;일위대가목록표!J2&amp;"!A"&amp;ROW(일위대가목록표!A16),"대가13 →")</f>
        <v>대가13 →</v>
      </c>
    </row>
    <row r="20" spans="1:29" ht="30.6" customHeight="1" x14ac:dyDescent="0.3">
      <c r="A20" s="10"/>
      <c r="B20" s="10" t="s">
        <v>50</v>
      </c>
      <c r="C20" s="41" t="s">
        <v>17</v>
      </c>
      <c r="D20" s="43">
        <v>0</v>
      </c>
      <c r="E20" s="22" t="s">
        <v>14</v>
      </c>
      <c r="F20" s="45">
        <f t="shared" si="0"/>
        <v>420901</v>
      </c>
      <c r="G20" s="48">
        <f t="shared" si="1"/>
        <v>0</v>
      </c>
      <c r="H20" s="50">
        <f>일위대가목록표!F17</f>
        <v>408643</v>
      </c>
      <c r="I20" s="13">
        <f t="shared" si="2"/>
        <v>0</v>
      </c>
      <c r="J20" s="52">
        <f>일위대가목록표!G17</f>
        <v>0</v>
      </c>
      <c r="K20" s="13">
        <f t="shared" si="3"/>
        <v>0</v>
      </c>
      <c r="L20" s="54">
        <f>일위대가목록표!H17</f>
        <v>12258</v>
      </c>
      <c r="M20" s="33">
        <f t="shared" si="4"/>
        <v>0</v>
      </c>
      <c r="N20" s="22" t="s">
        <v>3385</v>
      </c>
      <c r="O20" s="17" t="s">
        <v>3384</v>
      </c>
      <c r="P20" s="7" t="s">
        <v>3383</v>
      </c>
      <c r="Q20" s="7" t="s">
        <v>3344</v>
      </c>
      <c r="AC20" s="3" t="str">
        <f ca="1">HYPERLINK("#"&amp;일위대가목록표!J2&amp;"!A"&amp;ROW(일위대가목록표!A17),"대가14 →")</f>
        <v>대가14 →</v>
      </c>
    </row>
    <row r="21" spans="1:29" ht="30.6" customHeight="1" x14ac:dyDescent="0.3">
      <c r="A21" s="10"/>
      <c r="B21" s="10" t="s">
        <v>50</v>
      </c>
      <c r="C21" s="41" t="s">
        <v>20</v>
      </c>
      <c r="D21" s="43">
        <v>0</v>
      </c>
      <c r="E21" s="22" t="s">
        <v>14</v>
      </c>
      <c r="F21" s="45">
        <f t="shared" si="0"/>
        <v>483348</v>
      </c>
      <c r="G21" s="48">
        <f t="shared" si="1"/>
        <v>0</v>
      </c>
      <c r="H21" s="50">
        <f>일위대가목록표!F18</f>
        <v>469271</v>
      </c>
      <c r="I21" s="13">
        <f t="shared" si="2"/>
        <v>0</v>
      </c>
      <c r="J21" s="52">
        <f>일위대가목록표!G18</f>
        <v>0</v>
      </c>
      <c r="K21" s="13">
        <f t="shared" si="3"/>
        <v>0</v>
      </c>
      <c r="L21" s="54">
        <f>일위대가목록표!H18</f>
        <v>14077</v>
      </c>
      <c r="M21" s="33">
        <f t="shared" si="4"/>
        <v>0</v>
      </c>
      <c r="N21" s="22" t="s">
        <v>3388</v>
      </c>
      <c r="O21" s="17" t="s">
        <v>3387</v>
      </c>
      <c r="P21" s="7" t="s">
        <v>3386</v>
      </c>
      <c r="Q21" s="7" t="s">
        <v>3344</v>
      </c>
      <c r="AC21" s="3" t="str">
        <f ca="1">HYPERLINK("#"&amp;일위대가목록표!J2&amp;"!A"&amp;ROW(일위대가목록표!A18),"대가15 →")</f>
        <v>대가15 →</v>
      </c>
    </row>
    <row r="22" spans="1:29" ht="30.6" customHeight="1" x14ac:dyDescent="0.3">
      <c r="A22" s="10"/>
      <c r="B22" s="10" t="s">
        <v>50</v>
      </c>
      <c r="C22" s="41" t="s">
        <v>23</v>
      </c>
      <c r="D22" s="43">
        <v>0</v>
      </c>
      <c r="E22" s="22" t="s">
        <v>14</v>
      </c>
      <c r="F22" s="45">
        <f t="shared" si="0"/>
        <v>582367</v>
      </c>
      <c r="G22" s="48">
        <f t="shared" si="1"/>
        <v>0</v>
      </c>
      <c r="H22" s="50">
        <f>일위대가목록표!F19</f>
        <v>565406</v>
      </c>
      <c r="I22" s="13">
        <f t="shared" si="2"/>
        <v>0</v>
      </c>
      <c r="J22" s="52">
        <f>일위대가목록표!G19</f>
        <v>0</v>
      </c>
      <c r="K22" s="13">
        <f t="shared" si="3"/>
        <v>0</v>
      </c>
      <c r="L22" s="54">
        <f>일위대가목록표!H19</f>
        <v>16961</v>
      </c>
      <c r="M22" s="33">
        <f t="shared" si="4"/>
        <v>0</v>
      </c>
      <c r="N22" s="22" t="s">
        <v>3391</v>
      </c>
      <c r="O22" s="17" t="s">
        <v>3390</v>
      </c>
      <c r="P22" s="7" t="s">
        <v>3389</v>
      </c>
      <c r="Q22" s="7" t="s">
        <v>3344</v>
      </c>
      <c r="AC22" s="3" t="str">
        <f ca="1">HYPERLINK("#"&amp;일위대가목록표!J2&amp;"!A"&amp;ROW(일위대가목록표!A19),"대가16 →")</f>
        <v>대가16 →</v>
      </c>
    </row>
    <row r="23" spans="1:29" ht="30.6" customHeight="1" x14ac:dyDescent="0.3">
      <c r="A23" s="10"/>
      <c r="B23" s="10" t="s">
        <v>50</v>
      </c>
      <c r="C23" s="41" t="s">
        <v>26</v>
      </c>
      <c r="D23" s="43">
        <v>0</v>
      </c>
      <c r="E23" s="22" t="s">
        <v>14</v>
      </c>
      <c r="F23" s="45">
        <f t="shared" si="0"/>
        <v>734777</v>
      </c>
      <c r="G23" s="48">
        <f t="shared" si="1"/>
        <v>0</v>
      </c>
      <c r="H23" s="50">
        <f>일위대가목록표!F20</f>
        <v>713377</v>
      </c>
      <c r="I23" s="13">
        <f t="shared" si="2"/>
        <v>0</v>
      </c>
      <c r="J23" s="52">
        <f>일위대가목록표!G20</f>
        <v>0</v>
      </c>
      <c r="K23" s="13">
        <f t="shared" si="3"/>
        <v>0</v>
      </c>
      <c r="L23" s="54">
        <f>일위대가목록표!H20</f>
        <v>21400</v>
      </c>
      <c r="M23" s="33">
        <f t="shared" si="4"/>
        <v>0</v>
      </c>
      <c r="N23" s="22" t="s">
        <v>3394</v>
      </c>
      <c r="O23" s="17" t="s">
        <v>3393</v>
      </c>
      <c r="P23" s="7" t="s">
        <v>3392</v>
      </c>
      <c r="Q23" s="7" t="s">
        <v>3344</v>
      </c>
      <c r="AC23" s="3" t="str">
        <f ca="1">HYPERLINK("#"&amp;일위대가목록표!J2&amp;"!A"&amp;ROW(일위대가목록표!A20),"대가17 →")</f>
        <v>대가17 →</v>
      </c>
    </row>
    <row r="24" spans="1:29" ht="30.6" customHeight="1" x14ac:dyDescent="0.3">
      <c r="A24" s="10"/>
      <c r="B24" s="10" t="s">
        <v>50</v>
      </c>
      <c r="C24" s="41" t="s">
        <v>29</v>
      </c>
      <c r="D24" s="43">
        <v>0</v>
      </c>
      <c r="E24" s="22" t="s">
        <v>14</v>
      </c>
      <c r="F24" s="45">
        <f t="shared" si="0"/>
        <v>923410</v>
      </c>
      <c r="G24" s="48">
        <f t="shared" si="1"/>
        <v>0</v>
      </c>
      <c r="H24" s="50">
        <f>일위대가목록표!F21</f>
        <v>896515</v>
      </c>
      <c r="I24" s="13">
        <f t="shared" si="2"/>
        <v>0</v>
      </c>
      <c r="J24" s="52">
        <f>일위대가목록표!G21</f>
        <v>0</v>
      </c>
      <c r="K24" s="13">
        <f t="shared" si="3"/>
        <v>0</v>
      </c>
      <c r="L24" s="54">
        <f>일위대가목록표!H21</f>
        <v>26895</v>
      </c>
      <c r="M24" s="33">
        <f t="shared" si="4"/>
        <v>0</v>
      </c>
      <c r="N24" s="22" t="s">
        <v>3397</v>
      </c>
      <c r="O24" s="17" t="s">
        <v>3396</v>
      </c>
      <c r="P24" s="7" t="s">
        <v>3395</v>
      </c>
      <c r="Q24" s="7" t="s">
        <v>3344</v>
      </c>
      <c r="AC24" s="3" t="str">
        <f ca="1">HYPERLINK("#"&amp;일위대가목록표!J2&amp;"!A"&amp;ROW(일위대가목록표!A21),"대가18 →")</f>
        <v>대가18 →</v>
      </c>
    </row>
    <row r="25" spans="1:29" ht="30.6" customHeight="1" x14ac:dyDescent="0.3">
      <c r="A25" s="10"/>
      <c r="B25" s="10" t="s">
        <v>50</v>
      </c>
      <c r="C25" s="41" t="s">
        <v>32</v>
      </c>
      <c r="D25" s="43">
        <v>0</v>
      </c>
      <c r="E25" s="22" t="s">
        <v>14</v>
      </c>
      <c r="F25" s="45">
        <f t="shared" si="0"/>
        <v>980333</v>
      </c>
      <c r="G25" s="48">
        <f t="shared" si="1"/>
        <v>0</v>
      </c>
      <c r="H25" s="50">
        <f>일위대가목록표!F22</f>
        <v>951780</v>
      </c>
      <c r="I25" s="13">
        <f t="shared" si="2"/>
        <v>0</v>
      </c>
      <c r="J25" s="52">
        <f>일위대가목록표!G22</f>
        <v>0</v>
      </c>
      <c r="K25" s="13">
        <f t="shared" si="3"/>
        <v>0</v>
      </c>
      <c r="L25" s="54">
        <f>일위대가목록표!H22</f>
        <v>28553</v>
      </c>
      <c r="M25" s="33">
        <f t="shared" si="4"/>
        <v>0</v>
      </c>
      <c r="N25" s="22" t="s">
        <v>3400</v>
      </c>
      <c r="O25" s="17" t="s">
        <v>3399</v>
      </c>
      <c r="P25" s="7" t="s">
        <v>3398</v>
      </c>
      <c r="Q25" s="7" t="s">
        <v>3344</v>
      </c>
      <c r="AC25" s="3" t="str">
        <f ca="1">HYPERLINK("#"&amp;일위대가목록표!J2&amp;"!A"&amp;ROW(일위대가목록표!A22),"대가19 →")</f>
        <v>대가19 →</v>
      </c>
    </row>
    <row r="26" spans="1:29" ht="30.6" customHeight="1" x14ac:dyDescent="0.3">
      <c r="A26" s="10"/>
      <c r="B26" s="10" t="s">
        <v>50</v>
      </c>
      <c r="C26" s="41" t="s">
        <v>35</v>
      </c>
      <c r="D26" s="43">
        <v>0</v>
      </c>
      <c r="E26" s="22" t="s">
        <v>14</v>
      </c>
      <c r="F26" s="45">
        <f t="shared" si="0"/>
        <v>1583750</v>
      </c>
      <c r="G26" s="48">
        <f t="shared" si="1"/>
        <v>0</v>
      </c>
      <c r="H26" s="50">
        <f>일위대가목록표!F23</f>
        <v>1537622</v>
      </c>
      <c r="I26" s="13">
        <f t="shared" si="2"/>
        <v>0</v>
      </c>
      <c r="J26" s="52">
        <f>일위대가목록표!G23</f>
        <v>0</v>
      </c>
      <c r="K26" s="13">
        <f t="shared" si="3"/>
        <v>0</v>
      </c>
      <c r="L26" s="54">
        <f>일위대가목록표!H23</f>
        <v>46128</v>
      </c>
      <c r="M26" s="33">
        <f t="shared" si="4"/>
        <v>0</v>
      </c>
      <c r="N26" s="22" t="s">
        <v>3403</v>
      </c>
      <c r="O26" s="17" t="s">
        <v>3402</v>
      </c>
      <c r="P26" s="7" t="s">
        <v>3401</v>
      </c>
      <c r="Q26" s="7" t="s">
        <v>3344</v>
      </c>
      <c r="AC26" s="3" t="str">
        <f ca="1">HYPERLINK("#"&amp;일위대가목록표!J2&amp;"!A"&amp;ROW(일위대가목록표!A23),"대가20 →")</f>
        <v>대가20 →</v>
      </c>
    </row>
    <row r="27" spans="1:29" ht="30.6" customHeight="1" x14ac:dyDescent="0.3">
      <c r="A27" s="10"/>
      <c r="B27" s="10" t="s">
        <v>50</v>
      </c>
      <c r="C27" s="41" t="s">
        <v>38</v>
      </c>
      <c r="D27" s="43">
        <v>0</v>
      </c>
      <c r="E27" s="22" t="s">
        <v>14</v>
      </c>
      <c r="F27" s="45">
        <f t="shared" si="0"/>
        <v>2044858</v>
      </c>
      <c r="G27" s="48">
        <f t="shared" si="1"/>
        <v>0</v>
      </c>
      <c r="H27" s="50">
        <f>일위대가목록표!F24</f>
        <v>1985300</v>
      </c>
      <c r="I27" s="13">
        <f t="shared" si="2"/>
        <v>0</v>
      </c>
      <c r="J27" s="52">
        <f>일위대가목록표!G24</f>
        <v>0</v>
      </c>
      <c r="K27" s="13">
        <f t="shared" si="3"/>
        <v>0</v>
      </c>
      <c r="L27" s="54">
        <f>일위대가목록표!H24</f>
        <v>59558</v>
      </c>
      <c r="M27" s="33">
        <f t="shared" si="4"/>
        <v>0</v>
      </c>
      <c r="N27" s="22" t="s">
        <v>3406</v>
      </c>
      <c r="O27" s="17" t="s">
        <v>3405</v>
      </c>
      <c r="P27" s="7" t="s">
        <v>3404</v>
      </c>
      <c r="Q27" s="7" t="s">
        <v>3344</v>
      </c>
      <c r="AC27" s="3" t="str">
        <f ca="1">HYPERLINK("#"&amp;일위대가목록표!J2&amp;"!A"&amp;ROW(일위대가목록표!A24),"대가21 →")</f>
        <v>대가21 →</v>
      </c>
    </row>
    <row r="28" spans="1:29" ht="30.6" customHeight="1" x14ac:dyDescent="0.3">
      <c r="A28" s="10"/>
      <c r="B28" s="10" t="s">
        <v>50</v>
      </c>
      <c r="C28" s="41" t="s">
        <v>41</v>
      </c>
      <c r="D28" s="43">
        <v>0</v>
      </c>
      <c r="E28" s="22" t="s">
        <v>14</v>
      </c>
      <c r="F28" s="45">
        <f t="shared" si="0"/>
        <v>3289807</v>
      </c>
      <c r="G28" s="48">
        <f t="shared" si="1"/>
        <v>0</v>
      </c>
      <c r="H28" s="50">
        <f>일위대가목록표!F25</f>
        <v>3193989</v>
      </c>
      <c r="I28" s="13">
        <f t="shared" si="2"/>
        <v>0</v>
      </c>
      <c r="J28" s="52">
        <f>일위대가목록표!G25</f>
        <v>0</v>
      </c>
      <c r="K28" s="13">
        <f t="shared" si="3"/>
        <v>0</v>
      </c>
      <c r="L28" s="54">
        <f>일위대가목록표!H25</f>
        <v>95818</v>
      </c>
      <c r="M28" s="33">
        <f t="shared" si="4"/>
        <v>0</v>
      </c>
      <c r="N28" s="22" t="s">
        <v>3409</v>
      </c>
      <c r="O28" s="17" t="s">
        <v>3408</v>
      </c>
      <c r="P28" s="7" t="s">
        <v>3407</v>
      </c>
      <c r="Q28" s="7" t="s">
        <v>3344</v>
      </c>
      <c r="AC28" s="3" t="str">
        <f ca="1">HYPERLINK("#"&amp;일위대가목록표!J2&amp;"!A"&amp;ROW(일위대가목록표!A25),"대가22 →")</f>
        <v>대가22 →</v>
      </c>
    </row>
    <row r="29" spans="1:29" ht="30.6" customHeight="1" x14ac:dyDescent="0.3">
      <c r="A29" s="10"/>
      <c r="B29" s="10" t="s">
        <v>50</v>
      </c>
      <c r="C29" s="41" t="s">
        <v>44</v>
      </c>
      <c r="D29" s="43">
        <v>0</v>
      </c>
      <c r="E29" s="22" t="s">
        <v>14</v>
      </c>
      <c r="F29" s="45">
        <f t="shared" si="0"/>
        <v>3289807</v>
      </c>
      <c r="G29" s="48">
        <f t="shared" si="1"/>
        <v>0</v>
      </c>
      <c r="H29" s="50">
        <f>일위대가목록표!F26</f>
        <v>3193989</v>
      </c>
      <c r="I29" s="13">
        <f t="shared" si="2"/>
        <v>0</v>
      </c>
      <c r="J29" s="52">
        <f>일위대가목록표!G26</f>
        <v>0</v>
      </c>
      <c r="K29" s="13">
        <f t="shared" si="3"/>
        <v>0</v>
      </c>
      <c r="L29" s="54">
        <f>일위대가목록표!H26</f>
        <v>95818</v>
      </c>
      <c r="M29" s="33">
        <f t="shared" si="4"/>
        <v>0</v>
      </c>
      <c r="N29" s="22" t="s">
        <v>3412</v>
      </c>
      <c r="O29" s="17" t="s">
        <v>3411</v>
      </c>
      <c r="P29" s="7" t="s">
        <v>3410</v>
      </c>
      <c r="Q29" s="7" t="s">
        <v>3344</v>
      </c>
      <c r="AC29" s="3" t="str">
        <f ca="1">HYPERLINK("#"&amp;일위대가목록표!J2&amp;"!A"&amp;ROW(일위대가목록표!A26),"대가23 →")</f>
        <v>대가23 →</v>
      </c>
    </row>
    <row r="30" spans="1:29" ht="30.6" customHeight="1" x14ac:dyDescent="0.3">
      <c r="A30" s="10"/>
      <c r="B30" s="10" t="s">
        <v>50</v>
      </c>
      <c r="C30" s="41" t="s">
        <v>47</v>
      </c>
      <c r="D30" s="43">
        <v>0</v>
      </c>
      <c r="E30" s="22" t="s">
        <v>14</v>
      </c>
      <c r="F30" s="45">
        <f t="shared" si="0"/>
        <v>4030109</v>
      </c>
      <c r="G30" s="48">
        <f t="shared" si="1"/>
        <v>0</v>
      </c>
      <c r="H30" s="50">
        <f>일위대가목록표!F27</f>
        <v>3912728</v>
      </c>
      <c r="I30" s="13">
        <f t="shared" si="2"/>
        <v>0</v>
      </c>
      <c r="J30" s="52">
        <f>일위대가목록표!G27</f>
        <v>0</v>
      </c>
      <c r="K30" s="13">
        <f t="shared" si="3"/>
        <v>0</v>
      </c>
      <c r="L30" s="54">
        <f>일위대가목록표!H27</f>
        <v>117381</v>
      </c>
      <c r="M30" s="33">
        <f t="shared" si="4"/>
        <v>0</v>
      </c>
      <c r="N30" s="22" t="s">
        <v>3415</v>
      </c>
      <c r="O30" s="17" t="s">
        <v>3414</v>
      </c>
      <c r="P30" s="7" t="s">
        <v>3413</v>
      </c>
      <c r="Q30" s="7" t="s">
        <v>3344</v>
      </c>
      <c r="AC30" s="3" t="str">
        <f ca="1">HYPERLINK("#"&amp;일위대가목록표!J2&amp;"!A"&amp;ROW(일위대가목록표!A27),"대가24 →")</f>
        <v>대가24 →</v>
      </c>
    </row>
    <row r="31" spans="1:29" ht="30.6" customHeight="1" x14ac:dyDescent="0.3">
      <c r="A31" s="10"/>
      <c r="B31" s="10" t="s">
        <v>75</v>
      </c>
      <c r="C31" s="41" t="s">
        <v>13</v>
      </c>
      <c r="D31" s="43">
        <v>0</v>
      </c>
      <c r="E31" s="22" t="s">
        <v>14</v>
      </c>
      <c r="F31" s="45">
        <f t="shared" si="0"/>
        <v>260910</v>
      </c>
      <c r="G31" s="48">
        <f t="shared" si="1"/>
        <v>0</v>
      </c>
      <c r="H31" s="50">
        <f>일위대가목록표!F28</f>
        <v>253311</v>
      </c>
      <c r="I31" s="13">
        <f t="shared" si="2"/>
        <v>0</v>
      </c>
      <c r="J31" s="52">
        <f>일위대가목록표!G28</f>
        <v>0</v>
      </c>
      <c r="K31" s="13">
        <f t="shared" si="3"/>
        <v>0</v>
      </c>
      <c r="L31" s="54">
        <f>일위대가목록표!H28</f>
        <v>7599</v>
      </c>
      <c r="M31" s="33">
        <f t="shared" si="4"/>
        <v>0</v>
      </c>
      <c r="N31" s="22" t="s">
        <v>3418</v>
      </c>
      <c r="O31" s="17" t="s">
        <v>3417</v>
      </c>
      <c r="P31" s="7" t="s">
        <v>3416</v>
      </c>
      <c r="Q31" s="7" t="s">
        <v>3344</v>
      </c>
      <c r="AC31" s="3" t="str">
        <f ca="1">HYPERLINK("#"&amp;일위대가목록표!J2&amp;"!A"&amp;ROW(일위대가목록표!A28),"대가25 →")</f>
        <v>대가25 →</v>
      </c>
    </row>
    <row r="32" spans="1:29" ht="30.6" customHeight="1" x14ac:dyDescent="0.3">
      <c r="A32" s="10"/>
      <c r="B32" s="10" t="s">
        <v>75</v>
      </c>
      <c r="C32" s="41" t="s">
        <v>17</v>
      </c>
      <c r="D32" s="43">
        <v>1</v>
      </c>
      <c r="E32" s="22" t="s">
        <v>14</v>
      </c>
      <c r="F32" s="45">
        <f t="shared" si="0"/>
        <v>300644</v>
      </c>
      <c r="G32" s="48">
        <f t="shared" si="1"/>
        <v>300644</v>
      </c>
      <c r="H32" s="50">
        <f>일위대가목록표!F29</f>
        <v>291888</v>
      </c>
      <c r="I32" s="13">
        <f t="shared" si="2"/>
        <v>291888</v>
      </c>
      <c r="J32" s="52">
        <f>일위대가목록표!G29</f>
        <v>0</v>
      </c>
      <c r="K32" s="13">
        <f t="shared" si="3"/>
        <v>0</v>
      </c>
      <c r="L32" s="54">
        <f>일위대가목록표!H29</f>
        <v>8756</v>
      </c>
      <c r="M32" s="33">
        <f t="shared" si="4"/>
        <v>8756</v>
      </c>
      <c r="N32" s="22" t="s">
        <v>3421</v>
      </c>
      <c r="O32" s="17" t="s">
        <v>3420</v>
      </c>
      <c r="P32" s="7" t="s">
        <v>3419</v>
      </c>
      <c r="Q32" s="7" t="s">
        <v>3344</v>
      </c>
      <c r="AC32" s="3" t="str">
        <f ca="1">HYPERLINK("#"&amp;일위대가목록표!J2&amp;"!A"&amp;ROW(일위대가목록표!A29),"대가26 →")</f>
        <v>대가26 →</v>
      </c>
    </row>
    <row r="33" spans="1:29" ht="30.6" customHeight="1" x14ac:dyDescent="0.3">
      <c r="A33" s="10"/>
      <c r="B33" s="10" t="s">
        <v>75</v>
      </c>
      <c r="C33" s="41" t="s">
        <v>20</v>
      </c>
      <c r="D33" s="43">
        <v>1</v>
      </c>
      <c r="E33" s="22" t="s">
        <v>14</v>
      </c>
      <c r="F33" s="45">
        <f t="shared" si="0"/>
        <v>483348</v>
      </c>
      <c r="G33" s="48">
        <f t="shared" si="1"/>
        <v>483348</v>
      </c>
      <c r="H33" s="50">
        <f>일위대가목록표!F30</f>
        <v>469271</v>
      </c>
      <c r="I33" s="13">
        <f t="shared" si="2"/>
        <v>469271</v>
      </c>
      <c r="J33" s="52">
        <f>일위대가목록표!G30</f>
        <v>0</v>
      </c>
      <c r="K33" s="13">
        <f t="shared" si="3"/>
        <v>0</v>
      </c>
      <c r="L33" s="54">
        <f>일위대가목록표!H30</f>
        <v>14077</v>
      </c>
      <c r="M33" s="33">
        <f t="shared" si="4"/>
        <v>14077</v>
      </c>
      <c r="N33" s="22" t="s">
        <v>3424</v>
      </c>
      <c r="O33" s="17" t="s">
        <v>3423</v>
      </c>
      <c r="P33" s="7" t="s">
        <v>3422</v>
      </c>
      <c r="Q33" s="7" t="s">
        <v>3344</v>
      </c>
      <c r="AC33" s="3" t="str">
        <f ca="1">HYPERLINK("#"&amp;일위대가목록표!J2&amp;"!A"&amp;ROW(일위대가목록표!A30),"대가27 →")</f>
        <v>대가27 →</v>
      </c>
    </row>
    <row r="34" spans="1:29" ht="30.6" customHeight="1" x14ac:dyDescent="0.3">
      <c r="A34" s="10"/>
      <c r="B34" s="10" t="s">
        <v>75</v>
      </c>
      <c r="C34" s="41" t="s">
        <v>26</v>
      </c>
      <c r="D34" s="43">
        <v>0</v>
      </c>
      <c r="E34" s="22" t="s">
        <v>14</v>
      </c>
      <c r="F34" s="45">
        <f t="shared" si="0"/>
        <v>734777</v>
      </c>
      <c r="G34" s="48">
        <f t="shared" si="1"/>
        <v>0</v>
      </c>
      <c r="H34" s="50">
        <f>일위대가목록표!F31</f>
        <v>713377</v>
      </c>
      <c r="I34" s="13">
        <f t="shared" si="2"/>
        <v>0</v>
      </c>
      <c r="J34" s="52">
        <f>일위대가목록표!G31</f>
        <v>0</v>
      </c>
      <c r="K34" s="13">
        <f t="shared" si="3"/>
        <v>0</v>
      </c>
      <c r="L34" s="54">
        <f>일위대가목록표!H31</f>
        <v>21400</v>
      </c>
      <c r="M34" s="33">
        <f t="shared" si="4"/>
        <v>0</v>
      </c>
      <c r="N34" s="22" t="s">
        <v>3427</v>
      </c>
      <c r="O34" s="17" t="s">
        <v>3426</v>
      </c>
      <c r="P34" s="7" t="s">
        <v>3425</v>
      </c>
      <c r="Q34" s="7" t="s">
        <v>3344</v>
      </c>
      <c r="AC34" s="3" t="str">
        <f ca="1">HYPERLINK("#"&amp;일위대가목록표!J2&amp;"!A"&amp;ROW(일위대가목록표!A31),"대가28 →")</f>
        <v>대가28 →</v>
      </c>
    </row>
    <row r="35" spans="1:29" ht="30.6" customHeight="1" x14ac:dyDescent="0.3">
      <c r="A35" s="10"/>
      <c r="B35" s="10" t="s">
        <v>75</v>
      </c>
      <c r="C35" s="41" t="s">
        <v>29</v>
      </c>
      <c r="D35" s="43">
        <v>0</v>
      </c>
      <c r="E35" s="22" t="s">
        <v>14</v>
      </c>
      <c r="F35" s="45">
        <f t="shared" si="0"/>
        <v>923410</v>
      </c>
      <c r="G35" s="48">
        <f t="shared" si="1"/>
        <v>0</v>
      </c>
      <c r="H35" s="50">
        <f>일위대가목록표!F32</f>
        <v>896515</v>
      </c>
      <c r="I35" s="13">
        <f t="shared" si="2"/>
        <v>0</v>
      </c>
      <c r="J35" s="52">
        <f>일위대가목록표!G32</f>
        <v>0</v>
      </c>
      <c r="K35" s="13">
        <f t="shared" si="3"/>
        <v>0</v>
      </c>
      <c r="L35" s="54">
        <f>일위대가목록표!H32</f>
        <v>26895</v>
      </c>
      <c r="M35" s="33">
        <f t="shared" si="4"/>
        <v>0</v>
      </c>
      <c r="N35" s="22" t="s">
        <v>3430</v>
      </c>
      <c r="O35" s="17" t="s">
        <v>3429</v>
      </c>
      <c r="P35" s="7" t="s">
        <v>3428</v>
      </c>
      <c r="Q35" s="7" t="s">
        <v>3344</v>
      </c>
      <c r="AC35" s="3" t="str">
        <f ca="1">HYPERLINK("#"&amp;일위대가목록표!J2&amp;"!A"&amp;ROW(일위대가목록표!A32),"대가29 →")</f>
        <v>대가29 →</v>
      </c>
    </row>
    <row r="36" spans="1:29" ht="30.6" customHeight="1" x14ac:dyDescent="0.3">
      <c r="A36" s="10"/>
      <c r="B36" s="10" t="s">
        <v>75</v>
      </c>
      <c r="C36" s="41" t="s">
        <v>32</v>
      </c>
      <c r="D36" s="43">
        <v>0</v>
      </c>
      <c r="E36" s="22" t="s">
        <v>14</v>
      </c>
      <c r="F36" s="45">
        <f t="shared" si="0"/>
        <v>980333</v>
      </c>
      <c r="G36" s="48">
        <f t="shared" si="1"/>
        <v>0</v>
      </c>
      <c r="H36" s="50">
        <f>일위대가목록표!F33</f>
        <v>951780</v>
      </c>
      <c r="I36" s="13">
        <f t="shared" si="2"/>
        <v>0</v>
      </c>
      <c r="J36" s="52">
        <f>일위대가목록표!G33</f>
        <v>0</v>
      </c>
      <c r="K36" s="13">
        <f t="shared" si="3"/>
        <v>0</v>
      </c>
      <c r="L36" s="54">
        <f>일위대가목록표!H33</f>
        <v>28553</v>
      </c>
      <c r="M36" s="33">
        <f t="shared" si="4"/>
        <v>0</v>
      </c>
      <c r="N36" s="22" t="s">
        <v>3433</v>
      </c>
      <c r="O36" s="17" t="s">
        <v>3432</v>
      </c>
      <c r="P36" s="7" t="s">
        <v>3431</v>
      </c>
      <c r="Q36" s="7" t="s">
        <v>3344</v>
      </c>
      <c r="AC36" s="3" t="str">
        <f ca="1">HYPERLINK("#"&amp;일위대가목록표!J2&amp;"!A"&amp;ROW(일위대가목록표!A33),"대가30 →")</f>
        <v>대가30 →</v>
      </c>
    </row>
    <row r="37" spans="1:29" ht="30.6" customHeight="1" x14ac:dyDescent="0.3">
      <c r="A37" s="10"/>
      <c r="B37" s="10" t="s">
        <v>75</v>
      </c>
      <c r="C37" s="41" t="s">
        <v>35</v>
      </c>
      <c r="D37" s="43">
        <v>0</v>
      </c>
      <c r="E37" s="22" t="s">
        <v>14</v>
      </c>
      <c r="F37" s="45">
        <f t="shared" si="0"/>
        <v>1583750</v>
      </c>
      <c r="G37" s="48">
        <f t="shared" si="1"/>
        <v>0</v>
      </c>
      <c r="H37" s="50">
        <f>일위대가목록표!F34</f>
        <v>1537622</v>
      </c>
      <c r="I37" s="13">
        <f t="shared" si="2"/>
        <v>0</v>
      </c>
      <c r="J37" s="52">
        <f>일위대가목록표!G34</f>
        <v>0</v>
      </c>
      <c r="K37" s="13">
        <f t="shared" si="3"/>
        <v>0</v>
      </c>
      <c r="L37" s="54">
        <f>일위대가목록표!H34</f>
        <v>46128</v>
      </c>
      <c r="M37" s="33">
        <f t="shared" si="4"/>
        <v>0</v>
      </c>
      <c r="N37" s="22" t="s">
        <v>3436</v>
      </c>
      <c r="O37" s="17" t="s">
        <v>3435</v>
      </c>
      <c r="P37" s="7" t="s">
        <v>3434</v>
      </c>
      <c r="Q37" s="7" t="s">
        <v>3344</v>
      </c>
      <c r="AC37" s="3" t="str">
        <f ca="1">HYPERLINK("#"&amp;일위대가목록표!J2&amp;"!A"&amp;ROW(일위대가목록표!A34),"대가31 →")</f>
        <v>대가31 →</v>
      </c>
    </row>
    <row r="38" spans="1:29" ht="30.6" customHeight="1" x14ac:dyDescent="0.3">
      <c r="A38" s="10"/>
      <c r="B38" s="10" t="s">
        <v>75</v>
      </c>
      <c r="C38" s="41" t="s">
        <v>38</v>
      </c>
      <c r="D38" s="43">
        <v>0</v>
      </c>
      <c r="E38" s="22" t="s">
        <v>14</v>
      </c>
      <c r="F38" s="45">
        <f t="shared" si="0"/>
        <v>2044858</v>
      </c>
      <c r="G38" s="48">
        <f t="shared" si="1"/>
        <v>0</v>
      </c>
      <c r="H38" s="50">
        <f>일위대가목록표!F35</f>
        <v>1985300</v>
      </c>
      <c r="I38" s="13">
        <f t="shared" si="2"/>
        <v>0</v>
      </c>
      <c r="J38" s="52">
        <f>일위대가목록표!G35</f>
        <v>0</v>
      </c>
      <c r="K38" s="13">
        <f t="shared" si="3"/>
        <v>0</v>
      </c>
      <c r="L38" s="54">
        <f>일위대가목록표!H35</f>
        <v>59558</v>
      </c>
      <c r="M38" s="33">
        <f t="shared" si="4"/>
        <v>0</v>
      </c>
      <c r="N38" s="22" t="s">
        <v>3439</v>
      </c>
      <c r="O38" s="17" t="s">
        <v>3438</v>
      </c>
      <c r="P38" s="7" t="s">
        <v>3437</v>
      </c>
      <c r="Q38" s="7" t="s">
        <v>3344</v>
      </c>
      <c r="AC38" s="3" t="str">
        <f ca="1">HYPERLINK("#"&amp;일위대가목록표!J2&amp;"!A"&amp;ROW(일위대가목록표!A35),"대가32 →")</f>
        <v>대가32 →</v>
      </c>
    </row>
    <row r="39" spans="1:29" ht="30.6" customHeight="1" x14ac:dyDescent="0.3">
      <c r="A39" s="10"/>
      <c r="B39" s="10" t="s">
        <v>75</v>
      </c>
      <c r="C39" s="41" t="s">
        <v>41</v>
      </c>
      <c r="D39" s="43">
        <v>0</v>
      </c>
      <c r="E39" s="22" t="s">
        <v>14</v>
      </c>
      <c r="F39" s="45">
        <f t="shared" si="0"/>
        <v>3289807</v>
      </c>
      <c r="G39" s="48">
        <f t="shared" si="1"/>
        <v>0</v>
      </c>
      <c r="H39" s="50">
        <f>일위대가목록표!F36</f>
        <v>3193989</v>
      </c>
      <c r="I39" s="13">
        <f t="shared" si="2"/>
        <v>0</v>
      </c>
      <c r="J39" s="52">
        <f>일위대가목록표!G36</f>
        <v>0</v>
      </c>
      <c r="K39" s="13">
        <f t="shared" si="3"/>
        <v>0</v>
      </c>
      <c r="L39" s="54">
        <f>일위대가목록표!H36</f>
        <v>95818</v>
      </c>
      <c r="M39" s="33">
        <f t="shared" si="4"/>
        <v>0</v>
      </c>
      <c r="N39" s="22" t="s">
        <v>3442</v>
      </c>
      <c r="O39" s="17" t="s">
        <v>3441</v>
      </c>
      <c r="P39" s="7" t="s">
        <v>3440</v>
      </c>
      <c r="Q39" s="7" t="s">
        <v>3344</v>
      </c>
      <c r="AC39" s="3" t="str">
        <f ca="1">HYPERLINK("#"&amp;일위대가목록표!J2&amp;"!A"&amp;ROW(일위대가목록표!A36),"대가33 →")</f>
        <v>대가33 →</v>
      </c>
    </row>
    <row r="40" spans="1:29" ht="30.6" customHeight="1" x14ac:dyDescent="0.3">
      <c r="A40" s="10"/>
      <c r="B40" s="10" t="s">
        <v>75</v>
      </c>
      <c r="C40" s="41" t="s">
        <v>44</v>
      </c>
      <c r="D40" s="43">
        <v>0</v>
      </c>
      <c r="E40" s="22" t="s">
        <v>14</v>
      </c>
      <c r="F40" s="45">
        <f t="shared" si="0"/>
        <v>3289807</v>
      </c>
      <c r="G40" s="48">
        <f t="shared" si="1"/>
        <v>0</v>
      </c>
      <c r="H40" s="50">
        <f>일위대가목록표!F37</f>
        <v>3193989</v>
      </c>
      <c r="I40" s="13">
        <f t="shared" si="2"/>
        <v>0</v>
      </c>
      <c r="J40" s="52">
        <f>일위대가목록표!G37</f>
        <v>0</v>
      </c>
      <c r="K40" s="13">
        <f t="shared" si="3"/>
        <v>0</v>
      </c>
      <c r="L40" s="54">
        <f>일위대가목록표!H37</f>
        <v>95818</v>
      </c>
      <c r="M40" s="33">
        <f t="shared" si="4"/>
        <v>0</v>
      </c>
      <c r="N40" s="22" t="s">
        <v>3445</v>
      </c>
      <c r="O40" s="17" t="s">
        <v>3444</v>
      </c>
      <c r="P40" s="7" t="s">
        <v>3443</v>
      </c>
      <c r="Q40" s="7" t="s">
        <v>3344</v>
      </c>
      <c r="AC40" s="3" t="str">
        <f ca="1">HYPERLINK("#"&amp;일위대가목록표!J2&amp;"!A"&amp;ROW(일위대가목록표!A37),"대가34 →")</f>
        <v>대가34 →</v>
      </c>
    </row>
    <row r="41" spans="1:29" ht="30.6" customHeight="1" x14ac:dyDescent="0.3">
      <c r="A41" s="10"/>
      <c r="B41" s="10" t="s">
        <v>75</v>
      </c>
      <c r="C41" s="41" t="s">
        <v>47</v>
      </c>
      <c r="D41" s="43">
        <v>0</v>
      </c>
      <c r="E41" s="22" t="s">
        <v>14</v>
      </c>
      <c r="F41" s="45">
        <f t="shared" si="0"/>
        <v>4030109</v>
      </c>
      <c r="G41" s="48">
        <f t="shared" si="1"/>
        <v>0</v>
      </c>
      <c r="H41" s="50">
        <f>일위대가목록표!F38</f>
        <v>3912728</v>
      </c>
      <c r="I41" s="13">
        <f t="shared" si="2"/>
        <v>0</v>
      </c>
      <c r="J41" s="52">
        <f>일위대가목록표!G38</f>
        <v>0</v>
      </c>
      <c r="K41" s="13">
        <f t="shared" si="3"/>
        <v>0</v>
      </c>
      <c r="L41" s="54">
        <f>일위대가목록표!H38</f>
        <v>117381</v>
      </c>
      <c r="M41" s="33">
        <f t="shared" si="4"/>
        <v>0</v>
      </c>
      <c r="N41" s="22" t="s">
        <v>3448</v>
      </c>
      <c r="O41" s="17" t="s">
        <v>3447</v>
      </c>
      <c r="P41" s="7" t="s">
        <v>3446</v>
      </c>
      <c r="Q41" s="7" t="s">
        <v>3344</v>
      </c>
      <c r="AC41" s="3" t="str">
        <f ca="1">HYPERLINK("#"&amp;일위대가목록표!J2&amp;"!A"&amp;ROW(일위대가목록표!A38),"대가35 →")</f>
        <v>대가35 →</v>
      </c>
    </row>
    <row r="42" spans="1:29" ht="30.6" customHeight="1" x14ac:dyDescent="0.3">
      <c r="A42" s="10"/>
      <c r="B42" s="10" t="s">
        <v>98</v>
      </c>
      <c r="C42" s="41" t="s">
        <v>13</v>
      </c>
      <c r="D42" s="43">
        <v>1</v>
      </c>
      <c r="E42" s="22" t="s">
        <v>14</v>
      </c>
      <c r="F42" s="45">
        <f t="shared" si="0"/>
        <v>104363</v>
      </c>
      <c r="G42" s="48">
        <f t="shared" si="1"/>
        <v>104363</v>
      </c>
      <c r="H42" s="50">
        <f>일위대가목록표!F39</f>
        <v>101324</v>
      </c>
      <c r="I42" s="13">
        <f t="shared" si="2"/>
        <v>101324</v>
      </c>
      <c r="J42" s="52">
        <f>일위대가목록표!G39</f>
        <v>0</v>
      </c>
      <c r="K42" s="13">
        <f t="shared" si="3"/>
        <v>0</v>
      </c>
      <c r="L42" s="54">
        <f>일위대가목록표!H39</f>
        <v>3039</v>
      </c>
      <c r="M42" s="33">
        <f t="shared" si="4"/>
        <v>3039</v>
      </c>
      <c r="N42" s="22" t="s">
        <v>3451</v>
      </c>
      <c r="O42" s="17" t="s">
        <v>3450</v>
      </c>
      <c r="P42" s="7" t="s">
        <v>3449</v>
      </c>
      <c r="Q42" s="7" t="s">
        <v>3344</v>
      </c>
      <c r="AC42" s="3" t="str">
        <f ca="1">HYPERLINK("#"&amp;일위대가목록표!J2&amp;"!A"&amp;ROW(일위대가목록표!A39),"대가36 →")</f>
        <v>대가36 →</v>
      </c>
    </row>
    <row r="43" spans="1:29" ht="30.6" customHeight="1" x14ac:dyDescent="0.3">
      <c r="A43" s="10"/>
      <c r="B43" s="10" t="s">
        <v>98</v>
      </c>
      <c r="C43" s="41" t="s">
        <v>17</v>
      </c>
      <c r="D43" s="43">
        <v>1</v>
      </c>
      <c r="E43" s="22" t="s">
        <v>14</v>
      </c>
      <c r="F43" s="45">
        <f t="shared" si="0"/>
        <v>120257</v>
      </c>
      <c r="G43" s="48">
        <f t="shared" si="1"/>
        <v>120257</v>
      </c>
      <c r="H43" s="50">
        <f>일위대가목록표!F40</f>
        <v>116755</v>
      </c>
      <c r="I43" s="13">
        <f t="shared" si="2"/>
        <v>116755</v>
      </c>
      <c r="J43" s="52">
        <f>일위대가목록표!G40</f>
        <v>0</v>
      </c>
      <c r="K43" s="13">
        <f t="shared" si="3"/>
        <v>0</v>
      </c>
      <c r="L43" s="54">
        <f>일위대가목록표!H40</f>
        <v>3502</v>
      </c>
      <c r="M43" s="33">
        <f t="shared" si="4"/>
        <v>3502</v>
      </c>
      <c r="N43" s="22" t="s">
        <v>3454</v>
      </c>
      <c r="O43" s="17" t="s">
        <v>3453</v>
      </c>
      <c r="P43" s="7" t="s">
        <v>3452</v>
      </c>
      <c r="Q43" s="7" t="s">
        <v>3344</v>
      </c>
      <c r="AC43" s="3" t="str">
        <f ca="1">HYPERLINK("#"&amp;일위대가목록표!J2&amp;"!A"&amp;ROW(일위대가목록표!A40),"대가37 →")</f>
        <v>대가37 →</v>
      </c>
    </row>
    <row r="44" spans="1:29" ht="30.6" customHeight="1" x14ac:dyDescent="0.3">
      <c r="A44" s="10"/>
      <c r="B44" s="10" t="s">
        <v>98</v>
      </c>
      <c r="C44" s="41" t="s">
        <v>20</v>
      </c>
      <c r="D44" s="43">
        <v>1</v>
      </c>
      <c r="E44" s="22" t="s">
        <v>14</v>
      </c>
      <c r="F44" s="45">
        <f t="shared" si="0"/>
        <v>138099</v>
      </c>
      <c r="G44" s="48">
        <f t="shared" si="1"/>
        <v>138099</v>
      </c>
      <c r="H44" s="50">
        <f>일위대가목록표!F41</f>
        <v>134077</v>
      </c>
      <c r="I44" s="13">
        <f t="shared" si="2"/>
        <v>134077</v>
      </c>
      <c r="J44" s="52">
        <f>일위대가목록표!G41</f>
        <v>0</v>
      </c>
      <c r="K44" s="13">
        <f t="shared" si="3"/>
        <v>0</v>
      </c>
      <c r="L44" s="54">
        <f>일위대가목록표!H41</f>
        <v>4022</v>
      </c>
      <c r="M44" s="33">
        <f t="shared" si="4"/>
        <v>4022</v>
      </c>
      <c r="N44" s="22" t="s">
        <v>3457</v>
      </c>
      <c r="O44" s="17" t="s">
        <v>3456</v>
      </c>
      <c r="P44" s="7" t="s">
        <v>3455</v>
      </c>
      <c r="Q44" s="7" t="s">
        <v>3344</v>
      </c>
      <c r="AC44" s="3" t="str">
        <f ca="1">HYPERLINK("#"&amp;일위대가목록표!J2&amp;"!A"&amp;ROW(일위대가목록표!A41),"대가38 →")</f>
        <v>대가38 →</v>
      </c>
    </row>
    <row r="45" spans="1:29" ht="30.6" customHeight="1" x14ac:dyDescent="0.3">
      <c r="A45" s="10"/>
      <c r="B45" s="10" t="s">
        <v>98</v>
      </c>
      <c r="C45" s="41" t="s">
        <v>23</v>
      </c>
      <c r="D45" s="43">
        <v>0</v>
      </c>
      <c r="E45" s="22" t="s">
        <v>14</v>
      </c>
      <c r="F45" s="45">
        <f t="shared" si="0"/>
        <v>166390</v>
      </c>
      <c r="G45" s="48">
        <f t="shared" si="1"/>
        <v>0</v>
      </c>
      <c r="H45" s="50">
        <f>일위대가목록표!F42</f>
        <v>161544</v>
      </c>
      <c r="I45" s="13">
        <f t="shared" si="2"/>
        <v>0</v>
      </c>
      <c r="J45" s="52">
        <f>일위대가목록표!G42</f>
        <v>0</v>
      </c>
      <c r="K45" s="13">
        <f t="shared" si="3"/>
        <v>0</v>
      </c>
      <c r="L45" s="54">
        <f>일위대가목록표!H42</f>
        <v>4846</v>
      </c>
      <c r="M45" s="33">
        <f t="shared" si="4"/>
        <v>0</v>
      </c>
      <c r="N45" s="22" t="s">
        <v>3460</v>
      </c>
      <c r="O45" s="17" t="s">
        <v>3459</v>
      </c>
      <c r="P45" s="7" t="s">
        <v>3458</v>
      </c>
      <c r="Q45" s="7" t="s">
        <v>3344</v>
      </c>
      <c r="AC45" s="3" t="str">
        <f ca="1">HYPERLINK("#"&amp;일위대가목록표!J2&amp;"!A"&amp;ROW(일위대가목록표!A42),"대가39 →")</f>
        <v>대가39 →</v>
      </c>
    </row>
    <row r="46" spans="1:29" ht="30.6" customHeight="1" x14ac:dyDescent="0.3">
      <c r="A46" s="10"/>
      <c r="B46" s="10" t="s">
        <v>98</v>
      </c>
      <c r="C46" s="41" t="s">
        <v>26</v>
      </c>
      <c r="D46" s="43">
        <v>0</v>
      </c>
      <c r="E46" s="22" t="s">
        <v>14</v>
      </c>
      <c r="F46" s="45">
        <f t="shared" si="0"/>
        <v>209936</v>
      </c>
      <c r="G46" s="48">
        <f t="shared" si="1"/>
        <v>0</v>
      </c>
      <c r="H46" s="50">
        <f>일위대가목록표!F43</f>
        <v>203822</v>
      </c>
      <c r="I46" s="13">
        <f t="shared" si="2"/>
        <v>0</v>
      </c>
      <c r="J46" s="52">
        <f>일위대가목록표!G43</f>
        <v>0</v>
      </c>
      <c r="K46" s="13">
        <f t="shared" si="3"/>
        <v>0</v>
      </c>
      <c r="L46" s="54">
        <f>일위대가목록표!H43</f>
        <v>6114</v>
      </c>
      <c r="M46" s="33">
        <f t="shared" si="4"/>
        <v>0</v>
      </c>
      <c r="N46" s="22" t="s">
        <v>3463</v>
      </c>
      <c r="O46" s="17" t="s">
        <v>3462</v>
      </c>
      <c r="P46" s="7" t="s">
        <v>3461</v>
      </c>
      <c r="Q46" s="7" t="s">
        <v>3344</v>
      </c>
      <c r="AC46" s="3" t="str">
        <f ca="1">HYPERLINK("#"&amp;일위대가목록표!J2&amp;"!A"&amp;ROW(일위대가목록표!A43),"대가40 →")</f>
        <v>대가40 →</v>
      </c>
    </row>
    <row r="47" spans="1:29" ht="30.6" customHeight="1" x14ac:dyDescent="0.3">
      <c r="A47" s="10"/>
      <c r="B47" s="10" t="s">
        <v>98</v>
      </c>
      <c r="C47" s="41" t="s">
        <v>29</v>
      </c>
      <c r="D47" s="43">
        <v>0</v>
      </c>
      <c r="E47" s="22" t="s">
        <v>14</v>
      </c>
      <c r="F47" s="45">
        <f t="shared" si="0"/>
        <v>263831</v>
      </c>
      <c r="G47" s="48">
        <f t="shared" si="1"/>
        <v>0</v>
      </c>
      <c r="H47" s="50">
        <f>일위대가목록표!F44</f>
        <v>256147</v>
      </c>
      <c r="I47" s="13">
        <f t="shared" si="2"/>
        <v>0</v>
      </c>
      <c r="J47" s="52">
        <f>일위대가목록표!G44</f>
        <v>0</v>
      </c>
      <c r="K47" s="13">
        <f t="shared" si="3"/>
        <v>0</v>
      </c>
      <c r="L47" s="54">
        <f>일위대가목록표!H44</f>
        <v>7684</v>
      </c>
      <c r="M47" s="33">
        <f t="shared" si="4"/>
        <v>0</v>
      </c>
      <c r="N47" s="22" t="s">
        <v>3466</v>
      </c>
      <c r="O47" s="17" t="s">
        <v>3465</v>
      </c>
      <c r="P47" s="7" t="s">
        <v>3464</v>
      </c>
      <c r="Q47" s="7" t="s">
        <v>3344</v>
      </c>
      <c r="AC47" s="3" t="str">
        <f ca="1">HYPERLINK("#"&amp;일위대가목록표!J2&amp;"!A"&amp;ROW(일위대가목록표!A44),"대가41 →")</f>
        <v>대가41 →</v>
      </c>
    </row>
    <row r="48" spans="1:29" ht="30.6" customHeight="1" x14ac:dyDescent="0.3">
      <c r="A48" s="10"/>
      <c r="B48" s="10" t="s">
        <v>98</v>
      </c>
      <c r="C48" s="41" t="s">
        <v>32</v>
      </c>
      <c r="D48" s="43">
        <v>0</v>
      </c>
      <c r="E48" s="22" t="s">
        <v>14</v>
      </c>
      <c r="F48" s="45">
        <f t="shared" si="0"/>
        <v>280095</v>
      </c>
      <c r="G48" s="48">
        <f t="shared" si="1"/>
        <v>0</v>
      </c>
      <c r="H48" s="50">
        <f>일위대가목록표!F45</f>
        <v>271937</v>
      </c>
      <c r="I48" s="13">
        <f t="shared" si="2"/>
        <v>0</v>
      </c>
      <c r="J48" s="52">
        <f>일위대가목록표!G45</f>
        <v>0</v>
      </c>
      <c r="K48" s="13">
        <f t="shared" si="3"/>
        <v>0</v>
      </c>
      <c r="L48" s="54">
        <f>일위대가목록표!H45</f>
        <v>8158</v>
      </c>
      <c r="M48" s="33">
        <f t="shared" si="4"/>
        <v>0</v>
      </c>
      <c r="N48" s="22" t="s">
        <v>3469</v>
      </c>
      <c r="O48" s="17" t="s">
        <v>3468</v>
      </c>
      <c r="P48" s="7" t="s">
        <v>3467</v>
      </c>
      <c r="Q48" s="7" t="s">
        <v>3344</v>
      </c>
      <c r="AC48" s="3" t="str">
        <f ca="1">HYPERLINK("#"&amp;일위대가목록표!J2&amp;"!A"&amp;ROW(일위대가목록표!A45),"대가42 →")</f>
        <v>대가42 →</v>
      </c>
    </row>
    <row r="49" spans="1:29" ht="30.6" customHeight="1" x14ac:dyDescent="0.3">
      <c r="A49" s="10"/>
      <c r="B49" s="10" t="s">
        <v>98</v>
      </c>
      <c r="C49" s="41" t="s">
        <v>35</v>
      </c>
      <c r="D49" s="43">
        <v>0</v>
      </c>
      <c r="E49" s="22" t="s">
        <v>14</v>
      </c>
      <c r="F49" s="45">
        <f t="shared" si="0"/>
        <v>452499</v>
      </c>
      <c r="G49" s="48">
        <f t="shared" si="1"/>
        <v>0</v>
      </c>
      <c r="H49" s="50">
        <f>일위대가목록표!F46</f>
        <v>439320</v>
      </c>
      <c r="I49" s="13">
        <f t="shared" si="2"/>
        <v>0</v>
      </c>
      <c r="J49" s="52">
        <f>일위대가목록표!G46</f>
        <v>0</v>
      </c>
      <c r="K49" s="13">
        <f t="shared" si="3"/>
        <v>0</v>
      </c>
      <c r="L49" s="54">
        <f>일위대가목록표!H46</f>
        <v>13179</v>
      </c>
      <c r="M49" s="33">
        <f t="shared" si="4"/>
        <v>0</v>
      </c>
      <c r="N49" s="22" t="s">
        <v>3472</v>
      </c>
      <c r="O49" s="17" t="s">
        <v>3471</v>
      </c>
      <c r="P49" s="7" t="s">
        <v>3470</v>
      </c>
      <c r="Q49" s="7" t="s">
        <v>3344</v>
      </c>
      <c r="AC49" s="3" t="str">
        <f ca="1">HYPERLINK("#"&amp;일위대가목록표!J2&amp;"!A"&amp;ROW(일위대가목록표!A46),"대가43 →")</f>
        <v>대가43 →</v>
      </c>
    </row>
    <row r="50" spans="1:29" ht="30.6" customHeight="1" x14ac:dyDescent="0.3">
      <c r="A50" s="10"/>
      <c r="B50" s="10" t="s">
        <v>98</v>
      </c>
      <c r="C50" s="41" t="s">
        <v>38</v>
      </c>
      <c r="D50" s="43">
        <v>0</v>
      </c>
      <c r="E50" s="22" t="s">
        <v>14</v>
      </c>
      <c r="F50" s="45">
        <f t="shared" si="0"/>
        <v>584244</v>
      </c>
      <c r="G50" s="48">
        <f t="shared" si="1"/>
        <v>0</v>
      </c>
      <c r="H50" s="50">
        <f>일위대가목록표!F47</f>
        <v>567228</v>
      </c>
      <c r="I50" s="13">
        <f t="shared" si="2"/>
        <v>0</v>
      </c>
      <c r="J50" s="52">
        <f>일위대가목록표!G47</f>
        <v>0</v>
      </c>
      <c r="K50" s="13">
        <f t="shared" si="3"/>
        <v>0</v>
      </c>
      <c r="L50" s="54">
        <f>일위대가목록표!H47</f>
        <v>17016</v>
      </c>
      <c r="M50" s="33">
        <f t="shared" si="4"/>
        <v>0</v>
      </c>
      <c r="N50" s="22" t="s">
        <v>3475</v>
      </c>
      <c r="O50" s="17" t="s">
        <v>3474</v>
      </c>
      <c r="P50" s="7" t="s">
        <v>3473</v>
      </c>
      <c r="Q50" s="7" t="s">
        <v>3344</v>
      </c>
      <c r="AC50" s="3" t="str">
        <f ca="1">HYPERLINK("#"&amp;일위대가목록표!J2&amp;"!A"&amp;ROW(일위대가목록표!A47),"대가44 →")</f>
        <v>대가44 →</v>
      </c>
    </row>
    <row r="51" spans="1:29" ht="30.6" customHeight="1" x14ac:dyDescent="0.3">
      <c r="A51" s="10"/>
      <c r="B51" s="10" t="s">
        <v>98</v>
      </c>
      <c r="C51" s="41" t="s">
        <v>41</v>
      </c>
      <c r="D51" s="43">
        <v>0</v>
      </c>
      <c r="E51" s="22" t="s">
        <v>14</v>
      </c>
      <c r="F51" s="45">
        <f t="shared" si="0"/>
        <v>939944</v>
      </c>
      <c r="G51" s="48">
        <f t="shared" si="1"/>
        <v>0</v>
      </c>
      <c r="H51" s="50">
        <f>일위대가목록표!F48</f>
        <v>912568</v>
      </c>
      <c r="I51" s="13">
        <f t="shared" si="2"/>
        <v>0</v>
      </c>
      <c r="J51" s="52">
        <f>일위대가목록표!G48</f>
        <v>0</v>
      </c>
      <c r="K51" s="13">
        <f t="shared" si="3"/>
        <v>0</v>
      </c>
      <c r="L51" s="54">
        <f>일위대가목록표!H48</f>
        <v>27376</v>
      </c>
      <c r="M51" s="33">
        <f t="shared" si="4"/>
        <v>0</v>
      </c>
      <c r="N51" s="22" t="s">
        <v>3478</v>
      </c>
      <c r="O51" s="17" t="s">
        <v>3477</v>
      </c>
      <c r="P51" s="7" t="s">
        <v>3476</v>
      </c>
      <c r="Q51" s="7" t="s">
        <v>3344</v>
      </c>
      <c r="AC51" s="3" t="str">
        <f ca="1">HYPERLINK("#"&amp;일위대가목록표!J2&amp;"!A"&amp;ROW(일위대가목록표!A48),"대가45 →")</f>
        <v>대가45 →</v>
      </c>
    </row>
    <row r="52" spans="1:29" ht="30.6" customHeight="1" x14ac:dyDescent="0.3">
      <c r="A52" s="10"/>
      <c r="B52" s="10" t="s">
        <v>98</v>
      </c>
      <c r="C52" s="41" t="s">
        <v>44</v>
      </c>
      <c r="D52" s="43">
        <v>0</v>
      </c>
      <c r="E52" s="22" t="s">
        <v>14</v>
      </c>
      <c r="F52" s="45">
        <f t="shared" si="0"/>
        <v>939944</v>
      </c>
      <c r="G52" s="48">
        <f t="shared" si="1"/>
        <v>0</v>
      </c>
      <c r="H52" s="50">
        <f>일위대가목록표!F49</f>
        <v>912568</v>
      </c>
      <c r="I52" s="13">
        <f t="shared" si="2"/>
        <v>0</v>
      </c>
      <c r="J52" s="52">
        <f>일위대가목록표!G49</f>
        <v>0</v>
      </c>
      <c r="K52" s="13">
        <f t="shared" si="3"/>
        <v>0</v>
      </c>
      <c r="L52" s="54">
        <f>일위대가목록표!H49</f>
        <v>27376</v>
      </c>
      <c r="M52" s="33">
        <f t="shared" si="4"/>
        <v>0</v>
      </c>
      <c r="N52" s="22" t="s">
        <v>3481</v>
      </c>
      <c r="O52" s="17" t="s">
        <v>3480</v>
      </c>
      <c r="P52" s="7" t="s">
        <v>3479</v>
      </c>
      <c r="Q52" s="7" t="s">
        <v>3344</v>
      </c>
      <c r="AC52" s="3" t="str">
        <f ca="1">HYPERLINK("#"&amp;일위대가목록표!J2&amp;"!A"&amp;ROW(일위대가목록표!A49),"대가46 →")</f>
        <v>대가46 →</v>
      </c>
    </row>
    <row r="53" spans="1:29" ht="30.6" customHeight="1" x14ac:dyDescent="0.3">
      <c r="A53" s="10"/>
      <c r="B53" s="10" t="s">
        <v>98</v>
      </c>
      <c r="C53" s="41" t="s">
        <v>47</v>
      </c>
      <c r="D53" s="43">
        <v>0</v>
      </c>
      <c r="E53" s="22" t="s">
        <v>14</v>
      </c>
      <c r="F53" s="45">
        <f t="shared" si="0"/>
        <v>1151459</v>
      </c>
      <c r="G53" s="48">
        <f t="shared" si="1"/>
        <v>0</v>
      </c>
      <c r="H53" s="50">
        <f>일위대가목록표!F50</f>
        <v>1117922</v>
      </c>
      <c r="I53" s="13">
        <f t="shared" si="2"/>
        <v>0</v>
      </c>
      <c r="J53" s="52">
        <f>일위대가목록표!G50</f>
        <v>0</v>
      </c>
      <c r="K53" s="13">
        <f t="shared" si="3"/>
        <v>0</v>
      </c>
      <c r="L53" s="54">
        <f>일위대가목록표!H50</f>
        <v>33537</v>
      </c>
      <c r="M53" s="33">
        <f t="shared" si="4"/>
        <v>0</v>
      </c>
      <c r="N53" s="22" t="s">
        <v>3484</v>
      </c>
      <c r="O53" s="17" t="s">
        <v>3483</v>
      </c>
      <c r="P53" s="7" t="s">
        <v>3482</v>
      </c>
      <c r="Q53" s="7" t="s">
        <v>3344</v>
      </c>
      <c r="AC53" s="3" t="str">
        <f ca="1">HYPERLINK("#"&amp;일위대가목록표!J2&amp;"!A"&amp;ROW(일위대가목록표!A50),"대가47 →")</f>
        <v>대가47 →</v>
      </c>
    </row>
    <row r="54" spans="1:29" ht="30.6" customHeight="1" x14ac:dyDescent="0.3">
      <c r="A54" s="10"/>
      <c r="B54" s="10" t="s">
        <v>123</v>
      </c>
      <c r="C54" s="41" t="s">
        <v>13</v>
      </c>
      <c r="D54" s="43">
        <v>0</v>
      </c>
      <c r="E54" s="22" t="s">
        <v>14</v>
      </c>
      <c r="F54" s="45">
        <f t="shared" si="0"/>
        <v>2265273</v>
      </c>
      <c r="G54" s="48">
        <f t="shared" si="1"/>
        <v>0</v>
      </c>
      <c r="H54" s="50">
        <f>일위대가목록표!F51</f>
        <v>354635</v>
      </c>
      <c r="I54" s="13">
        <f t="shared" si="2"/>
        <v>0</v>
      </c>
      <c r="J54" s="52">
        <f>일위대가목록표!G51</f>
        <v>1900000</v>
      </c>
      <c r="K54" s="13">
        <f t="shared" si="3"/>
        <v>0</v>
      </c>
      <c r="L54" s="54">
        <f>일위대가목록표!H51</f>
        <v>10638</v>
      </c>
      <c r="M54" s="33">
        <f t="shared" si="4"/>
        <v>0</v>
      </c>
      <c r="N54" s="22" t="s">
        <v>3487</v>
      </c>
      <c r="O54" s="17" t="s">
        <v>3486</v>
      </c>
      <c r="P54" s="7" t="s">
        <v>3485</v>
      </c>
      <c r="Q54" s="7" t="s">
        <v>3344</v>
      </c>
      <c r="AC54" s="3" t="str">
        <f ca="1">HYPERLINK("#"&amp;일위대가목록표!J2&amp;"!A"&amp;ROW(일위대가목록표!A51),"대가48 →")</f>
        <v>대가48 →</v>
      </c>
    </row>
    <row r="55" spans="1:29" ht="30.6" customHeight="1" x14ac:dyDescent="0.3">
      <c r="A55" s="10"/>
      <c r="B55" s="10" t="s">
        <v>123</v>
      </c>
      <c r="C55" s="41" t="s">
        <v>17</v>
      </c>
      <c r="D55" s="43">
        <v>0</v>
      </c>
      <c r="E55" s="22" t="s">
        <v>14</v>
      </c>
      <c r="F55" s="45">
        <f t="shared" si="0"/>
        <v>3220901</v>
      </c>
      <c r="G55" s="48">
        <f t="shared" si="1"/>
        <v>0</v>
      </c>
      <c r="H55" s="50">
        <f>일위대가목록표!F52</f>
        <v>408643</v>
      </c>
      <c r="I55" s="13">
        <f t="shared" si="2"/>
        <v>0</v>
      </c>
      <c r="J55" s="52">
        <f>일위대가목록표!G52</f>
        <v>2800000</v>
      </c>
      <c r="K55" s="13">
        <f t="shared" si="3"/>
        <v>0</v>
      </c>
      <c r="L55" s="54">
        <f>일위대가목록표!H52</f>
        <v>12258</v>
      </c>
      <c r="M55" s="33">
        <f t="shared" si="4"/>
        <v>0</v>
      </c>
      <c r="N55" s="22" t="s">
        <v>3490</v>
      </c>
      <c r="O55" s="17" t="s">
        <v>3489</v>
      </c>
      <c r="P55" s="7" t="s">
        <v>3488</v>
      </c>
      <c r="Q55" s="7" t="s">
        <v>3344</v>
      </c>
      <c r="AC55" s="3" t="str">
        <f ca="1">HYPERLINK("#"&amp;일위대가목록표!J2&amp;"!A"&amp;ROW(일위대가목록표!A52),"대가49 →")</f>
        <v>대가49 →</v>
      </c>
    </row>
    <row r="56" spans="1:29" ht="30.6" customHeight="1" x14ac:dyDescent="0.3">
      <c r="A56" s="10"/>
      <c r="B56" s="10" t="s">
        <v>123</v>
      </c>
      <c r="C56" s="41" t="s">
        <v>20</v>
      </c>
      <c r="D56" s="43">
        <v>0</v>
      </c>
      <c r="E56" s="22" t="s">
        <v>14</v>
      </c>
      <c r="F56" s="45">
        <f t="shared" si="0"/>
        <v>5183348</v>
      </c>
      <c r="G56" s="48">
        <f t="shared" si="1"/>
        <v>0</v>
      </c>
      <c r="H56" s="50">
        <f>일위대가목록표!F53</f>
        <v>469271</v>
      </c>
      <c r="I56" s="13">
        <f t="shared" si="2"/>
        <v>0</v>
      </c>
      <c r="J56" s="52">
        <f>일위대가목록표!G53</f>
        <v>4700000</v>
      </c>
      <c r="K56" s="13">
        <f t="shared" si="3"/>
        <v>0</v>
      </c>
      <c r="L56" s="54">
        <f>일위대가목록표!H53</f>
        <v>14077</v>
      </c>
      <c r="M56" s="33">
        <f t="shared" si="4"/>
        <v>0</v>
      </c>
      <c r="N56" s="22" t="s">
        <v>3493</v>
      </c>
      <c r="O56" s="17" t="s">
        <v>3492</v>
      </c>
      <c r="P56" s="7" t="s">
        <v>3491</v>
      </c>
      <c r="Q56" s="7" t="s">
        <v>3344</v>
      </c>
      <c r="AC56" s="3" t="str">
        <f ca="1">HYPERLINK("#"&amp;일위대가목록표!J2&amp;"!A"&amp;ROW(일위대가목록표!A53),"대가50 →")</f>
        <v>대가50 →</v>
      </c>
    </row>
    <row r="57" spans="1:29" ht="30.6" customHeight="1" x14ac:dyDescent="0.3">
      <c r="A57" s="10"/>
      <c r="B57" s="10" t="s">
        <v>123</v>
      </c>
      <c r="C57" s="41" t="s">
        <v>23</v>
      </c>
      <c r="D57" s="43">
        <v>0</v>
      </c>
      <c r="E57" s="22" t="s">
        <v>14</v>
      </c>
      <c r="F57" s="45">
        <f t="shared" si="0"/>
        <v>7282367</v>
      </c>
      <c r="G57" s="48">
        <f t="shared" si="1"/>
        <v>0</v>
      </c>
      <c r="H57" s="50">
        <f>일위대가목록표!F54</f>
        <v>565406</v>
      </c>
      <c r="I57" s="13">
        <f t="shared" si="2"/>
        <v>0</v>
      </c>
      <c r="J57" s="52">
        <f>일위대가목록표!G54</f>
        <v>6700000</v>
      </c>
      <c r="K57" s="13">
        <f t="shared" si="3"/>
        <v>0</v>
      </c>
      <c r="L57" s="54">
        <f>일위대가목록표!H54</f>
        <v>16961</v>
      </c>
      <c r="M57" s="33">
        <f t="shared" si="4"/>
        <v>0</v>
      </c>
      <c r="N57" s="22" t="s">
        <v>3496</v>
      </c>
      <c r="O57" s="17" t="s">
        <v>3495</v>
      </c>
      <c r="P57" s="7" t="s">
        <v>3494</v>
      </c>
      <c r="Q57" s="7" t="s">
        <v>3344</v>
      </c>
      <c r="AC57" s="3" t="str">
        <f ca="1">HYPERLINK("#"&amp;일위대가목록표!J2&amp;"!A"&amp;ROW(일위대가목록표!A54),"대가51 →")</f>
        <v>대가51 →</v>
      </c>
    </row>
    <row r="58" spans="1:29" ht="30.6" customHeight="1" x14ac:dyDescent="0.3">
      <c r="A58" s="10"/>
      <c r="B58" s="10" t="s">
        <v>123</v>
      </c>
      <c r="C58" s="41" t="s">
        <v>26</v>
      </c>
      <c r="D58" s="43">
        <v>0</v>
      </c>
      <c r="E58" s="22" t="s">
        <v>14</v>
      </c>
      <c r="F58" s="45">
        <f t="shared" si="0"/>
        <v>8234777</v>
      </c>
      <c r="G58" s="48">
        <f t="shared" si="1"/>
        <v>0</v>
      </c>
      <c r="H58" s="50">
        <f>일위대가목록표!F55</f>
        <v>713377</v>
      </c>
      <c r="I58" s="13">
        <f t="shared" si="2"/>
        <v>0</v>
      </c>
      <c r="J58" s="52">
        <f>일위대가목록표!G55</f>
        <v>7500000</v>
      </c>
      <c r="K58" s="13">
        <f t="shared" si="3"/>
        <v>0</v>
      </c>
      <c r="L58" s="54">
        <f>일위대가목록표!H55</f>
        <v>21400</v>
      </c>
      <c r="M58" s="33">
        <f t="shared" si="4"/>
        <v>0</v>
      </c>
      <c r="N58" s="22" t="s">
        <v>3499</v>
      </c>
      <c r="O58" s="17" t="s">
        <v>3498</v>
      </c>
      <c r="P58" s="7" t="s">
        <v>3497</v>
      </c>
      <c r="Q58" s="7" t="s">
        <v>3344</v>
      </c>
      <c r="AC58" s="3" t="str">
        <f ca="1">HYPERLINK("#"&amp;일위대가목록표!J2&amp;"!A"&amp;ROW(일위대가목록표!A55),"대가52 →")</f>
        <v>대가52 →</v>
      </c>
    </row>
    <row r="59" spans="1:29" ht="30.6" customHeight="1" x14ac:dyDescent="0.3">
      <c r="A59" s="10"/>
      <c r="B59" s="10" t="s">
        <v>123</v>
      </c>
      <c r="C59" s="41" t="s">
        <v>29</v>
      </c>
      <c r="D59" s="43">
        <v>0</v>
      </c>
      <c r="E59" s="22" t="s">
        <v>14</v>
      </c>
      <c r="F59" s="45">
        <f t="shared" si="0"/>
        <v>10523410</v>
      </c>
      <c r="G59" s="48">
        <f t="shared" si="1"/>
        <v>0</v>
      </c>
      <c r="H59" s="50">
        <f>일위대가목록표!F56</f>
        <v>896515</v>
      </c>
      <c r="I59" s="13">
        <f t="shared" si="2"/>
        <v>0</v>
      </c>
      <c r="J59" s="52">
        <f>일위대가목록표!G56</f>
        <v>9600000</v>
      </c>
      <c r="K59" s="13">
        <f t="shared" si="3"/>
        <v>0</v>
      </c>
      <c r="L59" s="54">
        <f>일위대가목록표!H56</f>
        <v>26895</v>
      </c>
      <c r="M59" s="33">
        <f t="shared" si="4"/>
        <v>0</v>
      </c>
      <c r="N59" s="22" t="s">
        <v>3502</v>
      </c>
      <c r="O59" s="17" t="s">
        <v>3501</v>
      </c>
      <c r="P59" s="7" t="s">
        <v>3500</v>
      </c>
      <c r="Q59" s="7" t="s">
        <v>3344</v>
      </c>
      <c r="AC59" s="3" t="str">
        <f ca="1">HYPERLINK("#"&amp;일위대가목록표!J2&amp;"!A"&amp;ROW(일위대가목록표!A56),"대가53 →")</f>
        <v>대가53 →</v>
      </c>
    </row>
    <row r="60" spans="1:29" ht="30.6" customHeight="1" x14ac:dyDescent="0.3">
      <c r="A60" s="10"/>
      <c r="B60" s="10" t="s">
        <v>123</v>
      </c>
      <c r="C60" s="41" t="s">
        <v>32</v>
      </c>
      <c r="D60" s="43">
        <v>0</v>
      </c>
      <c r="E60" s="22" t="s">
        <v>14</v>
      </c>
      <c r="F60" s="45">
        <f t="shared" si="0"/>
        <v>12980333</v>
      </c>
      <c r="G60" s="48">
        <f t="shared" si="1"/>
        <v>0</v>
      </c>
      <c r="H60" s="50">
        <f>일위대가목록표!F57</f>
        <v>951780</v>
      </c>
      <c r="I60" s="13">
        <f t="shared" si="2"/>
        <v>0</v>
      </c>
      <c r="J60" s="52">
        <f>일위대가목록표!G57</f>
        <v>12000000</v>
      </c>
      <c r="K60" s="13">
        <f t="shared" si="3"/>
        <v>0</v>
      </c>
      <c r="L60" s="54">
        <f>일위대가목록표!H57</f>
        <v>28553</v>
      </c>
      <c r="M60" s="33">
        <f t="shared" si="4"/>
        <v>0</v>
      </c>
      <c r="N60" s="22" t="s">
        <v>3505</v>
      </c>
      <c r="O60" s="17" t="s">
        <v>3504</v>
      </c>
      <c r="P60" s="7" t="s">
        <v>3503</v>
      </c>
      <c r="Q60" s="7" t="s">
        <v>3344</v>
      </c>
      <c r="AC60" s="3" t="str">
        <f ca="1">HYPERLINK("#"&amp;일위대가목록표!J2&amp;"!A"&amp;ROW(일위대가목록표!A57),"대가54 →")</f>
        <v>대가54 →</v>
      </c>
    </row>
    <row r="61" spans="1:29" ht="30.6" customHeight="1" x14ac:dyDescent="0.3">
      <c r="A61" s="10"/>
      <c r="B61" s="10" t="s">
        <v>123</v>
      </c>
      <c r="C61" s="41" t="s">
        <v>35</v>
      </c>
      <c r="D61" s="43">
        <v>0</v>
      </c>
      <c r="E61" s="22" t="s">
        <v>14</v>
      </c>
      <c r="F61" s="45">
        <f t="shared" si="0"/>
        <v>15083750</v>
      </c>
      <c r="G61" s="48">
        <f t="shared" si="1"/>
        <v>0</v>
      </c>
      <c r="H61" s="50">
        <f>일위대가목록표!F58</f>
        <v>1537622</v>
      </c>
      <c r="I61" s="13">
        <f t="shared" si="2"/>
        <v>0</v>
      </c>
      <c r="J61" s="52">
        <f>일위대가목록표!G58</f>
        <v>13500000</v>
      </c>
      <c r="K61" s="13">
        <f t="shared" si="3"/>
        <v>0</v>
      </c>
      <c r="L61" s="54">
        <f>일위대가목록표!H58</f>
        <v>46128</v>
      </c>
      <c r="M61" s="33">
        <f t="shared" si="4"/>
        <v>0</v>
      </c>
      <c r="N61" s="22" t="s">
        <v>3508</v>
      </c>
      <c r="O61" s="17" t="s">
        <v>3507</v>
      </c>
      <c r="P61" s="7" t="s">
        <v>3506</v>
      </c>
      <c r="Q61" s="7" t="s">
        <v>3344</v>
      </c>
      <c r="AC61" s="3" t="str">
        <f ca="1">HYPERLINK("#"&amp;일위대가목록표!J2&amp;"!A"&amp;ROW(일위대가목록표!A58),"대가55 →")</f>
        <v>대가55 →</v>
      </c>
    </row>
    <row r="62" spans="1:29" ht="30.6" customHeight="1" x14ac:dyDescent="0.3">
      <c r="A62" s="10"/>
      <c r="B62" s="10" t="s">
        <v>123</v>
      </c>
      <c r="C62" s="41" t="s">
        <v>38</v>
      </c>
      <c r="D62" s="43">
        <v>0</v>
      </c>
      <c r="E62" s="22" t="s">
        <v>14</v>
      </c>
      <c r="F62" s="45">
        <f t="shared" si="0"/>
        <v>17044858</v>
      </c>
      <c r="G62" s="48">
        <f t="shared" si="1"/>
        <v>0</v>
      </c>
      <c r="H62" s="50">
        <f>일위대가목록표!F59</f>
        <v>1985300</v>
      </c>
      <c r="I62" s="13">
        <f t="shared" si="2"/>
        <v>0</v>
      </c>
      <c r="J62" s="52">
        <f>일위대가목록표!G59</f>
        <v>15000000</v>
      </c>
      <c r="K62" s="13">
        <f t="shared" si="3"/>
        <v>0</v>
      </c>
      <c r="L62" s="54">
        <f>일위대가목록표!H59</f>
        <v>59558</v>
      </c>
      <c r="M62" s="33">
        <f t="shared" si="4"/>
        <v>0</v>
      </c>
      <c r="N62" s="22" t="s">
        <v>3511</v>
      </c>
      <c r="O62" s="17" t="s">
        <v>3510</v>
      </c>
      <c r="P62" s="7" t="s">
        <v>3509</v>
      </c>
      <c r="Q62" s="7" t="s">
        <v>3344</v>
      </c>
      <c r="AC62" s="3" t="str">
        <f ca="1">HYPERLINK("#"&amp;일위대가목록표!J2&amp;"!A"&amp;ROW(일위대가목록표!A59),"대가56 →")</f>
        <v>대가56 →</v>
      </c>
    </row>
    <row r="63" spans="1:29" ht="30.6" customHeight="1" x14ac:dyDescent="0.3">
      <c r="A63" s="10"/>
      <c r="B63" s="10" t="s">
        <v>123</v>
      </c>
      <c r="C63" s="41" t="s">
        <v>41</v>
      </c>
      <c r="D63" s="43">
        <v>0</v>
      </c>
      <c r="E63" s="22" t="s">
        <v>14</v>
      </c>
      <c r="F63" s="45">
        <f t="shared" si="0"/>
        <v>20289807</v>
      </c>
      <c r="G63" s="48">
        <f t="shared" si="1"/>
        <v>0</v>
      </c>
      <c r="H63" s="50">
        <f>일위대가목록표!F60</f>
        <v>3193989</v>
      </c>
      <c r="I63" s="13">
        <f t="shared" si="2"/>
        <v>0</v>
      </c>
      <c r="J63" s="52">
        <f>일위대가목록표!G60</f>
        <v>17000000</v>
      </c>
      <c r="K63" s="13">
        <f t="shared" si="3"/>
        <v>0</v>
      </c>
      <c r="L63" s="54">
        <f>일위대가목록표!H60</f>
        <v>95818</v>
      </c>
      <c r="M63" s="33">
        <f t="shared" si="4"/>
        <v>0</v>
      </c>
      <c r="N63" s="22" t="s">
        <v>3514</v>
      </c>
      <c r="O63" s="17" t="s">
        <v>3513</v>
      </c>
      <c r="P63" s="7" t="s">
        <v>3512</v>
      </c>
      <c r="Q63" s="7" t="s">
        <v>3344</v>
      </c>
      <c r="AC63" s="3" t="str">
        <f ca="1">HYPERLINK("#"&amp;일위대가목록표!J2&amp;"!A"&amp;ROW(일위대가목록표!A60),"대가57 →")</f>
        <v>대가57 →</v>
      </c>
    </row>
    <row r="64" spans="1:29" ht="30.6" customHeight="1" x14ac:dyDescent="0.3">
      <c r="A64" s="10"/>
      <c r="B64" s="10" t="s">
        <v>123</v>
      </c>
      <c r="C64" s="41" t="s">
        <v>44</v>
      </c>
      <c r="D64" s="43">
        <v>0</v>
      </c>
      <c r="E64" s="22" t="s">
        <v>14</v>
      </c>
      <c r="F64" s="45">
        <f t="shared" si="0"/>
        <v>20989807</v>
      </c>
      <c r="G64" s="48">
        <f t="shared" si="1"/>
        <v>0</v>
      </c>
      <c r="H64" s="50">
        <f>일위대가목록표!F61</f>
        <v>3193989</v>
      </c>
      <c r="I64" s="13">
        <f t="shared" si="2"/>
        <v>0</v>
      </c>
      <c r="J64" s="52">
        <f>일위대가목록표!G61</f>
        <v>17700000</v>
      </c>
      <c r="K64" s="13">
        <f t="shared" si="3"/>
        <v>0</v>
      </c>
      <c r="L64" s="54">
        <f>일위대가목록표!H61</f>
        <v>95818</v>
      </c>
      <c r="M64" s="33">
        <f t="shared" si="4"/>
        <v>0</v>
      </c>
      <c r="N64" s="22" t="s">
        <v>3517</v>
      </c>
      <c r="O64" s="17" t="s">
        <v>3516</v>
      </c>
      <c r="P64" s="7" t="s">
        <v>3515</v>
      </c>
      <c r="Q64" s="7" t="s">
        <v>3344</v>
      </c>
      <c r="AC64" s="3" t="str">
        <f ca="1">HYPERLINK("#"&amp;일위대가목록표!J2&amp;"!A"&amp;ROW(일위대가목록표!A61),"대가58 →")</f>
        <v>대가58 →</v>
      </c>
    </row>
    <row r="65" spans="1:29" ht="30.6" customHeight="1" x14ac:dyDescent="0.3">
      <c r="A65" s="10"/>
      <c r="B65" s="10" t="s">
        <v>123</v>
      </c>
      <c r="C65" s="41" t="s">
        <v>47</v>
      </c>
      <c r="D65" s="43">
        <v>0</v>
      </c>
      <c r="E65" s="22" t="s">
        <v>14</v>
      </c>
      <c r="F65" s="45">
        <f t="shared" si="0"/>
        <v>66030109</v>
      </c>
      <c r="G65" s="48">
        <f t="shared" si="1"/>
        <v>0</v>
      </c>
      <c r="H65" s="50">
        <f>일위대가목록표!F62</f>
        <v>3912728</v>
      </c>
      <c r="I65" s="13">
        <f t="shared" si="2"/>
        <v>0</v>
      </c>
      <c r="J65" s="52">
        <f>일위대가목록표!G62</f>
        <v>62000000</v>
      </c>
      <c r="K65" s="13">
        <f t="shared" si="3"/>
        <v>0</v>
      </c>
      <c r="L65" s="54">
        <f>일위대가목록표!H62</f>
        <v>117381</v>
      </c>
      <c r="M65" s="33">
        <f t="shared" si="4"/>
        <v>0</v>
      </c>
      <c r="N65" s="22" t="s">
        <v>3520</v>
      </c>
      <c r="O65" s="17" t="s">
        <v>3519</v>
      </c>
      <c r="P65" s="7" t="s">
        <v>3518</v>
      </c>
      <c r="Q65" s="7" t="s">
        <v>3344</v>
      </c>
      <c r="AC65" s="3" t="str">
        <f ca="1">HYPERLINK("#"&amp;일위대가목록표!J2&amp;"!A"&amp;ROW(일위대가목록표!A62),"대가59 →")</f>
        <v>대가59 →</v>
      </c>
    </row>
    <row r="66" spans="1:29" ht="30.6" customHeight="1" x14ac:dyDescent="0.3">
      <c r="A66" s="10"/>
      <c r="B66" s="10" t="s">
        <v>148</v>
      </c>
      <c r="C66" s="41" t="s">
        <v>13</v>
      </c>
      <c r="D66" s="43">
        <v>0</v>
      </c>
      <c r="E66" s="22" t="s">
        <v>14</v>
      </c>
      <c r="F66" s="45">
        <f t="shared" si="0"/>
        <v>365273</v>
      </c>
      <c r="G66" s="48">
        <f t="shared" si="1"/>
        <v>0</v>
      </c>
      <c r="H66" s="50">
        <f>일위대가목록표!F63</f>
        <v>354635</v>
      </c>
      <c r="I66" s="13">
        <f t="shared" si="2"/>
        <v>0</v>
      </c>
      <c r="J66" s="52">
        <f>일위대가목록표!G63</f>
        <v>0</v>
      </c>
      <c r="K66" s="13">
        <f t="shared" si="3"/>
        <v>0</v>
      </c>
      <c r="L66" s="54">
        <f>일위대가목록표!H63</f>
        <v>10638</v>
      </c>
      <c r="M66" s="33">
        <f t="shared" si="4"/>
        <v>0</v>
      </c>
      <c r="N66" s="22" t="s">
        <v>3523</v>
      </c>
      <c r="O66" s="17" t="s">
        <v>3522</v>
      </c>
      <c r="P66" s="7" t="s">
        <v>3521</v>
      </c>
      <c r="Q66" s="7" t="s">
        <v>3344</v>
      </c>
      <c r="AC66" s="3" t="str">
        <f ca="1">HYPERLINK("#"&amp;일위대가목록표!J2&amp;"!A"&amp;ROW(일위대가목록표!A63),"대가60 →")</f>
        <v>대가60 →</v>
      </c>
    </row>
    <row r="67" spans="1:29" ht="30.6" customHeight="1" x14ac:dyDescent="0.3">
      <c r="A67" s="10"/>
      <c r="B67" s="10" t="s">
        <v>148</v>
      </c>
      <c r="C67" s="41" t="s">
        <v>17</v>
      </c>
      <c r="D67" s="43">
        <v>1</v>
      </c>
      <c r="E67" s="22" t="s">
        <v>14</v>
      </c>
      <c r="F67" s="45">
        <f t="shared" si="0"/>
        <v>420901</v>
      </c>
      <c r="G67" s="48">
        <f t="shared" si="1"/>
        <v>420901</v>
      </c>
      <c r="H67" s="50">
        <f>일위대가목록표!F64</f>
        <v>408643</v>
      </c>
      <c r="I67" s="13">
        <f t="shared" si="2"/>
        <v>408643</v>
      </c>
      <c r="J67" s="52">
        <f>일위대가목록표!G64</f>
        <v>0</v>
      </c>
      <c r="K67" s="13">
        <f t="shared" si="3"/>
        <v>0</v>
      </c>
      <c r="L67" s="54">
        <f>일위대가목록표!H64</f>
        <v>12258</v>
      </c>
      <c r="M67" s="33">
        <f t="shared" si="4"/>
        <v>12258</v>
      </c>
      <c r="N67" s="22" t="s">
        <v>3526</v>
      </c>
      <c r="O67" s="17" t="s">
        <v>3525</v>
      </c>
      <c r="P67" s="7" t="s">
        <v>3524</v>
      </c>
      <c r="Q67" s="7" t="s">
        <v>3344</v>
      </c>
      <c r="AC67" s="3" t="str">
        <f ca="1">HYPERLINK("#"&amp;일위대가목록표!J2&amp;"!A"&amp;ROW(일위대가목록표!A64),"대가61 →")</f>
        <v>대가61 →</v>
      </c>
    </row>
    <row r="68" spans="1:29" ht="30.6" customHeight="1" x14ac:dyDescent="0.3">
      <c r="A68" s="10"/>
      <c r="B68" s="10" t="s">
        <v>148</v>
      </c>
      <c r="C68" s="41" t="s">
        <v>20</v>
      </c>
      <c r="D68" s="43">
        <v>1</v>
      </c>
      <c r="E68" s="22" t="s">
        <v>14</v>
      </c>
      <c r="F68" s="45">
        <f t="shared" si="0"/>
        <v>483348</v>
      </c>
      <c r="G68" s="48">
        <f t="shared" si="1"/>
        <v>483348</v>
      </c>
      <c r="H68" s="50">
        <f>일위대가목록표!F65</f>
        <v>469271</v>
      </c>
      <c r="I68" s="13">
        <f t="shared" si="2"/>
        <v>469271</v>
      </c>
      <c r="J68" s="52">
        <f>일위대가목록표!G65</f>
        <v>0</v>
      </c>
      <c r="K68" s="13">
        <f t="shared" si="3"/>
        <v>0</v>
      </c>
      <c r="L68" s="54">
        <f>일위대가목록표!H65</f>
        <v>14077</v>
      </c>
      <c r="M68" s="33">
        <f t="shared" si="4"/>
        <v>14077</v>
      </c>
      <c r="N68" s="22" t="s">
        <v>3529</v>
      </c>
      <c r="O68" s="17" t="s">
        <v>3528</v>
      </c>
      <c r="P68" s="7" t="s">
        <v>3527</v>
      </c>
      <c r="Q68" s="7" t="s">
        <v>3344</v>
      </c>
      <c r="AC68" s="3" t="str">
        <f ca="1">HYPERLINK("#"&amp;일위대가목록표!J2&amp;"!A"&amp;ROW(일위대가목록표!A65),"대가62 →")</f>
        <v>대가62 →</v>
      </c>
    </row>
    <row r="69" spans="1:29" ht="30.6" customHeight="1" x14ac:dyDescent="0.3">
      <c r="A69" s="10"/>
      <c r="B69" s="10" t="s">
        <v>148</v>
      </c>
      <c r="C69" s="41" t="s">
        <v>23</v>
      </c>
      <c r="D69" s="43">
        <v>1</v>
      </c>
      <c r="E69" s="22" t="s">
        <v>14</v>
      </c>
      <c r="F69" s="45">
        <f t="shared" si="0"/>
        <v>582367</v>
      </c>
      <c r="G69" s="48">
        <f t="shared" si="1"/>
        <v>582367</v>
      </c>
      <c r="H69" s="50">
        <f>일위대가목록표!F66</f>
        <v>565406</v>
      </c>
      <c r="I69" s="13">
        <f t="shared" si="2"/>
        <v>565406</v>
      </c>
      <c r="J69" s="52">
        <f>일위대가목록표!G66</f>
        <v>0</v>
      </c>
      <c r="K69" s="13">
        <f t="shared" si="3"/>
        <v>0</v>
      </c>
      <c r="L69" s="54">
        <f>일위대가목록표!H66</f>
        <v>16961</v>
      </c>
      <c r="M69" s="33">
        <f t="shared" si="4"/>
        <v>16961</v>
      </c>
      <c r="N69" s="22" t="s">
        <v>3532</v>
      </c>
      <c r="O69" s="17" t="s">
        <v>3531</v>
      </c>
      <c r="P69" s="7" t="s">
        <v>3530</v>
      </c>
      <c r="Q69" s="7" t="s">
        <v>3344</v>
      </c>
      <c r="AC69" s="3" t="str">
        <f ca="1">HYPERLINK("#"&amp;일위대가목록표!J2&amp;"!A"&amp;ROW(일위대가목록표!A66),"대가63 →")</f>
        <v>대가63 →</v>
      </c>
    </row>
    <row r="70" spans="1:29" ht="30.6" customHeight="1" x14ac:dyDescent="0.3">
      <c r="A70" s="10"/>
      <c r="B70" s="10" t="s">
        <v>148</v>
      </c>
      <c r="C70" s="41" t="s">
        <v>26</v>
      </c>
      <c r="D70" s="43">
        <v>0</v>
      </c>
      <c r="E70" s="22" t="s">
        <v>14</v>
      </c>
      <c r="F70" s="45">
        <f t="shared" si="0"/>
        <v>734777</v>
      </c>
      <c r="G70" s="48">
        <f t="shared" si="1"/>
        <v>0</v>
      </c>
      <c r="H70" s="50">
        <f>일위대가목록표!F67</f>
        <v>713377</v>
      </c>
      <c r="I70" s="13">
        <f t="shared" si="2"/>
        <v>0</v>
      </c>
      <c r="J70" s="52">
        <f>일위대가목록표!G67</f>
        <v>0</v>
      </c>
      <c r="K70" s="13">
        <f t="shared" si="3"/>
        <v>0</v>
      </c>
      <c r="L70" s="54">
        <f>일위대가목록표!H67</f>
        <v>21400</v>
      </c>
      <c r="M70" s="33">
        <f t="shared" si="4"/>
        <v>0</v>
      </c>
      <c r="N70" s="22" t="s">
        <v>3535</v>
      </c>
      <c r="O70" s="17" t="s">
        <v>3534</v>
      </c>
      <c r="P70" s="7" t="s">
        <v>3533</v>
      </c>
      <c r="Q70" s="7" t="s">
        <v>3344</v>
      </c>
      <c r="AC70" s="3" t="str">
        <f ca="1">HYPERLINK("#"&amp;일위대가목록표!J2&amp;"!A"&amp;ROW(일위대가목록표!A67),"대가64 →")</f>
        <v>대가64 →</v>
      </c>
    </row>
    <row r="71" spans="1:29" ht="30.6" customHeight="1" x14ac:dyDescent="0.3">
      <c r="A71" s="10"/>
      <c r="B71" s="10" t="s">
        <v>148</v>
      </c>
      <c r="C71" s="41" t="s">
        <v>29</v>
      </c>
      <c r="D71" s="43">
        <v>0</v>
      </c>
      <c r="E71" s="22" t="s">
        <v>14</v>
      </c>
      <c r="F71" s="45">
        <f t="shared" ref="F71:F134" si="5">J71+H71+L71</f>
        <v>923410</v>
      </c>
      <c r="G71" s="48">
        <f t="shared" ref="G71:G134" si="6">K71+I71+M71</f>
        <v>0</v>
      </c>
      <c r="H71" s="50">
        <f>일위대가목록표!F68</f>
        <v>896515</v>
      </c>
      <c r="I71" s="13">
        <f t="shared" ref="I71:I134" si="7">ROUNDDOWN(H71*D71,0)</f>
        <v>0</v>
      </c>
      <c r="J71" s="52">
        <f>일위대가목록표!G68</f>
        <v>0</v>
      </c>
      <c r="K71" s="13">
        <f t="shared" ref="K71:K134" si="8">ROUNDDOWN(J71*D71,0)</f>
        <v>0</v>
      </c>
      <c r="L71" s="54">
        <f>일위대가목록표!H68</f>
        <v>26895</v>
      </c>
      <c r="M71" s="33">
        <f t="shared" ref="M71:M134" si="9">ROUNDDOWN(L71*D71,0)</f>
        <v>0</v>
      </c>
      <c r="N71" s="22" t="s">
        <v>3538</v>
      </c>
      <c r="O71" s="17" t="s">
        <v>3537</v>
      </c>
      <c r="P71" s="7" t="s">
        <v>3536</v>
      </c>
      <c r="Q71" s="7" t="s">
        <v>3344</v>
      </c>
      <c r="AC71" s="3" t="str">
        <f ca="1">HYPERLINK("#"&amp;일위대가목록표!J2&amp;"!A"&amp;ROW(일위대가목록표!A68),"대가65 →")</f>
        <v>대가65 →</v>
      </c>
    </row>
    <row r="72" spans="1:29" ht="30.6" customHeight="1" x14ac:dyDescent="0.3">
      <c r="A72" s="10"/>
      <c r="B72" s="10" t="s">
        <v>148</v>
      </c>
      <c r="C72" s="41" t="s">
        <v>32</v>
      </c>
      <c r="D72" s="43">
        <v>0</v>
      </c>
      <c r="E72" s="22" t="s">
        <v>14</v>
      </c>
      <c r="F72" s="45">
        <f t="shared" si="5"/>
        <v>980333</v>
      </c>
      <c r="G72" s="48">
        <f t="shared" si="6"/>
        <v>0</v>
      </c>
      <c r="H72" s="50">
        <f>일위대가목록표!F69</f>
        <v>951780</v>
      </c>
      <c r="I72" s="13">
        <f t="shared" si="7"/>
        <v>0</v>
      </c>
      <c r="J72" s="52">
        <f>일위대가목록표!G69</f>
        <v>0</v>
      </c>
      <c r="K72" s="13">
        <f t="shared" si="8"/>
        <v>0</v>
      </c>
      <c r="L72" s="54">
        <f>일위대가목록표!H69</f>
        <v>28553</v>
      </c>
      <c r="M72" s="33">
        <f t="shared" si="9"/>
        <v>0</v>
      </c>
      <c r="N72" s="22" t="s">
        <v>3541</v>
      </c>
      <c r="O72" s="17" t="s">
        <v>3540</v>
      </c>
      <c r="P72" s="7" t="s">
        <v>3539</v>
      </c>
      <c r="Q72" s="7" t="s">
        <v>3344</v>
      </c>
      <c r="AC72" s="3" t="str">
        <f ca="1">HYPERLINK("#"&amp;일위대가목록표!J2&amp;"!A"&amp;ROW(일위대가목록표!A69),"대가66 →")</f>
        <v>대가66 →</v>
      </c>
    </row>
    <row r="73" spans="1:29" ht="30.6" customHeight="1" x14ac:dyDescent="0.3">
      <c r="A73" s="10"/>
      <c r="B73" s="10" t="s">
        <v>148</v>
      </c>
      <c r="C73" s="41" t="s">
        <v>35</v>
      </c>
      <c r="D73" s="43">
        <v>0</v>
      </c>
      <c r="E73" s="22" t="s">
        <v>14</v>
      </c>
      <c r="F73" s="45">
        <f t="shared" si="5"/>
        <v>1583750</v>
      </c>
      <c r="G73" s="48">
        <f t="shared" si="6"/>
        <v>0</v>
      </c>
      <c r="H73" s="50">
        <f>일위대가목록표!F70</f>
        <v>1537622</v>
      </c>
      <c r="I73" s="13">
        <f t="shared" si="7"/>
        <v>0</v>
      </c>
      <c r="J73" s="52">
        <f>일위대가목록표!G70</f>
        <v>0</v>
      </c>
      <c r="K73" s="13">
        <f t="shared" si="8"/>
        <v>0</v>
      </c>
      <c r="L73" s="54">
        <f>일위대가목록표!H70</f>
        <v>46128</v>
      </c>
      <c r="M73" s="33">
        <f t="shared" si="9"/>
        <v>0</v>
      </c>
      <c r="N73" s="22" t="s">
        <v>3544</v>
      </c>
      <c r="O73" s="17" t="s">
        <v>3543</v>
      </c>
      <c r="P73" s="7" t="s">
        <v>3542</v>
      </c>
      <c r="Q73" s="7" t="s">
        <v>3344</v>
      </c>
      <c r="AC73" s="3" t="str">
        <f ca="1">HYPERLINK("#"&amp;일위대가목록표!J2&amp;"!A"&amp;ROW(일위대가목록표!A70),"대가67 →")</f>
        <v>대가67 →</v>
      </c>
    </row>
    <row r="74" spans="1:29" ht="30.6" customHeight="1" x14ac:dyDescent="0.3">
      <c r="A74" s="10"/>
      <c r="B74" s="10" t="s">
        <v>148</v>
      </c>
      <c r="C74" s="41" t="s">
        <v>38</v>
      </c>
      <c r="D74" s="43">
        <v>0</v>
      </c>
      <c r="E74" s="22" t="s">
        <v>14</v>
      </c>
      <c r="F74" s="45">
        <f t="shared" si="5"/>
        <v>2044858</v>
      </c>
      <c r="G74" s="48">
        <f t="shared" si="6"/>
        <v>0</v>
      </c>
      <c r="H74" s="50">
        <f>일위대가목록표!F71</f>
        <v>1985300</v>
      </c>
      <c r="I74" s="13">
        <f t="shared" si="7"/>
        <v>0</v>
      </c>
      <c r="J74" s="52">
        <f>일위대가목록표!G71</f>
        <v>0</v>
      </c>
      <c r="K74" s="13">
        <f t="shared" si="8"/>
        <v>0</v>
      </c>
      <c r="L74" s="54">
        <f>일위대가목록표!H71</f>
        <v>59558</v>
      </c>
      <c r="M74" s="33">
        <f t="shared" si="9"/>
        <v>0</v>
      </c>
      <c r="N74" s="22" t="s">
        <v>3547</v>
      </c>
      <c r="O74" s="17" t="s">
        <v>3546</v>
      </c>
      <c r="P74" s="7" t="s">
        <v>3545</v>
      </c>
      <c r="Q74" s="7" t="s">
        <v>3344</v>
      </c>
      <c r="AC74" s="3" t="str">
        <f ca="1">HYPERLINK("#"&amp;일위대가목록표!J2&amp;"!A"&amp;ROW(일위대가목록표!A71),"대가68 →")</f>
        <v>대가68 →</v>
      </c>
    </row>
    <row r="75" spans="1:29" ht="30.6" customHeight="1" x14ac:dyDescent="0.3">
      <c r="A75" s="10"/>
      <c r="B75" s="10" t="s">
        <v>148</v>
      </c>
      <c r="C75" s="41" t="s">
        <v>41</v>
      </c>
      <c r="D75" s="43">
        <v>0</v>
      </c>
      <c r="E75" s="22" t="s">
        <v>14</v>
      </c>
      <c r="F75" s="45">
        <f t="shared" si="5"/>
        <v>3289807</v>
      </c>
      <c r="G75" s="48">
        <f t="shared" si="6"/>
        <v>0</v>
      </c>
      <c r="H75" s="50">
        <f>일위대가목록표!F72</f>
        <v>3193989</v>
      </c>
      <c r="I75" s="13">
        <f t="shared" si="7"/>
        <v>0</v>
      </c>
      <c r="J75" s="52">
        <f>일위대가목록표!G72</f>
        <v>0</v>
      </c>
      <c r="K75" s="13">
        <f t="shared" si="8"/>
        <v>0</v>
      </c>
      <c r="L75" s="54">
        <f>일위대가목록표!H72</f>
        <v>95818</v>
      </c>
      <c r="M75" s="33">
        <f t="shared" si="9"/>
        <v>0</v>
      </c>
      <c r="N75" s="22" t="s">
        <v>3550</v>
      </c>
      <c r="O75" s="17" t="s">
        <v>3549</v>
      </c>
      <c r="P75" s="7" t="s">
        <v>3548</v>
      </c>
      <c r="Q75" s="7" t="s">
        <v>3344</v>
      </c>
      <c r="AC75" s="3" t="str">
        <f ca="1">HYPERLINK("#"&amp;일위대가목록표!J2&amp;"!A"&amp;ROW(일위대가목록표!A72),"대가69 →")</f>
        <v>대가69 →</v>
      </c>
    </row>
    <row r="76" spans="1:29" ht="30.6" customHeight="1" x14ac:dyDescent="0.3">
      <c r="A76" s="10"/>
      <c r="B76" s="10" t="s">
        <v>148</v>
      </c>
      <c r="C76" s="41" t="s">
        <v>44</v>
      </c>
      <c r="D76" s="43">
        <v>0</v>
      </c>
      <c r="E76" s="22" t="s">
        <v>14</v>
      </c>
      <c r="F76" s="45">
        <f t="shared" si="5"/>
        <v>3289807</v>
      </c>
      <c r="G76" s="48">
        <f t="shared" si="6"/>
        <v>0</v>
      </c>
      <c r="H76" s="50">
        <f>일위대가목록표!F73</f>
        <v>3193989</v>
      </c>
      <c r="I76" s="13">
        <f t="shared" si="7"/>
        <v>0</v>
      </c>
      <c r="J76" s="52">
        <f>일위대가목록표!G73</f>
        <v>0</v>
      </c>
      <c r="K76" s="13">
        <f t="shared" si="8"/>
        <v>0</v>
      </c>
      <c r="L76" s="54">
        <f>일위대가목록표!H73</f>
        <v>95818</v>
      </c>
      <c r="M76" s="33">
        <f t="shared" si="9"/>
        <v>0</v>
      </c>
      <c r="N76" s="22" t="s">
        <v>3553</v>
      </c>
      <c r="O76" s="17" t="s">
        <v>3552</v>
      </c>
      <c r="P76" s="7" t="s">
        <v>3551</v>
      </c>
      <c r="Q76" s="7" t="s">
        <v>3344</v>
      </c>
      <c r="AC76" s="3" t="str">
        <f ca="1">HYPERLINK("#"&amp;일위대가목록표!J2&amp;"!A"&amp;ROW(일위대가목록표!A73),"대가70 →")</f>
        <v>대가70 →</v>
      </c>
    </row>
    <row r="77" spans="1:29" ht="30.6" customHeight="1" x14ac:dyDescent="0.3">
      <c r="A77" s="10"/>
      <c r="B77" s="10" t="s">
        <v>148</v>
      </c>
      <c r="C77" s="41" t="s">
        <v>47</v>
      </c>
      <c r="D77" s="43">
        <v>0</v>
      </c>
      <c r="E77" s="22" t="s">
        <v>14</v>
      </c>
      <c r="F77" s="45">
        <f t="shared" si="5"/>
        <v>4030109</v>
      </c>
      <c r="G77" s="48">
        <f t="shared" si="6"/>
        <v>0</v>
      </c>
      <c r="H77" s="50">
        <f>일위대가목록표!F74</f>
        <v>3912728</v>
      </c>
      <c r="I77" s="13">
        <f t="shared" si="7"/>
        <v>0</v>
      </c>
      <c r="J77" s="52">
        <f>일위대가목록표!G74</f>
        <v>0</v>
      </c>
      <c r="K77" s="13">
        <f t="shared" si="8"/>
        <v>0</v>
      </c>
      <c r="L77" s="54">
        <f>일위대가목록표!H74</f>
        <v>117381</v>
      </c>
      <c r="M77" s="33">
        <f t="shared" si="9"/>
        <v>0</v>
      </c>
      <c r="N77" s="22" t="s">
        <v>3556</v>
      </c>
      <c r="O77" s="17" t="s">
        <v>3555</v>
      </c>
      <c r="P77" s="7" t="s">
        <v>3554</v>
      </c>
      <c r="Q77" s="7" t="s">
        <v>3344</v>
      </c>
      <c r="AC77" s="3" t="str">
        <f ca="1">HYPERLINK("#"&amp;일위대가목록표!J2&amp;"!A"&amp;ROW(일위대가목록표!A74),"대가71 →")</f>
        <v>대가71 →</v>
      </c>
    </row>
    <row r="78" spans="1:29" ht="30.6" customHeight="1" x14ac:dyDescent="0.3">
      <c r="A78" s="10"/>
      <c r="B78" s="10" t="s">
        <v>173</v>
      </c>
      <c r="C78" s="41" t="s">
        <v>13</v>
      </c>
      <c r="D78" s="43">
        <v>0</v>
      </c>
      <c r="E78" s="22" t="s">
        <v>14</v>
      </c>
      <c r="F78" s="45">
        <f t="shared" si="5"/>
        <v>260910</v>
      </c>
      <c r="G78" s="48">
        <f t="shared" si="6"/>
        <v>0</v>
      </c>
      <c r="H78" s="50">
        <f>일위대가목록표!F75</f>
        <v>253311</v>
      </c>
      <c r="I78" s="13">
        <f t="shared" si="7"/>
        <v>0</v>
      </c>
      <c r="J78" s="52">
        <f>일위대가목록표!G75</f>
        <v>0</v>
      </c>
      <c r="K78" s="13">
        <f t="shared" si="8"/>
        <v>0</v>
      </c>
      <c r="L78" s="54">
        <f>일위대가목록표!H75</f>
        <v>7599</v>
      </c>
      <c r="M78" s="33">
        <f t="shared" si="9"/>
        <v>0</v>
      </c>
      <c r="N78" s="22" t="s">
        <v>3559</v>
      </c>
      <c r="O78" s="17" t="s">
        <v>3558</v>
      </c>
      <c r="P78" s="7" t="s">
        <v>3557</v>
      </c>
      <c r="Q78" s="7" t="s">
        <v>3344</v>
      </c>
      <c r="AC78" s="3" t="str">
        <f ca="1">HYPERLINK("#"&amp;일위대가목록표!J2&amp;"!A"&amp;ROW(일위대가목록표!A75),"대가72 →")</f>
        <v>대가72 →</v>
      </c>
    </row>
    <row r="79" spans="1:29" ht="30.6" customHeight="1" x14ac:dyDescent="0.3">
      <c r="A79" s="10"/>
      <c r="B79" s="10" t="s">
        <v>173</v>
      </c>
      <c r="C79" s="41" t="s">
        <v>17</v>
      </c>
      <c r="D79" s="43">
        <v>1</v>
      </c>
      <c r="E79" s="22" t="s">
        <v>14</v>
      </c>
      <c r="F79" s="45">
        <f t="shared" si="5"/>
        <v>300644</v>
      </c>
      <c r="G79" s="48">
        <f t="shared" si="6"/>
        <v>300644</v>
      </c>
      <c r="H79" s="50">
        <f>일위대가목록표!F76</f>
        <v>291888</v>
      </c>
      <c r="I79" s="13">
        <f t="shared" si="7"/>
        <v>291888</v>
      </c>
      <c r="J79" s="52">
        <f>일위대가목록표!G76</f>
        <v>0</v>
      </c>
      <c r="K79" s="13">
        <f t="shared" si="8"/>
        <v>0</v>
      </c>
      <c r="L79" s="54">
        <f>일위대가목록표!H76</f>
        <v>8756</v>
      </c>
      <c r="M79" s="33">
        <f t="shared" si="9"/>
        <v>8756</v>
      </c>
      <c r="N79" s="22" t="s">
        <v>3562</v>
      </c>
      <c r="O79" s="17" t="s">
        <v>3561</v>
      </c>
      <c r="P79" s="7" t="s">
        <v>3560</v>
      </c>
      <c r="Q79" s="7" t="s">
        <v>3344</v>
      </c>
      <c r="AC79" s="3" t="str">
        <f ca="1">HYPERLINK("#"&amp;일위대가목록표!J2&amp;"!A"&amp;ROW(일위대가목록표!A76),"대가73 →")</f>
        <v>대가73 →</v>
      </c>
    </row>
    <row r="80" spans="1:29" ht="30.6" customHeight="1" x14ac:dyDescent="0.3">
      <c r="A80" s="10"/>
      <c r="B80" s="10" t="s">
        <v>173</v>
      </c>
      <c r="C80" s="41" t="s">
        <v>20</v>
      </c>
      <c r="D80" s="43">
        <v>0</v>
      </c>
      <c r="E80" s="22" t="s">
        <v>14</v>
      </c>
      <c r="F80" s="45">
        <f t="shared" si="5"/>
        <v>345249</v>
      </c>
      <c r="G80" s="48">
        <f t="shared" si="6"/>
        <v>0</v>
      </c>
      <c r="H80" s="50">
        <f>일위대가목록표!F77</f>
        <v>335194</v>
      </c>
      <c r="I80" s="13">
        <f t="shared" si="7"/>
        <v>0</v>
      </c>
      <c r="J80" s="52">
        <f>일위대가목록표!G77</f>
        <v>0</v>
      </c>
      <c r="K80" s="13">
        <f t="shared" si="8"/>
        <v>0</v>
      </c>
      <c r="L80" s="54">
        <f>일위대가목록표!H77</f>
        <v>10055</v>
      </c>
      <c r="M80" s="33">
        <f t="shared" si="9"/>
        <v>0</v>
      </c>
      <c r="N80" s="22" t="s">
        <v>3565</v>
      </c>
      <c r="O80" s="17" t="s">
        <v>3564</v>
      </c>
      <c r="P80" s="7" t="s">
        <v>3563</v>
      </c>
      <c r="Q80" s="7" t="s">
        <v>3344</v>
      </c>
      <c r="AC80" s="3" t="str">
        <f ca="1">HYPERLINK("#"&amp;일위대가목록표!J2&amp;"!A"&amp;ROW(일위대가목록표!A77),"대가74 →")</f>
        <v>대가74 →</v>
      </c>
    </row>
    <row r="81" spans="1:29" ht="30.6" customHeight="1" x14ac:dyDescent="0.3">
      <c r="A81" s="10"/>
      <c r="B81" s="10" t="s">
        <v>173</v>
      </c>
      <c r="C81" s="41" t="s">
        <v>23</v>
      </c>
      <c r="D81" s="43">
        <v>0</v>
      </c>
      <c r="E81" s="22" t="s">
        <v>14</v>
      </c>
      <c r="F81" s="45">
        <f t="shared" si="5"/>
        <v>415977</v>
      </c>
      <c r="G81" s="48">
        <f t="shared" si="6"/>
        <v>0</v>
      </c>
      <c r="H81" s="50">
        <f>일위대가목록표!F78</f>
        <v>403862</v>
      </c>
      <c r="I81" s="13">
        <f t="shared" si="7"/>
        <v>0</v>
      </c>
      <c r="J81" s="52">
        <f>일위대가목록표!G78</f>
        <v>0</v>
      </c>
      <c r="K81" s="13">
        <f t="shared" si="8"/>
        <v>0</v>
      </c>
      <c r="L81" s="54">
        <f>일위대가목록표!H78</f>
        <v>12115</v>
      </c>
      <c r="M81" s="33">
        <f t="shared" si="9"/>
        <v>0</v>
      </c>
      <c r="N81" s="22" t="s">
        <v>3568</v>
      </c>
      <c r="O81" s="17" t="s">
        <v>3567</v>
      </c>
      <c r="P81" s="7" t="s">
        <v>3566</v>
      </c>
      <c r="Q81" s="7" t="s">
        <v>3344</v>
      </c>
      <c r="AC81" s="3" t="str">
        <f ca="1">HYPERLINK("#"&amp;일위대가목록표!J2&amp;"!A"&amp;ROW(일위대가목록표!A78),"대가75 →")</f>
        <v>대가75 →</v>
      </c>
    </row>
    <row r="82" spans="1:29" ht="30.6" customHeight="1" x14ac:dyDescent="0.3">
      <c r="A82" s="10"/>
      <c r="B82" s="10" t="s">
        <v>173</v>
      </c>
      <c r="C82" s="41" t="s">
        <v>26</v>
      </c>
      <c r="D82" s="43">
        <v>0</v>
      </c>
      <c r="E82" s="22" t="s">
        <v>14</v>
      </c>
      <c r="F82" s="45">
        <f t="shared" si="5"/>
        <v>524841</v>
      </c>
      <c r="G82" s="48">
        <f t="shared" si="6"/>
        <v>0</v>
      </c>
      <c r="H82" s="50">
        <f>일위대가목록표!F79</f>
        <v>509555</v>
      </c>
      <c r="I82" s="13">
        <f t="shared" si="7"/>
        <v>0</v>
      </c>
      <c r="J82" s="52">
        <f>일위대가목록표!G79</f>
        <v>0</v>
      </c>
      <c r="K82" s="13">
        <f t="shared" si="8"/>
        <v>0</v>
      </c>
      <c r="L82" s="54">
        <f>일위대가목록표!H79</f>
        <v>15286</v>
      </c>
      <c r="M82" s="33">
        <f t="shared" si="9"/>
        <v>0</v>
      </c>
      <c r="N82" s="22" t="s">
        <v>3571</v>
      </c>
      <c r="O82" s="17" t="s">
        <v>3570</v>
      </c>
      <c r="P82" s="7" t="s">
        <v>3569</v>
      </c>
      <c r="Q82" s="7" t="s">
        <v>3344</v>
      </c>
      <c r="AC82" s="3" t="str">
        <f ca="1">HYPERLINK("#"&amp;일위대가목록표!J2&amp;"!A"&amp;ROW(일위대가목록표!A79),"대가76 →")</f>
        <v>대가76 →</v>
      </c>
    </row>
    <row r="83" spans="1:29" ht="30.6" customHeight="1" x14ac:dyDescent="0.3">
      <c r="A83" s="10"/>
      <c r="B83" s="10" t="s">
        <v>173</v>
      </c>
      <c r="C83" s="41" t="s">
        <v>29</v>
      </c>
      <c r="D83" s="43">
        <v>0</v>
      </c>
      <c r="E83" s="22" t="s">
        <v>14</v>
      </c>
      <c r="F83" s="45">
        <f t="shared" si="5"/>
        <v>659579</v>
      </c>
      <c r="G83" s="48">
        <f t="shared" si="6"/>
        <v>0</v>
      </c>
      <c r="H83" s="50">
        <f>일위대가목록표!F80</f>
        <v>640368</v>
      </c>
      <c r="I83" s="13">
        <f t="shared" si="7"/>
        <v>0</v>
      </c>
      <c r="J83" s="52">
        <f>일위대가목록표!G80</f>
        <v>0</v>
      </c>
      <c r="K83" s="13">
        <f t="shared" si="8"/>
        <v>0</v>
      </c>
      <c r="L83" s="54">
        <f>일위대가목록표!H80</f>
        <v>19211</v>
      </c>
      <c r="M83" s="33">
        <f t="shared" si="9"/>
        <v>0</v>
      </c>
      <c r="N83" s="22" t="s">
        <v>3574</v>
      </c>
      <c r="O83" s="17" t="s">
        <v>3573</v>
      </c>
      <c r="P83" s="7" t="s">
        <v>3572</v>
      </c>
      <c r="Q83" s="7" t="s">
        <v>3344</v>
      </c>
      <c r="AC83" s="3" t="str">
        <f ca="1">HYPERLINK("#"&amp;일위대가목록표!J2&amp;"!A"&amp;ROW(일위대가목록표!A80),"대가77 →")</f>
        <v>대가77 →</v>
      </c>
    </row>
    <row r="84" spans="1:29" ht="30.6" customHeight="1" x14ac:dyDescent="0.3">
      <c r="A84" s="10"/>
      <c r="B84" s="10" t="s">
        <v>173</v>
      </c>
      <c r="C84" s="41" t="s">
        <v>32</v>
      </c>
      <c r="D84" s="43">
        <v>0</v>
      </c>
      <c r="E84" s="22" t="s">
        <v>14</v>
      </c>
      <c r="F84" s="45">
        <f t="shared" si="5"/>
        <v>700238</v>
      </c>
      <c r="G84" s="48">
        <f t="shared" si="6"/>
        <v>0</v>
      </c>
      <c r="H84" s="50">
        <f>일위대가목록표!F81</f>
        <v>679843</v>
      </c>
      <c r="I84" s="13">
        <f t="shared" si="7"/>
        <v>0</v>
      </c>
      <c r="J84" s="52">
        <f>일위대가목록표!G81</f>
        <v>0</v>
      </c>
      <c r="K84" s="13">
        <f t="shared" si="8"/>
        <v>0</v>
      </c>
      <c r="L84" s="54">
        <f>일위대가목록표!H81</f>
        <v>20395</v>
      </c>
      <c r="M84" s="33">
        <f t="shared" si="9"/>
        <v>0</v>
      </c>
      <c r="N84" s="22" t="s">
        <v>3577</v>
      </c>
      <c r="O84" s="17" t="s">
        <v>3576</v>
      </c>
      <c r="P84" s="7" t="s">
        <v>3575</v>
      </c>
      <c r="Q84" s="7" t="s">
        <v>3344</v>
      </c>
      <c r="AC84" s="3" t="str">
        <f ca="1">HYPERLINK("#"&amp;일위대가목록표!J2&amp;"!A"&amp;ROW(일위대가목록표!A81),"대가78 →")</f>
        <v>대가78 →</v>
      </c>
    </row>
    <row r="85" spans="1:29" ht="30.6" customHeight="1" x14ac:dyDescent="0.3">
      <c r="A85" s="10"/>
      <c r="B85" s="10" t="s">
        <v>173</v>
      </c>
      <c r="C85" s="41" t="s">
        <v>35</v>
      </c>
      <c r="D85" s="43">
        <v>0</v>
      </c>
      <c r="E85" s="22" t="s">
        <v>14</v>
      </c>
      <c r="F85" s="45">
        <f t="shared" si="5"/>
        <v>1131251</v>
      </c>
      <c r="G85" s="48">
        <f t="shared" si="6"/>
        <v>0</v>
      </c>
      <c r="H85" s="50">
        <f>일위대가목록표!F82</f>
        <v>1098302</v>
      </c>
      <c r="I85" s="13">
        <f t="shared" si="7"/>
        <v>0</v>
      </c>
      <c r="J85" s="52">
        <f>일위대가목록표!G82</f>
        <v>0</v>
      </c>
      <c r="K85" s="13">
        <f t="shared" si="8"/>
        <v>0</v>
      </c>
      <c r="L85" s="54">
        <f>일위대가목록표!H82</f>
        <v>32949</v>
      </c>
      <c r="M85" s="33">
        <f t="shared" si="9"/>
        <v>0</v>
      </c>
      <c r="N85" s="22" t="s">
        <v>3580</v>
      </c>
      <c r="O85" s="17" t="s">
        <v>3579</v>
      </c>
      <c r="P85" s="7" t="s">
        <v>3578</v>
      </c>
      <c r="Q85" s="7" t="s">
        <v>3344</v>
      </c>
      <c r="AC85" s="3" t="str">
        <f ca="1">HYPERLINK("#"&amp;일위대가목록표!J2&amp;"!A"&amp;ROW(일위대가목록표!A82),"대가79 →")</f>
        <v>대가79 →</v>
      </c>
    </row>
    <row r="86" spans="1:29" ht="30.6" customHeight="1" x14ac:dyDescent="0.3">
      <c r="A86" s="10"/>
      <c r="B86" s="10" t="s">
        <v>173</v>
      </c>
      <c r="C86" s="41" t="s">
        <v>38</v>
      </c>
      <c r="D86" s="43">
        <v>0</v>
      </c>
      <c r="E86" s="22" t="s">
        <v>14</v>
      </c>
      <c r="F86" s="45">
        <f t="shared" si="5"/>
        <v>1460614</v>
      </c>
      <c r="G86" s="48">
        <f t="shared" si="6"/>
        <v>0</v>
      </c>
      <c r="H86" s="50">
        <f>일위대가목록표!F83</f>
        <v>1418072</v>
      </c>
      <c r="I86" s="13">
        <f t="shared" si="7"/>
        <v>0</v>
      </c>
      <c r="J86" s="52">
        <f>일위대가목록표!G83</f>
        <v>0</v>
      </c>
      <c r="K86" s="13">
        <f t="shared" si="8"/>
        <v>0</v>
      </c>
      <c r="L86" s="54">
        <f>일위대가목록표!H83</f>
        <v>42542</v>
      </c>
      <c r="M86" s="33">
        <f t="shared" si="9"/>
        <v>0</v>
      </c>
      <c r="N86" s="22" t="s">
        <v>3583</v>
      </c>
      <c r="O86" s="17" t="s">
        <v>3582</v>
      </c>
      <c r="P86" s="7" t="s">
        <v>3581</v>
      </c>
      <c r="Q86" s="7" t="s">
        <v>3344</v>
      </c>
      <c r="AC86" s="3" t="str">
        <f ca="1">HYPERLINK("#"&amp;일위대가목록표!J2&amp;"!A"&amp;ROW(일위대가목록표!A83),"대가80 →")</f>
        <v>대가80 →</v>
      </c>
    </row>
    <row r="87" spans="1:29" ht="30.6" customHeight="1" x14ac:dyDescent="0.3">
      <c r="A87" s="10"/>
      <c r="B87" s="10" t="s">
        <v>173</v>
      </c>
      <c r="C87" s="41" t="s">
        <v>41</v>
      </c>
      <c r="D87" s="43">
        <v>0</v>
      </c>
      <c r="E87" s="22" t="s">
        <v>14</v>
      </c>
      <c r="F87" s="45">
        <f t="shared" si="5"/>
        <v>2349863</v>
      </c>
      <c r="G87" s="48">
        <f t="shared" si="6"/>
        <v>0</v>
      </c>
      <c r="H87" s="50">
        <f>일위대가목록표!F84</f>
        <v>2281421</v>
      </c>
      <c r="I87" s="13">
        <f t="shared" si="7"/>
        <v>0</v>
      </c>
      <c r="J87" s="52">
        <f>일위대가목록표!G84</f>
        <v>0</v>
      </c>
      <c r="K87" s="13">
        <f t="shared" si="8"/>
        <v>0</v>
      </c>
      <c r="L87" s="54">
        <f>일위대가목록표!H84</f>
        <v>68442</v>
      </c>
      <c r="M87" s="33">
        <f t="shared" si="9"/>
        <v>0</v>
      </c>
      <c r="N87" s="22" t="s">
        <v>3586</v>
      </c>
      <c r="O87" s="17" t="s">
        <v>3585</v>
      </c>
      <c r="P87" s="7" t="s">
        <v>3584</v>
      </c>
      <c r="Q87" s="7" t="s">
        <v>3344</v>
      </c>
      <c r="AC87" s="3" t="str">
        <f ca="1">HYPERLINK("#"&amp;일위대가목록표!J2&amp;"!A"&amp;ROW(일위대가목록표!A84),"대가81 →")</f>
        <v>대가81 →</v>
      </c>
    </row>
    <row r="88" spans="1:29" ht="30.6" customHeight="1" x14ac:dyDescent="0.3">
      <c r="A88" s="10"/>
      <c r="B88" s="10" t="s">
        <v>173</v>
      </c>
      <c r="C88" s="41" t="s">
        <v>44</v>
      </c>
      <c r="D88" s="43">
        <v>0</v>
      </c>
      <c r="E88" s="22" t="s">
        <v>14</v>
      </c>
      <c r="F88" s="45">
        <f t="shared" si="5"/>
        <v>2349863</v>
      </c>
      <c r="G88" s="48">
        <f t="shared" si="6"/>
        <v>0</v>
      </c>
      <c r="H88" s="50">
        <f>일위대가목록표!F85</f>
        <v>2281421</v>
      </c>
      <c r="I88" s="13">
        <f t="shared" si="7"/>
        <v>0</v>
      </c>
      <c r="J88" s="52">
        <f>일위대가목록표!G85</f>
        <v>0</v>
      </c>
      <c r="K88" s="13">
        <f t="shared" si="8"/>
        <v>0</v>
      </c>
      <c r="L88" s="54">
        <f>일위대가목록표!H85</f>
        <v>68442</v>
      </c>
      <c r="M88" s="33">
        <f t="shared" si="9"/>
        <v>0</v>
      </c>
      <c r="N88" s="22" t="s">
        <v>3589</v>
      </c>
      <c r="O88" s="17" t="s">
        <v>3588</v>
      </c>
      <c r="P88" s="7" t="s">
        <v>3587</v>
      </c>
      <c r="Q88" s="7" t="s">
        <v>3344</v>
      </c>
      <c r="AC88" s="3" t="str">
        <f ca="1">HYPERLINK("#"&amp;일위대가목록표!J2&amp;"!A"&amp;ROW(일위대가목록표!A85),"대가82 →")</f>
        <v>대가82 →</v>
      </c>
    </row>
    <row r="89" spans="1:29" ht="30.6" customHeight="1" x14ac:dyDescent="0.3">
      <c r="A89" s="10"/>
      <c r="B89" s="10" t="s">
        <v>173</v>
      </c>
      <c r="C89" s="41" t="s">
        <v>47</v>
      </c>
      <c r="D89" s="43">
        <v>0</v>
      </c>
      <c r="E89" s="22" t="s">
        <v>14</v>
      </c>
      <c r="F89" s="45">
        <f t="shared" si="5"/>
        <v>2878650</v>
      </c>
      <c r="G89" s="48">
        <f t="shared" si="6"/>
        <v>0</v>
      </c>
      <c r="H89" s="50">
        <f>일위대가목록표!F86</f>
        <v>2794806</v>
      </c>
      <c r="I89" s="13">
        <f t="shared" si="7"/>
        <v>0</v>
      </c>
      <c r="J89" s="52">
        <f>일위대가목록표!G86</f>
        <v>0</v>
      </c>
      <c r="K89" s="13">
        <f t="shared" si="8"/>
        <v>0</v>
      </c>
      <c r="L89" s="54">
        <f>일위대가목록표!H86</f>
        <v>83844</v>
      </c>
      <c r="M89" s="33">
        <f t="shared" si="9"/>
        <v>0</v>
      </c>
      <c r="N89" s="22" t="s">
        <v>3592</v>
      </c>
      <c r="O89" s="17" t="s">
        <v>3591</v>
      </c>
      <c r="P89" s="7" t="s">
        <v>3590</v>
      </c>
      <c r="Q89" s="7" t="s">
        <v>3344</v>
      </c>
      <c r="AC89" s="3" t="str">
        <f ca="1">HYPERLINK("#"&amp;일위대가목록표!J2&amp;"!A"&amp;ROW(일위대가목록표!A86),"대가83 →")</f>
        <v>대가83 →</v>
      </c>
    </row>
    <row r="90" spans="1:29" ht="30.6" customHeight="1" x14ac:dyDescent="0.3">
      <c r="A90" s="10"/>
      <c r="B90" s="10" t="s">
        <v>198</v>
      </c>
      <c r="C90" s="41" t="s">
        <v>13</v>
      </c>
      <c r="D90" s="43">
        <v>0</v>
      </c>
      <c r="E90" s="22" t="s">
        <v>14</v>
      </c>
      <c r="F90" s="45">
        <f t="shared" si="5"/>
        <v>104363</v>
      </c>
      <c r="G90" s="48">
        <f t="shared" si="6"/>
        <v>0</v>
      </c>
      <c r="H90" s="50">
        <f>일위대가목록표!F87</f>
        <v>101324</v>
      </c>
      <c r="I90" s="13">
        <f t="shared" si="7"/>
        <v>0</v>
      </c>
      <c r="J90" s="52">
        <f>일위대가목록표!G87</f>
        <v>0</v>
      </c>
      <c r="K90" s="13">
        <f t="shared" si="8"/>
        <v>0</v>
      </c>
      <c r="L90" s="54">
        <f>일위대가목록표!H87</f>
        <v>3039</v>
      </c>
      <c r="M90" s="33">
        <f t="shared" si="9"/>
        <v>0</v>
      </c>
      <c r="N90" s="22" t="s">
        <v>3595</v>
      </c>
      <c r="O90" s="17" t="s">
        <v>3594</v>
      </c>
      <c r="P90" s="7" t="s">
        <v>3593</v>
      </c>
      <c r="Q90" s="7" t="s">
        <v>3344</v>
      </c>
      <c r="AC90" s="3" t="str">
        <f ca="1">HYPERLINK("#"&amp;일위대가목록표!J2&amp;"!A"&amp;ROW(일위대가목록표!A87),"대가84 →")</f>
        <v>대가84 →</v>
      </c>
    </row>
    <row r="91" spans="1:29" ht="30.6" customHeight="1" x14ac:dyDescent="0.3">
      <c r="A91" s="10"/>
      <c r="B91" s="10" t="s">
        <v>198</v>
      </c>
      <c r="C91" s="41" t="s">
        <v>17</v>
      </c>
      <c r="D91" s="43">
        <v>0</v>
      </c>
      <c r="E91" s="22" t="s">
        <v>14</v>
      </c>
      <c r="F91" s="45">
        <f t="shared" si="5"/>
        <v>120257</v>
      </c>
      <c r="G91" s="48">
        <f t="shared" si="6"/>
        <v>0</v>
      </c>
      <c r="H91" s="50">
        <f>일위대가목록표!F88</f>
        <v>116755</v>
      </c>
      <c r="I91" s="13">
        <f t="shared" si="7"/>
        <v>0</v>
      </c>
      <c r="J91" s="52">
        <f>일위대가목록표!G88</f>
        <v>0</v>
      </c>
      <c r="K91" s="13">
        <f t="shared" si="8"/>
        <v>0</v>
      </c>
      <c r="L91" s="54">
        <f>일위대가목록표!H88</f>
        <v>3502</v>
      </c>
      <c r="M91" s="33">
        <f t="shared" si="9"/>
        <v>0</v>
      </c>
      <c r="N91" s="22" t="s">
        <v>3598</v>
      </c>
      <c r="O91" s="17" t="s">
        <v>3597</v>
      </c>
      <c r="P91" s="7" t="s">
        <v>3596</v>
      </c>
      <c r="Q91" s="7" t="s">
        <v>3344</v>
      </c>
      <c r="AC91" s="3" t="str">
        <f ca="1">HYPERLINK("#"&amp;일위대가목록표!J2&amp;"!A"&amp;ROW(일위대가목록표!A88),"대가85 →")</f>
        <v>대가85 →</v>
      </c>
    </row>
    <row r="92" spans="1:29" ht="30.6" customHeight="1" x14ac:dyDescent="0.3">
      <c r="A92" s="10"/>
      <c r="B92" s="10" t="s">
        <v>198</v>
      </c>
      <c r="C92" s="41" t="s">
        <v>20</v>
      </c>
      <c r="D92" s="43">
        <v>0</v>
      </c>
      <c r="E92" s="22" t="s">
        <v>14</v>
      </c>
      <c r="F92" s="45">
        <f t="shared" si="5"/>
        <v>138099</v>
      </c>
      <c r="G92" s="48">
        <f t="shared" si="6"/>
        <v>0</v>
      </c>
      <c r="H92" s="50">
        <f>일위대가목록표!F89</f>
        <v>134077</v>
      </c>
      <c r="I92" s="13">
        <f t="shared" si="7"/>
        <v>0</v>
      </c>
      <c r="J92" s="52">
        <f>일위대가목록표!G89</f>
        <v>0</v>
      </c>
      <c r="K92" s="13">
        <f t="shared" si="8"/>
        <v>0</v>
      </c>
      <c r="L92" s="54">
        <f>일위대가목록표!H89</f>
        <v>4022</v>
      </c>
      <c r="M92" s="33">
        <f t="shared" si="9"/>
        <v>0</v>
      </c>
      <c r="N92" s="22" t="s">
        <v>3601</v>
      </c>
      <c r="O92" s="17" t="s">
        <v>3600</v>
      </c>
      <c r="P92" s="7" t="s">
        <v>3599</v>
      </c>
      <c r="Q92" s="7" t="s">
        <v>3344</v>
      </c>
      <c r="AC92" s="3" t="str">
        <f ca="1">HYPERLINK("#"&amp;일위대가목록표!J2&amp;"!A"&amp;ROW(일위대가목록표!A89),"대가86 →")</f>
        <v>대가86 →</v>
      </c>
    </row>
    <row r="93" spans="1:29" ht="30.6" customHeight="1" x14ac:dyDescent="0.3">
      <c r="A93" s="10"/>
      <c r="B93" s="10" t="s">
        <v>198</v>
      </c>
      <c r="C93" s="41" t="s">
        <v>23</v>
      </c>
      <c r="D93" s="43">
        <v>0</v>
      </c>
      <c r="E93" s="22" t="s">
        <v>14</v>
      </c>
      <c r="F93" s="45">
        <f t="shared" si="5"/>
        <v>166390</v>
      </c>
      <c r="G93" s="48">
        <f t="shared" si="6"/>
        <v>0</v>
      </c>
      <c r="H93" s="50">
        <f>일위대가목록표!F90</f>
        <v>161544</v>
      </c>
      <c r="I93" s="13">
        <f t="shared" si="7"/>
        <v>0</v>
      </c>
      <c r="J93" s="52">
        <f>일위대가목록표!G90</f>
        <v>0</v>
      </c>
      <c r="K93" s="13">
        <f t="shared" si="8"/>
        <v>0</v>
      </c>
      <c r="L93" s="54">
        <f>일위대가목록표!H90</f>
        <v>4846</v>
      </c>
      <c r="M93" s="33">
        <f t="shared" si="9"/>
        <v>0</v>
      </c>
      <c r="N93" s="22" t="s">
        <v>3604</v>
      </c>
      <c r="O93" s="17" t="s">
        <v>3603</v>
      </c>
      <c r="P93" s="7" t="s">
        <v>3602</v>
      </c>
      <c r="Q93" s="7" t="s">
        <v>3344</v>
      </c>
      <c r="AC93" s="3" t="str">
        <f ca="1">HYPERLINK("#"&amp;일위대가목록표!J2&amp;"!A"&amp;ROW(일위대가목록표!A90),"대가87 →")</f>
        <v>대가87 →</v>
      </c>
    </row>
    <row r="94" spans="1:29" ht="30.6" customHeight="1" x14ac:dyDescent="0.3">
      <c r="A94" s="10"/>
      <c r="B94" s="10" t="s">
        <v>198</v>
      </c>
      <c r="C94" s="41" t="s">
        <v>26</v>
      </c>
      <c r="D94" s="43">
        <v>0</v>
      </c>
      <c r="E94" s="22" t="s">
        <v>14</v>
      </c>
      <c r="F94" s="45">
        <f t="shared" si="5"/>
        <v>209936</v>
      </c>
      <c r="G94" s="48">
        <f t="shared" si="6"/>
        <v>0</v>
      </c>
      <c r="H94" s="50">
        <f>일위대가목록표!F91</f>
        <v>203822</v>
      </c>
      <c r="I94" s="13">
        <f t="shared" si="7"/>
        <v>0</v>
      </c>
      <c r="J94" s="52">
        <f>일위대가목록표!G91</f>
        <v>0</v>
      </c>
      <c r="K94" s="13">
        <f t="shared" si="8"/>
        <v>0</v>
      </c>
      <c r="L94" s="54">
        <f>일위대가목록표!H91</f>
        <v>6114</v>
      </c>
      <c r="M94" s="33">
        <f t="shared" si="9"/>
        <v>0</v>
      </c>
      <c r="N94" s="22" t="s">
        <v>3607</v>
      </c>
      <c r="O94" s="17" t="s">
        <v>3606</v>
      </c>
      <c r="P94" s="7" t="s">
        <v>3605</v>
      </c>
      <c r="Q94" s="7" t="s">
        <v>3344</v>
      </c>
      <c r="AC94" s="3" t="str">
        <f ca="1">HYPERLINK("#"&amp;일위대가목록표!J2&amp;"!A"&amp;ROW(일위대가목록표!A91),"대가88 →")</f>
        <v>대가88 →</v>
      </c>
    </row>
    <row r="95" spans="1:29" ht="30.6" customHeight="1" x14ac:dyDescent="0.3">
      <c r="A95" s="10"/>
      <c r="B95" s="10" t="s">
        <v>198</v>
      </c>
      <c r="C95" s="41" t="s">
        <v>29</v>
      </c>
      <c r="D95" s="43">
        <v>0</v>
      </c>
      <c r="E95" s="22" t="s">
        <v>14</v>
      </c>
      <c r="F95" s="45">
        <f t="shared" si="5"/>
        <v>263831</v>
      </c>
      <c r="G95" s="48">
        <f t="shared" si="6"/>
        <v>0</v>
      </c>
      <c r="H95" s="50">
        <f>일위대가목록표!F92</f>
        <v>256147</v>
      </c>
      <c r="I95" s="13">
        <f t="shared" si="7"/>
        <v>0</v>
      </c>
      <c r="J95" s="52">
        <f>일위대가목록표!G92</f>
        <v>0</v>
      </c>
      <c r="K95" s="13">
        <f t="shared" si="8"/>
        <v>0</v>
      </c>
      <c r="L95" s="54">
        <f>일위대가목록표!H92</f>
        <v>7684</v>
      </c>
      <c r="M95" s="33">
        <f t="shared" si="9"/>
        <v>0</v>
      </c>
      <c r="N95" s="22" t="s">
        <v>3610</v>
      </c>
      <c r="O95" s="17" t="s">
        <v>3609</v>
      </c>
      <c r="P95" s="7" t="s">
        <v>3608</v>
      </c>
      <c r="Q95" s="7" t="s">
        <v>3344</v>
      </c>
      <c r="AC95" s="3" t="str">
        <f ca="1">HYPERLINK("#"&amp;일위대가목록표!J2&amp;"!A"&amp;ROW(일위대가목록표!A92),"대가89 →")</f>
        <v>대가89 →</v>
      </c>
    </row>
    <row r="96" spans="1:29" ht="30.6" customHeight="1" x14ac:dyDescent="0.3">
      <c r="A96" s="10"/>
      <c r="B96" s="10" t="s">
        <v>198</v>
      </c>
      <c r="C96" s="41" t="s">
        <v>32</v>
      </c>
      <c r="D96" s="43">
        <v>0</v>
      </c>
      <c r="E96" s="22" t="s">
        <v>14</v>
      </c>
      <c r="F96" s="45">
        <f t="shared" si="5"/>
        <v>280095</v>
      </c>
      <c r="G96" s="48">
        <f t="shared" si="6"/>
        <v>0</v>
      </c>
      <c r="H96" s="50">
        <f>일위대가목록표!F93</f>
        <v>271937</v>
      </c>
      <c r="I96" s="13">
        <f t="shared" si="7"/>
        <v>0</v>
      </c>
      <c r="J96" s="52">
        <f>일위대가목록표!G93</f>
        <v>0</v>
      </c>
      <c r="K96" s="13">
        <f t="shared" si="8"/>
        <v>0</v>
      </c>
      <c r="L96" s="54">
        <f>일위대가목록표!H93</f>
        <v>8158</v>
      </c>
      <c r="M96" s="33">
        <f t="shared" si="9"/>
        <v>0</v>
      </c>
      <c r="N96" s="22" t="s">
        <v>3613</v>
      </c>
      <c r="O96" s="17" t="s">
        <v>3612</v>
      </c>
      <c r="P96" s="7" t="s">
        <v>3611</v>
      </c>
      <c r="Q96" s="7" t="s">
        <v>3344</v>
      </c>
      <c r="AC96" s="3" t="str">
        <f ca="1">HYPERLINK("#"&amp;일위대가목록표!J2&amp;"!A"&amp;ROW(일위대가목록표!A93),"대가90 →")</f>
        <v>대가90 →</v>
      </c>
    </row>
    <row r="97" spans="1:29" ht="30.6" customHeight="1" x14ac:dyDescent="0.3">
      <c r="A97" s="10"/>
      <c r="B97" s="10" t="s">
        <v>198</v>
      </c>
      <c r="C97" s="41" t="s">
        <v>35</v>
      </c>
      <c r="D97" s="43">
        <v>0</v>
      </c>
      <c r="E97" s="22" t="s">
        <v>14</v>
      </c>
      <c r="F97" s="45">
        <f t="shared" si="5"/>
        <v>452499</v>
      </c>
      <c r="G97" s="48">
        <f t="shared" si="6"/>
        <v>0</v>
      </c>
      <c r="H97" s="50">
        <f>일위대가목록표!F94</f>
        <v>439320</v>
      </c>
      <c r="I97" s="13">
        <f t="shared" si="7"/>
        <v>0</v>
      </c>
      <c r="J97" s="52">
        <f>일위대가목록표!G94</f>
        <v>0</v>
      </c>
      <c r="K97" s="13">
        <f t="shared" si="8"/>
        <v>0</v>
      </c>
      <c r="L97" s="54">
        <f>일위대가목록표!H94</f>
        <v>13179</v>
      </c>
      <c r="M97" s="33">
        <f t="shared" si="9"/>
        <v>0</v>
      </c>
      <c r="N97" s="22" t="s">
        <v>3616</v>
      </c>
      <c r="O97" s="17" t="s">
        <v>3615</v>
      </c>
      <c r="P97" s="7" t="s">
        <v>3614</v>
      </c>
      <c r="Q97" s="7" t="s">
        <v>3344</v>
      </c>
      <c r="AC97" s="3" t="str">
        <f ca="1">HYPERLINK("#"&amp;일위대가목록표!J2&amp;"!A"&amp;ROW(일위대가목록표!A94),"대가91 →")</f>
        <v>대가91 →</v>
      </c>
    </row>
    <row r="98" spans="1:29" ht="30.6" customHeight="1" x14ac:dyDescent="0.3">
      <c r="A98" s="10"/>
      <c r="B98" s="10" t="s">
        <v>198</v>
      </c>
      <c r="C98" s="41" t="s">
        <v>38</v>
      </c>
      <c r="D98" s="43">
        <v>0</v>
      </c>
      <c r="E98" s="22" t="s">
        <v>14</v>
      </c>
      <c r="F98" s="45">
        <f t="shared" si="5"/>
        <v>584244</v>
      </c>
      <c r="G98" s="48">
        <f t="shared" si="6"/>
        <v>0</v>
      </c>
      <c r="H98" s="50">
        <f>일위대가목록표!F95</f>
        <v>567228</v>
      </c>
      <c r="I98" s="13">
        <f t="shared" si="7"/>
        <v>0</v>
      </c>
      <c r="J98" s="52">
        <f>일위대가목록표!G95</f>
        <v>0</v>
      </c>
      <c r="K98" s="13">
        <f t="shared" si="8"/>
        <v>0</v>
      </c>
      <c r="L98" s="54">
        <f>일위대가목록표!H95</f>
        <v>17016</v>
      </c>
      <c r="M98" s="33">
        <f t="shared" si="9"/>
        <v>0</v>
      </c>
      <c r="N98" s="22" t="s">
        <v>3619</v>
      </c>
      <c r="O98" s="17" t="s">
        <v>3618</v>
      </c>
      <c r="P98" s="7" t="s">
        <v>3617</v>
      </c>
      <c r="Q98" s="7" t="s">
        <v>3344</v>
      </c>
      <c r="AC98" s="3" t="str">
        <f ca="1">HYPERLINK("#"&amp;일위대가목록표!J2&amp;"!A"&amp;ROW(일위대가목록표!A95),"대가92 →")</f>
        <v>대가92 →</v>
      </c>
    </row>
    <row r="99" spans="1:29" ht="30.6" customHeight="1" x14ac:dyDescent="0.3">
      <c r="A99" s="10"/>
      <c r="B99" s="10" t="s">
        <v>198</v>
      </c>
      <c r="C99" s="41" t="s">
        <v>41</v>
      </c>
      <c r="D99" s="43">
        <v>0</v>
      </c>
      <c r="E99" s="22" t="s">
        <v>14</v>
      </c>
      <c r="F99" s="45">
        <f t="shared" si="5"/>
        <v>939944</v>
      </c>
      <c r="G99" s="48">
        <f t="shared" si="6"/>
        <v>0</v>
      </c>
      <c r="H99" s="50">
        <f>일위대가목록표!F96</f>
        <v>912568</v>
      </c>
      <c r="I99" s="13">
        <f t="shared" si="7"/>
        <v>0</v>
      </c>
      <c r="J99" s="52">
        <f>일위대가목록표!G96</f>
        <v>0</v>
      </c>
      <c r="K99" s="13">
        <f t="shared" si="8"/>
        <v>0</v>
      </c>
      <c r="L99" s="54">
        <f>일위대가목록표!H96</f>
        <v>27376</v>
      </c>
      <c r="M99" s="33">
        <f t="shared" si="9"/>
        <v>0</v>
      </c>
      <c r="N99" s="22" t="s">
        <v>3622</v>
      </c>
      <c r="O99" s="17" t="s">
        <v>3621</v>
      </c>
      <c r="P99" s="7" t="s">
        <v>3620</v>
      </c>
      <c r="Q99" s="7" t="s">
        <v>3344</v>
      </c>
      <c r="AC99" s="3" t="str">
        <f ca="1">HYPERLINK("#"&amp;일위대가목록표!J2&amp;"!A"&amp;ROW(일위대가목록표!A96),"대가93 →")</f>
        <v>대가93 →</v>
      </c>
    </row>
    <row r="100" spans="1:29" ht="30.6" customHeight="1" x14ac:dyDescent="0.3">
      <c r="A100" s="10"/>
      <c r="B100" s="10" t="s">
        <v>198</v>
      </c>
      <c r="C100" s="41" t="s">
        <v>44</v>
      </c>
      <c r="D100" s="43">
        <v>0</v>
      </c>
      <c r="E100" s="22" t="s">
        <v>14</v>
      </c>
      <c r="F100" s="45">
        <f t="shared" si="5"/>
        <v>939944</v>
      </c>
      <c r="G100" s="48">
        <f t="shared" si="6"/>
        <v>0</v>
      </c>
      <c r="H100" s="50">
        <f>일위대가목록표!F97</f>
        <v>912568</v>
      </c>
      <c r="I100" s="13">
        <f t="shared" si="7"/>
        <v>0</v>
      </c>
      <c r="J100" s="52">
        <f>일위대가목록표!G97</f>
        <v>0</v>
      </c>
      <c r="K100" s="13">
        <f t="shared" si="8"/>
        <v>0</v>
      </c>
      <c r="L100" s="54">
        <f>일위대가목록표!H97</f>
        <v>27376</v>
      </c>
      <c r="M100" s="33">
        <f t="shared" si="9"/>
        <v>0</v>
      </c>
      <c r="N100" s="22" t="s">
        <v>3625</v>
      </c>
      <c r="O100" s="17" t="s">
        <v>3624</v>
      </c>
      <c r="P100" s="7" t="s">
        <v>3623</v>
      </c>
      <c r="Q100" s="7" t="s">
        <v>3344</v>
      </c>
      <c r="AC100" s="3" t="str">
        <f ca="1">HYPERLINK("#"&amp;일위대가목록표!J2&amp;"!A"&amp;ROW(일위대가목록표!A97),"대가94 →")</f>
        <v>대가94 →</v>
      </c>
    </row>
    <row r="101" spans="1:29" ht="30.6" customHeight="1" x14ac:dyDescent="0.3">
      <c r="A101" s="10"/>
      <c r="B101" s="10" t="s">
        <v>198</v>
      </c>
      <c r="C101" s="41" t="s">
        <v>47</v>
      </c>
      <c r="D101" s="43">
        <v>0</v>
      </c>
      <c r="E101" s="22" t="s">
        <v>14</v>
      </c>
      <c r="F101" s="45">
        <f t="shared" si="5"/>
        <v>1151459</v>
      </c>
      <c r="G101" s="48">
        <f t="shared" si="6"/>
        <v>0</v>
      </c>
      <c r="H101" s="50">
        <f>일위대가목록표!F98</f>
        <v>1117922</v>
      </c>
      <c r="I101" s="13">
        <f t="shared" si="7"/>
        <v>0</v>
      </c>
      <c r="J101" s="52">
        <f>일위대가목록표!G98</f>
        <v>0</v>
      </c>
      <c r="K101" s="13">
        <f t="shared" si="8"/>
        <v>0</v>
      </c>
      <c r="L101" s="54">
        <f>일위대가목록표!H98</f>
        <v>33537</v>
      </c>
      <c r="M101" s="33">
        <f t="shared" si="9"/>
        <v>0</v>
      </c>
      <c r="N101" s="22" t="s">
        <v>3628</v>
      </c>
      <c r="O101" s="17" t="s">
        <v>3627</v>
      </c>
      <c r="P101" s="7" t="s">
        <v>3626</v>
      </c>
      <c r="Q101" s="7" t="s">
        <v>3344</v>
      </c>
      <c r="AC101" s="3" t="str">
        <f ca="1">HYPERLINK("#"&amp;일위대가목록표!J2&amp;"!A"&amp;ROW(일위대가목록표!A98),"대가95 →")</f>
        <v>대가95 →</v>
      </c>
    </row>
    <row r="102" spans="1:29" ht="30.6" customHeight="1" x14ac:dyDescent="0.3">
      <c r="A102" s="10"/>
      <c r="B102" s="10" t="s">
        <v>223</v>
      </c>
      <c r="C102" s="41" t="s">
        <v>224</v>
      </c>
      <c r="D102" s="43">
        <v>1</v>
      </c>
      <c r="E102" s="22" t="s">
        <v>14</v>
      </c>
      <c r="F102" s="45">
        <f t="shared" si="5"/>
        <v>1761713</v>
      </c>
      <c r="G102" s="48">
        <f t="shared" si="6"/>
        <v>1761713</v>
      </c>
      <c r="H102" s="50">
        <f>일위대가목록표!F99</f>
        <v>207713</v>
      </c>
      <c r="I102" s="13">
        <f t="shared" si="7"/>
        <v>207713</v>
      </c>
      <c r="J102" s="52">
        <f>일위대가목록표!G99</f>
        <v>1554000</v>
      </c>
      <c r="K102" s="13">
        <f t="shared" si="8"/>
        <v>1554000</v>
      </c>
      <c r="L102" s="54">
        <f>일위대가목록표!H99</f>
        <v>0</v>
      </c>
      <c r="M102" s="33">
        <f t="shared" si="9"/>
        <v>0</v>
      </c>
      <c r="N102" s="22" t="s">
        <v>3631</v>
      </c>
      <c r="O102" s="17" t="s">
        <v>3630</v>
      </c>
      <c r="P102" s="7" t="s">
        <v>3629</v>
      </c>
      <c r="Q102" s="7" t="s">
        <v>3344</v>
      </c>
      <c r="AC102" s="3" t="str">
        <f ca="1">HYPERLINK("#"&amp;일위대가목록표!J2&amp;"!A"&amp;ROW(일위대가목록표!A99),"대가96 →")</f>
        <v>대가96 →</v>
      </c>
    </row>
    <row r="103" spans="1:29" ht="30.6" customHeight="1" x14ac:dyDescent="0.3">
      <c r="A103" s="10"/>
      <c r="B103" s="10" t="s">
        <v>223</v>
      </c>
      <c r="C103" s="41" t="s">
        <v>227</v>
      </c>
      <c r="D103" s="43">
        <v>0</v>
      </c>
      <c r="E103" s="22" t="s">
        <v>14</v>
      </c>
      <c r="F103" s="45">
        <f t="shared" si="5"/>
        <v>2825713</v>
      </c>
      <c r="G103" s="48">
        <f t="shared" si="6"/>
        <v>0</v>
      </c>
      <c r="H103" s="50">
        <f>일위대가목록표!F100</f>
        <v>207713</v>
      </c>
      <c r="I103" s="13">
        <f t="shared" si="7"/>
        <v>0</v>
      </c>
      <c r="J103" s="52">
        <f>일위대가목록표!G100</f>
        <v>2618000</v>
      </c>
      <c r="K103" s="13">
        <f t="shared" si="8"/>
        <v>0</v>
      </c>
      <c r="L103" s="54">
        <f>일위대가목록표!H100</f>
        <v>0</v>
      </c>
      <c r="M103" s="33">
        <f t="shared" si="9"/>
        <v>0</v>
      </c>
      <c r="N103" s="22" t="s">
        <v>3634</v>
      </c>
      <c r="O103" s="17" t="s">
        <v>3633</v>
      </c>
      <c r="P103" s="7" t="s">
        <v>3632</v>
      </c>
      <c r="Q103" s="7" t="s">
        <v>3344</v>
      </c>
      <c r="AC103" s="3" t="str">
        <f ca="1">HYPERLINK("#"&amp;일위대가목록표!J2&amp;"!A"&amp;ROW(일위대가목록표!A100),"대가97 →")</f>
        <v>대가97 →</v>
      </c>
    </row>
    <row r="104" spans="1:29" ht="30.6" customHeight="1" x14ac:dyDescent="0.3">
      <c r="A104" s="10"/>
      <c r="B104" s="10" t="s">
        <v>223</v>
      </c>
      <c r="C104" s="41" t="s">
        <v>230</v>
      </c>
      <c r="D104" s="43">
        <v>0</v>
      </c>
      <c r="E104" s="22" t="s">
        <v>14</v>
      </c>
      <c r="F104" s="45">
        <f t="shared" si="5"/>
        <v>4807256</v>
      </c>
      <c r="G104" s="48">
        <f t="shared" si="6"/>
        <v>0</v>
      </c>
      <c r="H104" s="50">
        <f>일위대가목록표!F101</f>
        <v>249256</v>
      </c>
      <c r="I104" s="13">
        <f t="shared" si="7"/>
        <v>0</v>
      </c>
      <c r="J104" s="52">
        <f>일위대가목록표!G101</f>
        <v>4558000</v>
      </c>
      <c r="K104" s="13">
        <f t="shared" si="8"/>
        <v>0</v>
      </c>
      <c r="L104" s="54">
        <f>일위대가목록표!H101</f>
        <v>0</v>
      </c>
      <c r="M104" s="33">
        <f t="shared" si="9"/>
        <v>0</v>
      </c>
      <c r="N104" s="22" t="s">
        <v>3637</v>
      </c>
      <c r="O104" s="17" t="s">
        <v>3636</v>
      </c>
      <c r="P104" s="7" t="s">
        <v>3635</v>
      </c>
      <c r="Q104" s="7" t="s">
        <v>3344</v>
      </c>
      <c r="AC104" s="3" t="str">
        <f ca="1">HYPERLINK("#"&amp;일위대가목록표!J2&amp;"!A"&amp;ROW(일위대가목록표!A101),"대가98 →")</f>
        <v>대가98 →</v>
      </c>
    </row>
    <row r="105" spans="1:29" ht="30.6" customHeight="1" x14ac:dyDescent="0.3">
      <c r="A105" s="10"/>
      <c r="B105" s="10" t="s">
        <v>223</v>
      </c>
      <c r="C105" s="41" t="s">
        <v>233</v>
      </c>
      <c r="D105" s="43">
        <v>0</v>
      </c>
      <c r="E105" s="22" t="s">
        <v>14</v>
      </c>
      <c r="F105" s="45">
        <f t="shared" si="5"/>
        <v>5051799</v>
      </c>
      <c r="G105" s="48">
        <f t="shared" si="6"/>
        <v>0</v>
      </c>
      <c r="H105" s="50">
        <f>일위대가목록표!F102</f>
        <v>290799</v>
      </c>
      <c r="I105" s="13">
        <f t="shared" si="7"/>
        <v>0</v>
      </c>
      <c r="J105" s="52">
        <f>일위대가목록표!G102</f>
        <v>4761000</v>
      </c>
      <c r="K105" s="13">
        <f t="shared" si="8"/>
        <v>0</v>
      </c>
      <c r="L105" s="54">
        <f>일위대가목록표!H102</f>
        <v>0</v>
      </c>
      <c r="M105" s="33">
        <f t="shared" si="9"/>
        <v>0</v>
      </c>
      <c r="N105" s="22" t="s">
        <v>3640</v>
      </c>
      <c r="O105" s="17" t="s">
        <v>3639</v>
      </c>
      <c r="P105" s="7" t="s">
        <v>3638</v>
      </c>
      <c r="Q105" s="7" t="s">
        <v>3344</v>
      </c>
      <c r="AC105" s="3" t="str">
        <f ca="1">HYPERLINK("#"&amp;일위대가목록표!J2&amp;"!A"&amp;ROW(일위대가목록표!A102),"대가99 →")</f>
        <v>대가99 →</v>
      </c>
    </row>
    <row r="106" spans="1:29" ht="30.6" customHeight="1" x14ac:dyDescent="0.3">
      <c r="A106" s="10"/>
      <c r="B106" s="10" t="s">
        <v>223</v>
      </c>
      <c r="C106" s="41" t="s">
        <v>236</v>
      </c>
      <c r="D106" s="43">
        <v>0</v>
      </c>
      <c r="E106" s="22" t="s">
        <v>14</v>
      </c>
      <c r="F106" s="45">
        <f t="shared" si="5"/>
        <v>6416885</v>
      </c>
      <c r="G106" s="48">
        <f t="shared" si="6"/>
        <v>0</v>
      </c>
      <c r="H106" s="50">
        <f>일위대가목록표!F103</f>
        <v>373885</v>
      </c>
      <c r="I106" s="13">
        <f t="shared" si="7"/>
        <v>0</v>
      </c>
      <c r="J106" s="52">
        <f>일위대가목록표!G103</f>
        <v>6043000</v>
      </c>
      <c r="K106" s="13">
        <f t="shared" si="8"/>
        <v>0</v>
      </c>
      <c r="L106" s="54">
        <f>일위대가목록표!H103</f>
        <v>0</v>
      </c>
      <c r="M106" s="33">
        <f t="shared" si="9"/>
        <v>0</v>
      </c>
      <c r="N106" s="22" t="s">
        <v>3643</v>
      </c>
      <c r="O106" s="17" t="s">
        <v>3642</v>
      </c>
      <c r="P106" s="7" t="s">
        <v>3641</v>
      </c>
      <c r="Q106" s="7" t="s">
        <v>3344</v>
      </c>
      <c r="AC106" s="3" t="str">
        <f ca="1">HYPERLINK("#"&amp;일위대가목록표!J2&amp;"!A"&amp;ROW(일위대가목록표!A103),"대가100 →")</f>
        <v>대가100 →</v>
      </c>
    </row>
    <row r="107" spans="1:29" ht="30.6" customHeight="1" x14ac:dyDescent="0.3">
      <c r="A107" s="10"/>
      <c r="B107" s="10" t="s">
        <v>223</v>
      </c>
      <c r="C107" s="41" t="s">
        <v>239</v>
      </c>
      <c r="D107" s="43">
        <v>0</v>
      </c>
      <c r="E107" s="22" t="s">
        <v>14</v>
      </c>
      <c r="F107" s="45">
        <f t="shared" si="5"/>
        <v>8557599</v>
      </c>
      <c r="G107" s="48">
        <f t="shared" si="6"/>
        <v>0</v>
      </c>
      <c r="H107" s="50">
        <f>일위대가목록표!F104</f>
        <v>581599</v>
      </c>
      <c r="I107" s="13">
        <f t="shared" si="7"/>
        <v>0</v>
      </c>
      <c r="J107" s="52">
        <f>일위대가목록표!G104</f>
        <v>7976000</v>
      </c>
      <c r="K107" s="13">
        <f t="shared" si="8"/>
        <v>0</v>
      </c>
      <c r="L107" s="54">
        <f>일위대가목록표!H104</f>
        <v>0</v>
      </c>
      <c r="M107" s="33">
        <f t="shared" si="9"/>
        <v>0</v>
      </c>
      <c r="N107" s="22" t="s">
        <v>3646</v>
      </c>
      <c r="O107" s="17" t="s">
        <v>3645</v>
      </c>
      <c r="P107" s="7" t="s">
        <v>3644</v>
      </c>
      <c r="Q107" s="7" t="s">
        <v>3344</v>
      </c>
      <c r="AC107" s="3" t="str">
        <f ca="1">HYPERLINK("#"&amp;일위대가목록표!J2&amp;"!A"&amp;ROW(일위대가목록표!A104),"대가101 →")</f>
        <v>대가101 →</v>
      </c>
    </row>
    <row r="108" spans="1:29" ht="30.6" customHeight="1" x14ac:dyDescent="0.3">
      <c r="A108" s="10"/>
      <c r="B108" s="10" t="s">
        <v>223</v>
      </c>
      <c r="C108" s="41" t="s">
        <v>242</v>
      </c>
      <c r="D108" s="43">
        <v>0</v>
      </c>
      <c r="E108" s="22" t="s">
        <v>14</v>
      </c>
      <c r="F108" s="45">
        <f t="shared" si="5"/>
        <v>8710599</v>
      </c>
      <c r="G108" s="48">
        <f t="shared" si="6"/>
        <v>0</v>
      </c>
      <c r="H108" s="50">
        <f>일위대가목록표!F105</f>
        <v>581599</v>
      </c>
      <c r="I108" s="13">
        <f t="shared" si="7"/>
        <v>0</v>
      </c>
      <c r="J108" s="52">
        <f>일위대가목록표!G105</f>
        <v>8129000</v>
      </c>
      <c r="K108" s="13">
        <f t="shared" si="8"/>
        <v>0</v>
      </c>
      <c r="L108" s="54">
        <f>일위대가목록표!H105</f>
        <v>0</v>
      </c>
      <c r="M108" s="33">
        <f t="shared" si="9"/>
        <v>0</v>
      </c>
      <c r="N108" s="22" t="s">
        <v>3649</v>
      </c>
      <c r="O108" s="17" t="s">
        <v>3648</v>
      </c>
      <c r="P108" s="7" t="s">
        <v>3647</v>
      </c>
      <c r="Q108" s="7" t="s">
        <v>3344</v>
      </c>
      <c r="AC108" s="3" t="str">
        <f ca="1">HYPERLINK("#"&amp;일위대가목록표!J2&amp;"!A"&amp;ROW(일위대가목록표!A105),"대가102 →")</f>
        <v>대가102 →</v>
      </c>
    </row>
    <row r="109" spans="1:29" ht="30.6" customHeight="1" x14ac:dyDescent="0.3">
      <c r="A109" s="10"/>
      <c r="B109" s="10" t="s">
        <v>223</v>
      </c>
      <c r="C109" s="41" t="s">
        <v>245</v>
      </c>
      <c r="D109" s="43">
        <v>0</v>
      </c>
      <c r="E109" s="22" t="s">
        <v>14</v>
      </c>
      <c r="F109" s="45">
        <f t="shared" si="5"/>
        <v>9194080</v>
      </c>
      <c r="G109" s="48">
        <f t="shared" si="6"/>
        <v>0</v>
      </c>
      <c r="H109" s="50">
        <f>일위대가목록표!F106</f>
        <v>827080</v>
      </c>
      <c r="I109" s="13">
        <f t="shared" si="7"/>
        <v>0</v>
      </c>
      <c r="J109" s="52">
        <f>일위대가목록표!G106</f>
        <v>8367000</v>
      </c>
      <c r="K109" s="13">
        <f t="shared" si="8"/>
        <v>0</v>
      </c>
      <c r="L109" s="54">
        <f>일위대가목록표!H106</f>
        <v>0</v>
      </c>
      <c r="M109" s="33">
        <f t="shared" si="9"/>
        <v>0</v>
      </c>
      <c r="N109" s="22" t="s">
        <v>3652</v>
      </c>
      <c r="O109" s="17" t="s">
        <v>3651</v>
      </c>
      <c r="P109" s="7" t="s">
        <v>3650</v>
      </c>
      <c r="Q109" s="7" t="s">
        <v>3344</v>
      </c>
      <c r="AC109" s="3" t="str">
        <f ca="1">HYPERLINK("#"&amp;일위대가목록표!J2&amp;"!A"&amp;ROW(일위대가목록표!A106),"대가103 →")</f>
        <v>대가103 →</v>
      </c>
    </row>
    <row r="110" spans="1:29" ht="30.6" customHeight="1" x14ac:dyDescent="0.3">
      <c r="A110" s="10"/>
      <c r="B110" s="10" t="s">
        <v>223</v>
      </c>
      <c r="C110" s="41" t="s">
        <v>248</v>
      </c>
      <c r="D110" s="43">
        <v>0</v>
      </c>
      <c r="E110" s="22" t="s">
        <v>14</v>
      </c>
      <c r="F110" s="45">
        <f t="shared" si="5"/>
        <v>9681338</v>
      </c>
      <c r="G110" s="48">
        <f t="shared" si="6"/>
        <v>0</v>
      </c>
      <c r="H110" s="50">
        <f>일위대가목록표!F107</f>
        <v>1076338</v>
      </c>
      <c r="I110" s="13">
        <f t="shared" si="7"/>
        <v>0</v>
      </c>
      <c r="J110" s="52">
        <f>일위대가목록표!G107</f>
        <v>8605000</v>
      </c>
      <c r="K110" s="13">
        <f t="shared" si="8"/>
        <v>0</v>
      </c>
      <c r="L110" s="54">
        <f>일위대가목록표!H107</f>
        <v>0</v>
      </c>
      <c r="M110" s="33">
        <f t="shared" si="9"/>
        <v>0</v>
      </c>
      <c r="N110" s="22" t="s">
        <v>3655</v>
      </c>
      <c r="O110" s="17" t="s">
        <v>3654</v>
      </c>
      <c r="P110" s="7" t="s">
        <v>3653</v>
      </c>
      <c r="Q110" s="7" t="s">
        <v>3344</v>
      </c>
      <c r="AC110" s="3" t="str">
        <f ca="1">HYPERLINK("#"&amp;일위대가목록표!J2&amp;"!A"&amp;ROW(일위대가목록표!A107),"대가104 →")</f>
        <v>대가104 →</v>
      </c>
    </row>
    <row r="111" spans="1:29" ht="30.6" customHeight="1" x14ac:dyDescent="0.3">
      <c r="A111" s="10"/>
      <c r="B111" s="10" t="s">
        <v>223</v>
      </c>
      <c r="C111" s="41" t="s">
        <v>251</v>
      </c>
      <c r="D111" s="43">
        <v>0</v>
      </c>
      <c r="E111" s="22" t="s">
        <v>14</v>
      </c>
      <c r="F111" s="45">
        <f t="shared" si="5"/>
        <v>13239509</v>
      </c>
      <c r="G111" s="48">
        <f t="shared" si="6"/>
        <v>0</v>
      </c>
      <c r="H111" s="50">
        <f>일위대가목록표!F108</f>
        <v>1242509</v>
      </c>
      <c r="I111" s="13">
        <f t="shared" si="7"/>
        <v>0</v>
      </c>
      <c r="J111" s="52">
        <f>일위대가목록표!G108</f>
        <v>11997000</v>
      </c>
      <c r="K111" s="13">
        <f t="shared" si="8"/>
        <v>0</v>
      </c>
      <c r="L111" s="54">
        <f>일위대가목록표!H108</f>
        <v>0</v>
      </c>
      <c r="M111" s="33">
        <f t="shared" si="9"/>
        <v>0</v>
      </c>
      <c r="N111" s="22" t="s">
        <v>3658</v>
      </c>
      <c r="O111" s="17" t="s">
        <v>3657</v>
      </c>
      <c r="P111" s="7" t="s">
        <v>3656</v>
      </c>
      <c r="Q111" s="7" t="s">
        <v>3344</v>
      </c>
      <c r="AC111" s="3" t="str">
        <f ca="1">HYPERLINK("#"&amp;일위대가목록표!J2&amp;"!A"&amp;ROW(일위대가목록표!A108),"대가105 →")</f>
        <v>대가105 →</v>
      </c>
    </row>
    <row r="112" spans="1:29" ht="30.6" customHeight="1" x14ac:dyDescent="0.3">
      <c r="A112" s="10"/>
      <c r="B112" s="10" t="s">
        <v>223</v>
      </c>
      <c r="C112" s="41" t="s">
        <v>254</v>
      </c>
      <c r="D112" s="43">
        <v>0</v>
      </c>
      <c r="E112" s="22" t="s">
        <v>14</v>
      </c>
      <c r="F112" s="45">
        <f t="shared" si="5"/>
        <v>14845681</v>
      </c>
      <c r="G112" s="48">
        <f t="shared" si="6"/>
        <v>0</v>
      </c>
      <c r="H112" s="50">
        <f>일위대가목록표!F109</f>
        <v>1408681</v>
      </c>
      <c r="I112" s="13">
        <f t="shared" si="7"/>
        <v>0</v>
      </c>
      <c r="J112" s="52">
        <f>일위대가목록표!G109</f>
        <v>13437000</v>
      </c>
      <c r="K112" s="13">
        <f t="shared" si="8"/>
        <v>0</v>
      </c>
      <c r="L112" s="54">
        <f>일위대가목록표!H109</f>
        <v>0</v>
      </c>
      <c r="M112" s="33">
        <f t="shared" si="9"/>
        <v>0</v>
      </c>
      <c r="N112" s="22" t="s">
        <v>3661</v>
      </c>
      <c r="O112" s="17" t="s">
        <v>3660</v>
      </c>
      <c r="P112" s="7" t="s">
        <v>3659</v>
      </c>
      <c r="Q112" s="7" t="s">
        <v>3344</v>
      </c>
      <c r="AC112" s="3" t="str">
        <f ca="1">HYPERLINK("#"&amp;일위대가목록표!J2&amp;"!A"&amp;ROW(일위대가목록표!A109),"대가106 →")</f>
        <v>대가106 →</v>
      </c>
    </row>
    <row r="113" spans="1:29" ht="30.6" customHeight="1" x14ac:dyDescent="0.3">
      <c r="A113" s="10"/>
      <c r="B113" s="10" t="s">
        <v>223</v>
      </c>
      <c r="C113" s="41" t="s">
        <v>257</v>
      </c>
      <c r="D113" s="43">
        <v>0</v>
      </c>
      <c r="E113" s="22" t="s">
        <v>14</v>
      </c>
      <c r="F113" s="45">
        <f t="shared" si="5"/>
        <v>34036964</v>
      </c>
      <c r="G113" s="48">
        <f t="shared" si="6"/>
        <v>0</v>
      </c>
      <c r="H113" s="50">
        <f>일위대가목록표!F110</f>
        <v>2613964</v>
      </c>
      <c r="I113" s="13">
        <f t="shared" si="7"/>
        <v>0</v>
      </c>
      <c r="J113" s="52">
        <f>일위대가목록표!G110</f>
        <v>31423000</v>
      </c>
      <c r="K113" s="13">
        <f t="shared" si="8"/>
        <v>0</v>
      </c>
      <c r="L113" s="54">
        <f>일위대가목록표!H110</f>
        <v>0</v>
      </c>
      <c r="M113" s="33">
        <f t="shared" si="9"/>
        <v>0</v>
      </c>
      <c r="N113" s="22" t="s">
        <v>3664</v>
      </c>
      <c r="O113" s="17" t="s">
        <v>3663</v>
      </c>
      <c r="P113" s="7" t="s">
        <v>3662</v>
      </c>
      <c r="Q113" s="7" t="s">
        <v>3344</v>
      </c>
      <c r="AC113" s="3" t="str">
        <f ca="1">HYPERLINK("#"&amp;일위대가목록표!J2&amp;"!A"&amp;ROW(일위대가목록표!A110),"대가107 →")</f>
        <v>대가107 →</v>
      </c>
    </row>
    <row r="114" spans="1:29" ht="30.6" customHeight="1" x14ac:dyDescent="0.3">
      <c r="A114" s="10"/>
      <c r="B114" s="10" t="s">
        <v>260</v>
      </c>
      <c r="C114" s="41" t="s">
        <v>224</v>
      </c>
      <c r="D114" s="43">
        <v>1</v>
      </c>
      <c r="E114" s="22" t="s">
        <v>14</v>
      </c>
      <c r="F114" s="45">
        <f t="shared" si="5"/>
        <v>207713</v>
      </c>
      <c r="G114" s="48">
        <f t="shared" si="6"/>
        <v>207713</v>
      </c>
      <c r="H114" s="50">
        <f>일위대가목록표!F111</f>
        <v>207713</v>
      </c>
      <c r="I114" s="13">
        <f t="shared" si="7"/>
        <v>207713</v>
      </c>
      <c r="J114" s="52">
        <f>일위대가목록표!G111</f>
        <v>0</v>
      </c>
      <c r="K114" s="13">
        <f t="shared" si="8"/>
        <v>0</v>
      </c>
      <c r="L114" s="54">
        <f>일위대가목록표!H111</f>
        <v>0</v>
      </c>
      <c r="M114" s="33">
        <f t="shared" si="9"/>
        <v>0</v>
      </c>
      <c r="N114" s="22" t="s">
        <v>3667</v>
      </c>
      <c r="O114" s="17" t="s">
        <v>3666</v>
      </c>
      <c r="P114" s="7" t="s">
        <v>3665</v>
      </c>
      <c r="Q114" s="7" t="s">
        <v>3344</v>
      </c>
      <c r="AC114" s="3" t="str">
        <f ca="1">HYPERLINK("#"&amp;일위대가목록표!J2&amp;"!A"&amp;ROW(일위대가목록표!A111),"대가108 →")</f>
        <v>대가108 →</v>
      </c>
    </row>
    <row r="115" spans="1:29" ht="30.6" customHeight="1" x14ac:dyDescent="0.3">
      <c r="A115" s="10"/>
      <c r="B115" s="10" t="s">
        <v>260</v>
      </c>
      <c r="C115" s="41" t="s">
        <v>227</v>
      </c>
      <c r="D115" s="43">
        <v>1</v>
      </c>
      <c r="E115" s="22" t="s">
        <v>14</v>
      </c>
      <c r="F115" s="45">
        <f t="shared" si="5"/>
        <v>207713</v>
      </c>
      <c r="G115" s="48">
        <f t="shared" si="6"/>
        <v>207713</v>
      </c>
      <c r="H115" s="50">
        <f>일위대가목록표!F112</f>
        <v>207713</v>
      </c>
      <c r="I115" s="13">
        <f t="shared" si="7"/>
        <v>207713</v>
      </c>
      <c r="J115" s="52">
        <f>일위대가목록표!G112</f>
        <v>0</v>
      </c>
      <c r="K115" s="13">
        <f t="shared" si="8"/>
        <v>0</v>
      </c>
      <c r="L115" s="54">
        <f>일위대가목록표!H112</f>
        <v>0</v>
      </c>
      <c r="M115" s="33">
        <f t="shared" si="9"/>
        <v>0</v>
      </c>
      <c r="N115" s="22" t="s">
        <v>3670</v>
      </c>
      <c r="O115" s="17" t="s">
        <v>3669</v>
      </c>
      <c r="P115" s="7" t="s">
        <v>3668</v>
      </c>
      <c r="Q115" s="7" t="s">
        <v>3344</v>
      </c>
      <c r="AC115" s="3" t="str">
        <f ca="1">HYPERLINK("#"&amp;일위대가목록표!J2&amp;"!A"&amp;ROW(일위대가목록표!A112),"대가109 →")</f>
        <v>대가109 →</v>
      </c>
    </row>
    <row r="116" spans="1:29" ht="30.6" customHeight="1" x14ac:dyDescent="0.3">
      <c r="A116" s="10"/>
      <c r="B116" s="10" t="s">
        <v>260</v>
      </c>
      <c r="C116" s="41" t="s">
        <v>230</v>
      </c>
      <c r="D116" s="43">
        <v>1</v>
      </c>
      <c r="E116" s="22" t="s">
        <v>14</v>
      </c>
      <c r="F116" s="45">
        <f t="shared" si="5"/>
        <v>249256</v>
      </c>
      <c r="G116" s="48">
        <f t="shared" si="6"/>
        <v>249256</v>
      </c>
      <c r="H116" s="50">
        <f>일위대가목록표!F113</f>
        <v>249256</v>
      </c>
      <c r="I116" s="13">
        <f t="shared" si="7"/>
        <v>249256</v>
      </c>
      <c r="J116" s="52">
        <f>일위대가목록표!G113</f>
        <v>0</v>
      </c>
      <c r="K116" s="13">
        <f t="shared" si="8"/>
        <v>0</v>
      </c>
      <c r="L116" s="54">
        <f>일위대가목록표!H113</f>
        <v>0</v>
      </c>
      <c r="M116" s="33">
        <f t="shared" si="9"/>
        <v>0</v>
      </c>
      <c r="N116" s="22" t="s">
        <v>3673</v>
      </c>
      <c r="O116" s="17" t="s">
        <v>3672</v>
      </c>
      <c r="P116" s="7" t="s">
        <v>3671</v>
      </c>
      <c r="Q116" s="7" t="s">
        <v>3344</v>
      </c>
      <c r="AC116" s="3" t="str">
        <f ca="1">HYPERLINK("#"&amp;일위대가목록표!J2&amp;"!A"&amp;ROW(일위대가목록표!A113),"대가110 →")</f>
        <v>대가110 →</v>
      </c>
    </row>
    <row r="117" spans="1:29" ht="30.6" customHeight="1" x14ac:dyDescent="0.3">
      <c r="A117" s="10"/>
      <c r="B117" s="10" t="s">
        <v>260</v>
      </c>
      <c r="C117" s="41" t="s">
        <v>233</v>
      </c>
      <c r="D117" s="43">
        <v>0</v>
      </c>
      <c r="E117" s="22" t="s">
        <v>14</v>
      </c>
      <c r="F117" s="45">
        <f t="shared" si="5"/>
        <v>290799</v>
      </c>
      <c r="G117" s="48">
        <f t="shared" si="6"/>
        <v>0</v>
      </c>
      <c r="H117" s="50">
        <f>일위대가목록표!F114</f>
        <v>290799</v>
      </c>
      <c r="I117" s="13">
        <f t="shared" si="7"/>
        <v>0</v>
      </c>
      <c r="J117" s="52">
        <f>일위대가목록표!G114</f>
        <v>0</v>
      </c>
      <c r="K117" s="13">
        <f t="shared" si="8"/>
        <v>0</v>
      </c>
      <c r="L117" s="54">
        <f>일위대가목록표!H114</f>
        <v>0</v>
      </c>
      <c r="M117" s="33">
        <f t="shared" si="9"/>
        <v>0</v>
      </c>
      <c r="N117" s="22" t="s">
        <v>3676</v>
      </c>
      <c r="O117" s="17" t="s">
        <v>3675</v>
      </c>
      <c r="P117" s="7" t="s">
        <v>3674</v>
      </c>
      <c r="Q117" s="7" t="s">
        <v>3344</v>
      </c>
      <c r="AC117" s="3" t="str">
        <f ca="1">HYPERLINK("#"&amp;일위대가목록표!J2&amp;"!A"&amp;ROW(일위대가목록표!A114),"대가111 →")</f>
        <v>대가111 →</v>
      </c>
    </row>
    <row r="118" spans="1:29" ht="30.6" customHeight="1" x14ac:dyDescent="0.3">
      <c r="A118" s="10"/>
      <c r="B118" s="10" t="s">
        <v>260</v>
      </c>
      <c r="C118" s="41" t="s">
        <v>236</v>
      </c>
      <c r="D118" s="43">
        <v>0</v>
      </c>
      <c r="E118" s="22" t="s">
        <v>14</v>
      </c>
      <c r="F118" s="45">
        <f t="shared" si="5"/>
        <v>373885</v>
      </c>
      <c r="G118" s="48">
        <f t="shared" si="6"/>
        <v>0</v>
      </c>
      <c r="H118" s="50">
        <f>일위대가목록표!F115</f>
        <v>373885</v>
      </c>
      <c r="I118" s="13">
        <f t="shared" si="7"/>
        <v>0</v>
      </c>
      <c r="J118" s="52">
        <f>일위대가목록표!G115</f>
        <v>0</v>
      </c>
      <c r="K118" s="13">
        <f t="shared" si="8"/>
        <v>0</v>
      </c>
      <c r="L118" s="54">
        <f>일위대가목록표!H115</f>
        <v>0</v>
      </c>
      <c r="M118" s="33">
        <f t="shared" si="9"/>
        <v>0</v>
      </c>
      <c r="N118" s="22" t="s">
        <v>3679</v>
      </c>
      <c r="O118" s="17" t="s">
        <v>3678</v>
      </c>
      <c r="P118" s="7" t="s">
        <v>3677</v>
      </c>
      <c r="Q118" s="7" t="s">
        <v>3344</v>
      </c>
      <c r="AC118" s="3" t="str">
        <f ca="1">HYPERLINK("#"&amp;일위대가목록표!J2&amp;"!A"&amp;ROW(일위대가목록표!A115),"대가112 →")</f>
        <v>대가112 →</v>
      </c>
    </row>
    <row r="119" spans="1:29" ht="30.6" customHeight="1" x14ac:dyDescent="0.3">
      <c r="A119" s="10"/>
      <c r="B119" s="10" t="s">
        <v>260</v>
      </c>
      <c r="C119" s="41" t="s">
        <v>271</v>
      </c>
      <c r="D119" s="43">
        <v>0</v>
      </c>
      <c r="E119" s="22" t="s">
        <v>14</v>
      </c>
      <c r="F119" s="45">
        <f t="shared" si="5"/>
        <v>456971</v>
      </c>
      <c r="G119" s="48">
        <f t="shared" si="6"/>
        <v>0</v>
      </c>
      <c r="H119" s="50">
        <f>일위대가목록표!F116</f>
        <v>456971</v>
      </c>
      <c r="I119" s="13">
        <f t="shared" si="7"/>
        <v>0</v>
      </c>
      <c r="J119" s="52">
        <f>일위대가목록표!G116</f>
        <v>0</v>
      </c>
      <c r="K119" s="13">
        <f t="shared" si="8"/>
        <v>0</v>
      </c>
      <c r="L119" s="54">
        <f>일위대가목록표!H116</f>
        <v>0</v>
      </c>
      <c r="M119" s="33">
        <f t="shared" si="9"/>
        <v>0</v>
      </c>
      <c r="N119" s="22" t="s">
        <v>3682</v>
      </c>
      <c r="O119" s="17" t="s">
        <v>3681</v>
      </c>
      <c r="P119" s="7" t="s">
        <v>3680</v>
      </c>
      <c r="Q119" s="7" t="s">
        <v>3344</v>
      </c>
      <c r="AC119" s="3" t="str">
        <f ca="1">HYPERLINK("#"&amp;일위대가목록표!J2&amp;"!A"&amp;ROW(일위대가목록표!A116),"대가113 →")</f>
        <v>대가113 →</v>
      </c>
    </row>
    <row r="120" spans="1:29" ht="30.6" customHeight="1" x14ac:dyDescent="0.3">
      <c r="A120" s="10"/>
      <c r="B120" s="10" t="s">
        <v>260</v>
      </c>
      <c r="C120" s="41" t="s">
        <v>239</v>
      </c>
      <c r="D120" s="43">
        <v>1</v>
      </c>
      <c r="E120" s="22" t="s">
        <v>14</v>
      </c>
      <c r="F120" s="45">
        <f t="shared" si="5"/>
        <v>581599</v>
      </c>
      <c r="G120" s="48">
        <f t="shared" si="6"/>
        <v>581599</v>
      </c>
      <c r="H120" s="50">
        <f>일위대가목록표!F117</f>
        <v>581599</v>
      </c>
      <c r="I120" s="13">
        <f t="shared" si="7"/>
        <v>581599</v>
      </c>
      <c r="J120" s="52">
        <f>일위대가목록표!G117</f>
        <v>0</v>
      </c>
      <c r="K120" s="13">
        <f t="shared" si="8"/>
        <v>0</v>
      </c>
      <c r="L120" s="54">
        <f>일위대가목록표!H117</f>
        <v>0</v>
      </c>
      <c r="M120" s="33">
        <f t="shared" si="9"/>
        <v>0</v>
      </c>
      <c r="N120" s="22" t="s">
        <v>3685</v>
      </c>
      <c r="O120" s="17" t="s">
        <v>3684</v>
      </c>
      <c r="P120" s="7" t="s">
        <v>3683</v>
      </c>
      <c r="Q120" s="7" t="s">
        <v>3344</v>
      </c>
      <c r="AC120" s="3" t="str">
        <f ca="1">HYPERLINK("#"&amp;일위대가목록표!J2&amp;"!A"&amp;ROW(일위대가목록표!A117),"대가114 →")</f>
        <v>대가114 →</v>
      </c>
    </row>
    <row r="121" spans="1:29" ht="30.6" customHeight="1" x14ac:dyDescent="0.3">
      <c r="A121" s="10"/>
      <c r="B121" s="10" t="s">
        <v>260</v>
      </c>
      <c r="C121" s="41" t="s">
        <v>245</v>
      </c>
      <c r="D121" s="43">
        <v>1</v>
      </c>
      <c r="E121" s="22" t="s">
        <v>14</v>
      </c>
      <c r="F121" s="45">
        <f t="shared" si="5"/>
        <v>827080</v>
      </c>
      <c r="G121" s="48">
        <f t="shared" si="6"/>
        <v>827080</v>
      </c>
      <c r="H121" s="50">
        <f>일위대가목록표!F118</f>
        <v>827080</v>
      </c>
      <c r="I121" s="13">
        <f t="shared" si="7"/>
        <v>827080</v>
      </c>
      <c r="J121" s="52">
        <f>일위대가목록표!G118</f>
        <v>0</v>
      </c>
      <c r="K121" s="13">
        <f t="shared" si="8"/>
        <v>0</v>
      </c>
      <c r="L121" s="54">
        <f>일위대가목록표!H118</f>
        <v>0</v>
      </c>
      <c r="M121" s="33">
        <f t="shared" si="9"/>
        <v>0</v>
      </c>
      <c r="N121" s="22" t="s">
        <v>3688</v>
      </c>
      <c r="O121" s="17" t="s">
        <v>3687</v>
      </c>
      <c r="P121" s="7" t="s">
        <v>3686</v>
      </c>
      <c r="Q121" s="7" t="s">
        <v>3344</v>
      </c>
      <c r="AC121" s="3" t="str">
        <f ca="1">HYPERLINK("#"&amp;일위대가목록표!J2&amp;"!A"&amp;ROW(일위대가목록표!A118),"대가115 →")</f>
        <v>대가115 →</v>
      </c>
    </row>
    <row r="122" spans="1:29" ht="30.6" customHeight="1" x14ac:dyDescent="0.3">
      <c r="A122" s="10"/>
      <c r="B122" s="10" t="s">
        <v>260</v>
      </c>
      <c r="C122" s="41" t="s">
        <v>248</v>
      </c>
      <c r="D122" s="43">
        <v>0</v>
      </c>
      <c r="E122" s="22" t="s">
        <v>14</v>
      </c>
      <c r="F122" s="45">
        <f t="shared" si="5"/>
        <v>1076338</v>
      </c>
      <c r="G122" s="48">
        <f t="shared" si="6"/>
        <v>0</v>
      </c>
      <c r="H122" s="50">
        <f>일위대가목록표!F119</f>
        <v>1076338</v>
      </c>
      <c r="I122" s="13">
        <f t="shared" si="7"/>
        <v>0</v>
      </c>
      <c r="J122" s="52">
        <f>일위대가목록표!G119</f>
        <v>0</v>
      </c>
      <c r="K122" s="13">
        <f t="shared" si="8"/>
        <v>0</v>
      </c>
      <c r="L122" s="54">
        <f>일위대가목록표!H119</f>
        <v>0</v>
      </c>
      <c r="M122" s="33">
        <f t="shared" si="9"/>
        <v>0</v>
      </c>
      <c r="N122" s="22" t="s">
        <v>3691</v>
      </c>
      <c r="O122" s="17" t="s">
        <v>3690</v>
      </c>
      <c r="P122" s="7" t="s">
        <v>3689</v>
      </c>
      <c r="Q122" s="7" t="s">
        <v>3344</v>
      </c>
      <c r="AC122" s="3" t="str">
        <f ca="1">HYPERLINK("#"&amp;일위대가목록표!J2&amp;"!A"&amp;ROW(일위대가목록표!A119),"대가116 →")</f>
        <v>대가116 →</v>
      </c>
    </row>
    <row r="123" spans="1:29" ht="30.6" customHeight="1" x14ac:dyDescent="0.3">
      <c r="A123" s="10"/>
      <c r="B123" s="10" t="s">
        <v>260</v>
      </c>
      <c r="C123" s="41" t="s">
        <v>251</v>
      </c>
      <c r="D123" s="43">
        <v>0</v>
      </c>
      <c r="E123" s="22" t="s">
        <v>14</v>
      </c>
      <c r="F123" s="45">
        <f t="shared" si="5"/>
        <v>1242509</v>
      </c>
      <c r="G123" s="48">
        <f t="shared" si="6"/>
        <v>0</v>
      </c>
      <c r="H123" s="50">
        <f>일위대가목록표!F120</f>
        <v>1242509</v>
      </c>
      <c r="I123" s="13">
        <f t="shared" si="7"/>
        <v>0</v>
      </c>
      <c r="J123" s="52">
        <f>일위대가목록표!G120</f>
        <v>0</v>
      </c>
      <c r="K123" s="13">
        <f t="shared" si="8"/>
        <v>0</v>
      </c>
      <c r="L123" s="54">
        <f>일위대가목록표!H120</f>
        <v>0</v>
      </c>
      <c r="M123" s="33">
        <f t="shared" si="9"/>
        <v>0</v>
      </c>
      <c r="N123" s="22" t="s">
        <v>3694</v>
      </c>
      <c r="O123" s="17" t="s">
        <v>3693</v>
      </c>
      <c r="P123" s="7" t="s">
        <v>3692</v>
      </c>
      <c r="Q123" s="7" t="s">
        <v>3344</v>
      </c>
      <c r="AC123" s="3" t="str">
        <f ca="1">HYPERLINK("#"&amp;일위대가목록표!J2&amp;"!A"&amp;ROW(일위대가목록표!A120),"대가117 →")</f>
        <v>대가117 →</v>
      </c>
    </row>
    <row r="124" spans="1:29" ht="30.6" customHeight="1" x14ac:dyDescent="0.3">
      <c r="A124" s="10"/>
      <c r="B124" s="10" t="s">
        <v>260</v>
      </c>
      <c r="C124" s="41" t="s">
        <v>254</v>
      </c>
      <c r="D124" s="43">
        <v>0</v>
      </c>
      <c r="E124" s="22" t="s">
        <v>14</v>
      </c>
      <c r="F124" s="45">
        <f t="shared" si="5"/>
        <v>1408681</v>
      </c>
      <c r="G124" s="48">
        <f t="shared" si="6"/>
        <v>0</v>
      </c>
      <c r="H124" s="50">
        <f>일위대가목록표!F121</f>
        <v>1408681</v>
      </c>
      <c r="I124" s="13">
        <f t="shared" si="7"/>
        <v>0</v>
      </c>
      <c r="J124" s="52">
        <f>일위대가목록표!G121</f>
        <v>0</v>
      </c>
      <c r="K124" s="13">
        <f t="shared" si="8"/>
        <v>0</v>
      </c>
      <c r="L124" s="54">
        <f>일위대가목록표!H121</f>
        <v>0</v>
      </c>
      <c r="M124" s="33">
        <f t="shared" si="9"/>
        <v>0</v>
      </c>
      <c r="N124" s="22" t="s">
        <v>3697</v>
      </c>
      <c r="O124" s="17" t="s">
        <v>3696</v>
      </c>
      <c r="P124" s="7" t="s">
        <v>3695</v>
      </c>
      <c r="Q124" s="7" t="s">
        <v>3344</v>
      </c>
      <c r="AC124" s="3" t="str">
        <f ca="1">HYPERLINK("#"&amp;일위대가목록표!J2&amp;"!A"&amp;ROW(일위대가목록표!A121),"대가118 →")</f>
        <v>대가118 →</v>
      </c>
    </row>
    <row r="125" spans="1:29" ht="30.6" customHeight="1" x14ac:dyDescent="0.3">
      <c r="A125" s="10"/>
      <c r="B125" s="10" t="s">
        <v>260</v>
      </c>
      <c r="C125" s="41" t="s">
        <v>257</v>
      </c>
      <c r="D125" s="43">
        <v>0</v>
      </c>
      <c r="E125" s="22" t="s">
        <v>14</v>
      </c>
      <c r="F125" s="45">
        <f t="shared" si="5"/>
        <v>2613964</v>
      </c>
      <c r="G125" s="48">
        <f t="shared" si="6"/>
        <v>0</v>
      </c>
      <c r="H125" s="50">
        <f>일위대가목록표!F122</f>
        <v>2613964</v>
      </c>
      <c r="I125" s="13">
        <f t="shared" si="7"/>
        <v>0</v>
      </c>
      <c r="J125" s="52">
        <f>일위대가목록표!G122</f>
        <v>0</v>
      </c>
      <c r="K125" s="13">
        <f t="shared" si="8"/>
        <v>0</v>
      </c>
      <c r="L125" s="54">
        <f>일위대가목록표!H122</f>
        <v>0</v>
      </c>
      <c r="M125" s="33">
        <f t="shared" si="9"/>
        <v>0</v>
      </c>
      <c r="N125" s="22" t="s">
        <v>3700</v>
      </c>
      <c r="O125" s="17" t="s">
        <v>3699</v>
      </c>
      <c r="P125" s="7" t="s">
        <v>3698</v>
      </c>
      <c r="Q125" s="7" t="s">
        <v>3344</v>
      </c>
      <c r="AC125" s="3" t="str">
        <f ca="1">HYPERLINK("#"&amp;일위대가목록표!J2&amp;"!A"&amp;ROW(일위대가목록표!A122),"대가119 →")</f>
        <v>대가119 →</v>
      </c>
    </row>
    <row r="126" spans="1:29" ht="30.6" customHeight="1" x14ac:dyDescent="0.3">
      <c r="A126" s="10"/>
      <c r="B126" s="10" t="s">
        <v>286</v>
      </c>
      <c r="C126" s="41" t="s">
        <v>224</v>
      </c>
      <c r="D126" s="43">
        <v>1</v>
      </c>
      <c r="E126" s="22" t="s">
        <v>14</v>
      </c>
      <c r="F126" s="45">
        <f t="shared" si="5"/>
        <v>148367</v>
      </c>
      <c r="G126" s="48">
        <f t="shared" si="6"/>
        <v>148367</v>
      </c>
      <c r="H126" s="50">
        <f>일위대가목록표!F123</f>
        <v>148367</v>
      </c>
      <c r="I126" s="13">
        <f t="shared" si="7"/>
        <v>148367</v>
      </c>
      <c r="J126" s="52">
        <f>일위대가목록표!G123</f>
        <v>0</v>
      </c>
      <c r="K126" s="13">
        <f t="shared" si="8"/>
        <v>0</v>
      </c>
      <c r="L126" s="54">
        <f>일위대가목록표!H123</f>
        <v>0</v>
      </c>
      <c r="M126" s="33">
        <f t="shared" si="9"/>
        <v>0</v>
      </c>
      <c r="N126" s="22" t="s">
        <v>3703</v>
      </c>
      <c r="O126" s="17" t="s">
        <v>3702</v>
      </c>
      <c r="P126" s="7" t="s">
        <v>3701</v>
      </c>
      <c r="Q126" s="7" t="s">
        <v>3344</v>
      </c>
      <c r="AC126" s="3" t="str">
        <f ca="1">HYPERLINK("#"&amp;일위대가목록표!J2&amp;"!A"&amp;ROW(일위대가목록표!A123),"대가120 →")</f>
        <v>대가120 →</v>
      </c>
    </row>
    <row r="127" spans="1:29" ht="30.6" customHeight="1" x14ac:dyDescent="0.3">
      <c r="A127" s="10"/>
      <c r="B127" s="10" t="s">
        <v>286</v>
      </c>
      <c r="C127" s="41" t="s">
        <v>227</v>
      </c>
      <c r="D127" s="43">
        <v>1</v>
      </c>
      <c r="E127" s="22" t="s">
        <v>14</v>
      </c>
      <c r="F127" s="45">
        <f t="shared" si="5"/>
        <v>148367</v>
      </c>
      <c r="G127" s="48">
        <f t="shared" si="6"/>
        <v>148367</v>
      </c>
      <c r="H127" s="50">
        <f>일위대가목록표!F124</f>
        <v>148367</v>
      </c>
      <c r="I127" s="13">
        <f t="shared" si="7"/>
        <v>148367</v>
      </c>
      <c r="J127" s="52">
        <f>일위대가목록표!G124</f>
        <v>0</v>
      </c>
      <c r="K127" s="13">
        <f t="shared" si="8"/>
        <v>0</v>
      </c>
      <c r="L127" s="54">
        <f>일위대가목록표!H124</f>
        <v>0</v>
      </c>
      <c r="M127" s="33">
        <f t="shared" si="9"/>
        <v>0</v>
      </c>
      <c r="N127" s="22" t="s">
        <v>3706</v>
      </c>
      <c r="O127" s="17" t="s">
        <v>3705</v>
      </c>
      <c r="P127" s="7" t="s">
        <v>3704</v>
      </c>
      <c r="Q127" s="7" t="s">
        <v>3344</v>
      </c>
      <c r="AC127" s="3" t="str">
        <f ca="1">HYPERLINK("#"&amp;일위대가목록표!J2&amp;"!A"&amp;ROW(일위대가목록표!A124),"대가121 →")</f>
        <v>대가121 →</v>
      </c>
    </row>
    <row r="128" spans="1:29" ht="30.6" customHeight="1" x14ac:dyDescent="0.3">
      <c r="A128" s="10"/>
      <c r="B128" s="10" t="s">
        <v>286</v>
      </c>
      <c r="C128" s="41" t="s">
        <v>230</v>
      </c>
      <c r="D128" s="43">
        <v>1</v>
      </c>
      <c r="E128" s="22" t="s">
        <v>14</v>
      </c>
      <c r="F128" s="45">
        <f t="shared" si="5"/>
        <v>178040</v>
      </c>
      <c r="G128" s="48">
        <f t="shared" si="6"/>
        <v>178040</v>
      </c>
      <c r="H128" s="50">
        <f>일위대가목록표!F125</f>
        <v>178040</v>
      </c>
      <c r="I128" s="13">
        <f t="shared" si="7"/>
        <v>178040</v>
      </c>
      <c r="J128" s="52">
        <f>일위대가목록표!G125</f>
        <v>0</v>
      </c>
      <c r="K128" s="13">
        <f t="shared" si="8"/>
        <v>0</v>
      </c>
      <c r="L128" s="54">
        <f>일위대가목록표!H125</f>
        <v>0</v>
      </c>
      <c r="M128" s="33">
        <f t="shared" si="9"/>
        <v>0</v>
      </c>
      <c r="N128" s="22" t="s">
        <v>3709</v>
      </c>
      <c r="O128" s="17" t="s">
        <v>3708</v>
      </c>
      <c r="P128" s="7" t="s">
        <v>3707</v>
      </c>
      <c r="Q128" s="7" t="s">
        <v>3344</v>
      </c>
      <c r="AC128" s="3" t="str">
        <f ca="1">HYPERLINK("#"&amp;일위대가목록표!J2&amp;"!A"&amp;ROW(일위대가목록표!A125),"대가122 →")</f>
        <v>대가122 →</v>
      </c>
    </row>
    <row r="129" spans="1:29" ht="30.6" customHeight="1" x14ac:dyDescent="0.3">
      <c r="A129" s="10"/>
      <c r="B129" s="10" t="s">
        <v>286</v>
      </c>
      <c r="C129" s="41" t="s">
        <v>233</v>
      </c>
      <c r="D129" s="43">
        <v>0</v>
      </c>
      <c r="E129" s="22" t="s">
        <v>14</v>
      </c>
      <c r="F129" s="45">
        <f t="shared" si="5"/>
        <v>207714</v>
      </c>
      <c r="G129" s="48">
        <f t="shared" si="6"/>
        <v>0</v>
      </c>
      <c r="H129" s="50">
        <f>일위대가목록표!F126</f>
        <v>207714</v>
      </c>
      <c r="I129" s="13">
        <f t="shared" si="7"/>
        <v>0</v>
      </c>
      <c r="J129" s="52">
        <f>일위대가목록표!G126</f>
        <v>0</v>
      </c>
      <c r="K129" s="13">
        <f t="shared" si="8"/>
        <v>0</v>
      </c>
      <c r="L129" s="54">
        <f>일위대가목록표!H126</f>
        <v>0</v>
      </c>
      <c r="M129" s="33">
        <f t="shared" si="9"/>
        <v>0</v>
      </c>
      <c r="N129" s="22" t="s">
        <v>3712</v>
      </c>
      <c r="O129" s="17" t="s">
        <v>3711</v>
      </c>
      <c r="P129" s="7" t="s">
        <v>3710</v>
      </c>
      <c r="Q129" s="7" t="s">
        <v>3344</v>
      </c>
      <c r="AC129" s="3" t="str">
        <f ca="1">HYPERLINK("#"&amp;일위대가목록표!J2&amp;"!A"&amp;ROW(일위대가목록표!A126),"대가123 →")</f>
        <v>대가123 →</v>
      </c>
    </row>
    <row r="130" spans="1:29" ht="30.6" customHeight="1" x14ac:dyDescent="0.3">
      <c r="A130" s="10"/>
      <c r="B130" s="10" t="s">
        <v>286</v>
      </c>
      <c r="C130" s="41" t="s">
        <v>236</v>
      </c>
      <c r="D130" s="43">
        <v>0</v>
      </c>
      <c r="E130" s="22" t="s">
        <v>14</v>
      </c>
      <c r="F130" s="45">
        <f t="shared" si="5"/>
        <v>267061</v>
      </c>
      <c r="G130" s="48">
        <f t="shared" si="6"/>
        <v>0</v>
      </c>
      <c r="H130" s="50">
        <f>일위대가목록표!F127</f>
        <v>267061</v>
      </c>
      <c r="I130" s="13">
        <f t="shared" si="7"/>
        <v>0</v>
      </c>
      <c r="J130" s="52">
        <f>일위대가목록표!G127</f>
        <v>0</v>
      </c>
      <c r="K130" s="13">
        <f t="shared" si="8"/>
        <v>0</v>
      </c>
      <c r="L130" s="54">
        <f>일위대가목록표!H127</f>
        <v>0</v>
      </c>
      <c r="M130" s="33">
        <f t="shared" si="9"/>
        <v>0</v>
      </c>
      <c r="N130" s="22" t="s">
        <v>3715</v>
      </c>
      <c r="O130" s="17" t="s">
        <v>3714</v>
      </c>
      <c r="P130" s="7" t="s">
        <v>3713</v>
      </c>
      <c r="Q130" s="7" t="s">
        <v>3344</v>
      </c>
      <c r="AC130" s="3" t="str">
        <f ca="1">HYPERLINK("#"&amp;일위대가목록표!J2&amp;"!A"&amp;ROW(일위대가목록표!A127),"대가124 →")</f>
        <v>대가124 →</v>
      </c>
    </row>
    <row r="131" spans="1:29" ht="30.6" customHeight="1" x14ac:dyDescent="0.3">
      <c r="A131" s="10"/>
      <c r="B131" s="10" t="s">
        <v>286</v>
      </c>
      <c r="C131" s="41" t="s">
        <v>271</v>
      </c>
      <c r="D131" s="43">
        <v>0</v>
      </c>
      <c r="E131" s="22" t="s">
        <v>14</v>
      </c>
      <c r="F131" s="45">
        <f t="shared" si="5"/>
        <v>326408</v>
      </c>
      <c r="G131" s="48">
        <f t="shared" si="6"/>
        <v>0</v>
      </c>
      <c r="H131" s="50">
        <f>일위대가목록표!F128</f>
        <v>326408</v>
      </c>
      <c r="I131" s="13">
        <f t="shared" si="7"/>
        <v>0</v>
      </c>
      <c r="J131" s="52">
        <f>일위대가목록표!G128</f>
        <v>0</v>
      </c>
      <c r="K131" s="13">
        <f t="shared" si="8"/>
        <v>0</v>
      </c>
      <c r="L131" s="54">
        <f>일위대가목록표!H128</f>
        <v>0</v>
      </c>
      <c r="M131" s="33">
        <f t="shared" si="9"/>
        <v>0</v>
      </c>
      <c r="N131" s="22" t="s">
        <v>3718</v>
      </c>
      <c r="O131" s="17" t="s">
        <v>3717</v>
      </c>
      <c r="P131" s="7" t="s">
        <v>3716</v>
      </c>
      <c r="Q131" s="7" t="s">
        <v>3344</v>
      </c>
      <c r="AC131" s="3" t="str">
        <f ca="1">HYPERLINK("#"&amp;일위대가목록표!J2&amp;"!A"&amp;ROW(일위대가목록표!A128),"대가125 →")</f>
        <v>대가125 →</v>
      </c>
    </row>
    <row r="132" spans="1:29" ht="30.6" customHeight="1" x14ac:dyDescent="0.3">
      <c r="A132" s="10"/>
      <c r="B132" s="10" t="s">
        <v>286</v>
      </c>
      <c r="C132" s="41" t="s">
        <v>239</v>
      </c>
      <c r="D132" s="43">
        <v>0</v>
      </c>
      <c r="E132" s="22" t="s">
        <v>14</v>
      </c>
      <c r="F132" s="45">
        <f t="shared" si="5"/>
        <v>415428</v>
      </c>
      <c r="G132" s="48">
        <f t="shared" si="6"/>
        <v>0</v>
      </c>
      <c r="H132" s="50">
        <f>일위대가목록표!F129</f>
        <v>415428</v>
      </c>
      <c r="I132" s="13">
        <f t="shared" si="7"/>
        <v>0</v>
      </c>
      <c r="J132" s="52">
        <f>일위대가목록표!G129</f>
        <v>0</v>
      </c>
      <c r="K132" s="13">
        <f t="shared" si="8"/>
        <v>0</v>
      </c>
      <c r="L132" s="54">
        <f>일위대가목록표!H129</f>
        <v>0</v>
      </c>
      <c r="M132" s="33">
        <f t="shared" si="9"/>
        <v>0</v>
      </c>
      <c r="N132" s="22" t="s">
        <v>3721</v>
      </c>
      <c r="O132" s="17" t="s">
        <v>3720</v>
      </c>
      <c r="P132" s="7" t="s">
        <v>3719</v>
      </c>
      <c r="Q132" s="7" t="s">
        <v>3344</v>
      </c>
      <c r="AC132" s="3" t="str">
        <f ca="1">HYPERLINK("#"&amp;일위대가목록표!J2&amp;"!A"&amp;ROW(일위대가목록표!A129),"대가126 →")</f>
        <v>대가126 →</v>
      </c>
    </row>
    <row r="133" spans="1:29" ht="30.6" customHeight="1" x14ac:dyDescent="0.3">
      <c r="A133" s="10"/>
      <c r="B133" s="10" t="s">
        <v>286</v>
      </c>
      <c r="C133" s="41" t="s">
        <v>245</v>
      </c>
      <c r="D133" s="43">
        <v>0</v>
      </c>
      <c r="E133" s="22" t="s">
        <v>14</v>
      </c>
      <c r="F133" s="45">
        <f t="shared" si="5"/>
        <v>590772</v>
      </c>
      <c r="G133" s="48">
        <f t="shared" si="6"/>
        <v>0</v>
      </c>
      <c r="H133" s="50">
        <f>일위대가목록표!F130</f>
        <v>590772</v>
      </c>
      <c r="I133" s="13">
        <f t="shared" si="7"/>
        <v>0</v>
      </c>
      <c r="J133" s="52">
        <f>일위대가목록표!G130</f>
        <v>0</v>
      </c>
      <c r="K133" s="13">
        <f t="shared" si="8"/>
        <v>0</v>
      </c>
      <c r="L133" s="54">
        <f>일위대가목록표!H130</f>
        <v>0</v>
      </c>
      <c r="M133" s="33">
        <f t="shared" si="9"/>
        <v>0</v>
      </c>
      <c r="N133" s="22" t="s">
        <v>3724</v>
      </c>
      <c r="O133" s="17" t="s">
        <v>3723</v>
      </c>
      <c r="P133" s="7" t="s">
        <v>3722</v>
      </c>
      <c r="Q133" s="7" t="s">
        <v>3344</v>
      </c>
      <c r="AC133" s="3" t="str">
        <f ca="1">HYPERLINK("#"&amp;일위대가목록표!J2&amp;"!A"&amp;ROW(일위대가목록표!A130),"대가127 →")</f>
        <v>대가127 →</v>
      </c>
    </row>
    <row r="134" spans="1:29" ht="30.6" customHeight="1" x14ac:dyDescent="0.3">
      <c r="A134" s="10"/>
      <c r="B134" s="10" t="s">
        <v>286</v>
      </c>
      <c r="C134" s="41" t="s">
        <v>248</v>
      </c>
      <c r="D134" s="43">
        <v>0</v>
      </c>
      <c r="E134" s="22" t="s">
        <v>14</v>
      </c>
      <c r="F134" s="45">
        <f t="shared" si="5"/>
        <v>768813</v>
      </c>
      <c r="G134" s="48">
        <f t="shared" si="6"/>
        <v>0</v>
      </c>
      <c r="H134" s="50">
        <f>일위대가목록표!F131</f>
        <v>768813</v>
      </c>
      <c r="I134" s="13">
        <f t="shared" si="7"/>
        <v>0</v>
      </c>
      <c r="J134" s="52">
        <f>일위대가목록표!G131</f>
        <v>0</v>
      </c>
      <c r="K134" s="13">
        <f t="shared" si="8"/>
        <v>0</v>
      </c>
      <c r="L134" s="54">
        <f>일위대가목록표!H131</f>
        <v>0</v>
      </c>
      <c r="M134" s="33">
        <f t="shared" si="9"/>
        <v>0</v>
      </c>
      <c r="N134" s="22" t="s">
        <v>3727</v>
      </c>
      <c r="O134" s="17" t="s">
        <v>3726</v>
      </c>
      <c r="P134" s="7" t="s">
        <v>3725</v>
      </c>
      <c r="Q134" s="7" t="s">
        <v>3344</v>
      </c>
      <c r="AC134" s="3" t="str">
        <f ca="1">HYPERLINK("#"&amp;일위대가목록표!J2&amp;"!A"&amp;ROW(일위대가목록표!A131),"대가128 →")</f>
        <v>대가128 →</v>
      </c>
    </row>
    <row r="135" spans="1:29" ht="30.6" customHeight="1" x14ac:dyDescent="0.3">
      <c r="A135" s="10"/>
      <c r="B135" s="10" t="s">
        <v>286</v>
      </c>
      <c r="C135" s="41" t="s">
        <v>251</v>
      </c>
      <c r="D135" s="43">
        <v>0</v>
      </c>
      <c r="E135" s="22" t="s">
        <v>14</v>
      </c>
      <c r="F135" s="45">
        <f t="shared" ref="F135:F198" si="10">J135+H135+L135</f>
        <v>887507</v>
      </c>
      <c r="G135" s="48">
        <f t="shared" ref="G135:G198" si="11">K135+I135+M135</f>
        <v>0</v>
      </c>
      <c r="H135" s="50">
        <f>일위대가목록표!F132</f>
        <v>887507</v>
      </c>
      <c r="I135" s="13">
        <f t="shared" ref="I135:I198" si="12">ROUNDDOWN(H135*D135,0)</f>
        <v>0</v>
      </c>
      <c r="J135" s="52">
        <f>일위대가목록표!G132</f>
        <v>0</v>
      </c>
      <c r="K135" s="13">
        <f t="shared" ref="K135:K198" si="13">ROUNDDOWN(J135*D135,0)</f>
        <v>0</v>
      </c>
      <c r="L135" s="54">
        <f>일위대가목록표!H132</f>
        <v>0</v>
      </c>
      <c r="M135" s="33">
        <f t="shared" ref="M135:M198" si="14">ROUNDDOWN(L135*D135,0)</f>
        <v>0</v>
      </c>
      <c r="N135" s="22" t="s">
        <v>3730</v>
      </c>
      <c r="O135" s="17" t="s">
        <v>3729</v>
      </c>
      <c r="P135" s="7" t="s">
        <v>3728</v>
      </c>
      <c r="Q135" s="7" t="s">
        <v>3344</v>
      </c>
      <c r="AC135" s="3" t="str">
        <f ca="1">HYPERLINK("#"&amp;일위대가목록표!J2&amp;"!A"&amp;ROW(일위대가목록표!A132),"대가129 →")</f>
        <v>대가129 →</v>
      </c>
    </row>
    <row r="136" spans="1:29" ht="30.6" customHeight="1" x14ac:dyDescent="0.3">
      <c r="A136" s="10"/>
      <c r="B136" s="10" t="s">
        <v>286</v>
      </c>
      <c r="C136" s="41" t="s">
        <v>254</v>
      </c>
      <c r="D136" s="43">
        <v>0</v>
      </c>
      <c r="E136" s="22" t="s">
        <v>14</v>
      </c>
      <c r="F136" s="45">
        <f t="shared" si="10"/>
        <v>1006201</v>
      </c>
      <c r="G136" s="48">
        <f t="shared" si="11"/>
        <v>0</v>
      </c>
      <c r="H136" s="50">
        <f>일위대가목록표!F133</f>
        <v>1006201</v>
      </c>
      <c r="I136" s="13">
        <f t="shared" si="12"/>
        <v>0</v>
      </c>
      <c r="J136" s="52">
        <f>일위대가목록표!G133</f>
        <v>0</v>
      </c>
      <c r="K136" s="13">
        <f t="shared" si="13"/>
        <v>0</v>
      </c>
      <c r="L136" s="54">
        <f>일위대가목록표!H133</f>
        <v>0</v>
      </c>
      <c r="M136" s="33">
        <f t="shared" si="14"/>
        <v>0</v>
      </c>
      <c r="N136" s="22" t="s">
        <v>3733</v>
      </c>
      <c r="O136" s="17" t="s">
        <v>3732</v>
      </c>
      <c r="P136" s="7" t="s">
        <v>3731</v>
      </c>
      <c r="Q136" s="7" t="s">
        <v>3344</v>
      </c>
      <c r="AC136" s="3" t="str">
        <f ca="1">HYPERLINK("#"&amp;일위대가목록표!J2&amp;"!A"&amp;ROW(일위대가목록표!A133),"대가130 →")</f>
        <v>대가130 →</v>
      </c>
    </row>
    <row r="137" spans="1:29" ht="30.6" customHeight="1" x14ac:dyDescent="0.3">
      <c r="A137" s="10"/>
      <c r="B137" s="10" t="s">
        <v>286</v>
      </c>
      <c r="C137" s="41" t="s">
        <v>257</v>
      </c>
      <c r="D137" s="43">
        <v>0</v>
      </c>
      <c r="E137" s="22" t="s">
        <v>14</v>
      </c>
      <c r="F137" s="45">
        <f t="shared" si="10"/>
        <v>1537626</v>
      </c>
      <c r="G137" s="48">
        <f t="shared" si="11"/>
        <v>0</v>
      </c>
      <c r="H137" s="50">
        <f>일위대가목록표!F134</f>
        <v>1537626</v>
      </c>
      <c r="I137" s="13">
        <f t="shared" si="12"/>
        <v>0</v>
      </c>
      <c r="J137" s="52">
        <f>일위대가목록표!G134</f>
        <v>0</v>
      </c>
      <c r="K137" s="13">
        <f t="shared" si="13"/>
        <v>0</v>
      </c>
      <c r="L137" s="54">
        <f>일위대가목록표!H134</f>
        <v>0</v>
      </c>
      <c r="M137" s="33">
        <f t="shared" si="14"/>
        <v>0</v>
      </c>
      <c r="N137" s="22" t="s">
        <v>3736</v>
      </c>
      <c r="O137" s="17" t="s">
        <v>3735</v>
      </c>
      <c r="P137" s="7" t="s">
        <v>3734</v>
      </c>
      <c r="Q137" s="7" t="s">
        <v>3344</v>
      </c>
      <c r="AC137" s="3" t="str">
        <f ca="1">HYPERLINK("#"&amp;일위대가목록표!J2&amp;"!A"&amp;ROW(일위대가목록표!A134),"대가131 →")</f>
        <v>대가131 →</v>
      </c>
    </row>
    <row r="138" spans="1:29" ht="30.6" customHeight="1" x14ac:dyDescent="0.3">
      <c r="A138" s="10"/>
      <c r="B138" s="10" t="s">
        <v>311</v>
      </c>
      <c r="C138" s="41" t="s">
        <v>224</v>
      </c>
      <c r="D138" s="43">
        <v>0</v>
      </c>
      <c r="E138" s="22" t="s">
        <v>14</v>
      </c>
      <c r="F138" s="45">
        <f t="shared" si="10"/>
        <v>59346</v>
      </c>
      <c r="G138" s="48">
        <f t="shared" si="11"/>
        <v>0</v>
      </c>
      <c r="H138" s="50">
        <f>일위대가목록표!F135</f>
        <v>59346</v>
      </c>
      <c r="I138" s="13">
        <f t="shared" si="12"/>
        <v>0</v>
      </c>
      <c r="J138" s="52">
        <f>일위대가목록표!G135</f>
        <v>0</v>
      </c>
      <c r="K138" s="13">
        <f t="shared" si="13"/>
        <v>0</v>
      </c>
      <c r="L138" s="54">
        <f>일위대가목록표!H135</f>
        <v>0</v>
      </c>
      <c r="M138" s="33">
        <f t="shared" si="14"/>
        <v>0</v>
      </c>
      <c r="N138" s="22" t="s">
        <v>3739</v>
      </c>
      <c r="O138" s="17" t="s">
        <v>3738</v>
      </c>
      <c r="P138" s="7" t="s">
        <v>3737</v>
      </c>
      <c r="Q138" s="7" t="s">
        <v>3344</v>
      </c>
      <c r="AC138" s="3" t="str">
        <f ca="1">HYPERLINK("#"&amp;일위대가목록표!J2&amp;"!A"&amp;ROW(일위대가목록표!A135),"대가132 →")</f>
        <v>대가132 →</v>
      </c>
    </row>
    <row r="139" spans="1:29" ht="30.6" customHeight="1" x14ac:dyDescent="0.3">
      <c r="A139" s="10"/>
      <c r="B139" s="10" t="s">
        <v>311</v>
      </c>
      <c r="C139" s="41" t="s">
        <v>227</v>
      </c>
      <c r="D139" s="43">
        <v>1</v>
      </c>
      <c r="E139" s="22" t="s">
        <v>14</v>
      </c>
      <c r="F139" s="45">
        <f t="shared" si="10"/>
        <v>59346</v>
      </c>
      <c r="G139" s="48">
        <f t="shared" si="11"/>
        <v>59346</v>
      </c>
      <c r="H139" s="50">
        <f>일위대가목록표!F136</f>
        <v>59346</v>
      </c>
      <c r="I139" s="13">
        <f t="shared" si="12"/>
        <v>59346</v>
      </c>
      <c r="J139" s="52">
        <f>일위대가목록표!G136</f>
        <v>0</v>
      </c>
      <c r="K139" s="13">
        <f t="shared" si="13"/>
        <v>0</v>
      </c>
      <c r="L139" s="54">
        <f>일위대가목록표!H136</f>
        <v>0</v>
      </c>
      <c r="M139" s="33">
        <f t="shared" si="14"/>
        <v>0</v>
      </c>
      <c r="N139" s="22" t="s">
        <v>3742</v>
      </c>
      <c r="O139" s="17" t="s">
        <v>3741</v>
      </c>
      <c r="P139" s="7" t="s">
        <v>3740</v>
      </c>
      <c r="Q139" s="7" t="s">
        <v>3344</v>
      </c>
      <c r="AC139" s="3" t="str">
        <f ca="1">HYPERLINK("#"&amp;일위대가목록표!J2&amp;"!A"&amp;ROW(일위대가목록표!A136),"대가133 →")</f>
        <v>대가133 →</v>
      </c>
    </row>
    <row r="140" spans="1:29" ht="30.6" customHeight="1" x14ac:dyDescent="0.3">
      <c r="A140" s="10"/>
      <c r="B140" s="10" t="s">
        <v>311</v>
      </c>
      <c r="C140" s="41" t="s">
        <v>230</v>
      </c>
      <c r="D140" s="43">
        <v>1</v>
      </c>
      <c r="E140" s="22" t="s">
        <v>14</v>
      </c>
      <c r="F140" s="45">
        <f t="shared" si="10"/>
        <v>71216</v>
      </c>
      <c r="G140" s="48">
        <f t="shared" si="11"/>
        <v>71216</v>
      </c>
      <c r="H140" s="50">
        <f>일위대가목록표!F137</f>
        <v>71216</v>
      </c>
      <c r="I140" s="13">
        <f t="shared" si="12"/>
        <v>71216</v>
      </c>
      <c r="J140" s="52">
        <f>일위대가목록표!G137</f>
        <v>0</v>
      </c>
      <c r="K140" s="13">
        <f t="shared" si="13"/>
        <v>0</v>
      </c>
      <c r="L140" s="54">
        <f>일위대가목록표!H137</f>
        <v>0</v>
      </c>
      <c r="M140" s="33">
        <f t="shared" si="14"/>
        <v>0</v>
      </c>
      <c r="N140" s="22" t="s">
        <v>3745</v>
      </c>
      <c r="O140" s="17" t="s">
        <v>3744</v>
      </c>
      <c r="P140" s="7" t="s">
        <v>3743</v>
      </c>
      <c r="Q140" s="7" t="s">
        <v>3344</v>
      </c>
      <c r="AC140" s="3" t="str">
        <f ca="1">HYPERLINK("#"&amp;일위대가목록표!J2&amp;"!A"&amp;ROW(일위대가목록표!A137),"대가134 →")</f>
        <v>대가134 →</v>
      </c>
    </row>
    <row r="141" spans="1:29" ht="30.6" customHeight="1" x14ac:dyDescent="0.3">
      <c r="A141" s="10"/>
      <c r="B141" s="10" t="s">
        <v>311</v>
      </c>
      <c r="C141" s="41" t="s">
        <v>233</v>
      </c>
      <c r="D141" s="43">
        <v>0</v>
      </c>
      <c r="E141" s="22" t="s">
        <v>14</v>
      </c>
      <c r="F141" s="45">
        <f t="shared" si="10"/>
        <v>83085</v>
      </c>
      <c r="G141" s="48">
        <f t="shared" si="11"/>
        <v>0</v>
      </c>
      <c r="H141" s="50">
        <f>일위대가목록표!F138</f>
        <v>83085</v>
      </c>
      <c r="I141" s="13">
        <f t="shared" si="12"/>
        <v>0</v>
      </c>
      <c r="J141" s="52">
        <f>일위대가목록표!G138</f>
        <v>0</v>
      </c>
      <c r="K141" s="13">
        <f t="shared" si="13"/>
        <v>0</v>
      </c>
      <c r="L141" s="54">
        <f>일위대가목록표!H138</f>
        <v>0</v>
      </c>
      <c r="M141" s="33">
        <f t="shared" si="14"/>
        <v>0</v>
      </c>
      <c r="N141" s="22" t="s">
        <v>3748</v>
      </c>
      <c r="O141" s="17" t="s">
        <v>3747</v>
      </c>
      <c r="P141" s="7" t="s">
        <v>3746</v>
      </c>
      <c r="Q141" s="7" t="s">
        <v>3344</v>
      </c>
      <c r="AC141" s="3" t="str">
        <f ca="1">HYPERLINK("#"&amp;일위대가목록표!J2&amp;"!A"&amp;ROW(일위대가목록표!A138),"대가135 →")</f>
        <v>대가135 →</v>
      </c>
    </row>
    <row r="142" spans="1:29" ht="30.6" customHeight="1" x14ac:dyDescent="0.3">
      <c r="A142" s="10"/>
      <c r="B142" s="10" t="s">
        <v>311</v>
      </c>
      <c r="C142" s="41" t="s">
        <v>236</v>
      </c>
      <c r="D142" s="43">
        <v>0</v>
      </c>
      <c r="E142" s="22" t="s">
        <v>14</v>
      </c>
      <c r="F142" s="45">
        <f t="shared" si="10"/>
        <v>106824</v>
      </c>
      <c r="G142" s="48">
        <f t="shared" si="11"/>
        <v>0</v>
      </c>
      <c r="H142" s="50">
        <f>일위대가목록표!F139</f>
        <v>106824</v>
      </c>
      <c r="I142" s="13">
        <f t="shared" si="12"/>
        <v>0</v>
      </c>
      <c r="J142" s="52">
        <f>일위대가목록표!G139</f>
        <v>0</v>
      </c>
      <c r="K142" s="13">
        <f t="shared" si="13"/>
        <v>0</v>
      </c>
      <c r="L142" s="54">
        <f>일위대가목록표!H139</f>
        <v>0</v>
      </c>
      <c r="M142" s="33">
        <f t="shared" si="14"/>
        <v>0</v>
      </c>
      <c r="N142" s="22" t="s">
        <v>3751</v>
      </c>
      <c r="O142" s="17" t="s">
        <v>3750</v>
      </c>
      <c r="P142" s="7" t="s">
        <v>3749</v>
      </c>
      <c r="Q142" s="7" t="s">
        <v>3344</v>
      </c>
      <c r="AC142" s="3" t="str">
        <f ca="1">HYPERLINK("#"&amp;일위대가목록표!J2&amp;"!A"&amp;ROW(일위대가목록표!A139),"대가136 →")</f>
        <v>대가136 →</v>
      </c>
    </row>
    <row r="143" spans="1:29" ht="30.6" customHeight="1" x14ac:dyDescent="0.3">
      <c r="A143" s="10"/>
      <c r="B143" s="10" t="s">
        <v>311</v>
      </c>
      <c r="C143" s="41" t="s">
        <v>271</v>
      </c>
      <c r="D143" s="43">
        <v>0</v>
      </c>
      <c r="E143" s="22" t="s">
        <v>14</v>
      </c>
      <c r="F143" s="45">
        <f t="shared" si="10"/>
        <v>130563</v>
      </c>
      <c r="G143" s="48">
        <f t="shared" si="11"/>
        <v>0</v>
      </c>
      <c r="H143" s="50">
        <f>일위대가목록표!F140</f>
        <v>130563</v>
      </c>
      <c r="I143" s="13">
        <f t="shared" si="12"/>
        <v>0</v>
      </c>
      <c r="J143" s="52">
        <f>일위대가목록표!G140</f>
        <v>0</v>
      </c>
      <c r="K143" s="13">
        <f t="shared" si="13"/>
        <v>0</v>
      </c>
      <c r="L143" s="54">
        <f>일위대가목록표!H140</f>
        <v>0</v>
      </c>
      <c r="M143" s="33">
        <f t="shared" si="14"/>
        <v>0</v>
      </c>
      <c r="N143" s="22" t="s">
        <v>3754</v>
      </c>
      <c r="O143" s="17" t="s">
        <v>3753</v>
      </c>
      <c r="P143" s="7" t="s">
        <v>3752</v>
      </c>
      <c r="Q143" s="7" t="s">
        <v>3344</v>
      </c>
      <c r="AC143" s="3" t="str">
        <f ca="1">HYPERLINK("#"&amp;일위대가목록표!J2&amp;"!A"&amp;ROW(일위대가목록표!A140),"대가137 →")</f>
        <v>대가137 →</v>
      </c>
    </row>
    <row r="144" spans="1:29" ht="30.6" customHeight="1" x14ac:dyDescent="0.3">
      <c r="A144" s="10"/>
      <c r="B144" s="10" t="s">
        <v>311</v>
      </c>
      <c r="C144" s="41" t="s">
        <v>239</v>
      </c>
      <c r="D144" s="43">
        <v>0</v>
      </c>
      <c r="E144" s="22" t="s">
        <v>14</v>
      </c>
      <c r="F144" s="45">
        <f t="shared" si="10"/>
        <v>166171</v>
      </c>
      <c r="G144" s="48">
        <f t="shared" si="11"/>
        <v>0</v>
      </c>
      <c r="H144" s="50">
        <f>일위대가목록표!F141</f>
        <v>166171</v>
      </c>
      <c r="I144" s="13">
        <f t="shared" si="12"/>
        <v>0</v>
      </c>
      <c r="J144" s="52">
        <f>일위대가목록표!G141</f>
        <v>0</v>
      </c>
      <c r="K144" s="13">
        <f t="shared" si="13"/>
        <v>0</v>
      </c>
      <c r="L144" s="54">
        <f>일위대가목록표!H141</f>
        <v>0</v>
      </c>
      <c r="M144" s="33">
        <f t="shared" si="14"/>
        <v>0</v>
      </c>
      <c r="N144" s="22" t="s">
        <v>3757</v>
      </c>
      <c r="O144" s="17" t="s">
        <v>3756</v>
      </c>
      <c r="P144" s="7" t="s">
        <v>3755</v>
      </c>
      <c r="Q144" s="7" t="s">
        <v>3344</v>
      </c>
      <c r="AC144" s="3" t="str">
        <f ca="1">HYPERLINK("#"&amp;일위대가목록표!J2&amp;"!A"&amp;ROW(일위대가목록표!A141),"대가138 →")</f>
        <v>대가138 →</v>
      </c>
    </row>
    <row r="145" spans="1:29" ht="30.6" customHeight="1" x14ac:dyDescent="0.3">
      <c r="A145" s="10"/>
      <c r="B145" s="10" t="s">
        <v>311</v>
      </c>
      <c r="C145" s="41" t="s">
        <v>245</v>
      </c>
      <c r="D145" s="43">
        <v>0</v>
      </c>
      <c r="E145" s="22" t="s">
        <v>14</v>
      </c>
      <c r="F145" s="45">
        <f t="shared" si="10"/>
        <v>236308</v>
      </c>
      <c r="G145" s="48">
        <f t="shared" si="11"/>
        <v>0</v>
      </c>
      <c r="H145" s="50">
        <f>일위대가목록표!F142</f>
        <v>236308</v>
      </c>
      <c r="I145" s="13">
        <f t="shared" si="12"/>
        <v>0</v>
      </c>
      <c r="J145" s="52">
        <f>일위대가목록표!G142</f>
        <v>0</v>
      </c>
      <c r="K145" s="13">
        <f t="shared" si="13"/>
        <v>0</v>
      </c>
      <c r="L145" s="54">
        <f>일위대가목록표!H142</f>
        <v>0</v>
      </c>
      <c r="M145" s="33">
        <f t="shared" si="14"/>
        <v>0</v>
      </c>
      <c r="N145" s="22" t="s">
        <v>3760</v>
      </c>
      <c r="O145" s="17" t="s">
        <v>3759</v>
      </c>
      <c r="P145" s="7" t="s">
        <v>3758</v>
      </c>
      <c r="Q145" s="7" t="s">
        <v>3344</v>
      </c>
      <c r="AC145" s="3" t="str">
        <f ca="1">HYPERLINK("#"&amp;일위대가목록표!J2&amp;"!A"&amp;ROW(일위대가목록표!A142),"대가139 →")</f>
        <v>대가139 →</v>
      </c>
    </row>
    <row r="146" spans="1:29" ht="30.6" customHeight="1" x14ac:dyDescent="0.3">
      <c r="A146" s="10"/>
      <c r="B146" s="10" t="s">
        <v>311</v>
      </c>
      <c r="C146" s="41" t="s">
        <v>248</v>
      </c>
      <c r="D146" s="43">
        <v>0</v>
      </c>
      <c r="E146" s="22" t="s">
        <v>14</v>
      </c>
      <c r="F146" s="45">
        <f t="shared" si="10"/>
        <v>307525</v>
      </c>
      <c r="G146" s="48">
        <f t="shared" si="11"/>
        <v>0</v>
      </c>
      <c r="H146" s="50">
        <f>일위대가목록표!F143</f>
        <v>307525</v>
      </c>
      <c r="I146" s="13">
        <f t="shared" si="12"/>
        <v>0</v>
      </c>
      <c r="J146" s="52">
        <f>일위대가목록표!G143</f>
        <v>0</v>
      </c>
      <c r="K146" s="13">
        <f t="shared" si="13"/>
        <v>0</v>
      </c>
      <c r="L146" s="54">
        <f>일위대가목록표!H143</f>
        <v>0</v>
      </c>
      <c r="M146" s="33">
        <f t="shared" si="14"/>
        <v>0</v>
      </c>
      <c r="N146" s="22" t="s">
        <v>3763</v>
      </c>
      <c r="O146" s="17" t="s">
        <v>3762</v>
      </c>
      <c r="P146" s="7" t="s">
        <v>3761</v>
      </c>
      <c r="Q146" s="7" t="s">
        <v>3344</v>
      </c>
      <c r="AC146" s="3" t="str">
        <f ca="1">HYPERLINK("#"&amp;일위대가목록표!J2&amp;"!A"&amp;ROW(일위대가목록표!A143),"대가140 →")</f>
        <v>대가140 →</v>
      </c>
    </row>
    <row r="147" spans="1:29" ht="30.6" customHeight="1" x14ac:dyDescent="0.3">
      <c r="A147" s="10"/>
      <c r="B147" s="10" t="s">
        <v>311</v>
      </c>
      <c r="C147" s="41" t="s">
        <v>251</v>
      </c>
      <c r="D147" s="43">
        <v>0</v>
      </c>
      <c r="E147" s="22" t="s">
        <v>14</v>
      </c>
      <c r="F147" s="45">
        <f t="shared" si="10"/>
        <v>355002</v>
      </c>
      <c r="G147" s="48">
        <f t="shared" si="11"/>
        <v>0</v>
      </c>
      <c r="H147" s="50">
        <f>일위대가목록표!F144</f>
        <v>355002</v>
      </c>
      <c r="I147" s="13">
        <f t="shared" si="12"/>
        <v>0</v>
      </c>
      <c r="J147" s="52">
        <f>일위대가목록표!G144</f>
        <v>0</v>
      </c>
      <c r="K147" s="13">
        <f t="shared" si="13"/>
        <v>0</v>
      </c>
      <c r="L147" s="54">
        <f>일위대가목록표!H144</f>
        <v>0</v>
      </c>
      <c r="M147" s="33">
        <f t="shared" si="14"/>
        <v>0</v>
      </c>
      <c r="N147" s="22" t="s">
        <v>3766</v>
      </c>
      <c r="O147" s="17" t="s">
        <v>3765</v>
      </c>
      <c r="P147" s="7" t="s">
        <v>3764</v>
      </c>
      <c r="Q147" s="7" t="s">
        <v>3344</v>
      </c>
      <c r="AC147" s="3" t="str">
        <f ca="1">HYPERLINK("#"&amp;일위대가목록표!J2&amp;"!A"&amp;ROW(일위대가목록표!A144),"대가141 →")</f>
        <v>대가141 →</v>
      </c>
    </row>
    <row r="148" spans="1:29" ht="30.6" customHeight="1" x14ac:dyDescent="0.3">
      <c r="A148" s="10"/>
      <c r="B148" s="10" t="s">
        <v>311</v>
      </c>
      <c r="C148" s="41" t="s">
        <v>254</v>
      </c>
      <c r="D148" s="43">
        <v>0</v>
      </c>
      <c r="E148" s="22" t="s">
        <v>14</v>
      </c>
      <c r="F148" s="45">
        <f t="shared" si="10"/>
        <v>402480</v>
      </c>
      <c r="G148" s="48">
        <f t="shared" si="11"/>
        <v>0</v>
      </c>
      <c r="H148" s="50">
        <f>일위대가목록표!F145</f>
        <v>402480</v>
      </c>
      <c r="I148" s="13">
        <f t="shared" si="12"/>
        <v>0</v>
      </c>
      <c r="J148" s="52">
        <f>일위대가목록표!G145</f>
        <v>0</v>
      </c>
      <c r="K148" s="13">
        <f t="shared" si="13"/>
        <v>0</v>
      </c>
      <c r="L148" s="54">
        <f>일위대가목록표!H145</f>
        <v>0</v>
      </c>
      <c r="M148" s="33">
        <f t="shared" si="14"/>
        <v>0</v>
      </c>
      <c r="N148" s="22" t="s">
        <v>3769</v>
      </c>
      <c r="O148" s="17" t="s">
        <v>3768</v>
      </c>
      <c r="P148" s="7" t="s">
        <v>3767</v>
      </c>
      <c r="Q148" s="7" t="s">
        <v>3344</v>
      </c>
      <c r="AC148" s="3" t="str">
        <f ca="1">HYPERLINK("#"&amp;일위대가목록표!J2&amp;"!A"&amp;ROW(일위대가목록표!A145),"대가142 →")</f>
        <v>대가142 →</v>
      </c>
    </row>
    <row r="149" spans="1:29" ht="30.6" customHeight="1" x14ac:dyDescent="0.3">
      <c r="A149" s="10"/>
      <c r="B149" s="10" t="s">
        <v>311</v>
      </c>
      <c r="C149" s="41" t="s">
        <v>257</v>
      </c>
      <c r="D149" s="43">
        <v>0</v>
      </c>
      <c r="E149" s="22" t="s">
        <v>14</v>
      </c>
      <c r="F149" s="45">
        <f t="shared" si="10"/>
        <v>1076338</v>
      </c>
      <c r="G149" s="48">
        <f t="shared" si="11"/>
        <v>0</v>
      </c>
      <c r="H149" s="50">
        <f>일위대가목록표!F146</f>
        <v>1076338</v>
      </c>
      <c r="I149" s="13">
        <f t="shared" si="12"/>
        <v>0</v>
      </c>
      <c r="J149" s="52">
        <f>일위대가목록표!G146</f>
        <v>0</v>
      </c>
      <c r="K149" s="13">
        <f t="shared" si="13"/>
        <v>0</v>
      </c>
      <c r="L149" s="54">
        <f>일위대가목록표!H146</f>
        <v>0</v>
      </c>
      <c r="M149" s="33">
        <f t="shared" si="14"/>
        <v>0</v>
      </c>
      <c r="N149" s="22" t="s">
        <v>3772</v>
      </c>
      <c r="O149" s="17" t="s">
        <v>3771</v>
      </c>
      <c r="P149" s="7" t="s">
        <v>3770</v>
      </c>
      <c r="Q149" s="7" t="s">
        <v>3344</v>
      </c>
      <c r="AC149" s="3" t="str">
        <f ca="1">HYPERLINK("#"&amp;일위대가목록표!J2&amp;"!A"&amp;ROW(일위대가목록표!A146),"대가143 →")</f>
        <v>대가143 →</v>
      </c>
    </row>
    <row r="150" spans="1:29" ht="30.6" customHeight="1" x14ac:dyDescent="0.3">
      <c r="A150" s="10"/>
      <c r="B150" s="10" t="s">
        <v>336</v>
      </c>
      <c r="C150" s="41" t="s">
        <v>337</v>
      </c>
      <c r="D150" s="43">
        <v>0</v>
      </c>
      <c r="E150" s="22" t="s">
        <v>14</v>
      </c>
      <c r="F150" s="45">
        <f t="shared" si="10"/>
        <v>1546273</v>
      </c>
      <c r="G150" s="48">
        <f t="shared" si="11"/>
        <v>0</v>
      </c>
      <c r="H150" s="50">
        <f>일위대가목록표!F147</f>
        <v>354635</v>
      </c>
      <c r="I150" s="13">
        <f t="shared" si="12"/>
        <v>0</v>
      </c>
      <c r="J150" s="52">
        <f>일위대가목록표!G147</f>
        <v>1181000</v>
      </c>
      <c r="K150" s="13">
        <f t="shared" si="13"/>
        <v>0</v>
      </c>
      <c r="L150" s="54">
        <f>일위대가목록표!H147</f>
        <v>10638</v>
      </c>
      <c r="M150" s="33">
        <f t="shared" si="14"/>
        <v>0</v>
      </c>
      <c r="N150" s="22" t="s">
        <v>3775</v>
      </c>
      <c r="O150" s="17" t="s">
        <v>3774</v>
      </c>
      <c r="P150" s="7" t="s">
        <v>3773</v>
      </c>
      <c r="Q150" s="7" t="s">
        <v>3344</v>
      </c>
      <c r="AC150" s="3" t="str">
        <f ca="1">HYPERLINK("#"&amp;일위대가목록표!J2&amp;"!A"&amp;ROW(일위대가목록표!A147),"대가144 →")</f>
        <v>대가144 →</v>
      </c>
    </row>
    <row r="151" spans="1:29" ht="30.6" customHeight="1" x14ac:dyDescent="0.3">
      <c r="A151" s="10"/>
      <c r="B151" s="10" t="s">
        <v>336</v>
      </c>
      <c r="C151" s="41" t="s">
        <v>340</v>
      </c>
      <c r="D151" s="43">
        <v>0</v>
      </c>
      <c r="E151" s="22" t="s">
        <v>14</v>
      </c>
      <c r="F151" s="45">
        <f t="shared" si="10"/>
        <v>1818901</v>
      </c>
      <c r="G151" s="48">
        <f t="shared" si="11"/>
        <v>0</v>
      </c>
      <c r="H151" s="50">
        <f>일위대가목록표!F148</f>
        <v>408643</v>
      </c>
      <c r="I151" s="13">
        <f t="shared" si="12"/>
        <v>0</v>
      </c>
      <c r="J151" s="52">
        <f>일위대가목록표!G148</f>
        <v>1398000</v>
      </c>
      <c r="K151" s="13">
        <f t="shared" si="13"/>
        <v>0</v>
      </c>
      <c r="L151" s="54">
        <f>일위대가목록표!H148</f>
        <v>12258</v>
      </c>
      <c r="M151" s="33">
        <f t="shared" si="14"/>
        <v>0</v>
      </c>
      <c r="N151" s="22" t="s">
        <v>3778</v>
      </c>
      <c r="O151" s="17" t="s">
        <v>3777</v>
      </c>
      <c r="P151" s="7" t="s">
        <v>3776</v>
      </c>
      <c r="Q151" s="7" t="s">
        <v>3344</v>
      </c>
      <c r="AC151" s="3" t="str">
        <f ca="1">HYPERLINK("#"&amp;일위대가목록표!J2&amp;"!A"&amp;ROW(일위대가목록표!A148),"대가145 →")</f>
        <v>대가145 →</v>
      </c>
    </row>
    <row r="152" spans="1:29" ht="30.6" customHeight="1" x14ac:dyDescent="0.3">
      <c r="A152" s="10"/>
      <c r="B152" s="10" t="s">
        <v>336</v>
      </c>
      <c r="C152" s="41" t="s">
        <v>343</v>
      </c>
      <c r="D152" s="43">
        <v>0</v>
      </c>
      <c r="E152" s="22" t="s">
        <v>14</v>
      </c>
      <c r="F152" s="45">
        <f t="shared" si="10"/>
        <v>3255348</v>
      </c>
      <c r="G152" s="48">
        <f t="shared" si="11"/>
        <v>0</v>
      </c>
      <c r="H152" s="50">
        <f>일위대가목록표!F149</f>
        <v>469271</v>
      </c>
      <c r="I152" s="13">
        <f t="shared" si="12"/>
        <v>0</v>
      </c>
      <c r="J152" s="52">
        <f>일위대가목록표!G149</f>
        <v>2772000</v>
      </c>
      <c r="K152" s="13">
        <f t="shared" si="13"/>
        <v>0</v>
      </c>
      <c r="L152" s="54">
        <f>일위대가목록표!H149</f>
        <v>14077</v>
      </c>
      <c r="M152" s="33">
        <f t="shared" si="14"/>
        <v>0</v>
      </c>
      <c r="N152" s="22" t="s">
        <v>3781</v>
      </c>
      <c r="O152" s="17" t="s">
        <v>3780</v>
      </c>
      <c r="P152" s="7" t="s">
        <v>3779</v>
      </c>
      <c r="Q152" s="7" t="s">
        <v>3344</v>
      </c>
      <c r="AC152" s="3" t="str">
        <f ca="1">HYPERLINK("#"&amp;일위대가목록표!J2&amp;"!A"&amp;ROW(일위대가목록표!A149),"대가146 →")</f>
        <v>대가146 →</v>
      </c>
    </row>
    <row r="153" spans="1:29" ht="30.6" customHeight="1" x14ac:dyDescent="0.3">
      <c r="A153" s="10"/>
      <c r="B153" s="10" t="s">
        <v>336</v>
      </c>
      <c r="C153" s="41" t="s">
        <v>346</v>
      </c>
      <c r="D153" s="43">
        <v>0</v>
      </c>
      <c r="E153" s="22" t="s">
        <v>14</v>
      </c>
      <c r="F153" s="45">
        <f t="shared" si="10"/>
        <v>4207367</v>
      </c>
      <c r="G153" s="48">
        <f t="shared" si="11"/>
        <v>0</v>
      </c>
      <c r="H153" s="50">
        <f>일위대가목록표!F150</f>
        <v>565406</v>
      </c>
      <c r="I153" s="13">
        <f t="shared" si="12"/>
        <v>0</v>
      </c>
      <c r="J153" s="52">
        <f>일위대가목록표!G150</f>
        <v>3625000</v>
      </c>
      <c r="K153" s="13">
        <f t="shared" si="13"/>
        <v>0</v>
      </c>
      <c r="L153" s="54">
        <f>일위대가목록표!H150</f>
        <v>16961</v>
      </c>
      <c r="M153" s="33">
        <f t="shared" si="14"/>
        <v>0</v>
      </c>
      <c r="N153" s="22" t="s">
        <v>3784</v>
      </c>
      <c r="O153" s="17" t="s">
        <v>3783</v>
      </c>
      <c r="P153" s="7" t="s">
        <v>3782</v>
      </c>
      <c r="Q153" s="7" t="s">
        <v>3344</v>
      </c>
      <c r="AC153" s="3" t="str">
        <f ca="1">HYPERLINK("#"&amp;일위대가목록표!J2&amp;"!A"&amp;ROW(일위대가목록표!A150),"대가147 →")</f>
        <v>대가147 →</v>
      </c>
    </row>
    <row r="154" spans="1:29" ht="30.6" customHeight="1" x14ac:dyDescent="0.3">
      <c r="A154" s="10"/>
      <c r="B154" s="10" t="s">
        <v>336</v>
      </c>
      <c r="C154" s="41" t="s">
        <v>349</v>
      </c>
      <c r="D154" s="43">
        <v>0</v>
      </c>
      <c r="E154" s="22" t="s">
        <v>14</v>
      </c>
      <c r="F154" s="45">
        <f t="shared" si="10"/>
        <v>4711777</v>
      </c>
      <c r="G154" s="48">
        <f t="shared" si="11"/>
        <v>0</v>
      </c>
      <c r="H154" s="50">
        <f>일위대가목록표!F151</f>
        <v>713377</v>
      </c>
      <c r="I154" s="13">
        <f t="shared" si="12"/>
        <v>0</v>
      </c>
      <c r="J154" s="52">
        <f>일위대가목록표!G151</f>
        <v>3977000</v>
      </c>
      <c r="K154" s="13">
        <f t="shared" si="13"/>
        <v>0</v>
      </c>
      <c r="L154" s="54">
        <f>일위대가목록표!H151</f>
        <v>21400</v>
      </c>
      <c r="M154" s="33">
        <f t="shared" si="14"/>
        <v>0</v>
      </c>
      <c r="N154" s="22" t="s">
        <v>3787</v>
      </c>
      <c r="O154" s="17" t="s">
        <v>3786</v>
      </c>
      <c r="P154" s="7" t="s">
        <v>3785</v>
      </c>
      <c r="Q154" s="7" t="s">
        <v>3344</v>
      </c>
      <c r="AC154" s="3" t="str">
        <f ca="1">HYPERLINK("#"&amp;일위대가목록표!J2&amp;"!A"&amp;ROW(일위대가목록표!A151),"대가148 →")</f>
        <v>대가148 →</v>
      </c>
    </row>
    <row r="155" spans="1:29" ht="30.6" customHeight="1" x14ac:dyDescent="0.3">
      <c r="A155" s="10"/>
      <c r="B155" s="10" t="s">
        <v>336</v>
      </c>
      <c r="C155" s="41" t="s">
        <v>352</v>
      </c>
      <c r="D155" s="43">
        <v>0</v>
      </c>
      <c r="E155" s="22" t="s">
        <v>14</v>
      </c>
      <c r="F155" s="45">
        <f t="shared" si="10"/>
        <v>5693333</v>
      </c>
      <c r="G155" s="48">
        <f t="shared" si="11"/>
        <v>0</v>
      </c>
      <c r="H155" s="50">
        <f>일위대가목록표!F152</f>
        <v>951780</v>
      </c>
      <c r="I155" s="13">
        <f t="shared" si="12"/>
        <v>0</v>
      </c>
      <c r="J155" s="52">
        <f>일위대가목록표!G152</f>
        <v>4713000</v>
      </c>
      <c r="K155" s="13">
        <f t="shared" si="13"/>
        <v>0</v>
      </c>
      <c r="L155" s="54">
        <f>일위대가목록표!H152</f>
        <v>28553</v>
      </c>
      <c r="M155" s="33">
        <f t="shared" si="14"/>
        <v>0</v>
      </c>
      <c r="N155" s="22" t="s">
        <v>3790</v>
      </c>
      <c r="O155" s="17" t="s">
        <v>3789</v>
      </c>
      <c r="P155" s="7" t="s">
        <v>3788</v>
      </c>
      <c r="Q155" s="7" t="s">
        <v>3344</v>
      </c>
      <c r="AC155" s="3" t="str">
        <f ca="1">HYPERLINK("#"&amp;일위대가목록표!J2&amp;"!A"&amp;ROW(일위대가목록표!A152),"대가149 →")</f>
        <v>대가149 →</v>
      </c>
    </row>
    <row r="156" spans="1:29" ht="30.6" customHeight="1" x14ac:dyDescent="0.3">
      <c r="A156" s="10"/>
      <c r="B156" s="10" t="s">
        <v>336</v>
      </c>
      <c r="C156" s="41" t="s">
        <v>355</v>
      </c>
      <c r="D156" s="43">
        <v>0</v>
      </c>
      <c r="E156" s="22" t="s">
        <v>14</v>
      </c>
      <c r="F156" s="45">
        <f t="shared" si="10"/>
        <v>6907333</v>
      </c>
      <c r="G156" s="48">
        <f t="shared" si="11"/>
        <v>0</v>
      </c>
      <c r="H156" s="50">
        <f>일위대가목록표!F153</f>
        <v>951780</v>
      </c>
      <c r="I156" s="13">
        <f t="shared" si="12"/>
        <v>0</v>
      </c>
      <c r="J156" s="52">
        <f>일위대가목록표!G153</f>
        <v>5927000</v>
      </c>
      <c r="K156" s="13">
        <f t="shared" si="13"/>
        <v>0</v>
      </c>
      <c r="L156" s="54">
        <f>일위대가목록표!H153</f>
        <v>28553</v>
      </c>
      <c r="M156" s="33">
        <f t="shared" si="14"/>
        <v>0</v>
      </c>
      <c r="N156" s="22" t="s">
        <v>3793</v>
      </c>
      <c r="O156" s="17" t="s">
        <v>3792</v>
      </c>
      <c r="P156" s="7" t="s">
        <v>3791</v>
      </c>
      <c r="Q156" s="7" t="s">
        <v>3344</v>
      </c>
      <c r="AC156" s="3" t="str">
        <f ca="1">HYPERLINK("#"&amp;일위대가목록표!J2&amp;"!A"&amp;ROW(일위대가목록표!A153),"대가150 →")</f>
        <v>대가150 →</v>
      </c>
    </row>
    <row r="157" spans="1:29" ht="30.6" customHeight="1" x14ac:dyDescent="0.3">
      <c r="A157" s="10"/>
      <c r="B157" s="10" t="s">
        <v>336</v>
      </c>
      <c r="C157" s="41" t="s">
        <v>358</v>
      </c>
      <c r="D157" s="43">
        <v>0</v>
      </c>
      <c r="E157" s="22" t="s">
        <v>14</v>
      </c>
      <c r="F157" s="45">
        <f t="shared" si="10"/>
        <v>8248750</v>
      </c>
      <c r="G157" s="48">
        <f t="shared" si="11"/>
        <v>0</v>
      </c>
      <c r="H157" s="50">
        <f>일위대가목록표!F154</f>
        <v>1537622</v>
      </c>
      <c r="I157" s="13">
        <f t="shared" si="12"/>
        <v>0</v>
      </c>
      <c r="J157" s="52">
        <f>일위대가목록표!G154</f>
        <v>6665000</v>
      </c>
      <c r="K157" s="13">
        <f t="shared" si="13"/>
        <v>0</v>
      </c>
      <c r="L157" s="54">
        <f>일위대가목록표!H154</f>
        <v>46128</v>
      </c>
      <c r="M157" s="33">
        <f t="shared" si="14"/>
        <v>0</v>
      </c>
      <c r="N157" s="22" t="s">
        <v>3796</v>
      </c>
      <c r="O157" s="17" t="s">
        <v>3795</v>
      </c>
      <c r="P157" s="7" t="s">
        <v>3794</v>
      </c>
      <c r="Q157" s="7" t="s">
        <v>3344</v>
      </c>
      <c r="AC157" s="3" t="str">
        <f ca="1">HYPERLINK("#"&amp;일위대가목록표!J2&amp;"!A"&amp;ROW(일위대가목록표!A154),"대가151 →")</f>
        <v>대가151 →</v>
      </c>
    </row>
    <row r="158" spans="1:29" ht="30.6" customHeight="1" x14ac:dyDescent="0.3">
      <c r="A158" s="10"/>
      <c r="B158" s="10" t="s">
        <v>336</v>
      </c>
      <c r="C158" s="41" t="s">
        <v>361</v>
      </c>
      <c r="D158" s="43">
        <v>0</v>
      </c>
      <c r="E158" s="22" t="s">
        <v>14</v>
      </c>
      <c r="F158" s="45">
        <f t="shared" si="10"/>
        <v>9498750</v>
      </c>
      <c r="G158" s="48">
        <f t="shared" si="11"/>
        <v>0</v>
      </c>
      <c r="H158" s="50">
        <f>일위대가목록표!F155</f>
        <v>1537622</v>
      </c>
      <c r="I158" s="13">
        <f t="shared" si="12"/>
        <v>0</v>
      </c>
      <c r="J158" s="52">
        <f>일위대가목록표!G155</f>
        <v>7915000</v>
      </c>
      <c r="K158" s="13">
        <f t="shared" si="13"/>
        <v>0</v>
      </c>
      <c r="L158" s="54">
        <f>일위대가목록표!H155</f>
        <v>46128</v>
      </c>
      <c r="M158" s="33">
        <f t="shared" si="14"/>
        <v>0</v>
      </c>
      <c r="N158" s="22" t="s">
        <v>3799</v>
      </c>
      <c r="O158" s="17" t="s">
        <v>3798</v>
      </c>
      <c r="P158" s="7" t="s">
        <v>3797</v>
      </c>
      <c r="Q158" s="7" t="s">
        <v>3344</v>
      </c>
      <c r="AC158" s="3" t="str">
        <f ca="1">HYPERLINK("#"&amp;일위대가목록표!J2&amp;"!A"&amp;ROW(일위대가목록표!A155),"대가152 →")</f>
        <v>대가152 →</v>
      </c>
    </row>
    <row r="159" spans="1:29" ht="30.6" customHeight="1" x14ac:dyDescent="0.3">
      <c r="A159" s="10"/>
      <c r="B159" s="10" t="s">
        <v>336</v>
      </c>
      <c r="C159" s="41" t="s">
        <v>364</v>
      </c>
      <c r="D159" s="43">
        <v>0</v>
      </c>
      <c r="E159" s="22" t="s">
        <v>14</v>
      </c>
      <c r="F159" s="45">
        <f t="shared" si="10"/>
        <v>11343750</v>
      </c>
      <c r="G159" s="48">
        <f t="shared" si="11"/>
        <v>0</v>
      </c>
      <c r="H159" s="50">
        <f>일위대가목록표!F156</f>
        <v>1537622</v>
      </c>
      <c r="I159" s="13">
        <f t="shared" si="12"/>
        <v>0</v>
      </c>
      <c r="J159" s="52">
        <f>일위대가목록표!G156</f>
        <v>9760000</v>
      </c>
      <c r="K159" s="13">
        <f t="shared" si="13"/>
        <v>0</v>
      </c>
      <c r="L159" s="54">
        <f>일위대가목록표!H156</f>
        <v>46128</v>
      </c>
      <c r="M159" s="33">
        <f t="shared" si="14"/>
        <v>0</v>
      </c>
      <c r="N159" s="22" t="s">
        <v>3802</v>
      </c>
      <c r="O159" s="17" t="s">
        <v>3801</v>
      </c>
      <c r="P159" s="7" t="s">
        <v>3800</v>
      </c>
      <c r="Q159" s="7" t="s">
        <v>3344</v>
      </c>
      <c r="AC159" s="3" t="str">
        <f ca="1">HYPERLINK("#"&amp;일위대가목록표!J2&amp;"!A"&amp;ROW(일위대가목록표!A156),"대가153 →")</f>
        <v>대가153 →</v>
      </c>
    </row>
    <row r="160" spans="1:29" ht="30.6" customHeight="1" x14ac:dyDescent="0.3">
      <c r="A160" s="10"/>
      <c r="B160" s="10" t="s">
        <v>336</v>
      </c>
      <c r="C160" s="41" t="s">
        <v>367</v>
      </c>
      <c r="D160" s="43">
        <v>0</v>
      </c>
      <c r="E160" s="22" t="s">
        <v>14</v>
      </c>
      <c r="F160" s="45">
        <f t="shared" si="10"/>
        <v>12910858</v>
      </c>
      <c r="G160" s="48">
        <f t="shared" si="11"/>
        <v>0</v>
      </c>
      <c r="H160" s="50">
        <f>일위대가목록표!F157</f>
        <v>1985300</v>
      </c>
      <c r="I160" s="13">
        <f t="shared" si="12"/>
        <v>0</v>
      </c>
      <c r="J160" s="52">
        <f>일위대가목록표!G157</f>
        <v>10866000</v>
      </c>
      <c r="K160" s="13">
        <f t="shared" si="13"/>
        <v>0</v>
      </c>
      <c r="L160" s="54">
        <f>일위대가목록표!H157</f>
        <v>59558</v>
      </c>
      <c r="M160" s="33">
        <f t="shared" si="14"/>
        <v>0</v>
      </c>
      <c r="N160" s="22" t="s">
        <v>3805</v>
      </c>
      <c r="O160" s="17" t="s">
        <v>3804</v>
      </c>
      <c r="P160" s="7" t="s">
        <v>3803</v>
      </c>
      <c r="Q160" s="7" t="s">
        <v>3344</v>
      </c>
      <c r="AC160" s="3" t="str">
        <f ca="1">HYPERLINK("#"&amp;일위대가목록표!J2&amp;"!A"&amp;ROW(일위대가목록표!A157),"대가154 →")</f>
        <v>대가154 →</v>
      </c>
    </row>
    <row r="161" spans="1:29" ht="30.6" customHeight="1" x14ac:dyDescent="0.3">
      <c r="A161" s="10"/>
      <c r="B161" s="10" t="s">
        <v>336</v>
      </c>
      <c r="C161" s="41" t="s">
        <v>370</v>
      </c>
      <c r="D161" s="43">
        <v>0</v>
      </c>
      <c r="E161" s="22" t="s">
        <v>14</v>
      </c>
      <c r="F161" s="45">
        <f t="shared" si="10"/>
        <v>14810807</v>
      </c>
      <c r="G161" s="48">
        <f t="shared" si="11"/>
        <v>0</v>
      </c>
      <c r="H161" s="50">
        <f>일위대가목록표!F158</f>
        <v>3193989</v>
      </c>
      <c r="I161" s="13">
        <f t="shared" si="12"/>
        <v>0</v>
      </c>
      <c r="J161" s="52">
        <f>일위대가목록표!G158</f>
        <v>11521000</v>
      </c>
      <c r="K161" s="13">
        <f t="shared" si="13"/>
        <v>0</v>
      </c>
      <c r="L161" s="54">
        <f>일위대가목록표!H158</f>
        <v>95818</v>
      </c>
      <c r="M161" s="33">
        <f t="shared" si="14"/>
        <v>0</v>
      </c>
      <c r="N161" s="22" t="s">
        <v>3808</v>
      </c>
      <c r="O161" s="17" t="s">
        <v>3807</v>
      </c>
      <c r="P161" s="7" t="s">
        <v>3806</v>
      </c>
      <c r="Q161" s="7" t="s">
        <v>3344</v>
      </c>
      <c r="AC161" s="3" t="str">
        <f ca="1">HYPERLINK("#"&amp;일위대가목록표!J2&amp;"!A"&amp;ROW(일위대가목록표!A158),"대가155 →")</f>
        <v>대가155 →</v>
      </c>
    </row>
    <row r="162" spans="1:29" ht="30.6" customHeight="1" x14ac:dyDescent="0.3">
      <c r="A162" s="10"/>
      <c r="B162" s="10" t="s">
        <v>336</v>
      </c>
      <c r="C162" s="41" t="s">
        <v>373</v>
      </c>
      <c r="D162" s="43">
        <v>0</v>
      </c>
      <c r="E162" s="22" t="s">
        <v>14</v>
      </c>
      <c r="F162" s="45">
        <f t="shared" si="10"/>
        <v>42594109</v>
      </c>
      <c r="G162" s="48">
        <f t="shared" si="11"/>
        <v>0</v>
      </c>
      <c r="H162" s="50">
        <f>일위대가목록표!F159</f>
        <v>3912728</v>
      </c>
      <c r="I162" s="13">
        <f t="shared" si="12"/>
        <v>0</v>
      </c>
      <c r="J162" s="52">
        <f>일위대가목록표!G159</f>
        <v>38564000</v>
      </c>
      <c r="K162" s="13">
        <f t="shared" si="13"/>
        <v>0</v>
      </c>
      <c r="L162" s="54">
        <f>일위대가목록표!H159</f>
        <v>117381</v>
      </c>
      <c r="M162" s="33">
        <f t="shared" si="14"/>
        <v>0</v>
      </c>
      <c r="N162" s="22" t="s">
        <v>3811</v>
      </c>
      <c r="O162" s="17" t="s">
        <v>3810</v>
      </c>
      <c r="P162" s="7" t="s">
        <v>3809</v>
      </c>
      <c r="Q162" s="7" t="s">
        <v>3344</v>
      </c>
      <c r="AC162" s="3" t="str">
        <f ca="1">HYPERLINK("#"&amp;일위대가목록표!J2&amp;"!A"&amp;ROW(일위대가목록표!A159),"대가156 →")</f>
        <v>대가156 →</v>
      </c>
    </row>
    <row r="163" spans="1:29" ht="30.6" customHeight="1" x14ac:dyDescent="0.3">
      <c r="A163" s="10"/>
      <c r="B163" s="10" t="s">
        <v>376</v>
      </c>
      <c r="C163" s="41" t="s">
        <v>337</v>
      </c>
      <c r="D163" s="43">
        <v>0</v>
      </c>
      <c r="E163" s="22" t="s">
        <v>14</v>
      </c>
      <c r="F163" s="45">
        <f t="shared" si="10"/>
        <v>365273</v>
      </c>
      <c r="G163" s="48">
        <f t="shared" si="11"/>
        <v>0</v>
      </c>
      <c r="H163" s="50">
        <f>일위대가목록표!F160</f>
        <v>354635</v>
      </c>
      <c r="I163" s="13">
        <f t="shared" si="12"/>
        <v>0</v>
      </c>
      <c r="J163" s="52">
        <f>일위대가목록표!G160</f>
        <v>0</v>
      </c>
      <c r="K163" s="13">
        <f t="shared" si="13"/>
        <v>0</v>
      </c>
      <c r="L163" s="54">
        <f>일위대가목록표!H160</f>
        <v>10638</v>
      </c>
      <c r="M163" s="33">
        <f t="shared" si="14"/>
        <v>0</v>
      </c>
      <c r="N163" s="22" t="s">
        <v>3814</v>
      </c>
      <c r="O163" s="17" t="s">
        <v>3813</v>
      </c>
      <c r="P163" s="7" t="s">
        <v>3812</v>
      </c>
      <c r="Q163" s="7" t="s">
        <v>3344</v>
      </c>
      <c r="AC163" s="3" t="str">
        <f ca="1">HYPERLINK("#"&amp;일위대가목록표!J2&amp;"!A"&amp;ROW(일위대가목록표!A160),"대가157 →")</f>
        <v>대가157 →</v>
      </c>
    </row>
    <row r="164" spans="1:29" ht="30.6" customHeight="1" x14ac:dyDescent="0.3">
      <c r="A164" s="10"/>
      <c r="B164" s="10" t="s">
        <v>376</v>
      </c>
      <c r="C164" s="41" t="s">
        <v>340</v>
      </c>
      <c r="D164" s="43">
        <v>0</v>
      </c>
      <c r="E164" s="22" t="s">
        <v>14</v>
      </c>
      <c r="F164" s="45">
        <f t="shared" si="10"/>
        <v>420901</v>
      </c>
      <c r="G164" s="48">
        <f t="shared" si="11"/>
        <v>0</v>
      </c>
      <c r="H164" s="50">
        <f>일위대가목록표!F161</f>
        <v>408643</v>
      </c>
      <c r="I164" s="13">
        <f t="shared" si="12"/>
        <v>0</v>
      </c>
      <c r="J164" s="52">
        <f>일위대가목록표!G161</f>
        <v>0</v>
      </c>
      <c r="K164" s="13">
        <f t="shared" si="13"/>
        <v>0</v>
      </c>
      <c r="L164" s="54">
        <f>일위대가목록표!H161</f>
        <v>12258</v>
      </c>
      <c r="M164" s="33">
        <f t="shared" si="14"/>
        <v>0</v>
      </c>
      <c r="N164" s="22" t="s">
        <v>3817</v>
      </c>
      <c r="O164" s="17" t="s">
        <v>3816</v>
      </c>
      <c r="P164" s="7" t="s">
        <v>3815</v>
      </c>
      <c r="Q164" s="7" t="s">
        <v>3344</v>
      </c>
      <c r="AC164" s="3" t="str">
        <f ca="1">HYPERLINK("#"&amp;일위대가목록표!J2&amp;"!A"&amp;ROW(일위대가목록표!A161),"대가158 →")</f>
        <v>대가158 →</v>
      </c>
    </row>
    <row r="165" spans="1:29" ht="30.6" customHeight="1" x14ac:dyDescent="0.3">
      <c r="A165" s="10"/>
      <c r="B165" s="10" t="s">
        <v>376</v>
      </c>
      <c r="C165" s="41" t="s">
        <v>343</v>
      </c>
      <c r="D165" s="43">
        <v>0</v>
      </c>
      <c r="E165" s="22" t="s">
        <v>14</v>
      </c>
      <c r="F165" s="45">
        <f t="shared" si="10"/>
        <v>483348</v>
      </c>
      <c r="G165" s="48">
        <f t="shared" si="11"/>
        <v>0</v>
      </c>
      <c r="H165" s="50">
        <f>일위대가목록표!F162</f>
        <v>469271</v>
      </c>
      <c r="I165" s="13">
        <f t="shared" si="12"/>
        <v>0</v>
      </c>
      <c r="J165" s="52">
        <f>일위대가목록표!G162</f>
        <v>0</v>
      </c>
      <c r="K165" s="13">
        <f t="shared" si="13"/>
        <v>0</v>
      </c>
      <c r="L165" s="54">
        <f>일위대가목록표!H162</f>
        <v>14077</v>
      </c>
      <c r="M165" s="33">
        <f t="shared" si="14"/>
        <v>0</v>
      </c>
      <c r="N165" s="22" t="s">
        <v>3820</v>
      </c>
      <c r="O165" s="17" t="s">
        <v>3819</v>
      </c>
      <c r="P165" s="7" t="s">
        <v>3818</v>
      </c>
      <c r="Q165" s="7" t="s">
        <v>3344</v>
      </c>
      <c r="AC165" s="3" t="str">
        <f ca="1">HYPERLINK("#"&amp;일위대가목록표!J2&amp;"!A"&amp;ROW(일위대가목록표!A162),"대가159 →")</f>
        <v>대가159 →</v>
      </c>
    </row>
    <row r="166" spans="1:29" ht="30.6" customHeight="1" x14ac:dyDescent="0.3">
      <c r="A166" s="10"/>
      <c r="B166" s="10" t="s">
        <v>376</v>
      </c>
      <c r="C166" s="41" t="s">
        <v>346</v>
      </c>
      <c r="D166" s="43">
        <v>0</v>
      </c>
      <c r="E166" s="22" t="s">
        <v>14</v>
      </c>
      <c r="F166" s="45">
        <f t="shared" si="10"/>
        <v>582367</v>
      </c>
      <c r="G166" s="48">
        <f t="shared" si="11"/>
        <v>0</v>
      </c>
      <c r="H166" s="50">
        <f>일위대가목록표!F163</f>
        <v>565406</v>
      </c>
      <c r="I166" s="13">
        <f t="shared" si="12"/>
        <v>0</v>
      </c>
      <c r="J166" s="52">
        <f>일위대가목록표!G163</f>
        <v>0</v>
      </c>
      <c r="K166" s="13">
        <f t="shared" si="13"/>
        <v>0</v>
      </c>
      <c r="L166" s="54">
        <f>일위대가목록표!H163</f>
        <v>16961</v>
      </c>
      <c r="M166" s="33">
        <f t="shared" si="14"/>
        <v>0</v>
      </c>
      <c r="N166" s="22" t="s">
        <v>3823</v>
      </c>
      <c r="O166" s="17" t="s">
        <v>3822</v>
      </c>
      <c r="P166" s="7" t="s">
        <v>3821</v>
      </c>
      <c r="Q166" s="7" t="s">
        <v>3344</v>
      </c>
      <c r="AC166" s="3" t="str">
        <f ca="1">HYPERLINK("#"&amp;일위대가목록표!J2&amp;"!A"&amp;ROW(일위대가목록표!A163),"대가160 →")</f>
        <v>대가160 →</v>
      </c>
    </row>
    <row r="167" spans="1:29" ht="30.6" customHeight="1" x14ac:dyDescent="0.3">
      <c r="A167" s="10"/>
      <c r="B167" s="10" t="s">
        <v>376</v>
      </c>
      <c r="C167" s="41" t="s">
        <v>349</v>
      </c>
      <c r="D167" s="43">
        <v>0</v>
      </c>
      <c r="E167" s="22" t="s">
        <v>14</v>
      </c>
      <c r="F167" s="45">
        <f t="shared" si="10"/>
        <v>734777</v>
      </c>
      <c r="G167" s="48">
        <f t="shared" si="11"/>
        <v>0</v>
      </c>
      <c r="H167" s="50">
        <f>일위대가목록표!F164</f>
        <v>713377</v>
      </c>
      <c r="I167" s="13">
        <f t="shared" si="12"/>
        <v>0</v>
      </c>
      <c r="J167" s="52">
        <f>일위대가목록표!G164</f>
        <v>0</v>
      </c>
      <c r="K167" s="13">
        <f t="shared" si="13"/>
        <v>0</v>
      </c>
      <c r="L167" s="54">
        <f>일위대가목록표!H164</f>
        <v>21400</v>
      </c>
      <c r="M167" s="33">
        <f t="shared" si="14"/>
        <v>0</v>
      </c>
      <c r="N167" s="22" t="s">
        <v>3826</v>
      </c>
      <c r="O167" s="17" t="s">
        <v>3825</v>
      </c>
      <c r="P167" s="7" t="s">
        <v>3824</v>
      </c>
      <c r="Q167" s="7" t="s">
        <v>3344</v>
      </c>
      <c r="AC167" s="3" t="str">
        <f ca="1">HYPERLINK("#"&amp;일위대가목록표!J2&amp;"!A"&amp;ROW(일위대가목록표!A164),"대가161 →")</f>
        <v>대가161 →</v>
      </c>
    </row>
    <row r="168" spans="1:29" ht="30.6" customHeight="1" x14ac:dyDescent="0.3">
      <c r="A168" s="10"/>
      <c r="B168" s="10" t="s">
        <v>376</v>
      </c>
      <c r="C168" s="41" t="s">
        <v>352</v>
      </c>
      <c r="D168" s="43">
        <v>0</v>
      </c>
      <c r="E168" s="22" t="s">
        <v>14</v>
      </c>
      <c r="F168" s="45">
        <f t="shared" si="10"/>
        <v>980333</v>
      </c>
      <c r="G168" s="48">
        <f t="shared" si="11"/>
        <v>0</v>
      </c>
      <c r="H168" s="50">
        <f>일위대가목록표!F165</f>
        <v>951780</v>
      </c>
      <c r="I168" s="13">
        <f t="shared" si="12"/>
        <v>0</v>
      </c>
      <c r="J168" s="52">
        <f>일위대가목록표!G165</f>
        <v>0</v>
      </c>
      <c r="K168" s="13">
        <f t="shared" si="13"/>
        <v>0</v>
      </c>
      <c r="L168" s="54">
        <f>일위대가목록표!H165</f>
        <v>28553</v>
      </c>
      <c r="M168" s="33">
        <f t="shared" si="14"/>
        <v>0</v>
      </c>
      <c r="N168" s="22" t="s">
        <v>3829</v>
      </c>
      <c r="O168" s="17" t="s">
        <v>3828</v>
      </c>
      <c r="P168" s="7" t="s">
        <v>3827</v>
      </c>
      <c r="Q168" s="7" t="s">
        <v>3344</v>
      </c>
      <c r="AC168" s="3" t="str">
        <f ca="1">HYPERLINK("#"&amp;일위대가목록표!J2&amp;"!A"&amp;ROW(일위대가목록표!A165),"대가162 →")</f>
        <v>대가162 →</v>
      </c>
    </row>
    <row r="169" spans="1:29" ht="30.6" customHeight="1" x14ac:dyDescent="0.3">
      <c r="A169" s="10"/>
      <c r="B169" s="10" t="s">
        <v>376</v>
      </c>
      <c r="C169" s="41" t="s">
        <v>355</v>
      </c>
      <c r="D169" s="43">
        <v>0</v>
      </c>
      <c r="E169" s="22" t="s">
        <v>14</v>
      </c>
      <c r="F169" s="45">
        <f t="shared" si="10"/>
        <v>980333</v>
      </c>
      <c r="G169" s="48">
        <f t="shared" si="11"/>
        <v>0</v>
      </c>
      <c r="H169" s="50">
        <f>일위대가목록표!F166</f>
        <v>951780</v>
      </c>
      <c r="I169" s="13">
        <f t="shared" si="12"/>
        <v>0</v>
      </c>
      <c r="J169" s="52">
        <f>일위대가목록표!G166</f>
        <v>0</v>
      </c>
      <c r="K169" s="13">
        <f t="shared" si="13"/>
        <v>0</v>
      </c>
      <c r="L169" s="54">
        <f>일위대가목록표!H166</f>
        <v>28553</v>
      </c>
      <c r="M169" s="33">
        <f t="shared" si="14"/>
        <v>0</v>
      </c>
      <c r="N169" s="22" t="s">
        <v>3832</v>
      </c>
      <c r="O169" s="17" t="s">
        <v>3831</v>
      </c>
      <c r="P169" s="7" t="s">
        <v>3830</v>
      </c>
      <c r="Q169" s="7" t="s">
        <v>3344</v>
      </c>
      <c r="AC169" s="3" t="str">
        <f ca="1">HYPERLINK("#"&amp;일위대가목록표!J2&amp;"!A"&amp;ROW(일위대가목록표!A166),"대가163 →")</f>
        <v>대가163 →</v>
      </c>
    </row>
    <row r="170" spans="1:29" ht="30.6" customHeight="1" x14ac:dyDescent="0.3">
      <c r="A170" s="10"/>
      <c r="B170" s="10" t="s">
        <v>376</v>
      </c>
      <c r="C170" s="41" t="s">
        <v>358</v>
      </c>
      <c r="D170" s="43">
        <v>0</v>
      </c>
      <c r="E170" s="22" t="s">
        <v>14</v>
      </c>
      <c r="F170" s="45">
        <f t="shared" si="10"/>
        <v>1583750</v>
      </c>
      <c r="G170" s="48">
        <f t="shared" si="11"/>
        <v>0</v>
      </c>
      <c r="H170" s="50">
        <f>일위대가목록표!F167</f>
        <v>1537622</v>
      </c>
      <c r="I170" s="13">
        <f t="shared" si="12"/>
        <v>0</v>
      </c>
      <c r="J170" s="52">
        <f>일위대가목록표!G167</f>
        <v>0</v>
      </c>
      <c r="K170" s="13">
        <f t="shared" si="13"/>
        <v>0</v>
      </c>
      <c r="L170" s="54">
        <f>일위대가목록표!H167</f>
        <v>46128</v>
      </c>
      <c r="M170" s="33">
        <f t="shared" si="14"/>
        <v>0</v>
      </c>
      <c r="N170" s="22" t="s">
        <v>3835</v>
      </c>
      <c r="O170" s="17" t="s">
        <v>3834</v>
      </c>
      <c r="P170" s="7" t="s">
        <v>3833</v>
      </c>
      <c r="Q170" s="7" t="s">
        <v>3344</v>
      </c>
      <c r="AC170" s="3" t="str">
        <f ca="1">HYPERLINK("#"&amp;일위대가목록표!J2&amp;"!A"&amp;ROW(일위대가목록표!A167),"대가164 →")</f>
        <v>대가164 →</v>
      </c>
    </row>
    <row r="171" spans="1:29" ht="30.6" customHeight="1" x14ac:dyDescent="0.3">
      <c r="A171" s="10"/>
      <c r="B171" s="10" t="s">
        <v>376</v>
      </c>
      <c r="C171" s="41" t="s">
        <v>361</v>
      </c>
      <c r="D171" s="43">
        <v>0</v>
      </c>
      <c r="E171" s="22" t="s">
        <v>14</v>
      </c>
      <c r="F171" s="45">
        <f t="shared" si="10"/>
        <v>1583750</v>
      </c>
      <c r="G171" s="48">
        <f t="shared" si="11"/>
        <v>0</v>
      </c>
      <c r="H171" s="50">
        <f>일위대가목록표!F168</f>
        <v>1537622</v>
      </c>
      <c r="I171" s="13">
        <f t="shared" si="12"/>
        <v>0</v>
      </c>
      <c r="J171" s="52">
        <f>일위대가목록표!G168</f>
        <v>0</v>
      </c>
      <c r="K171" s="13">
        <f t="shared" si="13"/>
        <v>0</v>
      </c>
      <c r="L171" s="54">
        <f>일위대가목록표!H168</f>
        <v>46128</v>
      </c>
      <c r="M171" s="33">
        <f t="shared" si="14"/>
        <v>0</v>
      </c>
      <c r="N171" s="22" t="s">
        <v>3838</v>
      </c>
      <c r="O171" s="17" t="s">
        <v>3837</v>
      </c>
      <c r="P171" s="7" t="s">
        <v>3836</v>
      </c>
      <c r="Q171" s="7" t="s">
        <v>3344</v>
      </c>
      <c r="AC171" s="3" t="str">
        <f ca="1">HYPERLINK("#"&amp;일위대가목록표!J2&amp;"!A"&amp;ROW(일위대가목록표!A168),"대가165 →")</f>
        <v>대가165 →</v>
      </c>
    </row>
    <row r="172" spans="1:29" ht="30.6" customHeight="1" x14ac:dyDescent="0.3">
      <c r="A172" s="10"/>
      <c r="B172" s="10" t="s">
        <v>376</v>
      </c>
      <c r="C172" s="41" t="s">
        <v>364</v>
      </c>
      <c r="D172" s="43">
        <v>0</v>
      </c>
      <c r="E172" s="22" t="s">
        <v>14</v>
      </c>
      <c r="F172" s="45">
        <f t="shared" si="10"/>
        <v>1583750</v>
      </c>
      <c r="G172" s="48">
        <f t="shared" si="11"/>
        <v>0</v>
      </c>
      <c r="H172" s="50">
        <f>일위대가목록표!F169</f>
        <v>1537622</v>
      </c>
      <c r="I172" s="13">
        <f t="shared" si="12"/>
        <v>0</v>
      </c>
      <c r="J172" s="52">
        <f>일위대가목록표!G169</f>
        <v>0</v>
      </c>
      <c r="K172" s="13">
        <f t="shared" si="13"/>
        <v>0</v>
      </c>
      <c r="L172" s="54">
        <f>일위대가목록표!H169</f>
        <v>46128</v>
      </c>
      <c r="M172" s="33">
        <f t="shared" si="14"/>
        <v>0</v>
      </c>
      <c r="N172" s="22" t="s">
        <v>3841</v>
      </c>
      <c r="O172" s="17" t="s">
        <v>3840</v>
      </c>
      <c r="P172" s="7" t="s">
        <v>3839</v>
      </c>
      <c r="Q172" s="7" t="s">
        <v>3344</v>
      </c>
      <c r="AC172" s="3" t="str">
        <f ca="1">HYPERLINK("#"&amp;일위대가목록표!J2&amp;"!A"&amp;ROW(일위대가목록표!A169),"대가166 →")</f>
        <v>대가166 →</v>
      </c>
    </row>
    <row r="173" spans="1:29" ht="30.6" customHeight="1" x14ac:dyDescent="0.3">
      <c r="A173" s="10"/>
      <c r="B173" s="10" t="s">
        <v>376</v>
      </c>
      <c r="C173" s="41" t="s">
        <v>367</v>
      </c>
      <c r="D173" s="43">
        <v>0</v>
      </c>
      <c r="E173" s="22" t="s">
        <v>14</v>
      </c>
      <c r="F173" s="45">
        <f t="shared" si="10"/>
        <v>2044858</v>
      </c>
      <c r="G173" s="48">
        <f t="shared" si="11"/>
        <v>0</v>
      </c>
      <c r="H173" s="50">
        <f>일위대가목록표!F170</f>
        <v>1985300</v>
      </c>
      <c r="I173" s="13">
        <f t="shared" si="12"/>
        <v>0</v>
      </c>
      <c r="J173" s="52">
        <f>일위대가목록표!G170</f>
        <v>0</v>
      </c>
      <c r="K173" s="13">
        <f t="shared" si="13"/>
        <v>0</v>
      </c>
      <c r="L173" s="54">
        <f>일위대가목록표!H170</f>
        <v>59558</v>
      </c>
      <c r="M173" s="33">
        <f t="shared" si="14"/>
        <v>0</v>
      </c>
      <c r="N173" s="22" t="s">
        <v>3844</v>
      </c>
      <c r="O173" s="17" t="s">
        <v>3843</v>
      </c>
      <c r="P173" s="7" t="s">
        <v>3842</v>
      </c>
      <c r="Q173" s="7" t="s">
        <v>3344</v>
      </c>
      <c r="AC173" s="3" t="str">
        <f ca="1">HYPERLINK("#"&amp;일위대가목록표!J2&amp;"!A"&amp;ROW(일위대가목록표!A170),"대가167 →")</f>
        <v>대가167 →</v>
      </c>
    </row>
    <row r="174" spans="1:29" ht="30.6" customHeight="1" x14ac:dyDescent="0.3">
      <c r="A174" s="10"/>
      <c r="B174" s="10" t="s">
        <v>376</v>
      </c>
      <c r="C174" s="41" t="s">
        <v>370</v>
      </c>
      <c r="D174" s="43">
        <v>0</v>
      </c>
      <c r="E174" s="22" t="s">
        <v>14</v>
      </c>
      <c r="F174" s="45">
        <f t="shared" si="10"/>
        <v>3289807</v>
      </c>
      <c r="G174" s="48">
        <f t="shared" si="11"/>
        <v>0</v>
      </c>
      <c r="H174" s="50">
        <f>일위대가목록표!F171</f>
        <v>3193989</v>
      </c>
      <c r="I174" s="13">
        <f t="shared" si="12"/>
        <v>0</v>
      </c>
      <c r="J174" s="52">
        <f>일위대가목록표!G171</f>
        <v>0</v>
      </c>
      <c r="K174" s="13">
        <f t="shared" si="13"/>
        <v>0</v>
      </c>
      <c r="L174" s="54">
        <f>일위대가목록표!H171</f>
        <v>95818</v>
      </c>
      <c r="M174" s="33">
        <f t="shared" si="14"/>
        <v>0</v>
      </c>
      <c r="N174" s="22" t="s">
        <v>3847</v>
      </c>
      <c r="O174" s="17" t="s">
        <v>3846</v>
      </c>
      <c r="P174" s="7" t="s">
        <v>3845</v>
      </c>
      <c r="Q174" s="7" t="s">
        <v>3344</v>
      </c>
      <c r="AC174" s="3" t="str">
        <f ca="1">HYPERLINK("#"&amp;일위대가목록표!J2&amp;"!A"&amp;ROW(일위대가목록표!A171),"대가168 →")</f>
        <v>대가168 →</v>
      </c>
    </row>
    <row r="175" spans="1:29" ht="30.6" customHeight="1" x14ac:dyDescent="0.3">
      <c r="A175" s="10"/>
      <c r="B175" s="10" t="s">
        <v>376</v>
      </c>
      <c r="C175" s="41" t="s">
        <v>373</v>
      </c>
      <c r="D175" s="43">
        <v>0</v>
      </c>
      <c r="E175" s="22" t="s">
        <v>14</v>
      </c>
      <c r="F175" s="45">
        <f t="shared" si="10"/>
        <v>4030109</v>
      </c>
      <c r="G175" s="48">
        <f t="shared" si="11"/>
        <v>0</v>
      </c>
      <c r="H175" s="50">
        <f>일위대가목록표!F172</f>
        <v>3912728</v>
      </c>
      <c r="I175" s="13">
        <f t="shared" si="12"/>
        <v>0</v>
      </c>
      <c r="J175" s="52">
        <f>일위대가목록표!G172</f>
        <v>0</v>
      </c>
      <c r="K175" s="13">
        <f t="shared" si="13"/>
        <v>0</v>
      </c>
      <c r="L175" s="54">
        <f>일위대가목록표!H172</f>
        <v>117381</v>
      </c>
      <c r="M175" s="33">
        <f t="shared" si="14"/>
        <v>0</v>
      </c>
      <c r="N175" s="22" t="s">
        <v>3850</v>
      </c>
      <c r="O175" s="17" t="s">
        <v>3849</v>
      </c>
      <c r="P175" s="7" t="s">
        <v>3848</v>
      </c>
      <c r="Q175" s="7" t="s">
        <v>3344</v>
      </c>
      <c r="AC175" s="3" t="str">
        <f ca="1">HYPERLINK("#"&amp;일위대가목록표!J2&amp;"!A"&amp;ROW(일위대가목록표!A172),"대가169 →")</f>
        <v>대가169 →</v>
      </c>
    </row>
    <row r="176" spans="1:29" ht="30.6" customHeight="1" x14ac:dyDescent="0.3">
      <c r="A176" s="10"/>
      <c r="B176" s="10" t="s">
        <v>403</v>
      </c>
      <c r="C176" s="41" t="s">
        <v>337</v>
      </c>
      <c r="D176" s="43">
        <v>1</v>
      </c>
      <c r="E176" s="22" t="s">
        <v>14</v>
      </c>
      <c r="F176" s="45">
        <f t="shared" si="10"/>
        <v>260910</v>
      </c>
      <c r="G176" s="48">
        <f t="shared" si="11"/>
        <v>260910</v>
      </c>
      <c r="H176" s="50">
        <f>일위대가목록표!F173</f>
        <v>253311</v>
      </c>
      <c r="I176" s="13">
        <f t="shared" si="12"/>
        <v>253311</v>
      </c>
      <c r="J176" s="52">
        <f>일위대가목록표!G173</f>
        <v>0</v>
      </c>
      <c r="K176" s="13">
        <f t="shared" si="13"/>
        <v>0</v>
      </c>
      <c r="L176" s="54">
        <f>일위대가목록표!H173</f>
        <v>7599</v>
      </c>
      <c r="M176" s="33">
        <f t="shared" si="14"/>
        <v>7599</v>
      </c>
      <c r="N176" s="22" t="s">
        <v>3853</v>
      </c>
      <c r="O176" s="17" t="s">
        <v>3852</v>
      </c>
      <c r="P176" s="7" t="s">
        <v>3851</v>
      </c>
      <c r="Q176" s="7" t="s">
        <v>3344</v>
      </c>
      <c r="AC176" s="3" t="str">
        <f ca="1">HYPERLINK("#"&amp;일위대가목록표!J2&amp;"!A"&amp;ROW(일위대가목록표!A173),"대가170 →")</f>
        <v>대가170 →</v>
      </c>
    </row>
    <row r="177" spans="1:29" ht="30.6" customHeight="1" x14ac:dyDescent="0.3">
      <c r="A177" s="10"/>
      <c r="B177" s="10" t="s">
        <v>403</v>
      </c>
      <c r="C177" s="41" t="s">
        <v>340</v>
      </c>
      <c r="D177" s="43">
        <v>1</v>
      </c>
      <c r="E177" s="22" t="s">
        <v>14</v>
      </c>
      <c r="F177" s="45">
        <f t="shared" si="10"/>
        <v>300644</v>
      </c>
      <c r="G177" s="48">
        <f t="shared" si="11"/>
        <v>300644</v>
      </c>
      <c r="H177" s="50">
        <f>일위대가목록표!F174</f>
        <v>291888</v>
      </c>
      <c r="I177" s="13">
        <f t="shared" si="12"/>
        <v>291888</v>
      </c>
      <c r="J177" s="52">
        <f>일위대가목록표!G174</f>
        <v>0</v>
      </c>
      <c r="K177" s="13">
        <f t="shared" si="13"/>
        <v>0</v>
      </c>
      <c r="L177" s="54">
        <f>일위대가목록표!H174</f>
        <v>8756</v>
      </c>
      <c r="M177" s="33">
        <f t="shared" si="14"/>
        <v>8756</v>
      </c>
      <c r="N177" s="22" t="s">
        <v>3856</v>
      </c>
      <c r="O177" s="17" t="s">
        <v>3855</v>
      </c>
      <c r="P177" s="7" t="s">
        <v>3854</v>
      </c>
      <c r="Q177" s="7" t="s">
        <v>3344</v>
      </c>
      <c r="AC177" s="3" t="str">
        <f ca="1">HYPERLINK("#"&amp;일위대가목록표!J2&amp;"!A"&amp;ROW(일위대가목록표!A174),"대가171 →")</f>
        <v>대가171 →</v>
      </c>
    </row>
    <row r="178" spans="1:29" ht="30.6" customHeight="1" x14ac:dyDescent="0.3">
      <c r="A178" s="10"/>
      <c r="B178" s="10" t="s">
        <v>403</v>
      </c>
      <c r="C178" s="41" t="s">
        <v>343</v>
      </c>
      <c r="D178" s="43">
        <v>0</v>
      </c>
      <c r="E178" s="22" t="s">
        <v>14</v>
      </c>
      <c r="F178" s="45">
        <f t="shared" si="10"/>
        <v>345249</v>
      </c>
      <c r="G178" s="48">
        <f t="shared" si="11"/>
        <v>0</v>
      </c>
      <c r="H178" s="50">
        <f>일위대가목록표!F175</f>
        <v>335194</v>
      </c>
      <c r="I178" s="13">
        <f t="shared" si="12"/>
        <v>0</v>
      </c>
      <c r="J178" s="52">
        <f>일위대가목록표!G175</f>
        <v>0</v>
      </c>
      <c r="K178" s="13">
        <f t="shared" si="13"/>
        <v>0</v>
      </c>
      <c r="L178" s="54">
        <f>일위대가목록표!H175</f>
        <v>10055</v>
      </c>
      <c r="M178" s="33">
        <f t="shared" si="14"/>
        <v>0</v>
      </c>
      <c r="N178" s="22" t="s">
        <v>3859</v>
      </c>
      <c r="O178" s="17" t="s">
        <v>3858</v>
      </c>
      <c r="P178" s="7" t="s">
        <v>3857</v>
      </c>
      <c r="Q178" s="7" t="s">
        <v>3344</v>
      </c>
      <c r="AC178" s="3" t="str">
        <f ca="1">HYPERLINK("#"&amp;일위대가목록표!J2&amp;"!A"&amp;ROW(일위대가목록표!A175),"대가172 →")</f>
        <v>대가172 →</v>
      </c>
    </row>
    <row r="179" spans="1:29" ht="30.6" customHeight="1" x14ac:dyDescent="0.3">
      <c r="A179" s="10"/>
      <c r="B179" s="10" t="s">
        <v>403</v>
      </c>
      <c r="C179" s="41" t="s">
        <v>346</v>
      </c>
      <c r="D179" s="43">
        <v>0</v>
      </c>
      <c r="E179" s="22" t="s">
        <v>14</v>
      </c>
      <c r="F179" s="45">
        <f t="shared" si="10"/>
        <v>415977</v>
      </c>
      <c r="G179" s="48">
        <f t="shared" si="11"/>
        <v>0</v>
      </c>
      <c r="H179" s="50">
        <f>일위대가목록표!F176</f>
        <v>403862</v>
      </c>
      <c r="I179" s="13">
        <f t="shared" si="12"/>
        <v>0</v>
      </c>
      <c r="J179" s="52">
        <f>일위대가목록표!G176</f>
        <v>0</v>
      </c>
      <c r="K179" s="13">
        <f t="shared" si="13"/>
        <v>0</v>
      </c>
      <c r="L179" s="54">
        <f>일위대가목록표!H176</f>
        <v>12115</v>
      </c>
      <c r="M179" s="33">
        <f t="shared" si="14"/>
        <v>0</v>
      </c>
      <c r="N179" s="22" t="s">
        <v>3862</v>
      </c>
      <c r="O179" s="17" t="s">
        <v>3861</v>
      </c>
      <c r="P179" s="7" t="s">
        <v>3860</v>
      </c>
      <c r="Q179" s="7" t="s">
        <v>3344</v>
      </c>
      <c r="AC179" s="3" t="str">
        <f ca="1">HYPERLINK("#"&amp;일위대가목록표!J2&amp;"!A"&amp;ROW(일위대가목록표!A176),"대가173 →")</f>
        <v>대가173 →</v>
      </c>
    </row>
    <row r="180" spans="1:29" ht="30.6" customHeight="1" x14ac:dyDescent="0.3">
      <c r="A180" s="10"/>
      <c r="B180" s="10" t="s">
        <v>403</v>
      </c>
      <c r="C180" s="41" t="s">
        <v>349</v>
      </c>
      <c r="D180" s="43">
        <v>0</v>
      </c>
      <c r="E180" s="22" t="s">
        <v>14</v>
      </c>
      <c r="F180" s="45">
        <f t="shared" si="10"/>
        <v>524841</v>
      </c>
      <c r="G180" s="48">
        <f t="shared" si="11"/>
        <v>0</v>
      </c>
      <c r="H180" s="50">
        <f>일위대가목록표!F177</f>
        <v>509555</v>
      </c>
      <c r="I180" s="13">
        <f t="shared" si="12"/>
        <v>0</v>
      </c>
      <c r="J180" s="52">
        <f>일위대가목록표!G177</f>
        <v>0</v>
      </c>
      <c r="K180" s="13">
        <f t="shared" si="13"/>
        <v>0</v>
      </c>
      <c r="L180" s="54">
        <f>일위대가목록표!H177</f>
        <v>15286</v>
      </c>
      <c r="M180" s="33">
        <f t="shared" si="14"/>
        <v>0</v>
      </c>
      <c r="N180" s="22" t="s">
        <v>3865</v>
      </c>
      <c r="O180" s="17" t="s">
        <v>3864</v>
      </c>
      <c r="P180" s="7" t="s">
        <v>3863</v>
      </c>
      <c r="Q180" s="7" t="s">
        <v>3344</v>
      </c>
      <c r="AC180" s="3" t="str">
        <f ca="1">HYPERLINK("#"&amp;일위대가목록표!J2&amp;"!A"&amp;ROW(일위대가목록표!A177),"대가174 →")</f>
        <v>대가174 →</v>
      </c>
    </row>
    <row r="181" spans="1:29" ht="30.6" customHeight="1" x14ac:dyDescent="0.3">
      <c r="A181" s="10"/>
      <c r="B181" s="10" t="s">
        <v>403</v>
      </c>
      <c r="C181" s="41" t="s">
        <v>352</v>
      </c>
      <c r="D181" s="43">
        <v>0</v>
      </c>
      <c r="E181" s="22" t="s">
        <v>14</v>
      </c>
      <c r="F181" s="45">
        <f t="shared" si="10"/>
        <v>700238</v>
      </c>
      <c r="G181" s="48">
        <f t="shared" si="11"/>
        <v>0</v>
      </c>
      <c r="H181" s="50">
        <f>일위대가목록표!F178</f>
        <v>679843</v>
      </c>
      <c r="I181" s="13">
        <f t="shared" si="12"/>
        <v>0</v>
      </c>
      <c r="J181" s="52">
        <f>일위대가목록표!G178</f>
        <v>0</v>
      </c>
      <c r="K181" s="13">
        <f t="shared" si="13"/>
        <v>0</v>
      </c>
      <c r="L181" s="54">
        <f>일위대가목록표!H178</f>
        <v>20395</v>
      </c>
      <c r="M181" s="33">
        <f t="shared" si="14"/>
        <v>0</v>
      </c>
      <c r="N181" s="22" t="s">
        <v>3868</v>
      </c>
      <c r="O181" s="17" t="s">
        <v>3867</v>
      </c>
      <c r="P181" s="7" t="s">
        <v>3866</v>
      </c>
      <c r="Q181" s="7" t="s">
        <v>3344</v>
      </c>
      <c r="AC181" s="3" t="str">
        <f ca="1">HYPERLINK("#"&amp;일위대가목록표!J2&amp;"!A"&amp;ROW(일위대가목록표!A178),"대가175 →")</f>
        <v>대가175 →</v>
      </c>
    </row>
    <row r="182" spans="1:29" ht="30.6" customHeight="1" x14ac:dyDescent="0.3">
      <c r="A182" s="10"/>
      <c r="B182" s="10" t="s">
        <v>403</v>
      </c>
      <c r="C182" s="41" t="s">
        <v>355</v>
      </c>
      <c r="D182" s="43">
        <v>0</v>
      </c>
      <c r="E182" s="22" t="s">
        <v>14</v>
      </c>
      <c r="F182" s="45">
        <f t="shared" si="10"/>
        <v>700238</v>
      </c>
      <c r="G182" s="48">
        <f t="shared" si="11"/>
        <v>0</v>
      </c>
      <c r="H182" s="50">
        <f>일위대가목록표!F179</f>
        <v>679843</v>
      </c>
      <c r="I182" s="13">
        <f t="shared" si="12"/>
        <v>0</v>
      </c>
      <c r="J182" s="52">
        <f>일위대가목록표!G179</f>
        <v>0</v>
      </c>
      <c r="K182" s="13">
        <f t="shared" si="13"/>
        <v>0</v>
      </c>
      <c r="L182" s="54">
        <f>일위대가목록표!H179</f>
        <v>20395</v>
      </c>
      <c r="M182" s="33">
        <f t="shared" si="14"/>
        <v>0</v>
      </c>
      <c r="N182" s="22" t="s">
        <v>3871</v>
      </c>
      <c r="O182" s="17" t="s">
        <v>3870</v>
      </c>
      <c r="P182" s="7" t="s">
        <v>3869</v>
      </c>
      <c r="Q182" s="7" t="s">
        <v>3344</v>
      </c>
      <c r="AC182" s="3" t="str">
        <f ca="1">HYPERLINK("#"&amp;일위대가목록표!J2&amp;"!A"&amp;ROW(일위대가목록표!A179),"대가176 →")</f>
        <v>대가176 →</v>
      </c>
    </row>
    <row r="183" spans="1:29" ht="30.6" customHeight="1" x14ac:dyDescent="0.3">
      <c r="A183" s="10"/>
      <c r="B183" s="10" t="s">
        <v>403</v>
      </c>
      <c r="C183" s="41" t="s">
        <v>358</v>
      </c>
      <c r="D183" s="43">
        <v>0</v>
      </c>
      <c r="E183" s="22" t="s">
        <v>14</v>
      </c>
      <c r="F183" s="45">
        <f t="shared" si="10"/>
        <v>1131251</v>
      </c>
      <c r="G183" s="48">
        <f t="shared" si="11"/>
        <v>0</v>
      </c>
      <c r="H183" s="50">
        <f>일위대가목록표!F180</f>
        <v>1098302</v>
      </c>
      <c r="I183" s="13">
        <f t="shared" si="12"/>
        <v>0</v>
      </c>
      <c r="J183" s="52">
        <f>일위대가목록표!G180</f>
        <v>0</v>
      </c>
      <c r="K183" s="13">
        <f t="shared" si="13"/>
        <v>0</v>
      </c>
      <c r="L183" s="54">
        <f>일위대가목록표!H180</f>
        <v>32949</v>
      </c>
      <c r="M183" s="33">
        <f t="shared" si="14"/>
        <v>0</v>
      </c>
      <c r="N183" s="22" t="s">
        <v>3874</v>
      </c>
      <c r="O183" s="17" t="s">
        <v>3873</v>
      </c>
      <c r="P183" s="7" t="s">
        <v>3872</v>
      </c>
      <c r="Q183" s="7" t="s">
        <v>3344</v>
      </c>
      <c r="AC183" s="3" t="str">
        <f ca="1">HYPERLINK("#"&amp;일위대가목록표!J2&amp;"!A"&amp;ROW(일위대가목록표!A180),"대가177 →")</f>
        <v>대가177 →</v>
      </c>
    </row>
    <row r="184" spans="1:29" ht="30.6" customHeight="1" x14ac:dyDescent="0.3">
      <c r="A184" s="10"/>
      <c r="B184" s="10" t="s">
        <v>403</v>
      </c>
      <c r="C184" s="41" t="s">
        <v>361</v>
      </c>
      <c r="D184" s="43">
        <v>0</v>
      </c>
      <c r="E184" s="22" t="s">
        <v>14</v>
      </c>
      <c r="F184" s="45">
        <f t="shared" si="10"/>
        <v>1131251</v>
      </c>
      <c r="G184" s="48">
        <f t="shared" si="11"/>
        <v>0</v>
      </c>
      <c r="H184" s="50">
        <f>일위대가목록표!F181</f>
        <v>1098302</v>
      </c>
      <c r="I184" s="13">
        <f t="shared" si="12"/>
        <v>0</v>
      </c>
      <c r="J184" s="52">
        <f>일위대가목록표!G181</f>
        <v>0</v>
      </c>
      <c r="K184" s="13">
        <f t="shared" si="13"/>
        <v>0</v>
      </c>
      <c r="L184" s="54">
        <f>일위대가목록표!H181</f>
        <v>32949</v>
      </c>
      <c r="M184" s="33">
        <f t="shared" si="14"/>
        <v>0</v>
      </c>
      <c r="N184" s="22" t="s">
        <v>3877</v>
      </c>
      <c r="O184" s="17" t="s">
        <v>3876</v>
      </c>
      <c r="P184" s="7" t="s">
        <v>3875</v>
      </c>
      <c r="Q184" s="7" t="s">
        <v>3344</v>
      </c>
      <c r="AC184" s="3" t="str">
        <f ca="1">HYPERLINK("#"&amp;일위대가목록표!J2&amp;"!A"&amp;ROW(일위대가목록표!A181),"대가178 →")</f>
        <v>대가178 →</v>
      </c>
    </row>
    <row r="185" spans="1:29" ht="30.6" customHeight="1" x14ac:dyDescent="0.3">
      <c r="A185" s="10"/>
      <c r="B185" s="10" t="s">
        <v>403</v>
      </c>
      <c r="C185" s="41" t="s">
        <v>364</v>
      </c>
      <c r="D185" s="43">
        <v>0</v>
      </c>
      <c r="E185" s="22" t="s">
        <v>14</v>
      </c>
      <c r="F185" s="45">
        <f t="shared" si="10"/>
        <v>1131251</v>
      </c>
      <c r="G185" s="48">
        <f t="shared" si="11"/>
        <v>0</v>
      </c>
      <c r="H185" s="50">
        <f>일위대가목록표!F182</f>
        <v>1098302</v>
      </c>
      <c r="I185" s="13">
        <f t="shared" si="12"/>
        <v>0</v>
      </c>
      <c r="J185" s="52">
        <f>일위대가목록표!G182</f>
        <v>0</v>
      </c>
      <c r="K185" s="13">
        <f t="shared" si="13"/>
        <v>0</v>
      </c>
      <c r="L185" s="54">
        <f>일위대가목록표!H182</f>
        <v>32949</v>
      </c>
      <c r="M185" s="33">
        <f t="shared" si="14"/>
        <v>0</v>
      </c>
      <c r="N185" s="22" t="s">
        <v>3880</v>
      </c>
      <c r="O185" s="17" t="s">
        <v>3879</v>
      </c>
      <c r="P185" s="7" t="s">
        <v>3878</v>
      </c>
      <c r="Q185" s="7" t="s">
        <v>3344</v>
      </c>
      <c r="AC185" s="3" t="str">
        <f ca="1">HYPERLINK("#"&amp;일위대가목록표!J2&amp;"!A"&amp;ROW(일위대가목록표!A182),"대가179 →")</f>
        <v>대가179 →</v>
      </c>
    </row>
    <row r="186" spans="1:29" ht="30.6" customHeight="1" x14ac:dyDescent="0.3">
      <c r="A186" s="10"/>
      <c r="B186" s="10" t="s">
        <v>403</v>
      </c>
      <c r="C186" s="41" t="s">
        <v>367</v>
      </c>
      <c r="D186" s="43">
        <v>0</v>
      </c>
      <c r="E186" s="22" t="s">
        <v>14</v>
      </c>
      <c r="F186" s="45">
        <f t="shared" si="10"/>
        <v>1460614</v>
      </c>
      <c r="G186" s="48">
        <f t="shared" si="11"/>
        <v>0</v>
      </c>
      <c r="H186" s="50">
        <f>일위대가목록표!F183</f>
        <v>1418072</v>
      </c>
      <c r="I186" s="13">
        <f t="shared" si="12"/>
        <v>0</v>
      </c>
      <c r="J186" s="52">
        <f>일위대가목록표!G183</f>
        <v>0</v>
      </c>
      <c r="K186" s="13">
        <f t="shared" si="13"/>
        <v>0</v>
      </c>
      <c r="L186" s="54">
        <f>일위대가목록표!H183</f>
        <v>42542</v>
      </c>
      <c r="M186" s="33">
        <f t="shared" si="14"/>
        <v>0</v>
      </c>
      <c r="N186" s="22" t="s">
        <v>3883</v>
      </c>
      <c r="O186" s="17" t="s">
        <v>3882</v>
      </c>
      <c r="P186" s="7" t="s">
        <v>3881</v>
      </c>
      <c r="Q186" s="7" t="s">
        <v>3344</v>
      </c>
      <c r="AC186" s="3" t="str">
        <f ca="1">HYPERLINK("#"&amp;일위대가목록표!J2&amp;"!A"&amp;ROW(일위대가목록표!A183),"대가180 →")</f>
        <v>대가180 →</v>
      </c>
    </row>
    <row r="187" spans="1:29" ht="30.6" customHeight="1" x14ac:dyDescent="0.3">
      <c r="A187" s="10"/>
      <c r="B187" s="10" t="s">
        <v>403</v>
      </c>
      <c r="C187" s="41" t="s">
        <v>370</v>
      </c>
      <c r="D187" s="43">
        <v>0</v>
      </c>
      <c r="E187" s="22" t="s">
        <v>14</v>
      </c>
      <c r="F187" s="45">
        <f t="shared" si="10"/>
        <v>2349863</v>
      </c>
      <c r="G187" s="48">
        <f t="shared" si="11"/>
        <v>0</v>
      </c>
      <c r="H187" s="50">
        <f>일위대가목록표!F184</f>
        <v>2281421</v>
      </c>
      <c r="I187" s="13">
        <f t="shared" si="12"/>
        <v>0</v>
      </c>
      <c r="J187" s="52">
        <f>일위대가목록표!G184</f>
        <v>0</v>
      </c>
      <c r="K187" s="13">
        <f t="shared" si="13"/>
        <v>0</v>
      </c>
      <c r="L187" s="54">
        <f>일위대가목록표!H184</f>
        <v>68442</v>
      </c>
      <c r="M187" s="33">
        <f t="shared" si="14"/>
        <v>0</v>
      </c>
      <c r="N187" s="22" t="s">
        <v>3886</v>
      </c>
      <c r="O187" s="17" t="s">
        <v>3885</v>
      </c>
      <c r="P187" s="7" t="s">
        <v>3884</v>
      </c>
      <c r="Q187" s="7" t="s">
        <v>3344</v>
      </c>
      <c r="AC187" s="3" t="str">
        <f ca="1">HYPERLINK("#"&amp;일위대가목록표!J2&amp;"!A"&amp;ROW(일위대가목록표!A184),"대가181 →")</f>
        <v>대가181 →</v>
      </c>
    </row>
    <row r="188" spans="1:29" ht="30.6" customHeight="1" x14ac:dyDescent="0.3">
      <c r="A188" s="10"/>
      <c r="B188" s="10" t="s">
        <v>403</v>
      </c>
      <c r="C188" s="41" t="s">
        <v>373</v>
      </c>
      <c r="D188" s="43">
        <v>0</v>
      </c>
      <c r="E188" s="22" t="s">
        <v>14</v>
      </c>
      <c r="F188" s="45">
        <f t="shared" si="10"/>
        <v>2878650</v>
      </c>
      <c r="G188" s="48">
        <f t="shared" si="11"/>
        <v>0</v>
      </c>
      <c r="H188" s="50">
        <f>일위대가목록표!F185</f>
        <v>2794806</v>
      </c>
      <c r="I188" s="13">
        <f t="shared" si="12"/>
        <v>0</v>
      </c>
      <c r="J188" s="52">
        <f>일위대가목록표!G185</f>
        <v>0</v>
      </c>
      <c r="K188" s="13">
        <f t="shared" si="13"/>
        <v>0</v>
      </c>
      <c r="L188" s="54">
        <f>일위대가목록표!H185</f>
        <v>83844</v>
      </c>
      <c r="M188" s="33">
        <f t="shared" si="14"/>
        <v>0</v>
      </c>
      <c r="N188" s="22" t="s">
        <v>3889</v>
      </c>
      <c r="O188" s="17" t="s">
        <v>3888</v>
      </c>
      <c r="P188" s="7" t="s">
        <v>3887</v>
      </c>
      <c r="Q188" s="7" t="s">
        <v>3344</v>
      </c>
      <c r="AC188" s="3" t="str">
        <f ca="1">HYPERLINK("#"&amp;일위대가목록표!J2&amp;"!A"&amp;ROW(일위대가목록표!A185),"대가182 →")</f>
        <v>대가182 →</v>
      </c>
    </row>
    <row r="189" spans="1:29" ht="30.6" customHeight="1" x14ac:dyDescent="0.3">
      <c r="A189" s="10"/>
      <c r="B189" s="10" t="s">
        <v>430</v>
      </c>
      <c r="C189" s="41" t="s">
        <v>337</v>
      </c>
      <c r="D189" s="43">
        <v>1</v>
      </c>
      <c r="E189" s="22" t="s">
        <v>14</v>
      </c>
      <c r="F189" s="45">
        <f t="shared" si="10"/>
        <v>104363</v>
      </c>
      <c r="G189" s="48">
        <f t="shared" si="11"/>
        <v>104363</v>
      </c>
      <c r="H189" s="50">
        <f>일위대가목록표!F186</f>
        <v>101324</v>
      </c>
      <c r="I189" s="13">
        <f t="shared" si="12"/>
        <v>101324</v>
      </c>
      <c r="J189" s="52">
        <f>일위대가목록표!G186</f>
        <v>0</v>
      </c>
      <c r="K189" s="13">
        <f t="shared" si="13"/>
        <v>0</v>
      </c>
      <c r="L189" s="54">
        <f>일위대가목록표!H186</f>
        <v>3039</v>
      </c>
      <c r="M189" s="33">
        <f t="shared" si="14"/>
        <v>3039</v>
      </c>
      <c r="N189" s="22" t="s">
        <v>3892</v>
      </c>
      <c r="O189" s="17" t="s">
        <v>3891</v>
      </c>
      <c r="P189" s="7" t="s">
        <v>3890</v>
      </c>
      <c r="Q189" s="7" t="s">
        <v>3344</v>
      </c>
      <c r="AC189" s="3" t="str">
        <f ca="1">HYPERLINK("#"&amp;일위대가목록표!J2&amp;"!A"&amp;ROW(일위대가목록표!A186),"대가183 →")</f>
        <v>대가183 →</v>
      </c>
    </row>
    <row r="190" spans="1:29" ht="30.6" customHeight="1" x14ac:dyDescent="0.3">
      <c r="A190" s="10"/>
      <c r="B190" s="10" t="s">
        <v>430</v>
      </c>
      <c r="C190" s="41" t="s">
        <v>340</v>
      </c>
      <c r="D190" s="43">
        <v>1</v>
      </c>
      <c r="E190" s="22" t="s">
        <v>14</v>
      </c>
      <c r="F190" s="45">
        <f t="shared" si="10"/>
        <v>120257</v>
      </c>
      <c r="G190" s="48">
        <f t="shared" si="11"/>
        <v>120257</v>
      </c>
      <c r="H190" s="50">
        <f>일위대가목록표!F187</f>
        <v>116755</v>
      </c>
      <c r="I190" s="13">
        <f t="shared" si="12"/>
        <v>116755</v>
      </c>
      <c r="J190" s="52">
        <f>일위대가목록표!G187</f>
        <v>0</v>
      </c>
      <c r="K190" s="13">
        <f t="shared" si="13"/>
        <v>0</v>
      </c>
      <c r="L190" s="54">
        <f>일위대가목록표!H187</f>
        <v>3502</v>
      </c>
      <c r="M190" s="33">
        <f t="shared" si="14"/>
        <v>3502</v>
      </c>
      <c r="N190" s="22" t="s">
        <v>3895</v>
      </c>
      <c r="O190" s="17" t="s">
        <v>3894</v>
      </c>
      <c r="P190" s="7" t="s">
        <v>3893</v>
      </c>
      <c r="Q190" s="7" t="s">
        <v>3344</v>
      </c>
      <c r="AC190" s="3" t="str">
        <f ca="1">HYPERLINK("#"&amp;일위대가목록표!J2&amp;"!A"&amp;ROW(일위대가목록표!A187),"대가184 →")</f>
        <v>대가184 →</v>
      </c>
    </row>
    <row r="191" spans="1:29" ht="30.6" customHeight="1" x14ac:dyDescent="0.3">
      <c r="A191" s="10"/>
      <c r="B191" s="10" t="s">
        <v>430</v>
      </c>
      <c r="C191" s="41" t="s">
        <v>343</v>
      </c>
      <c r="D191" s="43">
        <v>0</v>
      </c>
      <c r="E191" s="22" t="s">
        <v>14</v>
      </c>
      <c r="F191" s="45">
        <f t="shared" si="10"/>
        <v>138099</v>
      </c>
      <c r="G191" s="48">
        <f t="shared" si="11"/>
        <v>0</v>
      </c>
      <c r="H191" s="50">
        <f>일위대가목록표!F188</f>
        <v>134077</v>
      </c>
      <c r="I191" s="13">
        <f t="shared" si="12"/>
        <v>0</v>
      </c>
      <c r="J191" s="52">
        <f>일위대가목록표!G188</f>
        <v>0</v>
      </c>
      <c r="K191" s="13">
        <f t="shared" si="13"/>
        <v>0</v>
      </c>
      <c r="L191" s="54">
        <f>일위대가목록표!H188</f>
        <v>4022</v>
      </c>
      <c r="M191" s="33">
        <f t="shared" si="14"/>
        <v>0</v>
      </c>
      <c r="N191" s="22" t="s">
        <v>3898</v>
      </c>
      <c r="O191" s="17" t="s">
        <v>3897</v>
      </c>
      <c r="P191" s="7" t="s">
        <v>3896</v>
      </c>
      <c r="Q191" s="7" t="s">
        <v>3344</v>
      </c>
      <c r="AC191" s="3" t="str">
        <f ca="1">HYPERLINK("#"&amp;일위대가목록표!J2&amp;"!A"&amp;ROW(일위대가목록표!A188),"대가185 →")</f>
        <v>대가185 →</v>
      </c>
    </row>
    <row r="192" spans="1:29" ht="30.6" customHeight="1" x14ac:dyDescent="0.3">
      <c r="A192" s="10"/>
      <c r="B192" s="10" t="s">
        <v>430</v>
      </c>
      <c r="C192" s="41" t="s">
        <v>346</v>
      </c>
      <c r="D192" s="43">
        <v>0</v>
      </c>
      <c r="E192" s="22" t="s">
        <v>14</v>
      </c>
      <c r="F192" s="45">
        <f t="shared" si="10"/>
        <v>166390</v>
      </c>
      <c r="G192" s="48">
        <f t="shared" si="11"/>
        <v>0</v>
      </c>
      <c r="H192" s="50">
        <f>일위대가목록표!F189</f>
        <v>161544</v>
      </c>
      <c r="I192" s="13">
        <f t="shared" si="12"/>
        <v>0</v>
      </c>
      <c r="J192" s="52">
        <f>일위대가목록표!G189</f>
        <v>0</v>
      </c>
      <c r="K192" s="13">
        <f t="shared" si="13"/>
        <v>0</v>
      </c>
      <c r="L192" s="54">
        <f>일위대가목록표!H189</f>
        <v>4846</v>
      </c>
      <c r="M192" s="33">
        <f t="shared" si="14"/>
        <v>0</v>
      </c>
      <c r="N192" s="22" t="s">
        <v>3901</v>
      </c>
      <c r="O192" s="17" t="s">
        <v>3900</v>
      </c>
      <c r="P192" s="7" t="s">
        <v>3899</v>
      </c>
      <c r="Q192" s="7" t="s">
        <v>3344</v>
      </c>
      <c r="AC192" s="3" t="str">
        <f ca="1">HYPERLINK("#"&amp;일위대가목록표!J2&amp;"!A"&amp;ROW(일위대가목록표!A189),"대가186 →")</f>
        <v>대가186 →</v>
      </c>
    </row>
    <row r="193" spans="1:29" ht="30.6" customHeight="1" x14ac:dyDescent="0.3">
      <c r="A193" s="10"/>
      <c r="B193" s="10" t="s">
        <v>430</v>
      </c>
      <c r="C193" s="41" t="s">
        <v>349</v>
      </c>
      <c r="D193" s="43">
        <v>0</v>
      </c>
      <c r="E193" s="22" t="s">
        <v>14</v>
      </c>
      <c r="F193" s="45">
        <f t="shared" si="10"/>
        <v>209936</v>
      </c>
      <c r="G193" s="48">
        <f t="shared" si="11"/>
        <v>0</v>
      </c>
      <c r="H193" s="50">
        <f>일위대가목록표!F190</f>
        <v>203822</v>
      </c>
      <c r="I193" s="13">
        <f t="shared" si="12"/>
        <v>0</v>
      </c>
      <c r="J193" s="52">
        <f>일위대가목록표!G190</f>
        <v>0</v>
      </c>
      <c r="K193" s="13">
        <f t="shared" si="13"/>
        <v>0</v>
      </c>
      <c r="L193" s="54">
        <f>일위대가목록표!H190</f>
        <v>6114</v>
      </c>
      <c r="M193" s="33">
        <f t="shared" si="14"/>
        <v>0</v>
      </c>
      <c r="N193" s="22" t="s">
        <v>3904</v>
      </c>
      <c r="O193" s="17" t="s">
        <v>3903</v>
      </c>
      <c r="P193" s="7" t="s">
        <v>3902</v>
      </c>
      <c r="Q193" s="7" t="s">
        <v>3344</v>
      </c>
      <c r="AC193" s="3" t="str">
        <f ca="1">HYPERLINK("#"&amp;일위대가목록표!J2&amp;"!A"&amp;ROW(일위대가목록표!A190),"대가187 →")</f>
        <v>대가187 →</v>
      </c>
    </row>
    <row r="194" spans="1:29" ht="30.6" customHeight="1" x14ac:dyDescent="0.3">
      <c r="A194" s="10"/>
      <c r="B194" s="10" t="s">
        <v>430</v>
      </c>
      <c r="C194" s="41" t="s">
        <v>352</v>
      </c>
      <c r="D194" s="43">
        <v>0</v>
      </c>
      <c r="E194" s="22" t="s">
        <v>14</v>
      </c>
      <c r="F194" s="45">
        <f t="shared" si="10"/>
        <v>280095</v>
      </c>
      <c r="G194" s="48">
        <f t="shared" si="11"/>
        <v>0</v>
      </c>
      <c r="H194" s="50">
        <f>일위대가목록표!F191</f>
        <v>271937</v>
      </c>
      <c r="I194" s="13">
        <f t="shared" si="12"/>
        <v>0</v>
      </c>
      <c r="J194" s="52">
        <f>일위대가목록표!G191</f>
        <v>0</v>
      </c>
      <c r="K194" s="13">
        <f t="shared" si="13"/>
        <v>0</v>
      </c>
      <c r="L194" s="54">
        <f>일위대가목록표!H191</f>
        <v>8158</v>
      </c>
      <c r="M194" s="33">
        <f t="shared" si="14"/>
        <v>0</v>
      </c>
      <c r="N194" s="22" t="s">
        <v>3907</v>
      </c>
      <c r="O194" s="17" t="s">
        <v>3906</v>
      </c>
      <c r="P194" s="7" t="s">
        <v>3905</v>
      </c>
      <c r="Q194" s="7" t="s">
        <v>3344</v>
      </c>
      <c r="AC194" s="3" t="str">
        <f ca="1">HYPERLINK("#"&amp;일위대가목록표!J2&amp;"!A"&amp;ROW(일위대가목록표!A191),"대가188 →")</f>
        <v>대가188 →</v>
      </c>
    </row>
    <row r="195" spans="1:29" ht="30.6" customHeight="1" x14ac:dyDescent="0.3">
      <c r="A195" s="10"/>
      <c r="B195" s="10" t="s">
        <v>430</v>
      </c>
      <c r="C195" s="41" t="s">
        <v>355</v>
      </c>
      <c r="D195" s="43">
        <v>0</v>
      </c>
      <c r="E195" s="22" t="s">
        <v>14</v>
      </c>
      <c r="F195" s="45">
        <f t="shared" si="10"/>
        <v>280095</v>
      </c>
      <c r="G195" s="48">
        <f t="shared" si="11"/>
        <v>0</v>
      </c>
      <c r="H195" s="50">
        <f>일위대가목록표!F192</f>
        <v>271937</v>
      </c>
      <c r="I195" s="13">
        <f t="shared" si="12"/>
        <v>0</v>
      </c>
      <c r="J195" s="52">
        <f>일위대가목록표!G192</f>
        <v>0</v>
      </c>
      <c r="K195" s="13">
        <f t="shared" si="13"/>
        <v>0</v>
      </c>
      <c r="L195" s="54">
        <f>일위대가목록표!H192</f>
        <v>8158</v>
      </c>
      <c r="M195" s="33">
        <f t="shared" si="14"/>
        <v>0</v>
      </c>
      <c r="N195" s="22" t="s">
        <v>3910</v>
      </c>
      <c r="O195" s="17" t="s">
        <v>3909</v>
      </c>
      <c r="P195" s="7" t="s">
        <v>3908</v>
      </c>
      <c r="Q195" s="7" t="s">
        <v>3344</v>
      </c>
      <c r="AC195" s="3" t="str">
        <f ca="1">HYPERLINK("#"&amp;일위대가목록표!J2&amp;"!A"&amp;ROW(일위대가목록표!A192),"대가189 →")</f>
        <v>대가189 →</v>
      </c>
    </row>
    <row r="196" spans="1:29" ht="30.6" customHeight="1" x14ac:dyDescent="0.3">
      <c r="A196" s="10"/>
      <c r="B196" s="10" t="s">
        <v>430</v>
      </c>
      <c r="C196" s="41" t="s">
        <v>358</v>
      </c>
      <c r="D196" s="43">
        <v>0</v>
      </c>
      <c r="E196" s="22" t="s">
        <v>14</v>
      </c>
      <c r="F196" s="45">
        <f t="shared" si="10"/>
        <v>452499</v>
      </c>
      <c r="G196" s="48">
        <f t="shared" si="11"/>
        <v>0</v>
      </c>
      <c r="H196" s="50">
        <f>일위대가목록표!F193</f>
        <v>439320</v>
      </c>
      <c r="I196" s="13">
        <f t="shared" si="12"/>
        <v>0</v>
      </c>
      <c r="J196" s="52">
        <f>일위대가목록표!G193</f>
        <v>0</v>
      </c>
      <c r="K196" s="13">
        <f t="shared" si="13"/>
        <v>0</v>
      </c>
      <c r="L196" s="54">
        <f>일위대가목록표!H193</f>
        <v>13179</v>
      </c>
      <c r="M196" s="33">
        <f t="shared" si="14"/>
        <v>0</v>
      </c>
      <c r="N196" s="22" t="s">
        <v>3913</v>
      </c>
      <c r="O196" s="17" t="s">
        <v>3912</v>
      </c>
      <c r="P196" s="7" t="s">
        <v>3911</v>
      </c>
      <c r="Q196" s="7" t="s">
        <v>3344</v>
      </c>
      <c r="AC196" s="3" t="str">
        <f ca="1">HYPERLINK("#"&amp;일위대가목록표!J2&amp;"!A"&amp;ROW(일위대가목록표!A193),"대가190 →")</f>
        <v>대가190 →</v>
      </c>
    </row>
    <row r="197" spans="1:29" ht="30.6" customHeight="1" x14ac:dyDescent="0.3">
      <c r="A197" s="10"/>
      <c r="B197" s="10" t="s">
        <v>430</v>
      </c>
      <c r="C197" s="41" t="s">
        <v>361</v>
      </c>
      <c r="D197" s="43">
        <v>0</v>
      </c>
      <c r="E197" s="22" t="s">
        <v>14</v>
      </c>
      <c r="F197" s="45">
        <f t="shared" si="10"/>
        <v>452499</v>
      </c>
      <c r="G197" s="48">
        <f t="shared" si="11"/>
        <v>0</v>
      </c>
      <c r="H197" s="50">
        <f>일위대가목록표!F194</f>
        <v>439320</v>
      </c>
      <c r="I197" s="13">
        <f t="shared" si="12"/>
        <v>0</v>
      </c>
      <c r="J197" s="52">
        <f>일위대가목록표!G194</f>
        <v>0</v>
      </c>
      <c r="K197" s="13">
        <f t="shared" si="13"/>
        <v>0</v>
      </c>
      <c r="L197" s="54">
        <f>일위대가목록표!H194</f>
        <v>13179</v>
      </c>
      <c r="M197" s="33">
        <f t="shared" si="14"/>
        <v>0</v>
      </c>
      <c r="N197" s="22" t="s">
        <v>3916</v>
      </c>
      <c r="O197" s="17" t="s">
        <v>3915</v>
      </c>
      <c r="P197" s="7" t="s">
        <v>3914</v>
      </c>
      <c r="Q197" s="7" t="s">
        <v>3344</v>
      </c>
      <c r="AC197" s="3" t="str">
        <f ca="1">HYPERLINK("#"&amp;일위대가목록표!J2&amp;"!A"&amp;ROW(일위대가목록표!A194),"대가191 →")</f>
        <v>대가191 →</v>
      </c>
    </row>
    <row r="198" spans="1:29" ht="30.6" customHeight="1" x14ac:dyDescent="0.3">
      <c r="A198" s="10"/>
      <c r="B198" s="10" t="s">
        <v>430</v>
      </c>
      <c r="C198" s="41" t="s">
        <v>364</v>
      </c>
      <c r="D198" s="43">
        <v>0</v>
      </c>
      <c r="E198" s="22" t="s">
        <v>14</v>
      </c>
      <c r="F198" s="45">
        <f t="shared" si="10"/>
        <v>452499</v>
      </c>
      <c r="G198" s="48">
        <f t="shared" si="11"/>
        <v>0</v>
      </c>
      <c r="H198" s="50">
        <f>일위대가목록표!F195</f>
        <v>439320</v>
      </c>
      <c r="I198" s="13">
        <f t="shared" si="12"/>
        <v>0</v>
      </c>
      <c r="J198" s="52">
        <f>일위대가목록표!G195</f>
        <v>0</v>
      </c>
      <c r="K198" s="13">
        <f t="shared" si="13"/>
        <v>0</v>
      </c>
      <c r="L198" s="54">
        <f>일위대가목록표!H195</f>
        <v>13179</v>
      </c>
      <c r="M198" s="33">
        <f t="shared" si="14"/>
        <v>0</v>
      </c>
      <c r="N198" s="22" t="s">
        <v>3919</v>
      </c>
      <c r="O198" s="17" t="s">
        <v>3918</v>
      </c>
      <c r="P198" s="7" t="s">
        <v>3917</v>
      </c>
      <c r="Q198" s="7" t="s">
        <v>3344</v>
      </c>
      <c r="AC198" s="3" t="str">
        <f ca="1">HYPERLINK("#"&amp;일위대가목록표!J2&amp;"!A"&amp;ROW(일위대가목록표!A195),"대가192 →")</f>
        <v>대가192 →</v>
      </c>
    </row>
    <row r="199" spans="1:29" ht="30.6" customHeight="1" x14ac:dyDescent="0.3">
      <c r="A199" s="10"/>
      <c r="B199" s="10" t="s">
        <v>430</v>
      </c>
      <c r="C199" s="41" t="s">
        <v>367</v>
      </c>
      <c r="D199" s="43">
        <v>0</v>
      </c>
      <c r="E199" s="22" t="s">
        <v>14</v>
      </c>
      <c r="F199" s="45">
        <f t="shared" ref="F199:F262" si="15">J199+H199+L199</f>
        <v>584244</v>
      </c>
      <c r="G199" s="48">
        <f t="shared" ref="G199:G262" si="16">K199+I199+M199</f>
        <v>0</v>
      </c>
      <c r="H199" s="50">
        <f>일위대가목록표!F196</f>
        <v>567228</v>
      </c>
      <c r="I199" s="13">
        <f t="shared" ref="I199:I262" si="17">ROUNDDOWN(H199*D199,0)</f>
        <v>0</v>
      </c>
      <c r="J199" s="52">
        <f>일위대가목록표!G196</f>
        <v>0</v>
      </c>
      <c r="K199" s="13">
        <f t="shared" ref="K199:K262" si="18">ROUNDDOWN(J199*D199,0)</f>
        <v>0</v>
      </c>
      <c r="L199" s="54">
        <f>일위대가목록표!H196</f>
        <v>17016</v>
      </c>
      <c r="M199" s="33">
        <f t="shared" ref="M199:M262" si="19">ROUNDDOWN(L199*D199,0)</f>
        <v>0</v>
      </c>
      <c r="N199" s="22" t="s">
        <v>3922</v>
      </c>
      <c r="O199" s="17" t="s">
        <v>3921</v>
      </c>
      <c r="P199" s="7" t="s">
        <v>3920</v>
      </c>
      <c r="Q199" s="7" t="s">
        <v>3344</v>
      </c>
      <c r="AC199" s="3" t="str">
        <f ca="1">HYPERLINK("#"&amp;일위대가목록표!J2&amp;"!A"&amp;ROW(일위대가목록표!A196),"대가193 →")</f>
        <v>대가193 →</v>
      </c>
    </row>
    <row r="200" spans="1:29" ht="30.6" customHeight="1" x14ac:dyDescent="0.3">
      <c r="A200" s="10"/>
      <c r="B200" s="10" t="s">
        <v>430</v>
      </c>
      <c r="C200" s="41" t="s">
        <v>370</v>
      </c>
      <c r="D200" s="43">
        <v>0</v>
      </c>
      <c r="E200" s="22" t="s">
        <v>14</v>
      </c>
      <c r="F200" s="45">
        <f t="shared" si="15"/>
        <v>939944</v>
      </c>
      <c r="G200" s="48">
        <f t="shared" si="16"/>
        <v>0</v>
      </c>
      <c r="H200" s="50">
        <f>일위대가목록표!F197</f>
        <v>912568</v>
      </c>
      <c r="I200" s="13">
        <f t="shared" si="17"/>
        <v>0</v>
      </c>
      <c r="J200" s="52">
        <f>일위대가목록표!G197</f>
        <v>0</v>
      </c>
      <c r="K200" s="13">
        <f t="shared" si="18"/>
        <v>0</v>
      </c>
      <c r="L200" s="54">
        <f>일위대가목록표!H197</f>
        <v>27376</v>
      </c>
      <c r="M200" s="33">
        <f t="shared" si="19"/>
        <v>0</v>
      </c>
      <c r="N200" s="22" t="s">
        <v>3925</v>
      </c>
      <c r="O200" s="17" t="s">
        <v>3924</v>
      </c>
      <c r="P200" s="7" t="s">
        <v>3923</v>
      </c>
      <c r="Q200" s="7" t="s">
        <v>3344</v>
      </c>
      <c r="AC200" s="3" t="str">
        <f ca="1">HYPERLINK("#"&amp;일위대가목록표!J2&amp;"!A"&amp;ROW(일위대가목록표!A197),"대가194 →")</f>
        <v>대가194 →</v>
      </c>
    </row>
    <row r="201" spans="1:29" ht="30.6" customHeight="1" x14ac:dyDescent="0.3">
      <c r="A201" s="10"/>
      <c r="B201" s="10" t="s">
        <v>430</v>
      </c>
      <c r="C201" s="41" t="s">
        <v>373</v>
      </c>
      <c r="D201" s="43">
        <v>0</v>
      </c>
      <c r="E201" s="22" t="s">
        <v>14</v>
      </c>
      <c r="F201" s="45">
        <f t="shared" si="15"/>
        <v>1151459</v>
      </c>
      <c r="G201" s="48">
        <f t="shared" si="16"/>
        <v>0</v>
      </c>
      <c r="H201" s="50">
        <f>일위대가목록표!F198</f>
        <v>1117922</v>
      </c>
      <c r="I201" s="13">
        <f t="shared" si="17"/>
        <v>0</v>
      </c>
      <c r="J201" s="52">
        <f>일위대가목록표!G198</f>
        <v>0</v>
      </c>
      <c r="K201" s="13">
        <f t="shared" si="18"/>
        <v>0</v>
      </c>
      <c r="L201" s="54">
        <f>일위대가목록표!H198</f>
        <v>33537</v>
      </c>
      <c r="M201" s="33">
        <f t="shared" si="19"/>
        <v>0</v>
      </c>
      <c r="N201" s="22" t="s">
        <v>3928</v>
      </c>
      <c r="O201" s="17" t="s">
        <v>3927</v>
      </c>
      <c r="P201" s="7" t="s">
        <v>3926</v>
      </c>
      <c r="Q201" s="7" t="s">
        <v>3344</v>
      </c>
      <c r="AC201" s="3" t="str">
        <f ca="1">HYPERLINK("#"&amp;일위대가목록표!J2&amp;"!A"&amp;ROW(일위대가목록표!A198),"대가195 →")</f>
        <v>대가195 →</v>
      </c>
    </row>
    <row r="202" spans="1:29" ht="30.6" customHeight="1" x14ac:dyDescent="0.3">
      <c r="A202" s="10"/>
      <c r="B202" s="10" t="s">
        <v>457</v>
      </c>
      <c r="C202" s="41" t="s">
        <v>458</v>
      </c>
      <c r="D202" s="43">
        <v>0</v>
      </c>
      <c r="E202" s="22" t="s">
        <v>14</v>
      </c>
      <c r="F202" s="45">
        <f t="shared" si="15"/>
        <v>779994</v>
      </c>
      <c r="G202" s="48">
        <f t="shared" si="16"/>
        <v>0</v>
      </c>
      <c r="H202" s="50">
        <f>일위대가목록표!F199</f>
        <v>320383</v>
      </c>
      <c r="I202" s="13">
        <f t="shared" si="17"/>
        <v>0</v>
      </c>
      <c r="J202" s="52">
        <f>일위대가목록표!G199</f>
        <v>450000</v>
      </c>
      <c r="K202" s="13">
        <f t="shared" si="18"/>
        <v>0</v>
      </c>
      <c r="L202" s="54">
        <f>일위대가목록표!H199</f>
        <v>9611</v>
      </c>
      <c r="M202" s="33">
        <f t="shared" si="19"/>
        <v>0</v>
      </c>
      <c r="N202" s="22" t="s">
        <v>3931</v>
      </c>
      <c r="O202" s="17" t="s">
        <v>3930</v>
      </c>
      <c r="P202" s="7" t="s">
        <v>3929</v>
      </c>
      <c r="Q202" s="7" t="s">
        <v>3344</v>
      </c>
      <c r="AC202" s="3" t="str">
        <f ca="1">HYPERLINK("#"&amp;일위대가목록표!J2&amp;"!A"&amp;ROW(일위대가목록표!A199),"대가196 →")</f>
        <v>대가196 →</v>
      </c>
    </row>
    <row r="203" spans="1:29" ht="30.6" customHeight="1" x14ac:dyDescent="0.3">
      <c r="A203" s="10"/>
      <c r="B203" s="10" t="s">
        <v>457</v>
      </c>
      <c r="C203" s="41" t="s">
        <v>461</v>
      </c>
      <c r="D203" s="43">
        <v>0</v>
      </c>
      <c r="E203" s="22" t="s">
        <v>14</v>
      </c>
      <c r="F203" s="45">
        <f t="shared" si="15"/>
        <v>1259994</v>
      </c>
      <c r="G203" s="48">
        <f t="shared" si="16"/>
        <v>0</v>
      </c>
      <c r="H203" s="50">
        <f>일위대가목록표!F200</f>
        <v>320383</v>
      </c>
      <c r="I203" s="13">
        <f t="shared" si="17"/>
        <v>0</v>
      </c>
      <c r="J203" s="52">
        <f>일위대가목록표!G200</f>
        <v>930000</v>
      </c>
      <c r="K203" s="13">
        <f t="shared" si="18"/>
        <v>0</v>
      </c>
      <c r="L203" s="54">
        <f>일위대가목록표!H200</f>
        <v>9611</v>
      </c>
      <c r="M203" s="33">
        <f t="shared" si="19"/>
        <v>0</v>
      </c>
      <c r="N203" s="22" t="s">
        <v>3934</v>
      </c>
      <c r="O203" s="17" t="s">
        <v>3933</v>
      </c>
      <c r="P203" s="7" t="s">
        <v>3932</v>
      </c>
      <c r="Q203" s="7" t="s">
        <v>3344</v>
      </c>
      <c r="AC203" s="3" t="str">
        <f ca="1">HYPERLINK("#"&amp;일위대가목록표!J2&amp;"!A"&amp;ROW(일위대가목록표!A200),"대가197 →")</f>
        <v>대가197 →</v>
      </c>
    </row>
    <row r="204" spans="1:29" ht="30.6" customHeight="1" x14ac:dyDescent="0.3">
      <c r="A204" s="10"/>
      <c r="B204" s="10" t="s">
        <v>457</v>
      </c>
      <c r="C204" s="41" t="s">
        <v>464</v>
      </c>
      <c r="D204" s="43">
        <v>0</v>
      </c>
      <c r="E204" s="22" t="s">
        <v>14</v>
      </c>
      <c r="F204" s="45">
        <f t="shared" si="15"/>
        <v>1645273</v>
      </c>
      <c r="G204" s="48">
        <f t="shared" si="16"/>
        <v>0</v>
      </c>
      <c r="H204" s="50">
        <f>일위대가목록표!F201</f>
        <v>354635</v>
      </c>
      <c r="I204" s="13">
        <f t="shared" si="17"/>
        <v>0</v>
      </c>
      <c r="J204" s="52">
        <f>일위대가목록표!G201</f>
        <v>1280000</v>
      </c>
      <c r="K204" s="13">
        <f t="shared" si="18"/>
        <v>0</v>
      </c>
      <c r="L204" s="54">
        <f>일위대가목록표!H201</f>
        <v>10638</v>
      </c>
      <c r="M204" s="33">
        <f t="shared" si="19"/>
        <v>0</v>
      </c>
      <c r="N204" s="22" t="s">
        <v>3937</v>
      </c>
      <c r="O204" s="17" t="s">
        <v>3936</v>
      </c>
      <c r="P204" s="7" t="s">
        <v>3935</v>
      </c>
      <c r="Q204" s="7" t="s">
        <v>3344</v>
      </c>
      <c r="AC204" s="3" t="str">
        <f ca="1">HYPERLINK("#"&amp;일위대가목록표!J2&amp;"!A"&amp;ROW(일위대가목록표!A201),"대가198 →")</f>
        <v>대가198 →</v>
      </c>
    </row>
    <row r="205" spans="1:29" ht="30.6" customHeight="1" x14ac:dyDescent="0.3">
      <c r="A205" s="10"/>
      <c r="B205" s="10" t="s">
        <v>457</v>
      </c>
      <c r="C205" s="41" t="s">
        <v>467</v>
      </c>
      <c r="D205" s="43">
        <v>0</v>
      </c>
      <c r="E205" s="22" t="s">
        <v>14</v>
      </c>
      <c r="F205" s="45">
        <f t="shared" si="15"/>
        <v>2291901</v>
      </c>
      <c r="G205" s="48">
        <f t="shared" si="16"/>
        <v>0</v>
      </c>
      <c r="H205" s="50">
        <f>일위대가목록표!F202</f>
        <v>408643</v>
      </c>
      <c r="I205" s="13">
        <f t="shared" si="17"/>
        <v>0</v>
      </c>
      <c r="J205" s="52">
        <f>일위대가목록표!G202</f>
        <v>1871000</v>
      </c>
      <c r="K205" s="13">
        <f t="shared" si="18"/>
        <v>0</v>
      </c>
      <c r="L205" s="54">
        <f>일위대가목록표!H202</f>
        <v>12258</v>
      </c>
      <c r="M205" s="33">
        <f t="shared" si="19"/>
        <v>0</v>
      </c>
      <c r="N205" s="22" t="s">
        <v>3940</v>
      </c>
      <c r="O205" s="17" t="s">
        <v>3939</v>
      </c>
      <c r="P205" s="7" t="s">
        <v>3938</v>
      </c>
      <c r="Q205" s="7" t="s">
        <v>3344</v>
      </c>
      <c r="AC205" s="3" t="str">
        <f ca="1">HYPERLINK("#"&amp;일위대가목록표!J2&amp;"!A"&amp;ROW(일위대가목록표!A202),"대가199 →")</f>
        <v>대가199 →</v>
      </c>
    </row>
    <row r="206" spans="1:29" ht="30.6" customHeight="1" x14ac:dyDescent="0.3">
      <c r="A206" s="10"/>
      <c r="B206" s="10" t="s">
        <v>470</v>
      </c>
      <c r="C206" s="41" t="s">
        <v>458</v>
      </c>
      <c r="D206" s="43">
        <v>0</v>
      </c>
      <c r="E206" s="22" t="s">
        <v>14</v>
      </c>
      <c r="F206" s="45">
        <f t="shared" si="15"/>
        <v>329994</v>
      </c>
      <c r="G206" s="48">
        <f t="shared" si="16"/>
        <v>0</v>
      </c>
      <c r="H206" s="50">
        <f>일위대가목록표!F203</f>
        <v>320383</v>
      </c>
      <c r="I206" s="13">
        <f t="shared" si="17"/>
        <v>0</v>
      </c>
      <c r="J206" s="52">
        <f>일위대가목록표!G203</f>
        <v>0</v>
      </c>
      <c r="K206" s="13">
        <f t="shared" si="18"/>
        <v>0</v>
      </c>
      <c r="L206" s="54">
        <f>일위대가목록표!H203</f>
        <v>9611</v>
      </c>
      <c r="M206" s="33">
        <f t="shared" si="19"/>
        <v>0</v>
      </c>
      <c r="N206" s="22" t="s">
        <v>3943</v>
      </c>
      <c r="O206" s="17" t="s">
        <v>3942</v>
      </c>
      <c r="P206" s="7" t="s">
        <v>3941</v>
      </c>
      <c r="Q206" s="7" t="s">
        <v>3344</v>
      </c>
      <c r="AC206" s="3" t="str">
        <f ca="1">HYPERLINK("#"&amp;일위대가목록표!J2&amp;"!A"&amp;ROW(일위대가목록표!A203),"대가200 →")</f>
        <v>대가200 →</v>
      </c>
    </row>
    <row r="207" spans="1:29" ht="30.6" customHeight="1" x14ac:dyDescent="0.3">
      <c r="A207" s="10"/>
      <c r="B207" s="10" t="s">
        <v>470</v>
      </c>
      <c r="C207" s="41" t="s">
        <v>461</v>
      </c>
      <c r="D207" s="43">
        <v>0</v>
      </c>
      <c r="E207" s="22" t="s">
        <v>14</v>
      </c>
      <c r="F207" s="45">
        <f t="shared" si="15"/>
        <v>329994</v>
      </c>
      <c r="G207" s="48">
        <f t="shared" si="16"/>
        <v>0</v>
      </c>
      <c r="H207" s="50">
        <f>일위대가목록표!F204</f>
        <v>320383</v>
      </c>
      <c r="I207" s="13">
        <f t="shared" si="17"/>
        <v>0</v>
      </c>
      <c r="J207" s="52">
        <f>일위대가목록표!G204</f>
        <v>0</v>
      </c>
      <c r="K207" s="13">
        <f t="shared" si="18"/>
        <v>0</v>
      </c>
      <c r="L207" s="54">
        <f>일위대가목록표!H204</f>
        <v>9611</v>
      </c>
      <c r="M207" s="33">
        <f t="shared" si="19"/>
        <v>0</v>
      </c>
      <c r="N207" s="22" t="s">
        <v>3946</v>
      </c>
      <c r="O207" s="17" t="s">
        <v>3945</v>
      </c>
      <c r="P207" s="7" t="s">
        <v>3944</v>
      </c>
      <c r="Q207" s="7" t="s">
        <v>3344</v>
      </c>
      <c r="AC207" s="3" t="str">
        <f ca="1">HYPERLINK("#"&amp;일위대가목록표!J2&amp;"!A"&amp;ROW(일위대가목록표!A204),"대가201 →")</f>
        <v>대가201 →</v>
      </c>
    </row>
    <row r="208" spans="1:29" ht="30.6" customHeight="1" x14ac:dyDescent="0.3">
      <c r="A208" s="10"/>
      <c r="B208" s="10" t="s">
        <v>470</v>
      </c>
      <c r="C208" s="41" t="s">
        <v>475</v>
      </c>
      <c r="D208" s="43">
        <v>0</v>
      </c>
      <c r="E208" s="22" t="s">
        <v>14</v>
      </c>
      <c r="F208" s="45">
        <f t="shared" si="15"/>
        <v>365273</v>
      </c>
      <c r="G208" s="48">
        <f t="shared" si="16"/>
        <v>0</v>
      </c>
      <c r="H208" s="50">
        <f>일위대가목록표!F205</f>
        <v>354635</v>
      </c>
      <c r="I208" s="13">
        <f t="shared" si="17"/>
        <v>0</v>
      </c>
      <c r="J208" s="52">
        <f>일위대가목록표!G205</f>
        <v>0</v>
      </c>
      <c r="K208" s="13">
        <f t="shared" si="18"/>
        <v>0</v>
      </c>
      <c r="L208" s="54">
        <f>일위대가목록표!H205</f>
        <v>10638</v>
      </c>
      <c r="M208" s="33">
        <f t="shared" si="19"/>
        <v>0</v>
      </c>
      <c r="N208" s="22" t="s">
        <v>3949</v>
      </c>
      <c r="O208" s="17" t="s">
        <v>3948</v>
      </c>
      <c r="P208" s="7" t="s">
        <v>3947</v>
      </c>
      <c r="Q208" s="7" t="s">
        <v>3344</v>
      </c>
      <c r="AC208" s="3" t="str">
        <f ca="1">HYPERLINK("#"&amp;일위대가목록표!J2&amp;"!A"&amp;ROW(일위대가목록표!A205),"대가202 →")</f>
        <v>대가202 →</v>
      </c>
    </row>
    <row r="209" spans="1:29" ht="30.6" customHeight="1" x14ac:dyDescent="0.3">
      <c r="A209" s="10"/>
      <c r="B209" s="10" t="s">
        <v>470</v>
      </c>
      <c r="C209" s="41" t="s">
        <v>467</v>
      </c>
      <c r="D209" s="43">
        <v>0</v>
      </c>
      <c r="E209" s="22" t="s">
        <v>14</v>
      </c>
      <c r="F209" s="45">
        <f t="shared" si="15"/>
        <v>420901</v>
      </c>
      <c r="G209" s="48">
        <f t="shared" si="16"/>
        <v>0</v>
      </c>
      <c r="H209" s="50">
        <f>일위대가목록표!F206</f>
        <v>408643</v>
      </c>
      <c r="I209" s="13">
        <f t="shared" si="17"/>
        <v>0</v>
      </c>
      <c r="J209" s="52">
        <f>일위대가목록표!G206</f>
        <v>0</v>
      </c>
      <c r="K209" s="13">
        <f t="shared" si="18"/>
        <v>0</v>
      </c>
      <c r="L209" s="54">
        <f>일위대가목록표!H206</f>
        <v>12258</v>
      </c>
      <c r="M209" s="33">
        <f t="shared" si="19"/>
        <v>0</v>
      </c>
      <c r="N209" s="22" t="s">
        <v>3952</v>
      </c>
      <c r="O209" s="17" t="s">
        <v>3951</v>
      </c>
      <c r="P209" s="7" t="s">
        <v>3950</v>
      </c>
      <c r="Q209" s="7" t="s">
        <v>3344</v>
      </c>
      <c r="AC209" s="3" t="str">
        <f ca="1">HYPERLINK("#"&amp;일위대가목록표!J2&amp;"!A"&amp;ROW(일위대가목록표!A206),"대가203 →")</f>
        <v>대가203 →</v>
      </c>
    </row>
    <row r="210" spans="1:29" ht="30.6" customHeight="1" x14ac:dyDescent="0.3">
      <c r="A210" s="10"/>
      <c r="B210" s="10" t="s">
        <v>480</v>
      </c>
      <c r="C210" s="41" t="s">
        <v>458</v>
      </c>
      <c r="D210" s="43">
        <v>0</v>
      </c>
      <c r="E210" s="22" t="s">
        <v>14</v>
      </c>
      <c r="F210" s="45">
        <f t="shared" si="15"/>
        <v>235710</v>
      </c>
      <c r="G210" s="48">
        <f t="shared" si="16"/>
        <v>0</v>
      </c>
      <c r="H210" s="50">
        <f>일위대가목록표!F207</f>
        <v>228845</v>
      </c>
      <c r="I210" s="13">
        <f t="shared" si="17"/>
        <v>0</v>
      </c>
      <c r="J210" s="52">
        <f>일위대가목록표!G207</f>
        <v>0</v>
      </c>
      <c r="K210" s="13">
        <f t="shared" si="18"/>
        <v>0</v>
      </c>
      <c r="L210" s="54">
        <f>일위대가목록표!H207</f>
        <v>6865</v>
      </c>
      <c r="M210" s="33">
        <f t="shared" si="19"/>
        <v>0</v>
      </c>
      <c r="N210" s="22" t="s">
        <v>3955</v>
      </c>
      <c r="O210" s="17" t="s">
        <v>3954</v>
      </c>
      <c r="P210" s="7" t="s">
        <v>3953</v>
      </c>
      <c r="Q210" s="7" t="s">
        <v>3344</v>
      </c>
      <c r="AC210" s="3" t="str">
        <f ca="1">HYPERLINK("#"&amp;일위대가목록표!J2&amp;"!A"&amp;ROW(일위대가목록표!A207),"대가204 →")</f>
        <v>대가204 →</v>
      </c>
    </row>
    <row r="211" spans="1:29" ht="30.6" customHeight="1" x14ac:dyDescent="0.3">
      <c r="A211" s="10"/>
      <c r="B211" s="10" t="s">
        <v>480</v>
      </c>
      <c r="C211" s="41" t="s">
        <v>461</v>
      </c>
      <c r="D211" s="43">
        <v>0</v>
      </c>
      <c r="E211" s="22" t="s">
        <v>14</v>
      </c>
      <c r="F211" s="45">
        <f t="shared" si="15"/>
        <v>235710</v>
      </c>
      <c r="G211" s="48">
        <f t="shared" si="16"/>
        <v>0</v>
      </c>
      <c r="H211" s="50">
        <f>일위대가목록표!F208</f>
        <v>228845</v>
      </c>
      <c r="I211" s="13">
        <f t="shared" si="17"/>
        <v>0</v>
      </c>
      <c r="J211" s="52">
        <f>일위대가목록표!G208</f>
        <v>0</v>
      </c>
      <c r="K211" s="13">
        <f t="shared" si="18"/>
        <v>0</v>
      </c>
      <c r="L211" s="54">
        <f>일위대가목록표!H208</f>
        <v>6865</v>
      </c>
      <c r="M211" s="33">
        <f t="shared" si="19"/>
        <v>0</v>
      </c>
      <c r="N211" s="22" t="s">
        <v>3958</v>
      </c>
      <c r="O211" s="17" t="s">
        <v>3957</v>
      </c>
      <c r="P211" s="7" t="s">
        <v>3956</v>
      </c>
      <c r="Q211" s="7" t="s">
        <v>3344</v>
      </c>
      <c r="AC211" s="3" t="str">
        <f ca="1">HYPERLINK("#"&amp;일위대가목록표!J2&amp;"!A"&amp;ROW(일위대가목록표!A208),"대가205 →")</f>
        <v>대가205 →</v>
      </c>
    </row>
    <row r="212" spans="1:29" ht="30.6" customHeight="1" x14ac:dyDescent="0.3">
      <c r="A212" s="10"/>
      <c r="B212" s="10" t="s">
        <v>480</v>
      </c>
      <c r="C212" s="41" t="s">
        <v>485</v>
      </c>
      <c r="D212" s="43">
        <v>0</v>
      </c>
      <c r="E212" s="22" t="s">
        <v>14</v>
      </c>
      <c r="F212" s="45">
        <f t="shared" si="15"/>
        <v>286241</v>
      </c>
      <c r="G212" s="48">
        <f t="shared" si="16"/>
        <v>0</v>
      </c>
      <c r="H212" s="50">
        <f>일위대가목록표!F209</f>
        <v>253311</v>
      </c>
      <c r="I212" s="13">
        <f t="shared" si="17"/>
        <v>0</v>
      </c>
      <c r="J212" s="52">
        <f>일위대가목록표!G209</f>
        <v>0</v>
      </c>
      <c r="K212" s="13">
        <f t="shared" si="18"/>
        <v>0</v>
      </c>
      <c r="L212" s="54">
        <f>일위대가목록표!H209</f>
        <v>32930</v>
      </c>
      <c r="M212" s="33">
        <f t="shared" si="19"/>
        <v>0</v>
      </c>
      <c r="N212" s="22" t="s">
        <v>3961</v>
      </c>
      <c r="O212" s="17" t="s">
        <v>3960</v>
      </c>
      <c r="P212" s="7" t="s">
        <v>3959</v>
      </c>
      <c r="Q212" s="7" t="s">
        <v>3344</v>
      </c>
      <c r="AC212" s="3" t="str">
        <f ca="1">HYPERLINK("#"&amp;일위대가목록표!J2&amp;"!A"&amp;ROW(일위대가목록표!A209),"대가206 →")</f>
        <v>대가206 →</v>
      </c>
    </row>
    <row r="213" spans="1:29" ht="30.6" customHeight="1" x14ac:dyDescent="0.3">
      <c r="A213" s="10"/>
      <c r="B213" s="10" t="s">
        <v>480</v>
      </c>
      <c r="C213" s="41" t="s">
        <v>488</v>
      </c>
      <c r="D213" s="43">
        <v>0</v>
      </c>
      <c r="E213" s="22" t="s">
        <v>14</v>
      </c>
      <c r="F213" s="45">
        <f t="shared" si="15"/>
        <v>300644</v>
      </c>
      <c r="G213" s="48">
        <f t="shared" si="16"/>
        <v>0</v>
      </c>
      <c r="H213" s="50">
        <f>일위대가목록표!F210</f>
        <v>291888</v>
      </c>
      <c r="I213" s="13">
        <f t="shared" si="17"/>
        <v>0</v>
      </c>
      <c r="J213" s="52">
        <f>일위대가목록표!G210</f>
        <v>0</v>
      </c>
      <c r="K213" s="13">
        <f t="shared" si="18"/>
        <v>0</v>
      </c>
      <c r="L213" s="54">
        <f>일위대가목록표!H210</f>
        <v>8756</v>
      </c>
      <c r="M213" s="33">
        <f t="shared" si="19"/>
        <v>0</v>
      </c>
      <c r="N213" s="22" t="s">
        <v>3964</v>
      </c>
      <c r="O213" s="17" t="s">
        <v>3963</v>
      </c>
      <c r="P213" s="7" t="s">
        <v>3962</v>
      </c>
      <c r="Q213" s="7" t="s">
        <v>3344</v>
      </c>
      <c r="AC213" s="3" t="str">
        <f ca="1">HYPERLINK("#"&amp;일위대가목록표!J2&amp;"!A"&amp;ROW(일위대가목록표!A210),"대가207 →")</f>
        <v>대가207 →</v>
      </c>
    </row>
    <row r="214" spans="1:29" ht="30.6" customHeight="1" x14ac:dyDescent="0.3">
      <c r="A214" s="10"/>
      <c r="B214" s="10" t="s">
        <v>491</v>
      </c>
      <c r="C214" s="41" t="s">
        <v>458</v>
      </c>
      <c r="D214" s="43">
        <v>0</v>
      </c>
      <c r="E214" s="22" t="s">
        <v>14</v>
      </c>
      <c r="F214" s="45">
        <f t="shared" si="15"/>
        <v>94284</v>
      </c>
      <c r="G214" s="48">
        <f t="shared" si="16"/>
        <v>0</v>
      </c>
      <c r="H214" s="50">
        <f>일위대가목록표!F211</f>
        <v>91538</v>
      </c>
      <c r="I214" s="13">
        <f t="shared" si="17"/>
        <v>0</v>
      </c>
      <c r="J214" s="52">
        <f>일위대가목록표!G211</f>
        <v>0</v>
      </c>
      <c r="K214" s="13">
        <f t="shared" si="18"/>
        <v>0</v>
      </c>
      <c r="L214" s="54">
        <f>일위대가목록표!H211</f>
        <v>2746</v>
      </c>
      <c r="M214" s="33">
        <f t="shared" si="19"/>
        <v>0</v>
      </c>
      <c r="N214" s="22" t="s">
        <v>3967</v>
      </c>
      <c r="O214" s="17" t="s">
        <v>3966</v>
      </c>
      <c r="P214" s="7" t="s">
        <v>3965</v>
      </c>
      <c r="Q214" s="7" t="s">
        <v>3344</v>
      </c>
      <c r="AC214" s="3" t="str">
        <f ca="1">HYPERLINK("#"&amp;일위대가목록표!J2&amp;"!A"&amp;ROW(일위대가목록표!A211),"대가208 →")</f>
        <v>대가208 →</v>
      </c>
    </row>
    <row r="215" spans="1:29" ht="30.6" customHeight="1" x14ac:dyDescent="0.3">
      <c r="A215" s="10"/>
      <c r="B215" s="10" t="s">
        <v>491</v>
      </c>
      <c r="C215" s="41" t="s">
        <v>461</v>
      </c>
      <c r="D215" s="43">
        <v>0</v>
      </c>
      <c r="E215" s="22" t="s">
        <v>14</v>
      </c>
      <c r="F215" s="45">
        <f t="shared" si="15"/>
        <v>94284</v>
      </c>
      <c r="G215" s="48">
        <f t="shared" si="16"/>
        <v>0</v>
      </c>
      <c r="H215" s="50">
        <f>일위대가목록표!F212</f>
        <v>91538</v>
      </c>
      <c r="I215" s="13">
        <f t="shared" si="17"/>
        <v>0</v>
      </c>
      <c r="J215" s="52">
        <f>일위대가목록표!G212</f>
        <v>0</v>
      </c>
      <c r="K215" s="13">
        <f t="shared" si="18"/>
        <v>0</v>
      </c>
      <c r="L215" s="54">
        <f>일위대가목록표!H212</f>
        <v>2746</v>
      </c>
      <c r="M215" s="33">
        <f t="shared" si="19"/>
        <v>0</v>
      </c>
      <c r="N215" s="22" t="s">
        <v>3970</v>
      </c>
      <c r="O215" s="17" t="s">
        <v>3969</v>
      </c>
      <c r="P215" s="7" t="s">
        <v>3968</v>
      </c>
      <c r="Q215" s="7" t="s">
        <v>3344</v>
      </c>
      <c r="AC215" s="3" t="str">
        <f ca="1">HYPERLINK("#"&amp;일위대가목록표!J2&amp;"!A"&amp;ROW(일위대가목록표!A212),"대가209 →")</f>
        <v>대가209 →</v>
      </c>
    </row>
    <row r="216" spans="1:29" ht="30.6" customHeight="1" x14ac:dyDescent="0.3">
      <c r="A216" s="10"/>
      <c r="B216" s="10" t="s">
        <v>491</v>
      </c>
      <c r="C216" s="41" t="s">
        <v>475</v>
      </c>
      <c r="D216" s="43">
        <v>0</v>
      </c>
      <c r="E216" s="22" t="s">
        <v>14</v>
      </c>
      <c r="F216" s="45">
        <f t="shared" si="15"/>
        <v>104363</v>
      </c>
      <c r="G216" s="48">
        <f t="shared" si="16"/>
        <v>0</v>
      </c>
      <c r="H216" s="50">
        <f>일위대가목록표!F213</f>
        <v>101324</v>
      </c>
      <c r="I216" s="13">
        <f t="shared" si="17"/>
        <v>0</v>
      </c>
      <c r="J216" s="52">
        <f>일위대가목록표!G213</f>
        <v>0</v>
      </c>
      <c r="K216" s="13">
        <f t="shared" si="18"/>
        <v>0</v>
      </c>
      <c r="L216" s="54">
        <f>일위대가목록표!H213</f>
        <v>3039</v>
      </c>
      <c r="M216" s="33">
        <f t="shared" si="19"/>
        <v>0</v>
      </c>
      <c r="N216" s="22" t="s">
        <v>3973</v>
      </c>
      <c r="O216" s="17" t="s">
        <v>3972</v>
      </c>
      <c r="P216" s="7" t="s">
        <v>3971</v>
      </c>
      <c r="Q216" s="7" t="s">
        <v>3344</v>
      </c>
      <c r="AC216" s="3" t="str">
        <f ca="1">HYPERLINK("#"&amp;일위대가목록표!J2&amp;"!A"&amp;ROW(일위대가목록표!A213),"대가210 →")</f>
        <v>대가210 →</v>
      </c>
    </row>
    <row r="217" spans="1:29" ht="30.6" customHeight="1" x14ac:dyDescent="0.3">
      <c r="A217" s="10"/>
      <c r="B217" s="10" t="s">
        <v>491</v>
      </c>
      <c r="C217" s="41" t="s">
        <v>467</v>
      </c>
      <c r="D217" s="43">
        <v>0</v>
      </c>
      <c r="E217" s="22" t="s">
        <v>14</v>
      </c>
      <c r="F217" s="45">
        <f t="shared" si="15"/>
        <v>120257</v>
      </c>
      <c r="G217" s="48">
        <f t="shared" si="16"/>
        <v>0</v>
      </c>
      <c r="H217" s="50">
        <f>일위대가목록표!F214</f>
        <v>116755</v>
      </c>
      <c r="I217" s="13">
        <f t="shared" si="17"/>
        <v>0</v>
      </c>
      <c r="J217" s="52">
        <f>일위대가목록표!G214</f>
        <v>0</v>
      </c>
      <c r="K217" s="13">
        <f t="shared" si="18"/>
        <v>0</v>
      </c>
      <c r="L217" s="54">
        <f>일위대가목록표!H214</f>
        <v>3502</v>
      </c>
      <c r="M217" s="33">
        <f t="shared" si="19"/>
        <v>0</v>
      </c>
      <c r="N217" s="22" t="s">
        <v>3976</v>
      </c>
      <c r="O217" s="17" t="s">
        <v>3975</v>
      </c>
      <c r="P217" s="7" t="s">
        <v>3974</v>
      </c>
      <c r="Q217" s="7" t="s">
        <v>3344</v>
      </c>
      <c r="AC217" s="3" t="str">
        <f ca="1">HYPERLINK("#"&amp;일위대가목록표!J2&amp;"!A"&amp;ROW(일위대가목록표!A214),"대가211 →")</f>
        <v>대가211 →</v>
      </c>
    </row>
    <row r="218" spans="1:29" ht="30.6" customHeight="1" x14ac:dyDescent="0.3">
      <c r="A218" s="10"/>
      <c r="B218" s="10" t="s">
        <v>500</v>
      </c>
      <c r="C218" s="41" t="s">
        <v>501</v>
      </c>
      <c r="D218" s="43">
        <v>0</v>
      </c>
      <c r="E218" s="22" t="s">
        <v>14</v>
      </c>
      <c r="F218" s="45">
        <f t="shared" si="15"/>
        <v>2271273</v>
      </c>
      <c r="G218" s="48">
        <f t="shared" si="16"/>
        <v>0</v>
      </c>
      <c r="H218" s="50">
        <f>일위대가목록표!F215</f>
        <v>354635</v>
      </c>
      <c r="I218" s="13">
        <f t="shared" si="17"/>
        <v>0</v>
      </c>
      <c r="J218" s="52">
        <f>일위대가목록표!G215</f>
        <v>1906000</v>
      </c>
      <c r="K218" s="13">
        <f t="shared" si="18"/>
        <v>0</v>
      </c>
      <c r="L218" s="54">
        <f>일위대가목록표!H215</f>
        <v>10638</v>
      </c>
      <c r="M218" s="33">
        <f t="shared" si="19"/>
        <v>0</v>
      </c>
      <c r="N218" s="22" t="s">
        <v>3979</v>
      </c>
      <c r="O218" s="17" t="s">
        <v>3978</v>
      </c>
      <c r="P218" s="7" t="s">
        <v>3977</v>
      </c>
      <c r="Q218" s="7" t="s">
        <v>3344</v>
      </c>
      <c r="AC218" s="3" t="str">
        <f ca="1">HYPERLINK("#"&amp;일위대가목록표!J2&amp;"!A"&amp;ROW(일위대가목록표!A215),"대가212 →")</f>
        <v>대가212 →</v>
      </c>
    </row>
    <row r="219" spans="1:29" ht="30.6" customHeight="1" x14ac:dyDescent="0.3">
      <c r="A219" s="10"/>
      <c r="B219" s="10" t="s">
        <v>500</v>
      </c>
      <c r="C219" s="41" t="s">
        <v>504</v>
      </c>
      <c r="D219" s="43">
        <v>0</v>
      </c>
      <c r="E219" s="22" t="s">
        <v>14</v>
      </c>
      <c r="F219" s="45">
        <f t="shared" si="15"/>
        <v>2661273</v>
      </c>
      <c r="G219" s="48">
        <f t="shared" si="16"/>
        <v>0</v>
      </c>
      <c r="H219" s="50">
        <f>일위대가목록표!F216</f>
        <v>354635</v>
      </c>
      <c r="I219" s="13">
        <f t="shared" si="17"/>
        <v>0</v>
      </c>
      <c r="J219" s="52">
        <f>일위대가목록표!G216</f>
        <v>2296000</v>
      </c>
      <c r="K219" s="13">
        <f t="shared" si="18"/>
        <v>0</v>
      </c>
      <c r="L219" s="54">
        <f>일위대가목록표!H216</f>
        <v>10638</v>
      </c>
      <c r="M219" s="33">
        <f t="shared" si="19"/>
        <v>0</v>
      </c>
      <c r="N219" s="22" t="s">
        <v>3982</v>
      </c>
      <c r="O219" s="17" t="s">
        <v>3981</v>
      </c>
      <c r="P219" s="7" t="s">
        <v>3980</v>
      </c>
      <c r="Q219" s="7" t="s">
        <v>3344</v>
      </c>
      <c r="AC219" s="3" t="str">
        <f ca="1">HYPERLINK("#"&amp;일위대가목록표!J2&amp;"!A"&amp;ROW(일위대가목록표!A216),"대가213 →")</f>
        <v>대가213 →</v>
      </c>
    </row>
    <row r="220" spans="1:29" ht="30.6" customHeight="1" x14ac:dyDescent="0.3">
      <c r="A220" s="10"/>
      <c r="B220" s="10" t="s">
        <v>500</v>
      </c>
      <c r="C220" s="41" t="s">
        <v>507</v>
      </c>
      <c r="D220" s="43">
        <v>0</v>
      </c>
      <c r="E220" s="22" t="s">
        <v>14</v>
      </c>
      <c r="F220" s="45">
        <f t="shared" si="15"/>
        <v>2932901</v>
      </c>
      <c r="G220" s="48">
        <f t="shared" si="16"/>
        <v>0</v>
      </c>
      <c r="H220" s="50">
        <f>일위대가목록표!F217</f>
        <v>408643</v>
      </c>
      <c r="I220" s="13">
        <f t="shared" si="17"/>
        <v>0</v>
      </c>
      <c r="J220" s="52">
        <f>일위대가목록표!G217</f>
        <v>2512000</v>
      </c>
      <c r="K220" s="13">
        <f t="shared" si="18"/>
        <v>0</v>
      </c>
      <c r="L220" s="54">
        <f>일위대가목록표!H217</f>
        <v>12258</v>
      </c>
      <c r="M220" s="33">
        <f t="shared" si="19"/>
        <v>0</v>
      </c>
      <c r="N220" s="22" t="s">
        <v>3985</v>
      </c>
      <c r="O220" s="17" t="s">
        <v>3984</v>
      </c>
      <c r="P220" s="7" t="s">
        <v>3983</v>
      </c>
      <c r="Q220" s="7" t="s">
        <v>3344</v>
      </c>
      <c r="AC220" s="3" t="str">
        <f ca="1">HYPERLINK("#"&amp;일위대가목록표!J2&amp;"!A"&amp;ROW(일위대가목록표!A217),"대가214 →")</f>
        <v>대가214 →</v>
      </c>
    </row>
    <row r="221" spans="1:29" ht="30.6" customHeight="1" x14ac:dyDescent="0.3">
      <c r="A221" s="10"/>
      <c r="B221" s="10" t="s">
        <v>510</v>
      </c>
      <c r="C221" s="41" t="s">
        <v>501</v>
      </c>
      <c r="D221" s="43">
        <v>0</v>
      </c>
      <c r="E221" s="22" t="s">
        <v>14</v>
      </c>
      <c r="F221" s="45">
        <f t="shared" si="15"/>
        <v>365273</v>
      </c>
      <c r="G221" s="48">
        <f t="shared" si="16"/>
        <v>0</v>
      </c>
      <c r="H221" s="50">
        <f>일위대가목록표!F218</f>
        <v>354635</v>
      </c>
      <c r="I221" s="13">
        <f t="shared" si="17"/>
        <v>0</v>
      </c>
      <c r="J221" s="52">
        <f>일위대가목록표!G218</f>
        <v>0</v>
      </c>
      <c r="K221" s="13">
        <f t="shared" si="18"/>
        <v>0</v>
      </c>
      <c r="L221" s="54">
        <f>일위대가목록표!H218</f>
        <v>10638</v>
      </c>
      <c r="M221" s="33">
        <f t="shared" si="19"/>
        <v>0</v>
      </c>
      <c r="N221" s="22" t="s">
        <v>3988</v>
      </c>
      <c r="O221" s="17" t="s">
        <v>3987</v>
      </c>
      <c r="P221" s="7" t="s">
        <v>3986</v>
      </c>
      <c r="Q221" s="7" t="s">
        <v>3344</v>
      </c>
      <c r="AC221" s="3" t="str">
        <f ca="1">HYPERLINK("#"&amp;일위대가목록표!J2&amp;"!A"&amp;ROW(일위대가목록표!A218),"대가215 →")</f>
        <v>대가215 →</v>
      </c>
    </row>
    <row r="222" spans="1:29" ht="30.6" customHeight="1" x14ac:dyDescent="0.3">
      <c r="A222" s="10"/>
      <c r="B222" s="10" t="s">
        <v>510</v>
      </c>
      <c r="C222" s="41" t="s">
        <v>504</v>
      </c>
      <c r="D222" s="43">
        <v>0</v>
      </c>
      <c r="E222" s="22" t="s">
        <v>14</v>
      </c>
      <c r="F222" s="45">
        <f t="shared" si="15"/>
        <v>365273</v>
      </c>
      <c r="G222" s="48">
        <f t="shared" si="16"/>
        <v>0</v>
      </c>
      <c r="H222" s="50">
        <f>일위대가목록표!F219</f>
        <v>354635</v>
      </c>
      <c r="I222" s="13">
        <f t="shared" si="17"/>
        <v>0</v>
      </c>
      <c r="J222" s="52">
        <f>일위대가목록표!G219</f>
        <v>0</v>
      </c>
      <c r="K222" s="13">
        <f t="shared" si="18"/>
        <v>0</v>
      </c>
      <c r="L222" s="54">
        <f>일위대가목록표!H219</f>
        <v>10638</v>
      </c>
      <c r="M222" s="33">
        <f t="shared" si="19"/>
        <v>0</v>
      </c>
      <c r="N222" s="22" t="s">
        <v>3991</v>
      </c>
      <c r="O222" s="17" t="s">
        <v>3990</v>
      </c>
      <c r="P222" s="7" t="s">
        <v>3989</v>
      </c>
      <c r="Q222" s="7" t="s">
        <v>3344</v>
      </c>
      <c r="AC222" s="3" t="str">
        <f ca="1">HYPERLINK("#"&amp;일위대가목록표!J2&amp;"!A"&amp;ROW(일위대가목록표!A219),"대가216 →")</f>
        <v>대가216 →</v>
      </c>
    </row>
    <row r="223" spans="1:29" ht="30.6" customHeight="1" x14ac:dyDescent="0.3">
      <c r="A223" s="10"/>
      <c r="B223" s="10" t="s">
        <v>510</v>
      </c>
      <c r="C223" s="41" t="s">
        <v>507</v>
      </c>
      <c r="D223" s="43">
        <v>0</v>
      </c>
      <c r="E223" s="22" t="s">
        <v>515</v>
      </c>
      <c r="F223" s="45">
        <f t="shared" si="15"/>
        <v>420901</v>
      </c>
      <c r="G223" s="48">
        <f t="shared" si="16"/>
        <v>0</v>
      </c>
      <c r="H223" s="50">
        <f>일위대가목록표!F220</f>
        <v>408643</v>
      </c>
      <c r="I223" s="13">
        <f t="shared" si="17"/>
        <v>0</v>
      </c>
      <c r="J223" s="52">
        <f>일위대가목록표!G220</f>
        <v>0</v>
      </c>
      <c r="K223" s="13">
        <f t="shared" si="18"/>
        <v>0</v>
      </c>
      <c r="L223" s="54">
        <f>일위대가목록표!H220</f>
        <v>12258</v>
      </c>
      <c r="M223" s="33">
        <f t="shared" si="19"/>
        <v>0</v>
      </c>
      <c r="N223" s="22" t="s">
        <v>3994</v>
      </c>
      <c r="O223" s="17" t="s">
        <v>3993</v>
      </c>
      <c r="P223" s="7" t="s">
        <v>3992</v>
      </c>
      <c r="Q223" s="7" t="s">
        <v>3344</v>
      </c>
      <c r="AC223" s="3" t="str">
        <f ca="1">HYPERLINK("#"&amp;일위대가목록표!J2&amp;"!A"&amp;ROW(일위대가목록표!A220),"대가217 →")</f>
        <v>대가217 →</v>
      </c>
    </row>
    <row r="224" spans="1:29" ht="30.6" customHeight="1" x14ac:dyDescent="0.3">
      <c r="A224" s="10"/>
      <c r="B224" s="10" t="s">
        <v>518</v>
      </c>
      <c r="C224" s="41" t="s">
        <v>501</v>
      </c>
      <c r="D224" s="43">
        <v>0</v>
      </c>
      <c r="E224" s="22" t="s">
        <v>14</v>
      </c>
      <c r="F224" s="45">
        <f t="shared" si="15"/>
        <v>260910</v>
      </c>
      <c r="G224" s="48">
        <f t="shared" si="16"/>
        <v>0</v>
      </c>
      <c r="H224" s="50">
        <f>일위대가목록표!F221</f>
        <v>253311</v>
      </c>
      <c r="I224" s="13">
        <f t="shared" si="17"/>
        <v>0</v>
      </c>
      <c r="J224" s="52">
        <f>일위대가목록표!G221</f>
        <v>0</v>
      </c>
      <c r="K224" s="13">
        <f t="shared" si="18"/>
        <v>0</v>
      </c>
      <c r="L224" s="54">
        <f>일위대가목록표!H221</f>
        <v>7599</v>
      </c>
      <c r="M224" s="33">
        <f t="shared" si="19"/>
        <v>0</v>
      </c>
      <c r="N224" s="22" t="s">
        <v>3997</v>
      </c>
      <c r="O224" s="17" t="s">
        <v>3996</v>
      </c>
      <c r="P224" s="7" t="s">
        <v>3995</v>
      </c>
      <c r="Q224" s="7" t="s">
        <v>3344</v>
      </c>
      <c r="AC224" s="3" t="str">
        <f ca="1">HYPERLINK("#"&amp;일위대가목록표!J2&amp;"!A"&amp;ROW(일위대가목록표!A221),"대가218 →")</f>
        <v>대가218 →</v>
      </c>
    </row>
    <row r="225" spans="1:29" ht="30.6" customHeight="1" x14ac:dyDescent="0.3">
      <c r="A225" s="10"/>
      <c r="B225" s="10" t="s">
        <v>518</v>
      </c>
      <c r="C225" s="41" t="s">
        <v>504</v>
      </c>
      <c r="D225" s="43">
        <v>0</v>
      </c>
      <c r="E225" s="22" t="s">
        <v>14</v>
      </c>
      <c r="F225" s="45">
        <f t="shared" si="15"/>
        <v>260910</v>
      </c>
      <c r="G225" s="48">
        <f t="shared" si="16"/>
        <v>0</v>
      </c>
      <c r="H225" s="50">
        <f>일위대가목록표!F222</f>
        <v>253311</v>
      </c>
      <c r="I225" s="13">
        <f t="shared" si="17"/>
        <v>0</v>
      </c>
      <c r="J225" s="52">
        <f>일위대가목록표!G222</f>
        <v>0</v>
      </c>
      <c r="K225" s="13">
        <f t="shared" si="18"/>
        <v>0</v>
      </c>
      <c r="L225" s="54">
        <f>일위대가목록표!H222</f>
        <v>7599</v>
      </c>
      <c r="M225" s="33">
        <f t="shared" si="19"/>
        <v>0</v>
      </c>
      <c r="N225" s="22" t="s">
        <v>4000</v>
      </c>
      <c r="O225" s="17" t="s">
        <v>3999</v>
      </c>
      <c r="P225" s="7" t="s">
        <v>3998</v>
      </c>
      <c r="Q225" s="7" t="s">
        <v>3344</v>
      </c>
      <c r="AC225" s="3" t="str">
        <f ca="1">HYPERLINK("#"&amp;일위대가목록표!J2&amp;"!A"&amp;ROW(일위대가목록표!A222),"대가219 →")</f>
        <v>대가219 →</v>
      </c>
    </row>
    <row r="226" spans="1:29" ht="30.6" customHeight="1" x14ac:dyDescent="0.3">
      <c r="A226" s="10"/>
      <c r="B226" s="10" t="s">
        <v>518</v>
      </c>
      <c r="C226" s="41" t="s">
        <v>507</v>
      </c>
      <c r="D226" s="43">
        <v>0</v>
      </c>
      <c r="E226" s="22" t="s">
        <v>515</v>
      </c>
      <c r="F226" s="45">
        <f t="shared" si="15"/>
        <v>300644</v>
      </c>
      <c r="G226" s="48">
        <f t="shared" si="16"/>
        <v>0</v>
      </c>
      <c r="H226" s="50">
        <f>일위대가목록표!F223</f>
        <v>291888</v>
      </c>
      <c r="I226" s="13">
        <f t="shared" si="17"/>
        <v>0</v>
      </c>
      <c r="J226" s="52">
        <f>일위대가목록표!G223</f>
        <v>0</v>
      </c>
      <c r="K226" s="13">
        <f t="shared" si="18"/>
        <v>0</v>
      </c>
      <c r="L226" s="54">
        <f>일위대가목록표!H223</f>
        <v>8756</v>
      </c>
      <c r="M226" s="33">
        <f t="shared" si="19"/>
        <v>0</v>
      </c>
      <c r="N226" s="22" t="s">
        <v>4003</v>
      </c>
      <c r="O226" s="17" t="s">
        <v>4002</v>
      </c>
      <c r="P226" s="7" t="s">
        <v>4001</v>
      </c>
      <c r="Q226" s="7" t="s">
        <v>3344</v>
      </c>
      <c r="AC226" s="3" t="str">
        <f ca="1">HYPERLINK("#"&amp;일위대가목록표!J2&amp;"!A"&amp;ROW(일위대가목록표!A223),"대가220 →")</f>
        <v>대가220 →</v>
      </c>
    </row>
    <row r="227" spans="1:29" ht="30.6" customHeight="1" x14ac:dyDescent="0.3">
      <c r="A227" s="10"/>
      <c r="B227" s="10" t="s">
        <v>525</v>
      </c>
      <c r="C227" s="41" t="s">
        <v>501</v>
      </c>
      <c r="D227" s="43">
        <v>0</v>
      </c>
      <c r="E227" s="22" t="s">
        <v>14</v>
      </c>
      <c r="F227" s="45">
        <f t="shared" si="15"/>
        <v>104363</v>
      </c>
      <c r="G227" s="48">
        <f t="shared" si="16"/>
        <v>0</v>
      </c>
      <c r="H227" s="50">
        <f>일위대가목록표!F224</f>
        <v>101324</v>
      </c>
      <c r="I227" s="13">
        <f t="shared" si="17"/>
        <v>0</v>
      </c>
      <c r="J227" s="52">
        <f>일위대가목록표!G224</f>
        <v>0</v>
      </c>
      <c r="K227" s="13">
        <f t="shared" si="18"/>
        <v>0</v>
      </c>
      <c r="L227" s="54">
        <f>일위대가목록표!H224</f>
        <v>3039</v>
      </c>
      <c r="M227" s="33">
        <f t="shared" si="19"/>
        <v>0</v>
      </c>
      <c r="N227" s="22" t="s">
        <v>4006</v>
      </c>
      <c r="O227" s="17" t="s">
        <v>4005</v>
      </c>
      <c r="P227" s="7" t="s">
        <v>4004</v>
      </c>
      <c r="Q227" s="7" t="s">
        <v>3344</v>
      </c>
      <c r="AC227" s="3" t="str">
        <f ca="1">HYPERLINK("#"&amp;일위대가목록표!J2&amp;"!A"&amp;ROW(일위대가목록표!A224),"대가221 →")</f>
        <v>대가221 →</v>
      </c>
    </row>
    <row r="228" spans="1:29" ht="30.6" customHeight="1" x14ac:dyDescent="0.3">
      <c r="A228" s="10"/>
      <c r="B228" s="10" t="s">
        <v>525</v>
      </c>
      <c r="C228" s="41" t="s">
        <v>504</v>
      </c>
      <c r="D228" s="43">
        <v>0</v>
      </c>
      <c r="E228" s="22" t="s">
        <v>14</v>
      </c>
      <c r="F228" s="45">
        <f t="shared" si="15"/>
        <v>104363</v>
      </c>
      <c r="G228" s="48">
        <f t="shared" si="16"/>
        <v>0</v>
      </c>
      <c r="H228" s="50">
        <f>일위대가목록표!F225</f>
        <v>101324</v>
      </c>
      <c r="I228" s="13">
        <f t="shared" si="17"/>
        <v>0</v>
      </c>
      <c r="J228" s="52">
        <f>일위대가목록표!G225</f>
        <v>0</v>
      </c>
      <c r="K228" s="13">
        <f t="shared" si="18"/>
        <v>0</v>
      </c>
      <c r="L228" s="54">
        <f>일위대가목록표!H225</f>
        <v>3039</v>
      </c>
      <c r="M228" s="33">
        <f t="shared" si="19"/>
        <v>0</v>
      </c>
      <c r="N228" s="22" t="s">
        <v>4009</v>
      </c>
      <c r="O228" s="17" t="s">
        <v>4008</v>
      </c>
      <c r="P228" s="7" t="s">
        <v>4007</v>
      </c>
      <c r="Q228" s="7" t="s">
        <v>3344</v>
      </c>
      <c r="AC228" s="3" t="str">
        <f ca="1">HYPERLINK("#"&amp;일위대가목록표!J2&amp;"!A"&amp;ROW(일위대가목록표!A225),"대가222 →")</f>
        <v>대가222 →</v>
      </c>
    </row>
    <row r="229" spans="1:29" ht="30.6" customHeight="1" x14ac:dyDescent="0.3">
      <c r="A229" s="10"/>
      <c r="B229" s="10" t="s">
        <v>525</v>
      </c>
      <c r="C229" s="41" t="s">
        <v>507</v>
      </c>
      <c r="D229" s="43">
        <v>0</v>
      </c>
      <c r="E229" s="22" t="s">
        <v>515</v>
      </c>
      <c r="F229" s="45">
        <f t="shared" si="15"/>
        <v>120257</v>
      </c>
      <c r="G229" s="48">
        <f t="shared" si="16"/>
        <v>0</v>
      </c>
      <c r="H229" s="50">
        <f>일위대가목록표!F226</f>
        <v>116755</v>
      </c>
      <c r="I229" s="13">
        <f t="shared" si="17"/>
        <v>0</v>
      </c>
      <c r="J229" s="52">
        <f>일위대가목록표!G226</f>
        <v>0</v>
      </c>
      <c r="K229" s="13">
        <f t="shared" si="18"/>
        <v>0</v>
      </c>
      <c r="L229" s="54">
        <f>일위대가목록표!H226</f>
        <v>3502</v>
      </c>
      <c r="M229" s="33">
        <f t="shared" si="19"/>
        <v>0</v>
      </c>
      <c r="N229" s="22" t="s">
        <v>4012</v>
      </c>
      <c r="O229" s="17" t="s">
        <v>4011</v>
      </c>
      <c r="P229" s="7" t="s">
        <v>4010</v>
      </c>
      <c r="Q229" s="7" t="s">
        <v>3344</v>
      </c>
      <c r="AC229" s="3" t="str">
        <f ca="1">HYPERLINK("#"&amp;일위대가목록표!J2&amp;"!A"&amp;ROW(일위대가목록표!A226),"대가223 →")</f>
        <v>대가223 →</v>
      </c>
    </row>
    <row r="230" spans="1:29" ht="30.6" customHeight="1" x14ac:dyDescent="0.3">
      <c r="A230" s="10"/>
      <c r="B230" s="10" t="s">
        <v>532</v>
      </c>
      <c r="C230" s="41" t="s">
        <v>533</v>
      </c>
      <c r="D230" s="43">
        <v>0</v>
      </c>
      <c r="E230" s="22" t="s">
        <v>14</v>
      </c>
      <c r="F230" s="45">
        <f t="shared" si="15"/>
        <v>2236273</v>
      </c>
      <c r="G230" s="48">
        <f t="shared" si="16"/>
        <v>0</v>
      </c>
      <c r="H230" s="50">
        <f>일위대가목록표!F227</f>
        <v>354635</v>
      </c>
      <c r="I230" s="13">
        <f t="shared" si="17"/>
        <v>0</v>
      </c>
      <c r="J230" s="52">
        <f>일위대가목록표!G227</f>
        <v>1871000</v>
      </c>
      <c r="K230" s="13">
        <f t="shared" si="18"/>
        <v>0</v>
      </c>
      <c r="L230" s="54">
        <f>일위대가목록표!H227</f>
        <v>10638</v>
      </c>
      <c r="M230" s="33">
        <f t="shared" si="19"/>
        <v>0</v>
      </c>
      <c r="N230" s="22" t="s">
        <v>4015</v>
      </c>
      <c r="O230" s="17" t="s">
        <v>4014</v>
      </c>
      <c r="P230" s="7" t="s">
        <v>4013</v>
      </c>
      <c r="Q230" s="7" t="s">
        <v>3344</v>
      </c>
      <c r="AC230" s="3" t="str">
        <f ca="1">HYPERLINK("#"&amp;일위대가목록표!J2&amp;"!A"&amp;ROW(일위대가목록표!A227),"대가224 →")</f>
        <v>대가224 →</v>
      </c>
    </row>
    <row r="231" spans="1:29" ht="30.6" customHeight="1" x14ac:dyDescent="0.3">
      <c r="A231" s="10"/>
      <c r="B231" s="10" t="s">
        <v>536</v>
      </c>
      <c r="C231" s="41" t="s">
        <v>533</v>
      </c>
      <c r="D231" s="43">
        <v>1</v>
      </c>
      <c r="E231" s="22" t="s">
        <v>14</v>
      </c>
      <c r="F231" s="45">
        <f t="shared" si="15"/>
        <v>365273</v>
      </c>
      <c r="G231" s="48">
        <f t="shared" si="16"/>
        <v>365273</v>
      </c>
      <c r="H231" s="50">
        <f>일위대가목록표!F228</f>
        <v>354635</v>
      </c>
      <c r="I231" s="13">
        <f t="shared" si="17"/>
        <v>354635</v>
      </c>
      <c r="J231" s="52">
        <f>일위대가목록표!G228</f>
        <v>0</v>
      </c>
      <c r="K231" s="13">
        <f t="shared" si="18"/>
        <v>0</v>
      </c>
      <c r="L231" s="54">
        <f>일위대가목록표!H228</f>
        <v>10638</v>
      </c>
      <c r="M231" s="33">
        <f t="shared" si="19"/>
        <v>10638</v>
      </c>
      <c r="N231" s="22" t="s">
        <v>4018</v>
      </c>
      <c r="O231" s="17" t="s">
        <v>4017</v>
      </c>
      <c r="P231" s="7" t="s">
        <v>4016</v>
      </c>
      <c r="Q231" s="7" t="s">
        <v>3344</v>
      </c>
      <c r="AC231" s="3" t="str">
        <f ca="1">HYPERLINK("#"&amp;일위대가목록표!J2&amp;"!A"&amp;ROW(일위대가목록표!A228),"대가225 →")</f>
        <v>대가225 →</v>
      </c>
    </row>
    <row r="232" spans="1:29" ht="30.6" customHeight="1" x14ac:dyDescent="0.3">
      <c r="A232" s="10"/>
      <c r="B232" s="10" t="s">
        <v>539</v>
      </c>
      <c r="C232" s="41" t="s">
        <v>533</v>
      </c>
      <c r="D232" s="43">
        <v>1</v>
      </c>
      <c r="E232" s="22" t="s">
        <v>14</v>
      </c>
      <c r="F232" s="45">
        <f t="shared" si="15"/>
        <v>260910</v>
      </c>
      <c r="G232" s="48">
        <f t="shared" si="16"/>
        <v>260910</v>
      </c>
      <c r="H232" s="50">
        <f>일위대가목록표!F229</f>
        <v>253311</v>
      </c>
      <c r="I232" s="13">
        <f t="shared" si="17"/>
        <v>253311</v>
      </c>
      <c r="J232" s="52">
        <f>일위대가목록표!G229</f>
        <v>0</v>
      </c>
      <c r="K232" s="13">
        <f t="shared" si="18"/>
        <v>0</v>
      </c>
      <c r="L232" s="54">
        <f>일위대가목록표!H229</f>
        <v>7599</v>
      </c>
      <c r="M232" s="33">
        <f t="shared" si="19"/>
        <v>7599</v>
      </c>
      <c r="N232" s="22" t="s">
        <v>4021</v>
      </c>
      <c r="O232" s="17" t="s">
        <v>4020</v>
      </c>
      <c r="P232" s="7" t="s">
        <v>4019</v>
      </c>
      <c r="Q232" s="7" t="s">
        <v>3344</v>
      </c>
      <c r="AC232" s="3" t="str">
        <f ca="1">HYPERLINK("#"&amp;일위대가목록표!J2&amp;"!A"&amp;ROW(일위대가목록표!A229),"대가226 →")</f>
        <v>대가226 →</v>
      </c>
    </row>
    <row r="233" spans="1:29" ht="30.6" customHeight="1" x14ac:dyDescent="0.3">
      <c r="A233" s="10"/>
      <c r="B233" s="10" t="s">
        <v>542</v>
      </c>
      <c r="C233" s="41" t="s">
        <v>533</v>
      </c>
      <c r="D233" s="43">
        <v>0</v>
      </c>
      <c r="E233" s="22" t="s">
        <v>14</v>
      </c>
      <c r="F233" s="45">
        <f t="shared" si="15"/>
        <v>104363</v>
      </c>
      <c r="G233" s="48">
        <f t="shared" si="16"/>
        <v>0</v>
      </c>
      <c r="H233" s="50">
        <f>일위대가목록표!F230</f>
        <v>101324</v>
      </c>
      <c r="I233" s="13">
        <f t="shared" si="17"/>
        <v>0</v>
      </c>
      <c r="J233" s="52">
        <f>일위대가목록표!G230</f>
        <v>0</v>
      </c>
      <c r="K233" s="13">
        <f t="shared" si="18"/>
        <v>0</v>
      </c>
      <c r="L233" s="54">
        <f>일위대가목록표!H230</f>
        <v>3039</v>
      </c>
      <c r="M233" s="33">
        <f t="shared" si="19"/>
        <v>0</v>
      </c>
      <c r="N233" s="22" t="s">
        <v>4024</v>
      </c>
      <c r="O233" s="17" t="s">
        <v>4023</v>
      </c>
      <c r="P233" s="7" t="s">
        <v>4022</v>
      </c>
      <c r="Q233" s="7" t="s">
        <v>3344</v>
      </c>
      <c r="AC233" s="3" t="str">
        <f ca="1">HYPERLINK("#"&amp;일위대가목록표!J2&amp;"!A"&amp;ROW(일위대가목록표!A230),"대가227 →")</f>
        <v>대가227 →</v>
      </c>
    </row>
    <row r="234" spans="1:29" ht="30.6" customHeight="1" x14ac:dyDescent="0.3">
      <c r="A234" s="10"/>
      <c r="B234" s="10" t="s">
        <v>545</v>
      </c>
      <c r="C234" s="41" t="s">
        <v>546</v>
      </c>
      <c r="D234" s="43">
        <v>0</v>
      </c>
      <c r="E234" s="22" t="s">
        <v>14</v>
      </c>
      <c r="F234" s="45">
        <f t="shared" si="15"/>
        <v>9091907</v>
      </c>
      <c r="G234" s="48">
        <f t="shared" si="16"/>
        <v>0</v>
      </c>
      <c r="H234" s="50">
        <f>일위대가목록표!F231</f>
        <v>3193989</v>
      </c>
      <c r="I234" s="13">
        <f t="shared" si="17"/>
        <v>0</v>
      </c>
      <c r="J234" s="52">
        <f>일위대가목록표!G231</f>
        <v>5802100</v>
      </c>
      <c r="K234" s="13">
        <f t="shared" si="18"/>
        <v>0</v>
      </c>
      <c r="L234" s="54">
        <f>일위대가목록표!H231</f>
        <v>95818</v>
      </c>
      <c r="M234" s="33">
        <f t="shared" si="19"/>
        <v>0</v>
      </c>
      <c r="N234" s="22" t="s">
        <v>4027</v>
      </c>
      <c r="O234" s="17" t="s">
        <v>4026</v>
      </c>
      <c r="P234" s="7" t="s">
        <v>4025</v>
      </c>
      <c r="Q234" s="7" t="s">
        <v>3344</v>
      </c>
      <c r="AC234" s="3" t="str">
        <f ca="1">HYPERLINK("#"&amp;일위대가목록표!J2&amp;"!A"&amp;ROW(일위대가목록표!A231),"대가228 →")</f>
        <v>대가228 →</v>
      </c>
    </row>
    <row r="235" spans="1:29" ht="30.6" customHeight="1" x14ac:dyDescent="0.3">
      <c r="A235" s="10"/>
      <c r="B235" s="10" t="s">
        <v>549</v>
      </c>
      <c r="C235" s="41" t="s">
        <v>546</v>
      </c>
      <c r="D235" s="43">
        <v>0</v>
      </c>
      <c r="E235" s="22" t="s">
        <v>14</v>
      </c>
      <c r="F235" s="45">
        <f t="shared" si="15"/>
        <v>3289807</v>
      </c>
      <c r="G235" s="48">
        <f t="shared" si="16"/>
        <v>0</v>
      </c>
      <c r="H235" s="50">
        <f>일위대가목록표!F232</f>
        <v>3193989</v>
      </c>
      <c r="I235" s="13">
        <f t="shared" si="17"/>
        <v>0</v>
      </c>
      <c r="J235" s="52">
        <f>일위대가목록표!G232</f>
        <v>0</v>
      </c>
      <c r="K235" s="13">
        <f t="shared" si="18"/>
        <v>0</v>
      </c>
      <c r="L235" s="54">
        <f>일위대가목록표!H232</f>
        <v>95818</v>
      </c>
      <c r="M235" s="33">
        <f t="shared" si="19"/>
        <v>0</v>
      </c>
      <c r="N235" s="22" t="s">
        <v>4030</v>
      </c>
      <c r="O235" s="17" t="s">
        <v>4029</v>
      </c>
      <c r="P235" s="7" t="s">
        <v>4028</v>
      </c>
      <c r="Q235" s="7" t="s">
        <v>3344</v>
      </c>
      <c r="AC235" s="3" t="str">
        <f ca="1">HYPERLINK("#"&amp;일위대가목록표!J2&amp;"!A"&amp;ROW(일위대가목록표!A232),"대가229 →")</f>
        <v>대가229 →</v>
      </c>
    </row>
    <row r="236" spans="1:29" ht="30.6" customHeight="1" x14ac:dyDescent="0.3">
      <c r="A236" s="10"/>
      <c r="B236" s="10" t="s">
        <v>552</v>
      </c>
      <c r="C236" s="41" t="s">
        <v>546</v>
      </c>
      <c r="D236" s="43">
        <v>0</v>
      </c>
      <c r="E236" s="22" t="s">
        <v>14</v>
      </c>
      <c r="F236" s="45">
        <f t="shared" si="15"/>
        <v>2349863</v>
      </c>
      <c r="G236" s="48">
        <f t="shared" si="16"/>
        <v>0</v>
      </c>
      <c r="H236" s="50">
        <f>일위대가목록표!F233</f>
        <v>2281421</v>
      </c>
      <c r="I236" s="13">
        <f t="shared" si="17"/>
        <v>0</v>
      </c>
      <c r="J236" s="52">
        <f>일위대가목록표!G233</f>
        <v>0</v>
      </c>
      <c r="K236" s="13">
        <f t="shared" si="18"/>
        <v>0</v>
      </c>
      <c r="L236" s="54">
        <f>일위대가목록표!H233</f>
        <v>68442</v>
      </c>
      <c r="M236" s="33">
        <f t="shared" si="19"/>
        <v>0</v>
      </c>
      <c r="N236" s="22" t="s">
        <v>4033</v>
      </c>
      <c r="O236" s="17" t="s">
        <v>4032</v>
      </c>
      <c r="P236" s="7" t="s">
        <v>4031</v>
      </c>
      <c r="Q236" s="7" t="s">
        <v>3344</v>
      </c>
      <c r="AC236" s="3" t="str">
        <f ca="1">HYPERLINK("#"&amp;일위대가목록표!J2&amp;"!A"&amp;ROW(일위대가목록표!A233),"대가230 →")</f>
        <v>대가230 →</v>
      </c>
    </row>
    <row r="237" spans="1:29" ht="30.6" customHeight="1" x14ac:dyDescent="0.3">
      <c r="A237" s="10"/>
      <c r="B237" s="10" t="s">
        <v>555</v>
      </c>
      <c r="C237" s="41" t="s">
        <v>546</v>
      </c>
      <c r="D237" s="43">
        <v>0</v>
      </c>
      <c r="E237" s="22" t="s">
        <v>14</v>
      </c>
      <c r="F237" s="45">
        <f t="shared" si="15"/>
        <v>939944</v>
      </c>
      <c r="G237" s="48">
        <f t="shared" si="16"/>
        <v>0</v>
      </c>
      <c r="H237" s="50">
        <f>일위대가목록표!F234</f>
        <v>912568</v>
      </c>
      <c r="I237" s="13">
        <f t="shared" si="17"/>
        <v>0</v>
      </c>
      <c r="J237" s="52">
        <f>일위대가목록표!G234</f>
        <v>0</v>
      </c>
      <c r="K237" s="13">
        <f t="shared" si="18"/>
        <v>0</v>
      </c>
      <c r="L237" s="54">
        <f>일위대가목록표!H234</f>
        <v>27376</v>
      </c>
      <c r="M237" s="33">
        <f t="shared" si="19"/>
        <v>0</v>
      </c>
      <c r="N237" s="22" t="s">
        <v>4036</v>
      </c>
      <c r="O237" s="17" t="s">
        <v>4035</v>
      </c>
      <c r="P237" s="7" t="s">
        <v>4034</v>
      </c>
      <c r="Q237" s="7" t="s">
        <v>3344</v>
      </c>
      <c r="AC237" s="3" t="str">
        <f ca="1">HYPERLINK("#"&amp;일위대가목록표!J2&amp;"!A"&amp;ROW(일위대가목록표!A234),"대가231 →")</f>
        <v>대가231 →</v>
      </c>
    </row>
    <row r="238" spans="1:29" ht="30.6" customHeight="1" x14ac:dyDescent="0.3">
      <c r="A238" s="10"/>
      <c r="B238" s="10" t="s">
        <v>558</v>
      </c>
      <c r="C238" s="41" t="s">
        <v>559</v>
      </c>
      <c r="D238" s="43">
        <v>0</v>
      </c>
      <c r="E238" s="22" t="s">
        <v>14</v>
      </c>
      <c r="F238" s="45">
        <f t="shared" si="15"/>
        <v>8753707</v>
      </c>
      <c r="G238" s="48">
        <f t="shared" si="16"/>
        <v>0</v>
      </c>
      <c r="H238" s="50">
        <f>일위대가목록표!F235</f>
        <v>3193989</v>
      </c>
      <c r="I238" s="13">
        <f t="shared" si="17"/>
        <v>0</v>
      </c>
      <c r="J238" s="52">
        <f>일위대가목록표!G235</f>
        <v>5463900</v>
      </c>
      <c r="K238" s="13">
        <f t="shared" si="18"/>
        <v>0</v>
      </c>
      <c r="L238" s="54">
        <f>일위대가목록표!H235</f>
        <v>95818</v>
      </c>
      <c r="M238" s="33">
        <f t="shared" si="19"/>
        <v>0</v>
      </c>
      <c r="N238" s="22" t="s">
        <v>4039</v>
      </c>
      <c r="O238" s="17" t="s">
        <v>4038</v>
      </c>
      <c r="P238" s="7" t="s">
        <v>4037</v>
      </c>
      <c r="Q238" s="7" t="s">
        <v>3344</v>
      </c>
      <c r="AC238" s="3" t="str">
        <f ca="1">HYPERLINK("#"&amp;일위대가목록표!J2&amp;"!A"&amp;ROW(일위대가목록표!A235),"대가232 →")</f>
        <v>대가232 →</v>
      </c>
    </row>
    <row r="239" spans="1:29" ht="30.6" customHeight="1" x14ac:dyDescent="0.3">
      <c r="A239" s="10"/>
      <c r="B239" s="10" t="s">
        <v>562</v>
      </c>
      <c r="C239" s="41" t="s">
        <v>559</v>
      </c>
      <c r="D239" s="43">
        <v>0</v>
      </c>
      <c r="E239" s="22" t="s">
        <v>14</v>
      </c>
      <c r="F239" s="45">
        <f t="shared" si="15"/>
        <v>3289807</v>
      </c>
      <c r="G239" s="48">
        <f t="shared" si="16"/>
        <v>0</v>
      </c>
      <c r="H239" s="50">
        <f>일위대가목록표!F236</f>
        <v>3193989</v>
      </c>
      <c r="I239" s="13">
        <f t="shared" si="17"/>
        <v>0</v>
      </c>
      <c r="J239" s="52">
        <f>일위대가목록표!G236</f>
        <v>0</v>
      </c>
      <c r="K239" s="13">
        <f t="shared" si="18"/>
        <v>0</v>
      </c>
      <c r="L239" s="54">
        <f>일위대가목록표!H236</f>
        <v>95818</v>
      </c>
      <c r="M239" s="33">
        <f t="shared" si="19"/>
        <v>0</v>
      </c>
      <c r="N239" s="22" t="s">
        <v>4042</v>
      </c>
      <c r="O239" s="17" t="s">
        <v>4041</v>
      </c>
      <c r="P239" s="7" t="s">
        <v>4040</v>
      </c>
      <c r="Q239" s="7" t="s">
        <v>3344</v>
      </c>
      <c r="AC239" s="3" t="str">
        <f ca="1">HYPERLINK("#"&amp;일위대가목록표!J2&amp;"!A"&amp;ROW(일위대가목록표!A236),"대가233 →")</f>
        <v>대가233 →</v>
      </c>
    </row>
    <row r="240" spans="1:29" ht="30.6" customHeight="1" x14ac:dyDescent="0.3">
      <c r="A240" s="10"/>
      <c r="B240" s="10" t="s">
        <v>565</v>
      </c>
      <c r="C240" s="41" t="s">
        <v>559</v>
      </c>
      <c r="D240" s="43">
        <v>0</v>
      </c>
      <c r="E240" s="22" t="s">
        <v>14</v>
      </c>
      <c r="F240" s="45">
        <f t="shared" si="15"/>
        <v>2349863</v>
      </c>
      <c r="G240" s="48">
        <f t="shared" si="16"/>
        <v>0</v>
      </c>
      <c r="H240" s="50">
        <f>일위대가목록표!F237</f>
        <v>2281421</v>
      </c>
      <c r="I240" s="13">
        <f t="shared" si="17"/>
        <v>0</v>
      </c>
      <c r="J240" s="52">
        <f>일위대가목록표!G237</f>
        <v>0</v>
      </c>
      <c r="K240" s="13">
        <f t="shared" si="18"/>
        <v>0</v>
      </c>
      <c r="L240" s="54">
        <f>일위대가목록표!H237</f>
        <v>68442</v>
      </c>
      <c r="M240" s="33">
        <f t="shared" si="19"/>
        <v>0</v>
      </c>
      <c r="N240" s="22" t="s">
        <v>4045</v>
      </c>
      <c r="O240" s="17" t="s">
        <v>4044</v>
      </c>
      <c r="P240" s="7" t="s">
        <v>4043</v>
      </c>
      <c r="Q240" s="7" t="s">
        <v>3344</v>
      </c>
      <c r="AC240" s="3" t="str">
        <f ca="1">HYPERLINK("#"&amp;일위대가목록표!J2&amp;"!A"&amp;ROW(일위대가목록표!A237),"대가234 →")</f>
        <v>대가234 →</v>
      </c>
    </row>
    <row r="241" spans="1:29" ht="30.6" customHeight="1" x14ac:dyDescent="0.3">
      <c r="A241" s="10"/>
      <c r="B241" s="10" t="s">
        <v>568</v>
      </c>
      <c r="C241" s="41" t="s">
        <v>559</v>
      </c>
      <c r="D241" s="43">
        <v>0</v>
      </c>
      <c r="E241" s="22" t="s">
        <v>14</v>
      </c>
      <c r="F241" s="45">
        <f t="shared" si="15"/>
        <v>939944</v>
      </c>
      <c r="G241" s="48">
        <f t="shared" si="16"/>
        <v>0</v>
      </c>
      <c r="H241" s="50">
        <f>일위대가목록표!F238</f>
        <v>912568</v>
      </c>
      <c r="I241" s="13">
        <f t="shared" si="17"/>
        <v>0</v>
      </c>
      <c r="J241" s="52">
        <f>일위대가목록표!G238</f>
        <v>0</v>
      </c>
      <c r="K241" s="13">
        <f t="shared" si="18"/>
        <v>0</v>
      </c>
      <c r="L241" s="54">
        <f>일위대가목록표!H238</f>
        <v>27376</v>
      </c>
      <c r="M241" s="33">
        <f t="shared" si="19"/>
        <v>0</v>
      </c>
      <c r="N241" s="22" t="s">
        <v>4048</v>
      </c>
      <c r="O241" s="17" t="s">
        <v>4047</v>
      </c>
      <c r="P241" s="7" t="s">
        <v>4046</v>
      </c>
      <c r="Q241" s="7" t="s">
        <v>3344</v>
      </c>
      <c r="AC241" s="3" t="str">
        <f ca="1">HYPERLINK("#"&amp;일위대가목록표!J2&amp;"!A"&amp;ROW(일위대가목록표!A238),"대가235 →")</f>
        <v>대가235 →</v>
      </c>
    </row>
    <row r="242" spans="1:29" ht="30.6" customHeight="1" x14ac:dyDescent="0.3">
      <c r="A242" s="10"/>
      <c r="B242" s="10" t="s">
        <v>571</v>
      </c>
      <c r="C242" s="41" t="s">
        <v>572</v>
      </c>
      <c r="D242" s="43">
        <v>0</v>
      </c>
      <c r="E242" s="22" t="s">
        <v>14</v>
      </c>
      <c r="F242" s="45">
        <f t="shared" si="15"/>
        <v>2027994</v>
      </c>
      <c r="G242" s="48">
        <f t="shared" si="16"/>
        <v>0</v>
      </c>
      <c r="H242" s="50">
        <f>일위대가목록표!F239</f>
        <v>320383</v>
      </c>
      <c r="I242" s="13">
        <f t="shared" si="17"/>
        <v>0</v>
      </c>
      <c r="J242" s="52">
        <f>일위대가목록표!G239</f>
        <v>1698000</v>
      </c>
      <c r="K242" s="13">
        <f t="shared" si="18"/>
        <v>0</v>
      </c>
      <c r="L242" s="54">
        <f>일위대가목록표!H239</f>
        <v>9611</v>
      </c>
      <c r="M242" s="33">
        <f t="shared" si="19"/>
        <v>0</v>
      </c>
      <c r="N242" s="22" t="s">
        <v>4051</v>
      </c>
      <c r="O242" s="17" t="s">
        <v>4050</v>
      </c>
      <c r="P242" s="7" t="s">
        <v>4049</v>
      </c>
      <c r="Q242" s="7" t="s">
        <v>3344</v>
      </c>
      <c r="AC242" s="3" t="str">
        <f ca="1">HYPERLINK("#"&amp;일위대가목록표!J2&amp;"!A"&amp;ROW(일위대가목록표!A239),"대가236 →")</f>
        <v>대가236 →</v>
      </c>
    </row>
    <row r="243" spans="1:29" ht="30.6" customHeight="1" x14ac:dyDescent="0.3">
      <c r="A243" s="10"/>
      <c r="B243" s="10" t="s">
        <v>571</v>
      </c>
      <c r="C243" s="41" t="s">
        <v>575</v>
      </c>
      <c r="D243" s="43">
        <v>0</v>
      </c>
      <c r="E243" s="22" t="s">
        <v>14</v>
      </c>
      <c r="F243" s="45">
        <f t="shared" si="15"/>
        <v>2897273</v>
      </c>
      <c r="G243" s="48">
        <f t="shared" si="16"/>
        <v>0</v>
      </c>
      <c r="H243" s="50">
        <f>일위대가목록표!F240</f>
        <v>354635</v>
      </c>
      <c r="I243" s="13">
        <f t="shared" si="17"/>
        <v>0</v>
      </c>
      <c r="J243" s="52">
        <f>일위대가목록표!G240</f>
        <v>2532000</v>
      </c>
      <c r="K243" s="13">
        <f t="shared" si="18"/>
        <v>0</v>
      </c>
      <c r="L243" s="54">
        <f>일위대가목록표!H240</f>
        <v>10638</v>
      </c>
      <c r="M243" s="33">
        <f t="shared" si="19"/>
        <v>0</v>
      </c>
      <c r="N243" s="22" t="s">
        <v>4054</v>
      </c>
      <c r="O243" s="17" t="s">
        <v>4053</v>
      </c>
      <c r="P243" s="7" t="s">
        <v>4052</v>
      </c>
      <c r="Q243" s="7" t="s">
        <v>3344</v>
      </c>
      <c r="AC243" s="3" t="str">
        <f ca="1">HYPERLINK("#"&amp;일위대가목록표!J2&amp;"!A"&amp;ROW(일위대가목록표!A240),"대가237 →")</f>
        <v>대가237 →</v>
      </c>
    </row>
    <row r="244" spans="1:29" ht="30.6" customHeight="1" x14ac:dyDescent="0.3">
      <c r="A244" s="10"/>
      <c r="B244" s="10" t="s">
        <v>571</v>
      </c>
      <c r="C244" s="41" t="s">
        <v>578</v>
      </c>
      <c r="D244" s="43">
        <v>0</v>
      </c>
      <c r="E244" s="22" t="s">
        <v>14</v>
      </c>
      <c r="F244" s="45">
        <f t="shared" si="15"/>
        <v>4446901</v>
      </c>
      <c r="G244" s="48">
        <f t="shared" si="16"/>
        <v>0</v>
      </c>
      <c r="H244" s="50">
        <f>일위대가목록표!F241</f>
        <v>408643</v>
      </c>
      <c r="I244" s="13">
        <f t="shared" si="17"/>
        <v>0</v>
      </c>
      <c r="J244" s="52">
        <f>일위대가목록표!G241</f>
        <v>4026000</v>
      </c>
      <c r="K244" s="13">
        <f t="shared" si="18"/>
        <v>0</v>
      </c>
      <c r="L244" s="54">
        <f>일위대가목록표!H241</f>
        <v>12258</v>
      </c>
      <c r="M244" s="33">
        <f t="shared" si="19"/>
        <v>0</v>
      </c>
      <c r="N244" s="22" t="s">
        <v>4057</v>
      </c>
      <c r="O244" s="17" t="s">
        <v>4056</v>
      </c>
      <c r="P244" s="7" t="s">
        <v>4055</v>
      </c>
      <c r="Q244" s="7" t="s">
        <v>3344</v>
      </c>
      <c r="AC244" s="3" t="str">
        <f ca="1">HYPERLINK("#"&amp;일위대가목록표!J2&amp;"!A"&amp;ROW(일위대가목록표!A241),"대가238 →")</f>
        <v>대가238 →</v>
      </c>
    </row>
    <row r="245" spans="1:29" ht="30.6" customHeight="1" x14ac:dyDescent="0.3">
      <c r="A245" s="10"/>
      <c r="B245" s="10" t="s">
        <v>571</v>
      </c>
      <c r="C245" s="41" t="s">
        <v>581</v>
      </c>
      <c r="D245" s="43">
        <v>0</v>
      </c>
      <c r="E245" s="22" t="s">
        <v>14</v>
      </c>
      <c r="F245" s="45">
        <f t="shared" si="15"/>
        <v>3765348</v>
      </c>
      <c r="G245" s="48">
        <f t="shared" si="16"/>
        <v>0</v>
      </c>
      <c r="H245" s="50">
        <f>일위대가목록표!F242</f>
        <v>469271</v>
      </c>
      <c r="I245" s="13">
        <f t="shared" si="17"/>
        <v>0</v>
      </c>
      <c r="J245" s="52">
        <f>일위대가목록표!G242</f>
        <v>3282000</v>
      </c>
      <c r="K245" s="13">
        <f t="shared" si="18"/>
        <v>0</v>
      </c>
      <c r="L245" s="54">
        <f>일위대가목록표!H242</f>
        <v>14077</v>
      </c>
      <c r="M245" s="33">
        <f t="shared" si="19"/>
        <v>0</v>
      </c>
      <c r="N245" s="22" t="s">
        <v>4060</v>
      </c>
      <c r="O245" s="17" t="s">
        <v>4059</v>
      </c>
      <c r="P245" s="7" t="s">
        <v>4058</v>
      </c>
      <c r="Q245" s="7" t="s">
        <v>3344</v>
      </c>
      <c r="AC245" s="3" t="str">
        <f ca="1">HYPERLINK("#"&amp;일위대가목록표!J2&amp;"!A"&amp;ROW(일위대가목록표!A242),"대가239 →")</f>
        <v>대가239 →</v>
      </c>
    </row>
    <row r="246" spans="1:29" ht="30.6" customHeight="1" x14ac:dyDescent="0.3">
      <c r="A246" s="10"/>
      <c r="B246" s="10" t="s">
        <v>571</v>
      </c>
      <c r="C246" s="41" t="s">
        <v>584</v>
      </c>
      <c r="D246" s="43">
        <v>0</v>
      </c>
      <c r="E246" s="22" t="s">
        <v>14</v>
      </c>
      <c r="F246" s="45">
        <f t="shared" si="15"/>
        <v>6142390</v>
      </c>
      <c r="G246" s="48">
        <f t="shared" si="16"/>
        <v>0</v>
      </c>
      <c r="H246" s="50">
        <f>일위대가목록표!F243</f>
        <v>161544</v>
      </c>
      <c r="I246" s="13">
        <f t="shared" si="17"/>
        <v>0</v>
      </c>
      <c r="J246" s="52">
        <f>일위대가목록표!G243</f>
        <v>5976000</v>
      </c>
      <c r="K246" s="13">
        <f t="shared" si="18"/>
        <v>0</v>
      </c>
      <c r="L246" s="54">
        <f>일위대가목록표!H243</f>
        <v>4846</v>
      </c>
      <c r="M246" s="33">
        <f t="shared" si="19"/>
        <v>0</v>
      </c>
      <c r="N246" s="22" t="s">
        <v>4063</v>
      </c>
      <c r="O246" s="17" t="s">
        <v>4062</v>
      </c>
      <c r="P246" s="7" t="s">
        <v>4061</v>
      </c>
      <c r="Q246" s="7" t="s">
        <v>3344</v>
      </c>
      <c r="AC246" s="3" t="str">
        <f ca="1">HYPERLINK("#"&amp;일위대가목록표!J2&amp;"!A"&amp;ROW(일위대가목록표!A243),"대가240 →")</f>
        <v>대가240 →</v>
      </c>
    </row>
    <row r="247" spans="1:29" ht="30.6" customHeight="1" x14ac:dyDescent="0.3">
      <c r="A247" s="10"/>
      <c r="B247" s="10" t="s">
        <v>571</v>
      </c>
      <c r="C247" s="41" t="s">
        <v>587</v>
      </c>
      <c r="D247" s="43">
        <v>0</v>
      </c>
      <c r="E247" s="22" t="s">
        <v>14</v>
      </c>
      <c r="F247" s="45">
        <f t="shared" si="15"/>
        <v>6812777</v>
      </c>
      <c r="G247" s="48">
        <f t="shared" si="16"/>
        <v>0</v>
      </c>
      <c r="H247" s="50">
        <f>일위대가목록표!F244</f>
        <v>713377</v>
      </c>
      <c r="I247" s="13">
        <f t="shared" si="17"/>
        <v>0</v>
      </c>
      <c r="J247" s="52">
        <f>일위대가목록표!G244</f>
        <v>6078000</v>
      </c>
      <c r="K247" s="13">
        <f t="shared" si="18"/>
        <v>0</v>
      </c>
      <c r="L247" s="54">
        <f>일위대가목록표!H244</f>
        <v>21400</v>
      </c>
      <c r="M247" s="33">
        <f t="shared" si="19"/>
        <v>0</v>
      </c>
      <c r="N247" s="22" t="s">
        <v>4066</v>
      </c>
      <c r="O247" s="17" t="s">
        <v>4065</v>
      </c>
      <c r="P247" s="7" t="s">
        <v>4064</v>
      </c>
      <c r="Q247" s="7" t="s">
        <v>3344</v>
      </c>
      <c r="AC247" s="3" t="str">
        <f ca="1">HYPERLINK("#"&amp;일위대가목록표!J2&amp;"!A"&amp;ROW(일위대가목록표!A244),"대가241 →")</f>
        <v>대가241 →</v>
      </c>
    </row>
    <row r="248" spans="1:29" ht="30.6" customHeight="1" x14ac:dyDescent="0.3">
      <c r="A248" s="10"/>
      <c r="B248" s="10" t="s">
        <v>571</v>
      </c>
      <c r="C248" s="41" t="s">
        <v>590</v>
      </c>
      <c r="D248" s="43">
        <v>0</v>
      </c>
      <c r="E248" s="22" t="s">
        <v>14</v>
      </c>
      <c r="F248" s="45">
        <f t="shared" si="15"/>
        <v>8963410</v>
      </c>
      <c r="G248" s="48">
        <f t="shared" si="16"/>
        <v>0</v>
      </c>
      <c r="H248" s="50">
        <f>일위대가목록표!F245</f>
        <v>896515</v>
      </c>
      <c r="I248" s="13">
        <f t="shared" si="17"/>
        <v>0</v>
      </c>
      <c r="J248" s="52">
        <f>일위대가목록표!G245</f>
        <v>8040000</v>
      </c>
      <c r="K248" s="13">
        <f t="shared" si="18"/>
        <v>0</v>
      </c>
      <c r="L248" s="54">
        <f>일위대가목록표!H245</f>
        <v>26895</v>
      </c>
      <c r="M248" s="33">
        <f t="shared" si="19"/>
        <v>0</v>
      </c>
      <c r="N248" s="22" t="s">
        <v>4069</v>
      </c>
      <c r="O248" s="17" t="s">
        <v>4068</v>
      </c>
      <c r="P248" s="7" t="s">
        <v>4067</v>
      </c>
      <c r="Q248" s="7" t="s">
        <v>3344</v>
      </c>
      <c r="AC248" s="3" t="str">
        <f ca="1">HYPERLINK("#"&amp;일위대가목록표!J2&amp;"!A"&amp;ROW(일위대가목록표!A245),"대가242 →")</f>
        <v>대가242 →</v>
      </c>
    </row>
    <row r="249" spans="1:29" ht="30.6" customHeight="1" x14ac:dyDescent="0.3">
      <c r="A249" s="10"/>
      <c r="B249" s="10" t="s">
        <v>571</v>
      </c>
      <c r="C249" s="41" t="s">
        <v>593</v>
      </c>
      <c r="D249" s="43">
        <v>0</v>
      </c>
      <c r="E249" s="22" t="s">
        <v>14</v>
      </c>
      <c r="F249" s="45">
        <f t="shared" si="15"/>
        <v>10622333</v>
      </c>
      <c r="G249" s="48">
        <f t="shared" si="16"/>
        <v>0</v>
      </c>
      <c r="H249" s="50">
        <f>일위대가목록표!F246</f>
        <v>951780</v>
      </c>
      <c r="I249" s="13">
        <f t="shared" si="17"/>
        <v>0</v>
      </c>
      <c r="J249" s="52">
        <f>일위대가목록표!G246</f>
        <v>9642000</v>
      </c>
      <c r="K249" s="13">
        <f t="shared" si="18"/>
        <v>0</v>
      </c>
      <c r="L249" s="54">
        <f>일위대가목록표!H246</f>
        <v>28553</v>
      </c>
      <c r="M249" s="33">
        <f t="shared" si="19"/>
        <v>0</v>
      </c>
      <c r="N249" s="22" t="s">
        <v>4072</v>
      </c>
      <c r="O249" s="17" t="s">
        <v>4071</v>
      </c>
      <c r="P249" s="7" t="s">
        <v>4070</v>
      </c>
      <c r="Q249" s="7" t="s">
        <v>3344</v>
      </c>
      <c r="AC249" s="3" t="str">
        <f ca="1">HYPERLINK("#"&amp;일위대가목록표!J2&amp;"!A"&amp;ROW(일위대가목록표!A246),"대가243 →")</f>
        <v>대가243 →</v>
      </c>
    </row>
    <row r="250" spans="1:29" ht="30.6" customHeight="1" x14ac:dyDescent="0.3">
      <c r="A250" s="10"/>
      <c r="B250" s="10" t="s">
        <v>571</v>
      </c>
      <c r="C250" s="41" t="s">
        <v>596</v>
      </c>
      <c r="D250" s="43">
        <v>0</v>
      </c>
      <c r="E250" s="22" t="s">
        <v>14</v>
      </c>
      <c r="F250" s="45">
        <f t="shared" si="15"/>
        <v>15461750</v>
      </c>
      <c r="G250" s="48">
        <f t="shared" si="16"/>
        <v>0</v>
      </c>
      <c r="H250" s="50">
        <f>일위대가목록표!F247</f>
        <v>1537622</v>
      </c>
      <c r="I250" s="13">
        <f t="shared" si="17"/>
        <v>0</v>
      </c>
      <c r="J250" s="52">
        <f>일위대가목록표!G247</f>
        <v>13878000</v>
      </c>
      <c r="K250" s="13">
        <f t="shared" si="18"/>
        <v>0</v>
      </c>
      <c r="L250" s="54">
        <f>일위대가목록표!H247</f>
        <v>46128</v>
      </c>
      <c r="M250" s="33">
        <f t="shared" si="19"/>
        <v>0</v>
      </c>
      <c r="N250" s="22" t="s">
        <v>4075</v>
      </c>
      <c r="O250" s="17" t="s">
        <v>4074</v>
      </c>
      <c r="P250" s="7" t="s">
        <v>4073</v>
      </c>
      <c r="Q250" s="7" t="s">
        <v>3344</v>
      </c>
      <c r="AC250" s="3" t="str">
        <f ca="1">HYPERLINK("#"&amp;일위대가목록표!J2&amp;"!A"&amp;ROW(일위대가목록표!A247),"대가244 →")</f>
        <v>대가244 →</v>
      </c>
    </row>
    <row r="251" spans="1:29" ht="30.6" customHeight="1" x14ac:dyDescent="0.3">
      <c r="A251" s="10"/>
      <c r="B251" s="10" t="s">
        <v>571</v>
      </c>
      <c r="C251" s="41" t="s">
        <v>599</v>
      </c>
      <c r="D251" s="43">
        <v>0</v>
      </c>
      <c r="E251" s="22" t="s">
        <v>14</v>
      </c>
      <c r="F251" s="45">
        <f t="shared" si="15"/>
        <v>18236750</v>
      </c>
      <c r="G251" s="48">
        <f t="shared" si="16"/>
        <v>0</v>
      </c>
      <c r="H251" s="50">
        <f>일위대가목록표!F248</f>
        <v>1537622</v>
      </c>
      <c r="I251" s="13">
        <f t="shared" si="17"/>
        <v>0</v>
      </c>
      <c r="J251" s="52">
        <f>일위대가목록표!G248</f>
        <v>16653000</v>
      </c>
      <c r="K251" s="13">
        <f t="shared" si="18"/>
        <v>0</v>
      </c>
      <c r="L251" s="54">
        <f>일위대가목록표!H248</f>
        <v>46128</v>
      </c>
      <c r="M251" s="33">
        <f t="shared" si="19"/>
        <v>0</v>
      </c>
      <c r="N251" s="22" t="s">
        <v>4078</v>
      </c>
      <c r="O251" s="17" t="s">
        <v>4077</v>
      </c>
      <c r="P251" s="7" t="s">
        <v>4076</v>
      </c>
      <c r="Q251" s="7" t="s">
        <v>3344</v>
      </c>
      <c r="AC251" s="3" t="str">
        <f ca="1">HYPERLINK("#"&amp;일위대가목록표!J2&amp;"!A"&amp;ROW(일위대가목록표!A248),"대가245 →")</f>
        <v>대가245 →</v>
      </c>
    </row>
    <row r="252" spans="1:29" ht="30.6" customHeight="1" x14ac:dyDescent="0.3">
      <c r="A252" s="10"/>
      <c r="B252" s="10" t="s">
        <v>571</v>
      </c>
      <c r="C252" s="41" t="s">
        <v>602</v>
      </c>
      <c r="D252" s="43">
        <v>0</v>
      </c>
      <c r="E252" s="22" t="s">
        <v>14</v>
      </c>
      <c r="F252" s="45">
        <f t="shared" si="15"/>
        <v>22028858</v>
      </c>
      <c r="G252" s="48">
        <f t="shared" si="16"/>
        <v>0</v>
      </c>
      <c r="H252" s="50">
        <f>일위대가목록표!F249</f>
        <v>1985300</v>
      </c>
      <c r="I252" s="13">
        <f t="shared" si="17"/>
        <v>0</v>
      </c>
      <c r="J252" s="52">
        <f>일위대가목록표!G249</f>
        <v>19984000</v>
      </c>
      <c r="K252" s="13">
        <f t="shared" si="18"/>
        <v>0</v>
      </c>
      <c r="L252" s="54">
        <f>일위대가목록표!H249</f>
        <v>59558</v>
      </c>
      <c r="M252" s="33">
        <f t="shared" si="19"/>
        <v>0</v>
      </c>
      <c r="N252" s="22" t="s">
        <v>4081</v>
      </c>
      <c r="O252" s="17" t="s">
        <v>4080</v>
      </c>
      <c r="P252" s="7" t="s">
        <v>4079</v>
      </c>
      <c r="Q252" s="7" t="s">
        <v>3344</v>
      </c>
      <c r="AC252" s="3" t="str">
        <f ca="1">HYPERLINK("#"&amp;일위대가목록표!J2&amp;"!A"&amp;ROW(일위대가목록표!A249),"대가246 →")</f>
        <v>대가246 →</v>
      </c>
    </row>
    <row r="253" spans="1:29" ht="30.6" customHeight="1" x14ac:dyDescent="0.3">
      <c r="A253" s="10"/>
      <c r="B253" s="10" t="s">
        <v>571</v>
      </c>
      <c r="C253" s="41" t="s">
        <v>605</v>
      </c>
      <c r="D253" s="43">
        <v>0</v>
      </c>
      <c r="E253" s="22" t="s">
        <v>14</v>
      </c>
      <c r="F253" s="45">
        <f t="shared" si="15"/>
        <v>27270807</v>
      </c>
      <c r="G253" s="48">
        <f t="shared" si="16"/>
        <v>0</v>
      </c>
      <c r="H253" s="50">
        <f>일위대가목록표!F250</f>
        <v>3193989</v>
      </c>
      <c r="I253" s="13">
        <f t="shared" si="17"/>
        <v>0</v>
      </c>
      <c r="J253" s="52">
        <f>일위대가목록표!G250</f>
        <v>23981000</v>
      </c>
      <c r="K253" s="13">
        <f t="shared" si="18"/>
        <v>0</v>
      </c>
      <c r="L253" s="54">
        <f>일위대가목록표!H250</f>
        <v>95818</v>
      </c>
      <c r="M253" s="33">
        <f t="shared" si="19"/>
        <v>0</v>
      </c>
      <c r="N253" s="22" t="s">
        <v>4084</v>
      </c>
      <c r="O253" s="17" t="s">
        <v>4083</v>
      </c>
      <c r="P253" s="7" t="s">
        <v>4082</v>
      </c>
      <c r="Q253" s="7" t="s">
        <v>3344</v>
      </c>
      <c r="AC253" s="3" t="str">
        <f ca="1">HYPERLINK("#"&amp;일위대가목록표!J2&amp;"!A"&amp;ROW(일위대가목록표!A250),"대가247 →")</f>
        <v>대가247 →</v>
      </c>
    </row>
    <row r="254" spans="1:29" ht="30.6" customHeight="1" x14ac:dyDescent="0.3">
      <c r="A254" s="10"/>
      <c r="B254" s="10" t="s">
        <v>608</v>
      </c>
      <c r="C254" s="41" t="s">
        <v>572</v>
      </c>
      <c r="D254" s="43">
        <v>1</v>
      </c>
      <c r="E254" s="22" t="s">
        <v>14</v>
      </c>
      <c r="F254" s="45">
        <f t="shared" si="15"/>
        <v>329994</v>
      </c>
      <c r="G254" s="48">
        <f t="shared" si="16"/>
        <v>329994</v>
      </c>
      <c r="H254" s="50">
        <f>일위대가목록표!F251</f>
        <v>320383</v>
      </c>
      <c r="I254" s="13">
        <f t="shared" si="17"/>
        <v>320383</v>
      </c>
      <c r="J254" s="52">
        <f>일위대가목록표!G251</f>
        <v>0</v>
      </c>
      <c r="K254" s="13">
        <f t="shared" si="18"/>
        <v>0</v>
      </c>
      <c r="L254" s="54">
        <f>일위대가목록표!H251</f>
        <v>9611</v>
      </c>
      <c r="M254" s="33">
        <f t="shared" si="19"/>
        <v>9611</v>
      </c>
      <c r="N254" s="22" t="s">
        <v>4087</v>
      </c>
      <c r="O254" s="17" t="s">
        <v>4086</v>
      </c>
      <c r="P254" s="7" t="s">
        <v>4085</v>
      </c>
      <c r="Q254" s="7" t="s">
        <v>3344</v>
      </c>
      <c r="AC254" s="3" t="str">
        <f ca="1">HYPERLINK("#"&amp;일위대가목록표!J2&amp;"!A"&amp;ROW(일위대가목록표!A251),"대가248 →")</f>
        <v>대가248 →</v>
      </c>
    </row>
    <row r="255" spans="1:29" ht="30.6" customHeight="1" x14ac:dyDescent="0.3">
      <c r="A255" s="10"/>
      <c r="B255" s="10" t="s">
        <v>608</v>
      </c>
      <c r="C255" s="41" t="s">
        <v>575</v>
      </c>
      <c r="D255" s="43">
        <v>1</v>
      </c>
      <c r="E255" s="22" t="s">
        <v>14</v>
      </c>
      <c r="F255" s="45">
        <f t="shared" si="15"/>
        <v>365273</v>
      </c>
      <c r="G255" s="48">
        <f t="shared" si="16"/>
        <v>365273</v>
      </c>
      <c r="H255" s="50">
        <f>일위대가목록표!F252</f>
        <v>354635</v>
      </c>
      <c r="I255" s="13">
        <f t="shared" si="17"/>
        <v>354635</v>
      </c>
      <c r="J255" s="52">
        <f>일위대가목록표!G252</f>
        <v>0</v>
      </c>
      <c r="K255" s="13">
        <f t="shared" si="18"/>
        <v>0</v>
      </c>
      <c r="L255" s="54">
        <f>일위대가목록표!H252</f>
        <v>10638</v>
      </c>
      <c r="M255" s="33">
        <f t="shared" si="19"/>
        <v>10638</v>
      </c>
      <c r="N255" s="22" t="s">
        <v>4090</v>
      </c>
      <c r="O255" s="17" t="s">
        <v>4089</v>
      </c>
      <c r="P255" s="7" t="s">
        <v>4088</v>
      </c>
      <c r="Q255" s="7" t="s">
        <v>3344</v>
      </c>
      <c r="AC255" s="3" t="str">
        <f ca="1">HYPERLINK("#"&amp;일위대가목록표!J2&amp;"!A"&amp;ROW(일위대가목록표!A252),"대가249 →")</f>
        <v>대가249 →</v>
      </c>
    </row>
    <row r="256" spans="1:29" ht="30.6" customHeight="1" x14ac:dyDescent="0.3">
      <c r="A256" s="10"/>
      <c r="B256" s="10" t="s">
        <v>608</v>
      </c>
      <c r="C256" s="41" t="s">
        <v>578</v>
      </c>
      <c r="D256" s="43">
        <v>0</v>
      </c>
      <c r="E256" s="22" t="s">
        <v>14</v>
      </c>
      <c r="F256" s="45">
        <f t="shared" si="15"/>
        <v>420901</v>
      </c>
      <c r="G256" s="48">
        <f t="shared" si="16"/>
        <v>0</v>
      </c>
      <c r="H256" s="50">
        <f>일위대가목록표!F253</f>
        <v>408643</v>
      </c>
      <c r="I256" s="13">
        <f t="shared" si="17"/>
        <v>0</v>
      </c>
      <c r="J256" s="52">
        <f>일위대가목록표!G253</f>
        <v>0</v>
      </c>
      <c r="K256" s="13">
        <f t="shared" si="18"/>
        <v>0</v>
      </c>
      <c r="L256" s="54">
        <f>일위대가목록표!H253</f>
        <v>12258</v>
      </c>
      <c r="M256" s="33">
        <f t="shared" si="19"/>
        <v>0</v>
      </c>
      <c r="N256" s="22" t="s">
        <v>4093</v>
      </c>
      <c r="O256" s="17" t="s">
        <v>4092</v>
      </c>
      <c r="P256" s="7" t="s">
        <v>4091</v>
      </c>
      <c r="Q256" s="7" t="s">
        <v>3344</v>
      </c>
      <c r="AC256" s="3" t="str">
        <f ca="1">HYPERLINK("#"&amp;일위대가목록표!J2&amp;"!A"&amp;ROW(일위대가목록표!A253),"대가250 →")</f>
        <v>대가250 →</v>
      </c>
    </row>
    <row r="257" spans="1:29" ht="30.6" customHeight="1" x14ac:dyDescent="0.3">
      <c r="A257" s="10"/>
      <c r="B257" s="10" t="s">
        <v>608</v>
      </c>
      <c r="C257" s="41" t="s">
        <v>581</v>
      </c>
      <c r="D257" s="43">
        <v>0</v>
      </c>
      <c r="E257" s="22" t="s">
        <v>14</v>
      </c>
      <c r="F257" s="45">
        <f t="shared" si="15"/>
        <v>483348</v>
      </c>
      <c r="G257" s="48">
        <f t="shared" si="16"/>
        <v>0</v>
      </c>
      <c r="H257" s="50">
        <f>일위대가목록표!F254</f>
        <v>469271</v>
      </c>
      <c r="I257" s="13">
        <f t="shared" si="17"/>
        <v>0</v>
      </c>
      <c r="J257" s="52">
        <f>일위대가목록표!G254</f>
        <v>0</v>
      </c>
      <c r="K257" s="13">
        <f t="shared" si="18"/>
        <v>0</v>
      </c>
      <c r="L257" s="54">
        <f>일위대가목록표!H254</f>
        <v>14077</v>
      </c>
      <c r="M257" s="33">
        <f t="shared" si="19"/>
        <v>0</v>
      </c>
      <c r="N257" s="22" t="s">
        <v>4096</v>
      </c>
      <c r="O257" s="17" t="s">
        <v>4095</v>
      </c>
      <c r="P257" s="7" t="s">
        <v>4094</v>
      </c>
      <c r="Q257" s="7" t="s">
        <v>3344</v>
      </c>
      <c r="AC257" s="3" t="str">
        <f ca="1">HYPERLINK("#"&amp;일위대가목록표!J2&amp;"!A"&amp;ROW(일위대가목록표!A254),"대가251 →")</f>
        <v>대가251 →</v>
      </c>
    </row>
    <row r="258" spans="1:29" ht="30.6" customHeight="1" x14ac:dyDescent="0.3">
      <c r="A258" s="10"/>
      <c r="B258" s="10" t="s">
        <v>608</v>
      </c>
      <c r="C258" s="41" t="s">
        <v>584</v>
      </c>
      <c r="D258" s="43">
        <v>0</v>
      </c>
      <c r="E258" s="22" t="s">
        <v>14</v>
      </c>
      <c r="F258" s="45">
        <f t="shared" si="15"/>
        <v>582367</v>
      </c>
      <c r="G258" s="48">
        <f t="shared" si="16"/>
        <v>0</v>
      </c>
      <c r="H258" s="50">
        <f>일위대가목록표!F255</f>
        <v>565406</v>
      </c>
      <c r="I258" s="13">
        <f t="shared" si="17"/>
        <v>0</v>
      </c>
      <c r="J258" s="52">
        <f>일위대가목록표!G255</f>
        <v>0</v>
      </c>
      <c r="K258" s="13">
        <f t="shared" si="18"/>
        <v>0</v>
      </c>
      <c r="L258" s="54">
        <f>일위대가목록표!H255</f>
        <v>16961</v>
      </c>
      <c r="M258" s="33">
        <f t="shared" si="19"/>
        <v>0</v>
      </c>
      <c r="N258" s="22" t="s">
        <v>4099</v>
      </c>
      <c r="O258" s="17" t="s">
        <v>4098</v>
      </c>
      <c r="P258" s="7" t="s">
        <v>4097</v>
      </c>
      <c r="Q258" s="7" t="s">
        <v>3344</v>
      </c>
      <c r="AC258" s="3" t="str">
        <f ca="1">HYPERLINK("#"&amp;일위대가목록표!J2&amp;"!A"&amp;ROW(일위대가목록표!A255),"대가252 →")</f>
        <v>대가252 →</v>
      </c>
    </row>
    <row r="259" spans="1:29" ht="30.6" customHeight="1" x14ac:dyDescent="0.3">
      <c r="A259" s="10"/>
      <c r="B259" s="10" t="s">
        <v>608</v>
      </c>
      <c r="C259" s="41" t="s">
        <v>587</v>
      </c>
      <c r="D259" s="43">
        <v>0</v>
      </c>
      <c r="E259" s="22" t="s">
        <v>14</v>
      </c>
      <c r="F259" s="45">
        <f t="shared" si="15"/>
        <v>734777</v>
      </c>
      <c r="G259" s="48">
        <f t="shared" si="16"/>
        <v>0</v>
      </c>
      <c r="H259" s="50">
        <f>일위대가목록표!F256</f>
        <v>713377</v>
      </c>
      <c r="I259" s="13">
        <f t="shared" si="17"/>
        <v>0</v>
      </c>
      <c r="J259" s="52">
        <f>일위대가목록표!G256</f>
        <v>0</v>
      </c>
      <c r="K259" s="13">
        <f t="shared" si="18"/>
        <v>0</v>
      </c>
      <c r="L259" s="54">
        <f>일위대가목록표!H256</f>
        <v>21400</v>
      </c>
      <c r="M259" s="33">
        <f t="shared" si="19"/>
        <v>0</v>
      </c>
      <c r="N259" s="22" t="s">
        <v>4102</v>
      </c>
      <c r="O259" s="17" t="s">
        <v>4101</v>
      </c>
      <c r="P259" s="7" t="s">
        <v>4100</v>
      </c>
      <c r="Q259" s="7" t="s">
        <v>3344</v>
      </c>
      <c r="AC259" s="3" t="str">
        <f ca="1">HYPERLINK("#"&amp;일위대가목록표!J2&amp;"!A"&amp;ROW(일위대가목록표!A256),"대가253 →")</f>
        <v>대가253 →</v>
      </c>
    </row>
    <row r="260" spans="1:29" ht="30.6" customHeight="1" x14ac:dyDescent="0.3">
      <c r="A260" s="10"/>
      <c r="B260" s="10" t="s">
        <v>608</v>
      </c>
      <c r="C260" s="41" t="s">
        <v>590</v>
      </c>
      <c r="D260" s="43">
        <v>0</v>
      </c>
      <c r="E260" s="22" t="s">
        <v>14</v>
      </c>
      <c r="F260" s="45">
        <f t="shared" si="15"/>
        <v>923410</v>
      </c>
      <c r="G260" s="48">
        <f t="shared" si="16"/>
        <v>0</v>
      </c>
      <c r="H260" s="50">
        <f>일위대가목록표!F257</f>
        <v>896515</v>
      </c>
      <c r="I260" s="13">
        <f t="shared" si="17"/>
        <v>0</v>
      </c>
      <c r="J260" s="52">
        <f>일위대가목록표!G257</f>
        <v>0</v>
      </c>
      <c r="K260" s="13">
        <f t="shared" si="18"/>
        <v>0</v>
      </c>
      <c r="L260" s="54">
        <f>일위대가목록표!H257</f>
        <v>26895</v>
      </c>
      <c r="M260" s="33">
        <f t="shared" si="19"/>
        <v>0</v>
      </c>
      <c r="N260" s="22" t="s">
        <v>4105</v>
      </c>
      <c r="O260" s="17" t="s">
        <v>4104</v>
      </c>
      <c r="P260" s="7" t="s">
        <v>4103</v>
      </c>
      <c r="Q260" s="7" t="s">
        <v>3344</v>
      </c>
      <c r="AC260" s="3" t="str">
        <f ca="1">HYPERLINK("#"&amp;일위대가목록표!J2&amp;"!A"&amp;ROW(일위대가목록표!A257),"대가254 →")</f>
        <v>대가254 →</v>
      </c>
    </row>
    <row r="261" spans="1:29" ht="30.6" customHeight="1" x14ac:dyDescent="0.3">
      <c r="A261" s="10"/>
      <c r="B261" s="10" t="s">
        <v>608</v>
      </c>
      <c r="C261" s="41" t="s">
        <v>593</v>
      </c>
      <c r="D261" s="43">
        <v>0</v>
      </c>
      <c r="E261" s="22" t="s">
        <v>14</v>
      </c>
      <c r="F261" s="45">
        <f t="shared" si="15"/>
        <v>980333</v>
      </c>
      <c r="G261" s="48">
        <f t="shared" si="16"/>
        <v>0</v>
      </c>
      <c r="H261" s="50">
        <f>일위대가목록표!F258</f>
        <v>951780</v>
      </c>
      <c r="I261" s="13">
        <f t="shared" si="17"/>
        <v>0</v>
      </c>
      <c r="J261" s="52">
        <f>일위대가목록표!G258</f>
        <v>0</v>
      </c>
      <c r="K261" s="13">
        <f t="shared" si="18"/>
        <v>0</v>
      </c>
      <c r="L261" s="54">
        <f>일위대가목록표!H258</f>
        <v>28553</v>
      </c>
      <c r="M261" s="33">
        <f t="shared" si="19"/>
        <v>0</v>
      </c>
      <c r="N261" s="22" t="s">
        <v>4108</v>
      </c>
      <c r="O261" s="17" t="s">
        <v>4107</v>
      </c>
      <c r="P261" s="7" t="s">
        <v>4106</v>
      </c>
      <c r="Q261" s="7" t="s">
        <v>3344</v>
      </c>
      <c r="AC261" s="3" t="str">
        <f ca="1">HYPERLINK("#"&amp;일위대가목록표!J2&amp;"!A"&amp;ROW(일위대가목록표!A258),"대가255 →")</f>
        <v>대가255 →</v>
      </c>
    </row>
    <row r="262" spans="1:29" ht="30.6" customHeight="1" x14ac:dyDescent="0.3">
      <c r="A262" s="10"/>
      <c r="B262" s="10" t="s">
        <v>608</v>
      </c>
      <c r="C262" s="41" t="s">
        <v>596</v>
      </c>
      <c r="D262" s="43">
        <v>0</v>
      </c>
      <c r="E262" s="22" t="s">
        <v>14</v>
      </c>
      <c r="F262" s="45">
        <f t="shared" si="15"/>
        <v>1583750</v>
      </c>
      <c r="G262" s="48">
        <f t="shared" si="16"/>
        <v>0</v>
      </c>
      <c r="H262" s="50">
        <f>일위대가목록표!F259</f>
        <v>1537622</v>
      </c>
      <c r="I262" s="13">
        <f t="shared" si="17"/>
        <v>0</v>
      </c>
      <c r="J262" s="52">
        <f>일위대가목록표!G259</f>
        <v>0</v>
      </c>
      <c r="K262" s="13">
        <f t="shared" si="18"/>
        <v>0</v>
      </c>
      <c r="L262" s="54">
        <f>일위대가목록표!H259</f>
        <v>46128</v>
      </c>
      <c r="M262" s="33">
        <f t="shared" si="19"/>
        <v>0</v>
      </c>
      <c r="N262" s="22" t="s">
        <v>4111</v>
      </c>
      <c r="O262" s="17" t="s">
        <v>4110</v>
      </c>
      <c r="P262" s="7" t="s">
        <v>4109</v>
      </c>
      <c r="Q262" s="7" t="s">
        <v>3344</v>
      </c>
      <c r="AC262" s="3" t="str">
        <f ca="1">HYPERLINK("#"&amp;일위대가목록표!J2&amp;"!A"&amp;ROW(일위대가목록표!A259),"대가256 →")</f>
        <v>대가256 →</v>
      </c>
    </row>
    <row r="263" spans="1:29" ht="30.6" customHeight="1" x14ac:dyDescent="0.3">
      <c r="A263" s="10"/>
      <c r="B263" s="10" t="s">
        <v>608</v>
      </c>
      <c r="C263" s="41" t="s">
        <v>599</v>
      </c>
      <c r="D263" s="43">
        <v>0</v>
      </c>
      <c r="E263" s="22" t="s">
        <v>14</v>
      </c>
      <c r="F263" s="45">
        <f t="shared" ref="F263:F326" si="20">J263+H263+L263</f>
        <v>1583750</v>
      </c>
      <c r="G263" s="48">
        <f t="shared" ref="G263:G326" si="21">K263+I263+M263</f>
        <v>0</v>
      </c>
      <c r="H263" s="50">
        <f>일위대가목록표!F260</f>
        <v>1537622</v>
      </c>
      <c r="I263" s="13">
        <f t="shared" ref="I263:I326" si="22">ROUNDDOWN(H263*D263,0)</f>
        <v>0</v>
      </c>
      <c r="J263" s="52">
        <f>일위대가목록표!G260</f>
        <v>0</v>
      </c>
      <c r="K263" s="13">
        <f t="shared" ref="K263:K326" si="23">ROUNDDOWN(J263*D263,0)</f>
        <v>0</v>
      </c>
      <c r="L263" s="54">
        <f>일위대가목록표!H260</f>
        <v>46128</v>
      </c>
      <c r="M263" s="33">
        <f t="shared" ref="M263:M326" si="24">ROUNDDOWN(L263*D263,0)</f>
        <v>0</v>
      </c>
      <c r="N263" s="22" t="s">
        <v>4114</v>
      </c>
      <c r="O263" s="17" t="s">
        <v>4113</v>
      </c>
      <c r="P263" s="7" t="s">
        <v>4112</v>
      </c>
      <c r="Q263" s="7" t="s">
        <v>3344</v>
      </c>
      <c r="AC263" s="3" t="str">
        <f ca="1">HYPERLINK("#"&amp;일위대가목록표!J2&amp;"!A"&amp;ROW(일위대가목록표!A260),"대가257 →")</f>
        <v>대가257 →</v>
      </c>
    </row>
    <row r="264" spans="1:29" ht="30.6" customHeight="1" x14ac:dyDescent="0.3">
      <c r="A264" s="10"/>
      <c r="B264" s="10" t="s">
        <v>608</v>
      </c>
      <c r="C264" s="41" t="s">
        <v>602</v>
      </c>
      <c r="D264" s="43">
        <v>0</v>
      </c>
      <c r="E264" s="22" t="s">
        <v>14</v>
      </c>
      <c r="F264" s="45">
        <f t="shared" si="20"/>
        <v>2044858</v>
      </c>
      <c r="G264" s="48">
        <f t="shared" si="21"/>
        <v>0</v>
      </c>
      <c r="H264" s="50">
        <f>일위대가목록표!F261</f>
        <v>1985300</v>
      </c>
      <c r="I264" s="13">
        <f t="shared" si="22"/>
        <v>0</v>
      </c>
      <c r="J264" s="52">
        <f>일위대가목록표!G261</f>
        <v>0</v>
      </c>
      <c r="K264" s="13">
        <f t="shared" si="23"/>
        <v>0</v>
      </c>
      <c r="L264" s="54">
        <f>일위대가목록표!H261</f>
        <v>59558</v>
      </c>
      <c r="M264" s="33">
        <f t="shared" si="24"/>
        <v>0</v>
      </c>
      <c r="N264" s="22" t="s">
        <v>4117</v>
      </c>
      <c r="O264" s="17" t="s">
        <v>4116</v>
      </c>
      <c r="P264" s="7" t="s">
        <v>4115</v>
      </c>
      <c r="Q264" s="7" t="s">
        <v>3344</v>
      </c>
      <c r="AC264" s="3" t="str">
        <f ca="1">HYPERLINK("#"&amp;일위대가목록표!J2&amp;"!A"&amp;ROW(일위대가목록표!A261),"대가258 →")</f>
        <v>대가258 →</v>
      </c>
    </row>
    <row r="265" spans="1:29" ht="30.6" customHeight="1" x14ac:dyDescent="0.3">
      <c r="A265" s="10"/>
      <c r="B265" s="10" t="s">
        <v>608</v>
      </c>
      <c r="C265" s="41" t="s">
        <v>605</v>
      </c>
      <c r="D265" s="43">
        <v>0</v>
      </c>
      <c r="E265" s="22" t="s">
        <v>14</v>
      </c>
      <c r="F265" s="45">
        <f t="shared" si="20"/>
        <v>3289807</v>
      </c>
      <c r="G265" s="48">
        <f t="shared" si="21"/>
        <v>0</v>
      </c>
      <c r="H265" s="50">
        <f>일위대가목록표!F262</f>
        <v>3193989</v>
      </c>
      <c r="I265" s="13">
        <f t="shared" si="22"/>
        <v>0</v>
      </c>
      <c r="J265" s="52">
        <f>일위대가목록표!G262</f>
        <v>0</v>
      </c>
      <c r="K265" s="13">
        <f t="shared" si="23"/>
        <v>0</v>
      </c>
      <c r="L265" s="54">
        <f>일위대가목록표!H262</f>
        <v>95818</v>
      </c>
      <c r="M265" s="33">
        <f t="shared" si="24"/>
        <v>0</v>
      </c>
      <c r="N265" s="22" t="s">
        <v>4120</v>
      </c>
      <c r="O265" s="17" t="s">
        <v>4119</v>
      </c>
      <c r="P265" s="7" t="s">
        <v>4118</v>
      </c>
      <c r="Q265" s="7" t="s">
        <v>3344</v>
      </c>
      <c r="AC265" s="3" t="str">
        <f ca="1">HYPERLINK("#"&amp;일위대가목록표!J2&amp;"!A"&amp;ROW(일위대가목록표!A262),"대가259 →")</f>
        <v>대가259 →</v>
      </c>
    </row>
    <row r="266" spans="1:29" ht="30.6" customHeight="1" x14ac:dyDescent="0.3">
      <c r="A266" s="10"/>
      <c r="B266" s="10" t="s">
        <v>633</v>
      </c>
      <c r="C266" s="41" t="s">
        <v>572</v>
      </c>
      <c r="D266" s="43">
        <v>1</v>
      </c>
      <c r="E266" s="22" t="s">
        <v>14</v>
      </c>
      <c r="F266" s="45">
        <f t="shared" si="20"/>
        <v>235710</v>
      </c>
      <c r="G266" s="48">
        <f t="shared" si="21"/>
        <v>235710</v>
      </c>
      <c r="H266" s="50">
        <f>일위대가목록표!F263</f>
        <v>228845</v>
      </c>
      <c r="I266" s="13">
        <f t="shared" si="22"/>
        <v>228845</v>
      </c>
      <c r="J266" s="52">
        <f>일위대가목록표!G263</f>
        <v>0</v>
      </c>
      <c r="K266" s="13">
        <f t="shared" si="23"/>
        <v>0</v>
      </c>
      <c r="L266" s="54">
        <f>일위대가목록표!H263</f>
        <v>6865</v>
      </c>
      <c r="M266" s="33">
        <f t="shared" si="24"/>
        <v>6865</v>
      </c>
      <c r="N266" s="22" t="s">
        <v>4123</v>
      </c>
      <c r="O266" s="17" t="s">
        <v>4122</v>
      </c>
      <c r="P266" s="7" t="s">
        <v>4121</v>
      </c>
      <c r="Q266" s="7" t="s">
        <v>3344</v>
      </c>
      <c r="AC266" s="3" t="str">
        <f ca="1">HYPERLINK("#"&amp;일위대가목록표!J2&amp;"!A"&amp;ROW(일위대가목록표!A263),"대가260 →")</f>
        <v>대가260 →</v>
      </c>
    </row>
    <row r="267" spans="1:29" ht="30.6" customHeight="1" x14ac:dyDescent="0.3">
      <c r="A267" s="10"/>
      <c r="B267" s="10" t="s">
        <v>633</v>
      </c>
      <c r="C267" s="41" t="s">
        <v>575</v>
      </c>
      <c r="D267" s="43">
        <v>1</v>
      </c>
      <c r="E267" s="22" t="s">
        <v>14</v>
      </c>
      <c r="F267" s="45">
        <f t="shared" si="20"/>
        <v>260910</v>
      </c>
      <c r="G267" s="48">
        <f t="shared" si="21"/>
        <v>260910</v>
      </c>
      <c r="H267" s="50">
        <f>일위대가목록표!F264</f>
        <v>253311</v>
      </c>
      <c r="I267" s="13">
        <f t="shared" si="22"/>
        <v>253311</v>
      </c>
      <c r="J267" s="52">
        <f>일위대가목록표!G264</f>
        <v>0</v>
      </c>
      <c r="K267" s="13">
        <f t="shared" si="23"/>
        <v>0</v>
      </c>
      <c r="L267" s="54">
        <f>일위대가목록표!H264</f>
        <v>7599</v>
      </c>
      <c r="M267" s="33">
        <f t="shared" si="24"/>
        <v>7599</v>
      </c>
      <c r="N267" s="22" t="s">
        <v>4126</v>
      </c>
      <c r="O267" s="17" t="s">
        <v>4125</v>
      </c>
      <c r="P267" s="7" t="s">
        <v>4124</v>
      </c>
      <c r="Q267" s="7" t="s">
        <v>3344</v>
      </c>
      <c r="AC267" s="3" t="str">
        <f ca="1">HYPERLINK("#"&amp;일위대가목록표!J2&amp;"!A"&amp;ROW(일위대가목록표!A264),"대가261 →")</f>
        <v>대가261 →</v>
      </c>
    </row>
    <row r="268" spans="1:29" ht="30.6" customHeight="1" x14ac:dyDescent="0.3">
      <c r="A268" s="10"/>
      <c r="B268" s="10" t="s">
        <v>633</v>
      </c>
      <c r="C268" s="41" t="s">
        <v>578</v>
      </c>
      <c r="D268" s="43">
        <v>0</v>
      </c>
      <c r="E268" s="22" t="s">
        <v>14</v>
      </c>
      <c r="F268" s="45">
        <f t="shared" si="20"/>
        <v>300644</v>
      </c>
      <c r="G268" s="48">
        <f t="shared" si="21"/>
        <v>0</v>
      </c>
      <c r="H268" s="50">
        <f>일위대가목록표!F265</f>
        <v>291888</v>
      </c>
      <c r="I268" s="13">
        <f t="shared" si="22"/>
        <v>0</v>
      </c>
      <c r="J268" s="52">
        <f>일위대가목록표!G265</f>
        <v>0</v>
      </c>
      <c r="K268" s="13">
        <f t="shared" si="23"/>
        <v>0</v>
      </c>
      <c r="L268" s="54">
        <f>일위대가목록표!H265</f>
        <v>8756</v>
      </c>
      <c r="M268" s="33">
        <f t="shared" si="24"/>
        <v>0</v>
      </c>
      <c r="N268" s="22" t="s">
        <v>4129</v>
      </c>
      <c r="O268" s="17" t="s">
        <v>4128</v>
      </c>
      <c r="P268" s="7" t="s">
        <v>4127</v>
      </c>
      <c r="Q268" s="7" t="s">
        <v>3344</v>
      </c>
      <c r="AC268" s="3" t="str">
        <f ca="1">HYPERLINK("#"&amp;일위대가목록표!J2&amp;"!A"&amp;ROW(일위대가목록표!A265),"대가262 →")</f>
        <v>대가262 →</v>
      </c>
    </row>
    <row r="269" spans="1:29" ht="30.6" customHeight="1" x14ac:dyDescent="0.3">
      <c r="A269" s="10"/>
      <c r="B269" s="10" t="s">
        <v>633</v>
      </c>
      <c r="C269" s="41" t="s">
        <v>581</v>
      </c>
      <c r="D269" s="43">
        <v>0</v>
      </c>
      <c r="E269" s="22" t="s">
        <v>14</v>
      </c>
      <c r="F269" s="45">
        <f t="shared" si="20"/>
        <v>345249</v>
      </c>
      <c r="G269" s="48">
        <f t="shared" si="21"/>
        <v>0</v>
      </c>
      <c r="H269" s="50">
        <f>일위대가목록표!F266</f>
        <v>335194</v>
      </c>
      <c r="I269" s="13">
        <f t="shared" si="22"/>
        <v>0</v>
      </c>
      <c r="J269" s="52">
        <f>일위대가목록표!G266</f>
        <v>0</v>
      </c>
      <c r="K269" s="13">
        <f t="shared" si="23"/>
        <v>0</v>
      </c>
      <c r="L269" s="54">
        <f>일위대가목록표!H266</f>
        <v>10055</v>
      </c>
      <c r="M269" s="33">
        <f t="shared" si="24"/>
        <v>0</v>
      </c>
      <c r="N269" s="22" t="s">
        <v>4132</v>
      </c>
      <c r="O269" s="17" t="s">
        <v>4131</v>
      </c>
      <c r="P269" s="7" t="s">
        <v>4130</v>
      </c>
      <c r="Q269" s="7" t="s">
        <v>3344</v>
      </c>
      <c r="AC269" s="3" t="str">
        <f ca="1">HYPERLINK("#"&amp;일위대가목록표!J2&amp;"!A"&amp;ROW(일위대가목록표!A266),"대가263 →")</f>
        <v>대가263 →</v>
      </c>
    </row>
    <row r="270" spans="1:29" ht="30.6" customHeight="1" x14ac:dyDescent="0.3">
      <c r="A270" s="10"/>
      <c r="B270" s="10" t="s">
        <v>633</v>
      </c>
      <c r="C270" s="41" t="s">
        <v>584</v>
      </c>
      <c r="D270" s="43">
        <v>0</v>
      </c>
      <c r="E270" s="22" t="s">
        <v>14</v>
      </c>
      <c r="F270" s="45">
        <f t="shared" si="20"/>
        <v>415977</v>
      </c>
      <c r="G270" s="48">
        <f t="shared" si="21"/>
        <v>0</v>
      </c>
      <c r="H270" s="50">
        <f>일위대가목록표!F267</f>
        <v>403862</v>
      </c>
      <c r="I270" s="13">
        <f t="shared" si="22"/>
        <v>0</v>
      </c>
      <c r="J270" s="52">
        <f>일위대가목록표!G267</f>
        <v>0</v>
      </c>
      <c r="K270" s="13">
        <f t="shared" si="23"/>
        <v>0</v>
      </c>
      <c r="L270" s="54">
        <f>일위대가목록표!H267</f>
        <v>12115</v>
      </c>
      <c r="M270" s="33">
        <f t="shared" si="24"/>
        <v>0</v>
      </c>
      <c r="N270" s="22" t="s">
        <v>4135</v>
      </c>
      <c r="O270" s="17" t="s">
        <v>4134</v>
      </c>
      <c r="P270" s="7" t="s">
        <v>4133</v>
      </c>
      <c r="Q270" s="7" t="s">
        <v>3344</v>
      </c>
      <c r="AC270" s="3" t="str">
        <f ca="1">HYPERLINK("#"&amp;일위대가목록표!J2&amp;"!A"&amp;ROW(일위대가목록표!A267),"대가264 →")</f>
        <v>대가264 →</v>
      </c>
    </row>
    <row r="271" spans="1:29" ht="30.6" customHeight="1" x14ac:dyDescent="0.3">
      <c r="A271" s="10"/>
      <c r="B271" s="10" t="s">
        <v>633</v>
      </c>
      <c r="C271" s="41" t="s">
        <v>587</v>
      </c>
      <c r="D271" s="43">
        <v>0</v>
      </c>
      <c r="E271" s="22" t="s">
        <v>14</v>
      </c>
      <c r="F271" s="45">
        <f t="shared" si="20"/>
        <v>524841</v>
      </c>
      <c r="G271" s="48">
        <f t="shared" si="21"/>
        <v>0</v>
      </c>
      <c r="H271" s="50">
        <f>일위대가목록표!F268</f>
        <v>509555</v>
      </c>
      <c r="I271" s="13">
        <f t="shared" si="22"/>
        <v>0</v>
      </c>
      <c r="J271" s="52">
        <f>일위대가목록표!G268</f>
        <v>0</v>
      </c>
      <c r="K271" s="13">
        <f t="shared" si="23"/>
        <v>0</v>
      </c>
      <c r="L271" s="54">
        <f>일위대가목록표!H268</f>
        <v>15286</v>
      </c>
      <c r="M271" s="33">
        <f t="shared" si="24"/>
        <v>0</v>
      </c>
      <c r="N271" s="22" t="s">
        <v>4138</v>
      </c>
      <c r="O271" s="17" t="s">
        <v>4137</v>
      </c>
      <c r="P271" s="7" t="s">
        <v>4136</v>
      </c>
      <c r="Q271" s="7" t="s">
        <v>3344</v>
      </c>
      <c r="AC271" s="3" t="str">
        <f ca="1">HYPERLINK("#"&amp;일위대가목록표!J2&amp;"!A"&amp;ROW(일위대가목록표!A268),"대가265 →")</f>
        <v>대가265 →</v>
      </c>
    </row>
    <row r="272" spans="1:29" ht="30.6" customHeight="1" x14ac:dyDescent="0.3">
      <c r="A272" s="10"/>
      <c r="B272" s="10" t="s">
        <v>633</v>
      </c>
      <c r="C272" s="41" t="s">
        <v>590</v>
      </c>
      <c r="D272" s="43">
        <v>0</v>
      </c>
      <c r="E272" s="22" t="s">
        <v>14</v>
      </c>
      <c r="F272" s="45">
        <f t="shared" si="20"/>
        <v>659579</v>
      </c>
      <c r="G272" s="48">
        <f t="shared" si="21"/>
        <v>0</v>
      </c>
      <c r="H272" s="50">
        <f>일위대가목록표!F269</f>
        <v>640368</v>
      </c>
      <c r="I272" s="13">
        <f t="shared" si="22"/>
        <v>0</v>
      </c>
      <c r="J272" s="52">
        <f>일위대가목록표!G269</f>
        <v>0</v>
      </c>
      <c r="K272" s="13">
        <f t="shared" si="23"/>
        <v>0</v>
      </c>
      <c r="L272" s="54">
        <f>일위대가목록표!H269</f>
        <v>19211</v>
      </c>
      <c r="M272" s="33">
        <f t="shared" si="24"/>
        <v>0</v>
      </c>
      <c r="N272" s="22" t="s">
        <v>4141</v>
      </c>
      <c r="O272" s="17" t="s">
        <v>4140</v>
      </c>
      <c r="P272" s="7" t="s">
        <v>4139</v>
      </c>
      <c r="Q272" s="7" t="s">
        <v>3344</v>
      </c>
      <c r="AC272" s="3" t="str">
        <f ca="1">HYPERLINK("#"&amp;일위대가목록표!J2&amp;"!A"&amp;ROW(일위대가목록표!A269),"대가266 →")</f>
        <v>대가266 →</v>
      </c>
    </row>
    <row r="273" spans="1:29" ht="30.6" customHeight="1" x14ac:dyDescent="0.3">
      <c r="A273" s="10"/>
      <c r="B273" s="10" t="s">
        <v>633</v>
      </c>
      <c r="C273" s="41" t="s">
        <v>593</v>
      </c>
      <c r="D273" s="43">
        <v>0</v>
      </c>
      <c r="E273" s="22" t="s">
        <v>14</v>
      </c>
      <c r="F273" s="45">
        <f t="shared" si="20"/>
        <v>700238</v>
      </c>
      <c r="G273" s="48">
        <f t="shared" si="21"/>
        <v>0</v>
      </c>
      <c r="H273" s="50">
        <f>일위대가목록표!F270</f>
        <v>679843</v>
      </c>
      <c r="I273" s="13">
        <f t="shared" si="22"/>
        <v>0</v>
      </c>
      <c r="J273" s="52">
        <f>일위대가목록표!G270</f>
        <v>0</v>
      </c>
      <c r="K273" s="13">
        <f t="shared" si="23"/>
        <v>0</v>
      </c>
      <c r="L273" s="54">
        <f>일위대가목록표!H270</f>
        <v>20395</v>
      </c>
      <c r="M273" s="33">
        <f t="shared" si="24"/>
        <v>0</v>
      </c>
      <c r="N273" s="22" t="s">
        <v>4144</v>
      </c>
      <c r="O273" s="17" t="s">
        <v>4143</v>
      </c>
      <c r="P273" s="7" t="s">
        <v>4142</v>
      </c>
      <c r="Q273" s="7" t="s">
        <v>3344</v>
      </c>
      <c r="AC273" s="3" t="str">
        <f ca="1">HYPERLINK("#"&amp;일위대가목록표!J2&amp;"!A"&amp;ROW(일위대가목록표!A270),"대가267 →")</f>
        <v>대가267 →</v>
      </c>
    </row>
    <row r="274" spans="1:29" ht="30.6" customHeight="1" x14ac:dyDescent="0.3">
      <c r="A274" s="10"/>
      <c r="B274" s="10" t="s">
        <v>633</v>
      </c>
      <c r="C274" s="41" t="s">
        <v>596</v>
      </c>
      <c r="D274" s="43">
        <v>0</v>
      </c>
      <c r="E274" s="22" t="s">
        <v>14</v>
      </c>
      <c r="F274" s="45">
        <f t="shared" si="20"/>
        <v>1131251</v>
      </c>
      <c r="G274" s="48">
        <f t="shared" si="21"/>
        <v>0</v>
      </c>
      <c r="H274" s="50">
        <f>일위대가목록표!F271</f>
        <v>1098302</v>
      </c>
      <c r="I274" s="13">
        <f t="shared" si="22"/>
        <v>0</v>
      </c>
      <c r="J274" s="52">
        <f>일위대가목록표!G271</f>
        <v>0</v>
      </c>
      <c r="K274" s="13">
        <f t="shared" si="23"/>
        <v>0</v>
      </c>
      <c r="L274" s="54">
        <f>일위대가목록표!H271</f>
        <v>32949</v>
      </c>
      <c r="M274" s="33">
        <f t="shared" si="24"/>
        <v>0</v>
      </c>
      <c r="N274" s="22" t="s">
        <v>4147</v>
      </c>
      <c r="O274" s="17" t="s">
        <v>4146</v>
      </c>
      <c r="P274" s="7" t="s">
        <v>4145</v>
      </c>
      <c r="Q274" s="7" t="s">
        <v>3344</v>
      </c>
      <c r="AC274" s="3" t="str">
        <f ca="1">HYPERLINK("#"&amp;일위대가목록표!J2&amp;"!A"&amp;ROW(일위대가목록표!A271),"대가268 →")</f>
        <v>대가268 →</v>
      </c>
    </row>
    <row r="275" spans="1:29" ht="30.6" customHeight="1" x14ac:dyDescent="0.3">
      <c r="A275" s="10"/>
      <c r="B275" s="10" t="s">
        <v>633</v>
      </c>
      <c r="C275" s="41" t="s">
        <v>599</v>
      </c>
      <c r="D275" s="43">
        <v>0</v>
      </c>
      <c r="E275" s="22" t="s">
        <v>14</v>
      </c>
      <c r="F275" s="45">
        <f t="shared" si="20"/>
        <v>1131251</v>
      </c>
      <c r="G275" s="48">
        <f t="shared" si="21"/>
        <v>0</v>
      </c>
      <c r="H275" s="50">
        <f>일위대가목록표!F272</f>
        <v>1098302</v>
      </c>
      <c r="I275" s="13">
        <f t="shared" si="22"/>
        <v>0</v>
      </c>
      <c r="J275" s="52">
        <f>일위대가목록표!G272</f>
        <v>0</v>
      </c>
      <c r="K275" s="13">
        <f t="shared" si="23"/>
        <v>0</v>
      </c>
      <c r="L275" s="54">
        <f>일위대가목록표!H272</f>
        <v>32949</v>
      </c>
      <c r="M275" s="33">
        <f t="shared" si="24"/>
        <v>0</v>
      </c>
      <c r="N275" s="22" t="s">
        <v>4150</v>
      </c>
      <c r="O275" s="17" t="s">
        <v>4149</v>
      </c>
      <c r="P275" s="7" t="s">
        <v>4148</v>
      </c>
      <c r="Q275" s="7" t="s">
        <v>3344</v>
      </c>
      <c r="AC275" s="3" t="str">
        <f ca="1">HYPERLINK("#"&amp;일위대가목록표!J2&amp;"!A"&amp;ROW(일위대가목록표!A272),"대가269 →")</f>
        <v>대가269 →</v>
      </c>
    </row>
    <row r="276" spans="1:29" ht="30.6" customHeight="1" x14ac:dyDescent="0.3">
      <c r="A276" s="10"/>
      <c r="B276" s="10" t="s">
        <v>633</v>
      </c>
      <c r="C276" s="41" t="s">
        <v>602</v>
      </c>
      <c r="D276" s="43">
        <v>0</v>
      </c>
      <c r="E276" s="22" t="s">
        <v>14</v>
      </c>
      <c r="F276" s="45">
        <f t="shared" si="20"/>
        <v>1460614</v>
      </c>
      <c r="G276" s="48">
        <f t="shared" si="21"/>
        <v>0</v>
      </c>
      <c r="H276" s="50">
        <f>일위대가목록표!F273</f>
        <v>1418072</v>
      </c>
      <c r="I276" s="13">
        <f t="shared" si="22"/>
        <v>0</v>
      </c>
      <c r="J276" s="52">
        <f>일위대가목록표!G273</f>
        <v>0</v>
      </c>
      <c r="K276" s="13">
        <f t="shared" si="23"/>
        <v>0</v>
      </c>
      <c r="L276" s="54">
        <f>일위대가목록표!H273</f>
        <v>42542</v>
      </c>
      <c r="M276" s="33">
        <f t="shared" si="24"/>
        <v>0</v>
      </c>
      <c r="N276" s="22" t="s">
        <v>4153</v>
      </c>
      <c r="O276" s="17" t="s">
        <v>4152</v>
      </c>
      <c r="P276" s="7" t="s">
        <v>4151</v>
      </c>
      <c r="Q276" s="7" t="s">
        <v>3344</v>
      </c>
      <c r="AC276" s="3" t="str">
        <f ca="1">HYPERLINK("#"&amp;일위대가목록표!J2&amp;"!A"&amp;ROW(일위대가목록표!A273),"대가270 →")</f>
        <v>대가270 →</v>
      </c>
    </row>
    <row r="277" spans="1:29" ht="30.6" customHeight="1" x14ac:dyDescent="0.3">
      <c r="A277" s="10"/>
      <c r="B277" s="10" t="s">
        <v>633</v>
      </c>
      <c r="C277" s="41" t="s">
        <v>605</v>
      </c>
      <c r="D277" s="43">
        <v>0</v>
      </c>
      <c r="E277" s="22" t="s">
        <v>14</v>
      </c>
      <c r="F277" s="45">
        <f t="shared" si="20"/>
        <v>2349863</v>
      </c>
      <c r="G277" s="48">
        <f t="shared" si="21"/>
        <v>0</v>
      </c>
      <c r="H277" s="50">
        <f>일위대가목록표!F274</f>
        <v>2281421</v>
      </c>
      <c r="I277" s="13">
        <f t="shared" si="22"/>
        <v>0</v>
      </c>
      <c r="J277" s="52">
        <f>일위대가목록표!G274</f>
        <v>0</v>
      </c>
      <c r="K277" s="13">
        <f t="shared" si="23"/>
        <v>0</v>
      </c>
      <c r="L277" s="54">
        <f>일위대가목록표!H274</f>
        <v>68442</v>
      </c>
      <c r="M277" s="33">
        <f t="shared" si="24"/>
        <v>0</v>
      </c>
      <c r="N277" s="22" t="s">
        <v>4156</v>
      </c>
      <c r="O277" s="17" t="s">
        <v>4155</v>
      </c>
      <c r="P277" s="7" t="s">
        <v>4154</v>
      </c>
      <c r="Q277" s="7" t="s">
        <v>3344</v>
      </c>
      <c r="AC277" s="3" t="str">
        <f ca="1">HYPERLINK("#"&amp;일위대가목록표!J2&amp;"!A"&amp;ROW(일위대가목록표!A274),"대가271 →")</f>
        <v>대가271 →</v>
      </c>
    </row>
    <row r="278" spans="1:29" ht="30.6" customHeight="1" x14ac:dyDescent="0.3">
      <c r="A278" s="10"/>
      <c r="B278" s="10" t="s">
        <v>658</v>
      </c>
      <c r="C278" s="41" t="s">
        <v>572</v>
      </c>
      <c r="D278" s="43">
        <v>0</v>
      </c>
      <c r="E278" s="22" t="s">
        <v>14</v>
      </c>
      <c r="F278" s="45">
        <f t="shared" si="20"/>
        <v>94284</v>
      </c>
      <c r="G278" s="48">
        <f t="shared" si="21"/>
        <v>0</v>
      </c>
      <c r="H278" s="50">
        <f>일위대가목록표!F275</f>
        <v>91538</v>
      </c>
      <c r="I278" s="13">
        <f t="shared" si="22"/>
        <v>0</v>
      </c>
      <c r="J278" s="52">
        <f>일위대가목록표!G275</f>
        <v>0</v>
      </c>
      <c r="K278" s="13">
        <f t="shared" si="23"/>
        <v>0</v>
      </c>
      <c r="L278" s="54">
        <f>일위대가목록표!H275</f>
        <v>2746</v>
      </c>
      <c r="M278" s="33">
        <f t="shared" si="24"/>
        <v>0</v>
      </c>
      <c r="N278" s="22" t="s">
        <v>4159</v>
      </c>
      <c r="O278" s="17" t="s">
        <v>4158</v>
      </c>
      <c r="P278" s="7" t="s">
        <v>4157</v>
      </c>
      <c r="Q278" s="7" t="s">
        <v>3344</v>
      </c>
      <c r="AC278" s="3" t="str">
        <f ca="1">HYPERLINK("#"&amp;일위대가목록표!J2&amp;"!A"&amp;ROW(일위대가목록표!A275),"대가272 →")</f>
        <v>대가272 →</v>
      </c>
    </row>
    <row r="279" spans="1:29" ht="30.6" customHeight="1" x14ac:dyDescent="0.3">
      <c r="A279" s="10"/>
      <c r="B279" s="10" t="s">
        <v>658</v>
      </c>
      <c r="C279" s="41" t="s">
        <v>575</v>
      </c>
      <c r="D279" s="43">
        <v>0</v>
      </c>
      <c r="E279" s="22" t="s">
        <v>14</v>
      </c>
      <c r="F279" s="45">
        <f t="shared" si="20"/>
        <v>104363</v>
      </c>
      <c r="G279" s="48">
        <f t="shared" si="21"/>
        <v>0</v>
      </c>
      <c r="H279" s="50">
        <f>일위대가목록표!F276</f>
        <v>101324</v>
      </c>
      <c r="I279" s="13">
        <f t="shared" si="22"/>
        <v>0</v>
      </c>
      <c r="J279" s="52">
        <f>일위대가목록표!G276</f>
        <v>0</v>
      </c>
      <c r="K279" s="13">
        <f t="shared" si="23"/>
        <v>0</v>
      </c>
      <c r="L279" s="54">
        <f>일위대가목록표!H276</f>
        <v>3039</v>
      </c>
      <c r="M279" s="33">
        <f t="shared" si="24"/>
        <v>0</v>
      </c>
      <c r="N279" s="22" t="s">
        <v>4162</v>
      </c>
      <c r="O279" s="17" t="s">
        <v>4161</v>
      </c>
      <c r="P279" s="7" t="s">
        <v>4160</v>
      </c>
      <c r="Q279" s="7" t="s">
        <v>3344</v>
      </c>
      <c r="AC279" s="3" t="str">
        <f ca="1">HYPERLINK("#"&amp;일위대가목록표!J2&amp;"!A"&amp;ROW(일위대가목록표!A276),"대가273 →")</f>
        <v>대가273 →</v>
      </c>
    </row>
    <row r="280" spans="1:29" ht="30.6" customHeight="1" x14ac:dyDescent="0.3">
      <c r="A280" s="10"/>
      <c r="B280" s="10" t="s">
        <v>658</v>
      </c>
      <c r="C280" s="41" t="s">
        <v>578</v>
      </c>
      <c r="D280" s="43">
        <v>1</v>
      </c>
      <c r="E280" s="22" t="s">
        <v>14</v>
      </c>
      <c r="F280" s="45">
        <f t="shared" si="20"/>
        <v>120257</v>
      </c>
      <c r="G280" s="48">
        <f t="shared" si="21"/>
        <v>120257</v>
      </c>
      <c r="H280" s="50">
        <f>일위대가목록표!F277</f>
        <v>116755</v>
      </c>
      <c r="I280" s="13">
        <f t="shared" si="22"/>
        <v>116755</v>
      </c>
      <c r="J280" s="52">
        <f>일위대가목록표!G277</f>
        <v>0</v>
      </c>
      <c r="K280" s="13">
        <f t="shared" si="23"/>
        <v>0</v>
      </c>
      <c r="L280" s="54">
        <f>일위대가목록표!H277</f>
        <v>3502</v>
      </c>
      <c r="M280" s="33">
        <f t="shared" si="24"/>
        <v>3502</v>
      </c>
      <c r="N280" s="22" t="s">
        <v>4165</v>
      </c>
      <c r="O280" s="17" t="s">
        <v>4164</v>
      </c>
      <c r="P280" s="7" t="s">
        <v>4163</v>
      </c>
      <c r="Q280" s="7" t="s">
        <v>3344</v>
      </c>
      <c r="AC280" s="3" t="str">
        <f ca="1">HYPERLINK("#"&amp;일위대가목록표!J2&amp;"!A"&amp;ROW(일위대가목록표!A277),"대가274 →")</f>
        <v>대가274 →</v>
      </c>
    </row>
    <row r="281" spans="1:29" ht="30.6" customHeight="1" x14ac:dyDescent="0.3">
      <c r="A281" s="10"/>
      <c r="B281" s="10" t="s">
        <v>658</v>
      </c>
      <c r="C281" s="41" t="s">
        <v>581</v>
      </c>
      <c r="D281" s="43">
        <v>1</v>
      </c>
      <c r="E281" s="22" t="s">
        <v>14</v>
      </c>
      <c r="F281" s="45">
        <f t="shared" si="20"/>
        <v>138099</v>
      </c>
      <c r="G281" s="48">
        <f t="shared" si="21"/>
        <v>138099</v>
      </c>
      <c r="H281" s="50">
        <f>일위대가목록표!F278</f>
        <v>134077</v>
      </c>
      <c r="I281" s="13">
        <f t="shared" si="22"/>
        <v>134077</v>
      </c>
      <c r="J281" s="52">
        <f>일위대가목록표!G278</f>
        <v>0</v>
      </c>
      <c r="K281" s="13">
        <f t="shared" si="23"/>
        <v>0</v>
      </c>
      <c r="L281" s="54">
        <f>일위대가목록표!H278</f>
        <v>4022</v>
      </c>
      <c r="M281" s="33">
        <f t="shared" si="24"/>
        <v>4022</v>
      </c>
      <c r="N281" s="22" t="s">
        <v>4168</v>
      </c>
      <c r="O281" s="17" t="s">
        <v>4167</v>
      </c>
      <c r="P281" s="7" t="s">
        <v>4166</v>
      </c>
      <c r="Q281" s="7" t="s">
        <v>3344</v>
      </c>
      <c r="AC281" s="3" t="str">
        <f ca="1">HYPERLINK("#"&amp;일위대가목록표!J2&amp;"!A"&amp;ROW(일위대가목록표!A278),"대가275 →")</f>
        <v>대가275 →</v>
      </c>
    </row>
    <row r="282" spans="1:29" ht="30.6" customHeight="1" x14ac:dyDescent="0.3">
      <c r="A282" s="10"/>
      <c r="B282" s="10" t="s">
        <v>658</v>
      </c>
      <c r="C282" s="41" t="s">
        <v>584</v>
      </c>
      <c r="D282" s="43">
        <v>0</v>
      </c>
      <c r="E282" s="22" t="s">
        <v>14</v>
      </c>
      <c r="F282" s="45">
        <f t="shared" si="20"/>
        <v>166390</v>
      </c>
      <c r="G282" s="48">
        <f t="shared" si="21"/>
        <v>0</v>
      </c>
      <c r="H282" s="50">
        <f>일위대가목록표!F279</f>
        <v>161544</v>
      </c>
      <c r="I282" s="13">
        <f t="shared" si="22"/>
        <v>0</v>
      </c>
      <c r="J282" s="52">
        <f>일위대가목록표!G279</f>
        <v>0</v>
      </c>
      <c r="K282" s="13">
        <f t="shared" si="23"/>
        <v>0</v>
      </c>
      <c r="L282" s="54">
        <f>일위대가목록표!H279</f>
        <v>4846</v>
      </c>
      <c r="M282" s="33">
        <f t="shared" si="24"/>
        <v>0</v>
      </c>
      <c r="N282" s="22" t="s">
        <v>4171</v>
      </c>
      <c r="O282" s="17" t="s">
        <v>4170</v>
      </c>
      <c r="P282" s="7" t="s">
        <v>4169</v>
      </c>
      <c r="Q282" s="7" t="s">
        <v>3344</v>
      </c>
      <c r="AC282" s="3" t="str">
        <f ca="1">HYPERLINK("#"&amp;일위대가목록표!J2&amp;"!A"&amp;ROW(일위대가목록표!A279),"대가276 →")</f>
        <v>대가276 →</v>
      </c>
    </row>
    <row r="283" spans="1:29" ht="30.6" customHeight="1" x14ac:dyDescent="0.3">
      <c r="A283" s="10"/>
      <c r="B283" s="10" t="s">
        <v>658</v>
      </c>
      <c r="C283" s="41" t="s">
        <v>587</v>
      </c>
      <c r="D283" s="43">
        <v>0</v>
      </c>
      <c r="E283" s="22" t="s">
        <v>14</v>
      </c>
      <c r="F283" s="45">
        <f t="shared" si="20"/>
        <v>209936</v>
      </c>
      <c r="G283" s="48">
        <f t="shared" si="21"/>
        <v>0</v>
      </c>
      <c r="H283" s="50">
        <f>일위대가목록표!F280</f>
        <v>203822</v>
      </c>
      <c r="I283" s="13">
        <f t="shared" si="22"/>
        <v>0</v>
      </c>
      <c r="J283" s="52">
        <f>일위대가목록표!G280</f>
        <v>0</v>
      </c>
      <c r="K283" s="13">
        <f t="shared" si="23"/>
        <v>0</v>
      </c>
      <c r="L283" s="54">
        <f>일위대가목록표!H280</f>
        <v>6114</v>
      </c>
      <c r="M283" s="33">
        <f t="shared" si="24"/>
        <v>0</v>
      </c>
      <c r="N283" s="22" t="s">
        <v>4174</v>
      </c>
      <c r="O283" s="17" t="s">
        <v>4173</v>
      </c>
      <c r="P283" s="7" t="s">
        <v>4172</v>
      </c>
      <c r="Q283" s="7" t="s">
        <v>3344</v>
      </c>
      <c r="AC283" s="3" t="str">
        <f ca="1">HYPERLINK("#"&amp;일위대가목록표!J2&amp;"!A"&amp;ROW(일위대가목록표!A280),"대가277 →")</f>
        <v>대가277 →</v>
      </c>
    </row>
    <row r="284" spans="1:29" ht="30.6" customHeight="1" x14ac:dyDescent="0.3">
      <c r="A284" s="10"/>
      <c r="B284" s="10" t="s">
        <v>658</v>
      </c>
      <c r="C284" s="41" t="s">
        <v>590</v>
      </c>
      <c r="D284" s="43">
        <v>0</v>
      </c>
      <c r="E284" s="22" t="s">
        <v>14</v>
      </c>
      <c r="F284" s="45">
        <f t="shared" si="20"/>
        <v>263831</v>
      </c>
      <c r="G284" s="48">
        <f t="shared" si="21"/>
        <v>0</v>
      </c>
      <c r="H284" s="50">
        <f>일위대가목록표!F281</f>
        <v>256147</v>
      </c>
      <c r="I284" s="13">
        <f t="shared" si="22"/>
        <v>0</v>
      </c>
      <c r="J284" s="52">
        <f>일위대가목록표!G281</f>
        <v>0</v>
      </c>
      <c r="K284" s="13">
        <f t="shared" si="23"/>
        <v>0</v>
      </c>
      <c r="L284" s="54">
        <f>일위대가목록표!H281</f>
        <v>7684</v>
      </c>
      <c r="M284" s="33">
        <f t="shared" si="24"/>
        <v>0</v>
      </c>
      <c r="N284" s="22" t="s">
        <v>4177</v>
      </c>
      <c r="O284" s="17" t="s">
        <v>4176</v>
      </c>
      <c r="P284" s="7" t="s">
        <v>4175</v>
      </c>
      <c r="Q284" s="7" t="s">
        <v>3344</v>
      </c>
      <c r="AC284" s="3" t="str">
        <f ca="1">HYPERLINK("#"&amp;일위대가목록표!J2&amp;"!A"&amp;ROW(일위대가목록표!A281),"대가278 →")</f>
        <v>대가278 →</v>
      </c>
    </row>
    <row r="285" spans="1:29" ht="30.6" customHeight="1" x14ac:dyDescent="0.3">
      <c r="A285" s="10"/>
      <c r="B285" s="10" t="s">
        <v>658</v>
      </c>
      <c r="C285" s="41" t="s">
        <v>593</v>
      </c>
      <c r="D285" s="43">
        <v>0</v>
      </c>
      <c r="E285" s="22" t="s">
        <v>14</v>
      </c>
      <c r="F285" s="45">
        <f t="shared" si="20"/>
        <v>280095</v>
      </c>
      <c r="G285" s="48">
        <f t="shared" si="21"/>
        <v>0</v>
      </c>
      <c r="H285" s="50">
        <f>일위대가목록표!F282</f>
        <v>271937</v>
      </c>
      <c r="I285" s="13">
        <f t="shared" si="22"/>
        <v>0</v>
      </c>
      <c r="J285" s="52">
        <f>일위대가목록표!G282</f>
        <v>0</v>
      </c>
      <c r="K285" s="13">
        <f t="shared" si="23"/>
        <v>0</v>
      </c>
      <c r="L285" s="54">
        <f>일위대가목록표!H282</f>
        <v>8158</v>
      </c>
      <c r="M285" s="33">
        <f t="shared" si="24"/>
        <v>0</v>
      </c>
      <c r="N285" s="22" t="s">
        <v>4180</v>
      </c>
      <c r="O285" s="17" t="s">
        <v>4179</v>
      </c>
      <c r="P285" s="7" t="s">
        <v>4178</v>
      </c>
      <c r="Q285" s="7" t="s">
        <v>3344</v>
      </c>
      <c r="AC285" s="3" t="str">
        <f ca="1">HYPERLINK("#"&amp;일위대가목록표!J2&amp;"!A"&amp;ROW(일위대가목록표!A282),"대가279 →")</f>
        <v>대가279 →</v>
      </c>
    </row>
    <row r="286" spans="1:29" ht="30.6" customHeight="1" x14ac:dyDescent="0.3">
      <c r="A286" s="10"/>
      <c r="B286" s="10" t="s">
        <v>658</v>
      </c>
      <c r="C286" s="41" t="s">
        <v>596</v>
      </c>
      <c r="D286" s="43">
        <v>0</v>
      </c>
      <c r="E286" s="22" t="s">
        <v>14</v>
      </c>
      <c r="F286" s="45">
        <f t="shared" si="20"/>
        <v>452499</v>
      </c>
      <c r="G286" s="48">
        <f t="shared" si="21"/>
        <v>0</v>
      </c>
      <c r="H286" s="50">
        <f>일위대가목록표!F283</f>
        <v>439320</v>
      </c>
      <c r="I286" s="13">
        <f t="shared" si="22"/>
        <v>0</v>
      </c>
      <c r="J286" s="52">
        <f>일위대가목록표!G283</f>
        <v>0</v>
      </c>
      <c r="K286" s="13">
        <f t="shared" si="23"/>
        <v>0</v>
      </c>
      <c r="L286" s="54">
        <f>일위대가목록표!H283</f>
        <v>13179</v>
      </c>
      <c r="M286" s="33">
        <f t="shared" si="24"/>
        <v>0</v>
      </c>
      <c r="N286" s="22" t="s">
        <v>4183</v>
      </c>
      <c r="O286" s="17" t="s">
        <v>4182</v>
      </c>
      <c r="P286" s="7" t="s">
        <v>4181</v>
      </c>
      <c r="Q286" s="7" t="s">
        <v>3344</v>
      </c>
      <c r="AC286" s="3" t="str">
        <f ca="1">HYPERLINK("#"&amp;일위대가목록표!J2&amp;"!A"&amp;ROW(일위대가목록표!A283),"대가280 →")</f>
        <v>대가280 →</v>
      </c>
    </row>
    <row r="287" spans="1:29" ht="30.6" customHeight="1" x14ac:dyDescent="0.3">
      <c r="A287" s="10"/>
      <c r="B287" s="10" t="s">
        <v>658</v>
      </c>
      <c r="C287" s="41" t="s">
        <v>599</v>
      </c>
      <c r="D287" s="43">
        <v>0</v>
      </c>
      <c r="E287" s="22" t="s">
        <v>14</v>
      </c>
      <c r="F287" s="45">
        <f t="shared" si="20"/>
        <v>452499</v>
      </c>
      <c r="G287" s="48">
        <f t="shared" si="21"/>
        <v>0</v>
      </c>
      <c r="H287" s="50">
        <f>일위대가목록표!F284</f>
        <v>439320</v>
      </c>
      <c r="I287" s="13">
        <f t="shared" si="22"/>
        <v>0</v>
      </c>
      <c r="J287" s="52">
        <f>일위대가목록표!G284</f>
        <v>0</v>
      </c>
      <c r="K287" s="13">
        <f t="shared" si="23"/>
        <v>0</v>
      </c>
      <c r="L287" s="54">
        <f>일위대가목록표!H284</f>
        <v>13179</v>
      </c>
      <c r="M287" s="33">
        <f t="shared" si="24"/>
        <v>0</v>
      </c>
      <c r="N287" s="22" t="s">
        <v>4186</v>
      </c>
      <c r="O287" s="17" t="s">
        <v>4185</v>
      </c>
      <c r="P287" s="7" t="s">
        <v>4184</v>
      </c>
      <c r="Q287" s="7" t="s">
        <v>3344</v>
      </c>
      <c r="AC287" s="3" t="str">
        <f ca="1">HYPERLINK("#"&amp;일위대가목록표!J2&amp;"!A"&amp;ROW(일위대가목록표!A284),"대가281 →")</f>
        <v>대가281 →</v>
      </c>
    </row>
    <row r="288" spans="1:29" ht="30.6" customHeight="1" x14ac:dyDescent="0.3">
      <c r="A288" s="10"/>
      <c r="B288" s="10" t="s">
        <v>658</v>
      </c>
      <c r="C288" s="41" t="s">
        <v>602</v>
      </c>
      <c r="D288" s="43">
        <v>0</v>
      </c>
      <c r="E288" s="22" t="s">
        <v>14</v>
      </c>
      <c r="F288" s="45">
        <f t="shared" si="20"/>
        <v>584244</v>
      </c>
      <c r="G288" s="48">
        <f t="shared" si="21"/>
        <v>0</v>
      </c>
      <c r="H288" s="50">
        <f>일위대가목록표!F285</f>
        <v>567228</v>
      </c>
      <c r="I288" s="13">
        <f t="shared" si="22"/>
        <v>0</v>
      </c>
      <c r="J288" s="52">
        <f>일위대가목록표!G285</f>
        <v>0</v>
      </c>
      <c r="K288" s="13">
        <f t="shared" si="23"/>
        <v>0</v>
      </c>
      <c r="L288" s="54">
        <f>일위대가목록표!H285</f>
        <v>17016</v>
      </c>
      <c r="M288" s="33">
        <f t="shared" si="24"/>
        <v>0</v>
      </c>
      <c r="N288" s="22" t="s">
        <v>4189</v>
      </c>
      <c r="O288" s="17" t="s">
        <v>4188</v>
      </c>
      <c r="P288" s="7" t="s">
        <v>4187</v>
      </c>
      <c r="Q288" s="7" t="s">
        <v>3344</v>
      </c>
      <c r="AC288" s="3" t="str">
        <f ca="1">HYPERLINK("#"&amp;일위대가목록표!J2&amp;"!A"&amp;ROW(일위대가목록표!A285),"대가282 →")</f>
        <v>대가282 →</v>
      </c>
    </row>
    <row r="289" spans="1:29" ht="30.6" customHeight="1" x14ac:dyDescent="0.3">
      <c r="A289" s="10"/>
      <c r="B289" s="10" t="s">
        <v>658</v>
      </c>
      <c r="C289" s="41" t="s">
        <v>605</v>
      </c>
      <c r="D289" s="43">
        <v>0</v>
      </c>
      <c r="E289" s="22" t="s">
        <v>14</v>
      </c>
      <c r="F289" s="45">
        <f t="shared" si="20"/>
        <v>939944</v>
      </c>
      <c r="G289" s="48">
        <f t="shared" si="21"/>
        <v>0</v>
      </c>
      <c r="H289" s="50">
        <f>일위대가목록표!F286</f>
        <v>912568</v>
      </c>
      <c r="I289" s="13">
        <f t="shared" si="22"/>
        <v>0</v>
      </c>
      <c r="J289" s="52">
        <f>일위대가목록표!G286</f>
        <v>0</v>
      </c>
      <c r="K289" s="13">
        <f t="shared" si="23"/>
        <v>0</v>
      </c>
      <c r="L289" s="54">
        <f>일위대가목록표!H286</f>
        <v>27376</v>
      </c>
      <c r="M289" s="33">
        <f t="shared" si="24"/>
        <v>0</v>
      </c>
      <c r="N289" s="22" t="s">
        <v>4192</v>
      </c>
      <c r="O289" s="17" t="s">
        <v>4191</v>
      </c>
      <c r="P289" s="7" t="s">
        <v>4190</v>
      </c>
      <c r="Q289" s="7" t="s">
        <v>3344</v>
      </c>
      <c r="AC289" s="3" t="str">
        <f ca="1">HYPERLINK("#"&amp;일위대가목록표!J2&amp;"!A"&amp;ROW(일위대가목록표!A286),"대가283 →")</f>
        <v>대가283 →</v>
      </c>
    </row>
    <row r="290" spans="1:29" ht="30.6" customHeight="1" x14ac:dyDescent="0.3">
      <c r="A290" s="10"/>
      <c r="B290" s="10" t="s">
        <v>683</v>
      </c>
      <c r="C290" s="41" t="s">
        <v>684</v>
      </c>
      <c r="D290" s="43">
        <v>0</v>
      </c>
      <c r="E290" s="22" t="s">
        <v>14</v>
      </c>
      <c r="F290" s="45">
        <f t="shared" si="20"/>
        <v>883663</v>
      </c>
      <c r="G290" s="48">
        <f t="shared" si="21"/>
        <v>0</v>
      </c>
      <c r="H290" s="50">
        <f>일위대가목록표!F287</f>
        <v>561810</v>
      </c>
      <c r="I290" s="13">
        <f t="shared" si="22"/>
        <v>0</v>
      </c>
      <c r="J290" s="52">
        <f>일위대가목록표!G287</f>
        <v>305000</v>
      </c>
      <c r="K290" s="13">
        <f t="shared" si="23"/>
        <v>0</v>
      </c>
      <c r="L290" s="54">
        <f>일위대가목록표!H287</f>
        <v>16853</v>
      </c>
      <c r="M290" s="33">
        <f t="shared" si="24"/>
        <v>0</v>
      </c>
      <c r="N290" s="22" t="s">
        <v>4195</v>
      </c>
      <c r="O290" s="17" t="s">
        <v>4194</v>
      </c>
      <c r="P290" s="7" t="s">
        <v>4193</v>
      </c>
      <c r="Q290" s="7" t="s">
        <v>3344</v>
      </c>
      <c r="AC290" s="3" t="str">
        <f ca="1">HYPERLINK("#"&amp;일위대가목록표!J2&amp;"!A"&amp;ROW(일위대가목록표!A287),"대가284 →")</f>
        <v>대가284 →</v>
      </c>
    </row>
    <row r="291" spans="1:29" ht="30.6" customHeight="1" x14ac:dyDescent="0.3">
      <c r="A291" s="10"/>
      <c r="B291" s="10" t="s">
        <v>683</v>
      </c>
      <c r="C291" s="41" t="s">
        <v>687</v>
      </c>
      <c r="D291" s="43">
        <v>0</v>
      </c>
      <c r="E291" s="22" t="s">
        <v>14</v>
      </c>
      <c r="F291" s="45">
        <f t="shared" si="20"/>
        <v>883663</v>
      </c>
      <c r="G291" s="48">
        <f t="shared" si="21"/>
        <v>0</v>
      </c>
      <c r="H291" s="50">
        <f>일위대가목록표!F288</f>
        <v>561810</v>
      </c>
      <c r="I291" s="13">
        <f t="shared" si="22"/>
        <v>0</v>
      </c>
      <c r="J291" s="52">
        <f>일위대가목록표!G288</f>
        <v>305000</v>
      </c>
      <c r="K291" s="13">
        <f t="shared" si="23"/>
        <v>0</v>
      </c>
      <c r="L291" s="54">
        <f>일위대가목록표!H288</f>
        <v>16853</v>
      </c>
      <c r="M291" s="33">
        <f t="shared" si="24"/>
        <v>0</v>
      </c>
      <c r="N291" s="22" t="s">
        <v>4198</v>
      </c>
      <c r="O291" s="17" t="s">
        <v>4197</v>
      </c>
      <c r="P291" s="7" t="s">
        <v>4196</v>
      </c>
      <c r="Q291" s="7" t="s">
        <v>3344</v>
      </c>
      <c r="AC291" s="3" t="str">
        <f ca="1">HYPERLINK("#"&amp;일위대가목록표!J2&amp;"!A"&amp;ROW(일위대가목록표!A288),"대가285 →")</f>
        <v>대가285 →</v>
      </c>
    </row>
    <row r="292" spans="1:29" ht="30.6" customHeight="1" x14ac:dyDescent="0.3">
      <c r="A292" s="10"/>
      <c r="B292" s="10" t="s">
        <v>690</v>
      </c>
      <c r="C292" s="41" t="s">
        <v>684</v>
      </c>
      <c r="D292" s="43">
        <v>0</v>
      </c>
      <c r="E292" s="22" t="s">
        <v>14</v>
      </c>
      <c r="F292" s="45">
        <f t="shared" si="20"/>
        <v>578663</v>
      </c>
      <c r="G292" s="48">
        <f t="shared" si="21"/>
        <v>0</v>
      </c>
      <c r="H292" s="50">
        <f>일위대가목록표!F289</f>
        <v>561810</v>
      </c>
      <c r="I292" s="13">
        <f t="shared" si="22"/>
        <v>0</v>
      </c>
      <c r="J292" s="52">
        <f>일위대가목록표!G289</f>
        <v>0</v>
      </c>
      <c r="K292" s="13">
        <f t="shared" si="23"/>
        <v>0</v>
      </c>
      <c r="L292" s="54">
        <f>일위대가목록표!H289</f>
        <v>16853</v>
      </c>
      <c r="M292" s="33">
        <f t="shared" si="24"/>
        <v>0</v>
      </c>
      <c r="N292" s="22" t="s">
        <v>4201</v>
      </c>
      <c r="O292" s="17" t="s">
        <v>4200</v>
      </c>
      <c r="P292" s="7" t="s">
        <v>4199</v>
      </c>
      <c r="Q292" s="7" t="s">
        <v>3344</v>
      </c>
      <c r="AC292" s="3" t="str">
        <f ca="1">HYPERLINK("#"&amp;일위대가목록표!J2&amp;"!A"&amp;ROW(일위대가목록표!A289),"대가286 →")</f>
        <v>대가286 →</v>
      </c>
    </row>
    <row r="293" spans="1:29" ht="30.6" customHeight="1" x14ac:dyDescent="0.3">
      <c r="A293" s="10"/>
      <c r="B293" s="10" t="s">
        <v>690</v>
      </c>
      <c r="C293" s="41" t="s">
        <v>687</v>
      </c>
      <c r="D293" s="43">
        <v>0</v>
      </c>
      <c r="E293" s="22" t="s">
        <v>14</v>
      </c>
      <c r="F293" s="45">
        <f t="shared" si="20"/>
        <v>578663</v>
      </c>
      <c r="G293" s="48">
        <f t="shared" si="21"/>
        <v>0</v>
      </c>
      <c r="H293" s="50">
        <f>일위대가목록표!F290</f>
        <v>561810</v>
      </c>
      <c r="I293" s="13">
        <f t="shared" si="22"/>
        <v>0</v>
      </c>
      <c r="J293" s="52">
        <f>일위대가목록표!G290</f>
        <v>0</v>
      </c>
      <c r="K293" s="13">
        <f t="shared" si="23"/>
        <v>0</v>
      </c>
      <c r="L293" s="54">
        <f>일위대가목록표!H290</f>
        <v>16853</v>
      </c>
      <c r="M293" s="33">
        <f t="shared" si="24"/>
        <v>0</v>
      </c>
      <c r="N293" s="22" t="s">
        <v>4204</v>
      </c>
      <c r="O293" s="17" t="s">
        <v>4203</v>
      </c>
      <c r="P293" s="7" t="s">
        <v>4202</v>
      </c>
      <c r="Q293" s="7" t="s">
        <v>3344</v>
      </c>
      <c r="AC293" s="3" t="str">
        <f ca="1">HYPERLINK("#"&amp;일위대가목록표!J2&amp;"!A"&amp;ROW(일위대가목록표!A290),"대가287 →")</f>
        <v>대가287 →</v>
      </c>
    </row>
    <row r="294" spans="1:29" ht="30.6" customHeight="1" x14ac:dyDescent="0.3">
      <c r="A294" s="10"/>
      <c r="B294" s="10" t="s">
        <v>695</v>
      </c>
      <c r="C294" s="41" t="s">
        <v>684</v>
      </c>
      <c r="D294" s="43">
        <v>0</v>
      </c>
      <c r="E294" s="22" t="s">
        <v>14</v>
      </c>
      <c r="F294" s="45">
        <f t="shared" si="20"/>
        <v>413331</v>
      </c>
      <c r="G294" s="48">
        <f t="shared" si="21"/>
        <v>0</v>
      </c>
      <c r="H294" s="50">
        <f>일위대가목록표!F291</f>
        <v>401293</v>
      </c>
      <c r="I294" s="13">
        <f t="shared" si="22"/>
        <v>0</v>
      </c>
      <c r="J294" s="52">
        <f>일위대가목록표!G291</f>
        <v>0</v>
      </c>
      <c r="K294" s="13">
        <f t="shared" si="23"/>
        <v>0</v>
      </c>
      <c r="L294" s="54">
        <f>일위대가목록표!H291</f>
        <v>12038</v>
      </c>
      <c r="M294" s="33">
        <f t="shared" si="24"/>
        <v>0</v>
      </c>
      <c r="N294" s="22" t="s">
        <v>4207</v>
      </c>
      <c r="O294" s="17" t="s">
        <v>4206</v>
      </c>
      <c r="P294" s="7" t="s">
        <v>4205</v>
      </c>
      <c r="Q294" s="7" t="s">
        <v>3344</v>
      </c>
      <c r="AC294" s="3" t="str">
        <f ca="1">HYPERLINK("#"&amp;일위대가목록표!J2&amp;"!A"&amp;ROW(일위대가목록표!A291),"대가288 →")</f>
        <v>대가288 →</v>
      </c>
    </row>
    <row r="295" spans="1:29" ht="30.6" customHeight="1" x14ac:dyDescent="0.3">
      <c r="A295" s="10"/>
      <c r="B295" s="10" t="s">
        <v>695</v>
      </c>
      <c r="C295" s="41" t="s">
        <v>687</v>
      </c>
      <c r="D295" s="43">
        <v>0</v>
      </c>
      <c r="E295" s="22" t="s">
        <v>14</v>
      </c>
      <c r="F295" s="45">
        <f t="shared" si="20"/>
        <v>413331</v>
      </c>
      <c r="G295" s="48">
        <f t="shared" si="21"/>
        <v>0</v>
      </c>
      <c r="H295" s="50">
        <f>일위대가목록표!F292</f>
        <v>401293</v>
      </c>
      <c r="I295" s="13">
        <f t="shared" si="22"/>
        <v>0</v>
      </c>
      <c r="J295" s="52">
        <f>일위대가목록표!G292</f>
        <v>0</v>
      </c>
      <c r="K295" s="13">
        <f t="shared" si="23"/>
        <v>0</v>
      </c>
      <c r="L295" s="54">
        <f>일위대가목록표!H292</f>
        <v>12038</v>
      </c>
      <c r="M295" s="33">
        <f t="shared" si="24"/>
        <v>0</v>
      </c>
      <c r="N295" s="22" t="s">
        <v>4210</v>
      </c>
      <c r="O295" s="17" t="s">
        <v>4209</v>
      </c>
      <c r="P295" s="7" t="s">
        <v>4208</v>
      </c>
      <c r="Q295" s="7" t="s">
        <v>3344</v>
      </c>
      <c r="AC295" s="3" t="str">
        <f ca="1">HYPERLINK("#"&amp;일위대가목록표!J2&amp;"!A"&amp;ROW(일위대가목록표!A292),"대가289 →")</f>
        <v>대가289 →</v>
      </c>
    </row>
    <row r="296" spans="1:29" ht="30.6" customHeight="1" x14ac:dyDescent="0.3">
      <c r="A296" s="10"/>
      <c r="B296" s="10" t="s">
        <v>700</v>
      </c>
      <c r="C296" s="41" t="s">
        <v>684</v>
      </c>
      <c r="D296" s="43">
        <v>0</v>
      </c>
      <c r="E296" s="22" t="s">
        <v>14</v>
      </c>
      <c r="F296" s="45">
        <f t="shared" si="20"/>
        <v>165332</v>
      </c>
      <c r="G296" s="48">
        <f t="shared" si="21"/>
        <v>0</v>
      </c>
      <c r="H296" s="50">
        <f>일위대가목록표!F293</f>
        <v>160517</v>
      </c>
      <c r="I296" s="13">
        <f t="shared" si="22"/>
        <v>0</v>
      </c>
      <c r="J296" s="52">
        <f>일위대가목록표!G293</f>
        <v>0</v>
      </c>
      <c r="K296" s="13">
        <f t="shared" si="23"/>
        <v>0</v>
      </c>
      <c r="L296" s="54">
        <f>일위대가목록표!H293</f>
        <v>4815</v>
      </c>
      <c r="M296" s="33">
        <f t="shared" si="24"/>
        <v>0</v>
      </c>
      <c r="N296" s="22" t="s">
        <v>4213</v>
      </c>
      <c r="O296" s="17" t="s">
        <v>4212</v>
      </c>
      <c r="P296" s="7" t="s">
        <v>4211</v>
      </c>
      <c r="Q296" s="7" t="s">
        <v>3344</v>
      </c>
      <c r="AC296" s="3" t="str">
        <f ca="1">HYPERLINK("#"&amp;일위대가목록표!J2&amp;"!A"&amp;ROW(일위대가목록표!A293),"대가290 →")</f>
        <v>대가290 →</v>
      </c>
    </row>
    <row r="297" spans="1:29" ht="30.6" customHeight="1" x14ac:dyDescent="0.3">
      <c r="A297" s="10"/>
      <c r="B297" s="10" t="s">
        <v>700</v>
      </c>
      <c r="C297" s="41" t="s">
        <v>687</v>
      </c>
      <c r="D297" s="43">
        <v>0</v>
      </c>
      <c r="E297" s="22" t="s">
        <v>14</v>
      </c>
      <c r="F297" s="45">
        <f t="shared" si="20"/>
        <v>165332</v>
      </c>
      <c r="G297" s="48">
        <f t="shared" si="21"/>
        <v>0</v>
      </c>
      <c r="H297" s="50">
        <f>일위대가목록표!F294</f>
        <v>160517</v>
      </c>
      <c r="I297" s="13">
        <f t="shared" si="22"/>
        <v>0</v>
      </c>
      <c r="J297" s="52">
        <f>일위대가목록표!G294</f>
        <v>0</v>
      </c>
      <c r="K297" s="13">
        <f t="shared" si="23"/>
        <v>0</v>
      </c>
      <c r="L297" s="54">
        <f>일위대가목록표!H294</f>
        <v>4815</v>
      </c>
      <c r="M297" s="33">
        <f t="shared" si="24"/>
        <v>0</v>
      </c>
      <c r="N297" s="22" t="s">
        <v>4216</v>
      </c>
      <c r="O297" s="17" t="s">
        <v>4215</v>
      </c>
      <c r="P297" s="7" t="s">
        <v>4214</v>
      </c>
      <c r="Q297" s="7" t="s">
        <v>3344</v>
      </c>
      <c r="AC297" s="3" t="str">
        <f ca="1">HYPERLINK("#"&amp;일위대가목록표!J2&amp;"!A"&amp;ROW(일위대가목록표!A294),"대가291 →")</f>
        <v>대가291 →</v>
      </c>
    </row>
    <row r="298" spans="1:29" ht="30.6" customHeight="1" x14ac:dyDescent="0.3">
      <c r="A298" s="10"/>
      <c r="B298" s="10" t="s">
        <v>705</v>
      </c>
      <c r="C298" s="41" t="s">
        <v>706</v>
      </c>
      <c r="D298" s="43">
        <v>0</v>
      </c>
      <c r="E298" s="22" t="s">
        <v>14</v>
      </c>
      <c r="F298" s="45">
        <f t="shared" si="20"/>
        <v>1548663</v>
      </c>
      <c r="G298" s="48">
        <f t="shared" si="21"/>
        <v>0</v>
      </c>
      <c r="H298" s="50">
        <f>일위대가목록표!F295</f>
        <v>561810</v>
      </c>
      <c r="I298" s="13">
        <f t="shared" si="22"/>
        <v>0</v>
      </c>
      <c r="J298" s="52">
        <f>일위대가목록표!G295</f>
        <v>970000</v>
      </c>
      <c r="K298" s="13">
        <f t="shared" si="23"/>
        <v>0</v>
      </c>
      <c r="L298" s="54">
        <f>일위대가목록표!H295</f>
        <v>16853</v>
      </c>
      <c r="M298" s="33">
        <f t="shared" si="24"/>
        <v>0</v>
      </c>
      <c r="N298" s="22" t="s">
        <v>4219</v>
      </c>
      <c r="O298" s="17" t="s">
        <v>4218</v>
      </c>
      <c r="P298" s="7" t="s">
        <v>4217</v>
      </c>
      <c r="Q298" s="7" t="s">
        <v>3344</v>
      </c>
      <c r="AC298" s="3" t="str">
        <f ca="1">HYPERLINK("#"&amp;일위대가목록표!J2&amp;"!A"&amp;ROW(일위대가목록표!A295),"대가292 →")</f>
        <v>대가292 →</v>
      </c>
    </row>
    <row r="299" spans="1:29" ht="30.6" customHeight="1" x14ac:dyDescent="0.3">
      <c r="A299" s="10"/>
      <c r="B299" s="10" t="s">
        <v>705</v>
      </c>
      <c r="C299" s="41" t="s">
        <v>709</v>
      </c>
      <c r="D299" s="43">
        <v>0</v>
      </c>
      <c r="E299" s="22" t="s">
        <v>14</v>
      </c>
      <c r="F299" s="45">
        <f t="shared" si="20"/>
        <v>1704343</v>
      </c>
      <c r="G299" s="48">
        <f t="shared" si="21"/>
        <v>0</v>
      </c>
      <c r="H299" s="50">
        <f>일위대가목록표!F296</f>
        <v>635285</v>
      </c>
      <c r="I299" s="13">
        <f t="shared" si="22"/>
        <v>0</v>
      </c>
      <c r="J299" s="52">
        <f>일위대가목록표!G296</f>
        <v>1050000</v>
      </c>
      <c r="K299" s="13">
        <f t="shared" si="23"/>
        <v>0</v>
      </c>
      <c r="L299" s="54">
        <f>일위대가목록표!H296</f>
        <v>19058</v>
      </c>
      <c r="M299" s="33">
        <f t="shared" si="24"/>
        <v>0</v>
      </c>
      <c r="N299" s="22" t="s">
        <v>4222</v>
      </c>
      <c r="O299" s="17" t="s">
        <v>4221</v>
      </c>
      <c r="P299" s="7" t="s">
        <v>4220</v>
      </c>
      <c r="Q299" s="7" t="s">
        <v>3344</v>
      </c>
      <c r="AC299" s="3" t="str">
        <f ca="1">HYPERLINK("#"&amp;일위대가목록표!J2&amp;"!A"&amp;ROW(일위대가목록표!A296),"대가293 →")</f>
        <v>대가293 →</v>
      </c>
    </row>
    <row r="300" spans="1:29" ht="30.6" customHeight="1" x14ac:dyDescent="0.3">
      <c r="A300" s="10"/>
      <c r="B300" s="10" t="s">
        <v>705</v>
      </c>
      <c r="C300" s="41" t="s">
        <v>712</v>
      </c>
      <c r="D300" s="43">
        <v>0</v>
      </c>
      <c r="E300" s="22" t="s">
        <v>14</v>
      </c>
      <c r="F300" s="45">
        <f t="shared" si="20"/>
        <v>2224947</v>
      </c>
      <c r="G300" s="48">
        <f t="shared" si="21"/>
        <v>0</v>
      </c>
      <c r="H300" s="50">
        <f>일위대가목록표!F297</f>
        <v>703833</v>
      </c>
      <c r="I300" s="13">
        <f t="shared" si="22"/>
        <v>0</v>
      </c>
      <c r="J300" s="52">
        <f>일위대가목록표!G297</f>
        <v>1500000</v>
      </c>
      <c r="K300" s="13">
        <f t="shared" si="23"/>
        <v>0</v>
      </c>
      <c r="L300" s="54">
        <f>일위대가목록표!H297</f>
        <v>21114</v>
      </c>
      <c r="M300" s="33">
        <f t="shared" si="24"/>
        <v>0</v>
      </c>
      <c r="N300" s="22" t="s">
        <v>4225</v>
      </c>
      <c r="O300" s="17" t="s">
        <v>4224</v>
      </c>
      <c r="P300" s="7" t="s">
        <v>4223</v>
      </c>
      <c r="Q300" s="7" t="s">
        <v>3344</v>
      </c>
      <c r="AC300" s="3" t="str">
        <f ca="1">HYPERLINK("#"&amp;일위대가목록표!J2&amp;"!A"&amp;ROW(일위대가목록표!A297),"대가294 →")</f>
        <v>대가294 →</v>
      </c>
    </row>
    <row r="301" spans="1:29" ht="30.6" customHeight="1" x14ac:dyDescent="0.3">
      <c r="A301" s="10"/>
      <c r="B301" s="10" t="s">
        <v>705</v>
      </c>
      <c r="C301" s="41" t="s">
        <v>715</v>
      </c>
      <c r="D301" s="43">
        <v>0</v>
      </c>
      <c r="E301" s="22" t="s">
        <v>14</v>
      </c>
      <c r="F301" s="45">
        <f t="shared" si="20"/>
        <v>2675708</v>
      </c>
      <c r="G301" s="48">
        <f t="shared" si="21"/>
        <v>0</v>
      </c>
      <c r="H301" s="50">
        <f>일위대가목록표!F298</f>
        <v>850203</v>
      </c>
      <c r="I301" s="13">
        <f t="shared" si="22"/>
        <v>0</v>
      </c>
      <c r="J301" s="52">
        <f>일위대가목록표!G298</f>
        <v>1800000</v>
      </c>
      <c r="K301" s="13">
        <f t="shared" si="23"/>
        <v>0</v>
      </c>
      <c r="L301" s="54">
        <f>일위대가목록표!H298</f>
        <v>25505</v>
      </c>
      <c r="M301" s="33">
        <f t="shared" si="24"/>
        <v>0</v>
      </c>
      <c r="N301" s="22" t="s">
        <v>4228</v>
      </c>
      <c r="O301" s="17" t="s">
        <v>4227</v>
      </c>
      <c r="P301" s="7" t="s">
        <v>4226</v>
      </c>
      <c r="Q301" s="7" t="s">
        <v>3344</v>
      </c>
      <c r="AC301" s="3" t="str">
        <f ca="1">HYPERLINK("#"&amp;일위대가목록표!J2&amp;"!A"&amp;ROW(일위대가목록표!A298),"대가295 →")</f>
        <v>대가295 →</v>
      </c>
    </row>
    <row r="302" spans="1:29" ht="30.6" customHeight="1" x14ac:dyDescent="0.3">
      <c r="A302" s="10"/>
      <c r="B302" s="10" t="s">
        <v>705</v>
      </c>
      <c r="C302" s="41" t="s">
        <v>718</v>
      </c>
      <c r="D302" s="43">
        <v>0</v>
      </c>
      <c r="E302" s="22" t="s">
        <v>14</v>
      </c>
      <c r="F302" s="45">
        <f t="shared" si="20"/>
        <v>3357069</v>
      </c>
      <c r="G302" s="48">
        <f t="shared" si="21"/>
        <v>0</v>
      </c>
      <c r="H302" s="50">
        <f>일위대가목록표!F299</f>
        <v>1026282</v>
      </c>
      <c r="I302" s="13">
        <f t="shared" si="22"/>
        <v>0</v>
      </c>
      <c r="J302" s="52">
        <f>일위대가목록표!G299</f>
        <v>2300000</v>
      </c>
      <c r="K302" s="13">
        <f t="shared" si="23"/>
        <v>0</v>
      </c>
      <c r="L302" s="54">
        <f>일위대가목록표!H299</f>
        <v>30787</v>
      </c>
      <c r="M302" s="33">
        <f t="shared" si="24"/>
        <v>0</v>
      </c>
      <c r="N302" s="22" t="s">
        <v>4231</v>
      </c>
      <c r="O302" s="17" t="s">
        <v>4230</v>
      </c>
      <c r="P302" s="7" t="s">
        <v>4229</v>
      </c>
      <c r="Q302" s="7" t="s">
        <v>3344</v>
      </c>
      <c r="AC302" s="3" t="str">
        <f ca="1">HYPERLINK("#"&amp;일위대가목록표!J2&amp;"!A"&amp;ROW(일위대가목록표!A299),"대가296 →")</f>
        <v>대가296 →</v>
      </c>
    </row>
    <row r="303" spans="1:29" ht="30.6" customHeight="1" x14ac:dyDescent="0.3">
      <c r="A303" s="10"/>
      <c r="B303" s="10" t="s">
        <v>705</v>
      </c>
      <c r="C303" s="41" t="s">
        <v>721</v>
      </c>
      <c r="D303" s="43">
        <v>0</v>
      </c>
      <c r="E303" s="22" t="s">
        <v>14</v>
      </c>
      <c r="F303" s="45">
        <f t="shared" si="20"/>
        <v>4920434</v>
      </c>
      <c r="G303" s="48">
        <f t="shared" si="21"/>
        <v>0</v>
      </c>
      <c r="H303" s="50">
        <f>일위대가목록표!F300</f>
        <v>1221781</v>
      </c>
      <c r="I303" s="13">
        <f t="shared" si="22"/>
        <v>0</v>
      </c>
      <c r="J303" s="52">
        <f>일위대가목록표!G300</f>
        <v>3662000</v>
      </c>
      <c r="K303" s="13">
        <f t="shared" si="23"/>
        <v>0</v>
      </c>
      <c r="L303" s="54">
        <f>일위대가목록표!H300</f>
        <v>36653</v>
      </c>
      <c r="M303" s="33">
        <f t="shared" si="24"/>
        <v>0</v>
      </c>
      <c r="N303" s="22" t="s">
        <v>4234</v>
      </c>
      <c r="O303" s="17" t="s">
        <v>4233</v>
      </c>
      <c r="P303" s="7" t="s">
        <v>4232</v>
      </c>
      <c r="Q303" s="7" t="s">
        <v>3344</v>
      </c>
      <c r="AC303" s="3" t="str">
        <f ca="1">HYPERLINK("#"&amp;일위대가목록표!J2&amp;"!A"&amp;ROW(일위대가목록표!A300),"대가297 →")</f>
        <v>대가297 →</v>
      </c>
    </row>
    <row r="304" spans="1:29" ht="30.6" customHeight="1" x14ac:dyDescent="0.3">
      <c r="A304" s="10"/>
      <c r="B304" s="10" t="s">
        <v>724</v>
      </c>
      <c r="C304" s="41" t="s">
        <v>725</v>
      </c>
      <c r="D304" s="43">
        <v>0</v>
      </c>
      <c r="E304" s="22" t="s">
        <v>14</v>
      </c>
      <c r="F304" s="45">
        <f t="shared" si="20"/>
        <v>6859552</v>
      </c>
      <c r="G304" s="48">
        <f t="shared" si="21"/>
        <v>0</v>
      </c>
      <c r="H304" s="50">
        <f>일위대가목록표!F301</f>
        <v>349080</v>
      </c>
      <c r="I304" s="13">
        <f t="shared" si="22"/>
        <v>0</v>
      </c>
      <c r="J304" s="52">
        <f>일위대가목록표!G301</f>
        <v>6500000</v>
      </c>
      <c r="K304" s="13">
        <f t="shared" si="23"/>
        <v>0</v>
      </c>
      <c r="L304" s="54">
        <f>일위대가목록표!H301</f>
        <v>10472</v>
      </c>
      <c r="M304" s="33">
        <f t="shared" si="24"/>
        <v>0</v>
      </c>
      <c r="N304" s="22" t="s">
        <v>4237</v>
      </c>
      <c r="O304" s="17" t="s">
        <v>4236</v>
      </c>
      <c r="P304" s="7" t="s">
        <v>4235</v>
      </c>
      <c r="Q304" s="7" t="s">
        <v>3344</v>
      </c>
      <c r="AC304" s="3" t="str">
        <f ca="1">HYPERLINK("#"&amp;일위대가목록표!J2&amp;"!A"&amp;ROW(일위대가목록표!A301),"대가298 →")</f>
        <v>대가298 →</v>
      </c>
    </row>
    <row r="305" spans="1:29" ht="30.6" customHeight="1" x14ac:dyDescent="0.3">
      <c r="A305" s="10"/>
      <c r="B305" s="10" t="s">
        <v>724</v>
      </c>
      <c r="C305" s="41" t="s">
        <v>728</v>
      </c>
      <c r="D305" s="43">
        <v>0</v>
      </c>
      <c r="E305" s="22" t="s">
        <v>14</v>
      </c>
      <c r="F305" s="45">
        <f t="shared" si="20"/>
        <v>11758434</v>
      </c>
      <c r="G305" s="48">
        <f t="shared" si="21"/>
        <v>0</v>
      </c>
      <c r="H305" s="50">
        <f>일위대가목록표!F302</f>
        <v>1221781</v>
      </c>
      <c r="I305" s="13">
        <f t="shared" si="22"/>
        <v>0</v>
      </c>
      <c r="J305" s="52">
        <f>일위대가목록표!G302</f>
        <v>10500000</v>
      </c>
      <c r="K305" s="13">
        <f t="shared" si="23"/>
        <v>0</v>
      </c>
      <c r="L305" s="54">
        <f>일위대가목록표!H302</f>
        <v>36653</v>
      </c>
      <c r="M305" s="33">
        <f t="shared" si="24"/>
        <v>0</v>
      </c>
      <c r="N305" s="22" t="s">
        <v>4240</v>
      </c>
      <c r="O305" s="17" t="s">
        <v>4239</v>
      </c>
      <c r="P305" s="7" t="s">
        <v>4238</v>
      </c>
      <c r="Q305" s="7" t="s">
        <v>3344</v>
      </c>
      <c r="AC305" s="3" t="str">
        <f ca="1">HYPERLINK("#"&amp;일위대가목록표!J2&amp;"!A"&amp;ROW(일위대가목록표!A302),"대가299 →")</f>
        <v>대가299 →</v>
      </c>
    </row>
    <row r="306" spans="1:29" ht="30.6" customHeight="1" x14ac:dyDescent="0.3">
      <c r="A306" s="10"/>
      <c r="B306" s="10" t="s">
        <v>724</v>
      </c>
      <c r="C306" s="41" t="s">
        <v>731</v>
      </c>
      <c r="D306" s="43">
        <v>0</v>
      </c>
      <c r="E306" s="22" t="s">
        <v>14</v>
      </c>
      <c r="F306" s="45">
        <f t="shared" si="20"/>
        <v>13758434</v>
      </c>
      <c r="G306" s="48">
        <f t="shared" si="21"/>
        <v>0</v>
      </c>
      <c r="H306" s="50">
        <f>일위대가목록표!F303</f>
        <v>1221781</v>
      </c>
      <c r="I306" s="13">
        <f t="shared" si="22"/>
        <v>0</v>
      </c>
      <c r="J306" s="52">
        <f>일위대가목록표!G303</f>
        <v>12500000</v>
      </c>
      <c r="K306" s="13">
        <f t="shared" si="23"/>
        <v>0</v>
      </c>
      <c r="L306" s="54">
        <f>일위대가목록표!H303</f>
        <v>36653</v>
      </c>
      <c r="M306" s="33">
        <f t="shared" si="24"/>
        <v>0</v>
      </c>
      <c r="N306" s="22" t="s">
        <v>4243</v>
      </c>
      <c r="O306" s="17" t="s">
        <v>4242</v>
      </c>
      <c r="P306" s="7" t="s">
        <v>4241</v>
      </c>
      <c r="Q306" s="7" t="s">
        <v>3344</v>
      </c>
      <c r="AC306" s="3" t="str">
        <f ca="1">HYPERLINK("#"&amp;일위대가목록표!J2&amp;"!A"&amp;ROW(일위대가목록표!A303),"대가300 →")</f>
        <v>대가300 →</v>
      </c>
    </row>
    <row r="307" spans="1:29" ht="30.6" customHeight="1" x14ac:dyDescent="0.3">
      <c r="A307" s="10"/>
      <c r="B307" s="10" t="s">
        <v>724</v>
      </c>
      <c r="C307" s="41" t="s">
        <v>734</v>
      </c>
      <c r="D307" s="43">
        <v>0</v>
      </c>
      <c r="E307" s="22" t="s">
        <v>14</v>
      </c>
      <c r="F307" s="45">
        <f t="shared" si="20"/>
        <v>16258434</v>
      </c>
      <c r="G307" s="48">
        <f t="shared" si="21"/>
        <v>0</v>
      </c>
      <c r="H307" s="50">
        <f>일위대가목록표!F304</f>
        <v>1221781</v>
      </c>
      <c r="I307" s="13">
        <f t="shared" si="22"/>
        <v>0</v>
      </c>
      <c r="J307" s="52">
        <f>일위대가목록표!G304</f>
        <v>15000000</v>
      </c>
      <c r="K307" s="13">
        <f t="shared" si="23"/>
        <v>0</v>
      </c>
      <c r="L307" s="54">
        <f>일위대가목록표!H304</f>
        <v>36653</v>
      </c>
      <c r="M307" s="33">
        <f t="shared" si="24"/>
        <v>0</v>
      </c>
      <c r="N307" s="22" t="s">
        <v>4246</v>
      </c>
      <c r="O307" s="17" t="s">
        <v>4245</v>
      </c>
      <c r="P307" s="7" t="s">
        <v>4244</v>
      </c>
      <c r="Q307" s="7" t="s">
        <v>3344</v>
      </c>
      <c r="AC307" s="3" t="str">
        <f ca="1">HYPERLINK("#"&amp;일위대가목록표!J2&amp;"!A"&amp;ROW(일위대가목록표!A304),"대가301 →")</f>
        <v>대가301 →</v>
      </c>
    </row>
    <row r="308" spans="1:29" ht="30.6" customHeight="1" x14ac:dyDescent="0.3">
      <c r="A308" s="10"/>
      <c r="B308" s="10" t="s">
        <v>737</v>
      </c>
      <c r="C308" s="41" t="s">
        <v>706</v>
      </c>
      <c r="D308" s="43">
        <v>0</v>
      </c>
      <c r="E308" s="22" t="s">
        <v>14</v>
      </c>
      <c r="F308" s="45">
        <f t="shared" si="20"/>
        <v>578663</v>
      </c>
      <c r="G308" s="48">
        <f t="shared" si="21"/>
        <v>0</v>
      </c>
      <c r="H308" s="50">
        <f>일위대가목록표!F305</f>
        <v>561810</v>
      </c>
      <c r="I308" s="13">
        <f t="shared" si="22"/>
        <v>0</v>
      </c>
      <c r="J308" s="52">
        <f>일위대가목록표!G305</f>
        <v>0</v>
      </c>
      <c r="K308" s="13">
        <f t="shared" si="23"/>
        <v>0</v>
      </c>
      <c r="L308" s="54">
        <f>일위대가목록표!H305</f>
        <v>16853</v>
      </c>
      <c r="M308" s="33">
        <f t="shared" si="24"/>
        <v>0</v>
      </c>
      <c r="N308" s="22" t="s">
        <v>4249</v>
      </c>
      <c r="O308" s="17" t="s">
        <v>4248</v>
      </c>
      <c r="P308" s="7" t="s">
        <v>4247</v>
      </c>
      <c r="Q308" s="7" t="s">
        <v>3344</v>
      </c>
      <c r="AC308" s="3" t="str">
        <f ca="1">HYPERLINK("#"&amp;일위대가목록표!J2&amp;"!A"&amp;ROW(일위대가목록표!A305),"대가302 →")</f>
        <v>대가302 →</v>
      </c>
    </row>
    <row r="309" spans="1:29" ht="30.6" customHeight="1" x14ac:dyDescent="0.3">
      <c r="A309" s="10"/>
      <c r="B309" s="10" t="s">
        <v>737</v>
      </c>
      <c r="C309" s="41" t="s">
        <v>709</v>
      </c>
      <c r="D309" s="43">
        <v>0</v>
      </c>
      <c r="E309" s="22" t="s">
        <v>14</v>
      </c>
      <c r="F309" s="45">
        <f t="shared" si="20"/>
        <v>654343</v>
      </c>
      <c r="G309" s="48">
        <f t="shared" si="21"/>
        <v>0</v>
      </c>
      <c r="H309" s="50">
        <f>일위대가목록표!F306</f>
        <v>635285</v>
      </c>
      <c r="I309" s="13">
        <f t="shared" si="22"/>
        <v>0</v>
      </c>
      <c r="J309" s="52">
        <f>일위대가목록표!G306</f>
        <v>0</v>
      </c>
      <c r="K309" s="13">
        <f t="shared" si="23"/>
        <v>0</v>
      </c>
      <c r="L309" s="54">
        <f>일위대가목록표!H306</f>
        <v>19058</v>
      </c>
      <c r="M309" s="33">
        <f t="shared" si="24"/>
        <v>0</v>
      </c>
      <c r="N309" s="22" t="s">
        <v>4252</v>
      </c>
      <c r="O309" s="17" t="s">
        <v>4251</v>
      </c>
      <c r="P309" s="7" t="s">
        <v>4250</v>
      </c>
      <c r="Q309" s="7" t="s">
        <v>3344</v>
      </c>
      <c r="AC309" s="3" t="str">
        <f ca="1">HYPERLINK("#"&amp;일위대가목록표!J2&amp;"!A"&amp;ROW(일위대가목록표!A306),"대가303 →")</f>
        <v>대가303 →</v>
      </c>
    </row>
    <row r="310" spans="1:29" ht="30.6" customHeight="1" x14ac:dyDescent="0.3">
      <c r="A310" s="10"/>
      <c r="B310" s="10" t="s">
        <v>737</v>
      </c>
      <c r="C310" s="41" t="s">
        <v>712</v>
      </c>
      <c r="D310" s="43">
        <v>0</v>
      </c>
      <c r="E310" s="22" t="s">
        <v>14</v>
      </c>
      <c r="F310" s="45">
        <f t="shared" si="20"/>
        <v>724947</v>
      </c>
      <c r="G310" s="48">
        <f t="shared" si="21"/>
        <v>0</v>
      </c>
      <c r="H310" s="50">
        <f>일위대가목록표!F307</f>
        <v>703833</v>
      </c>
      <c r="I310" s="13">
        <f t="shared" si="22"/>
        <v>0</v>
      </c>
      <c r="J310" s="52">
        <f>일위대가목록표!G307</f>
        <v>0</v>
      </c>
      <c r="K310" s="13">
        <f t="shared" si="23"/>
        <v>0</v>
      </c>
      <c r="L310" s="54">
        <f>일위대가목록표!H307</f>
        <v>21114</v>
      </c>
      <c r="M310" s="33">
        <f t="shared" si="24"/>
        <v>0</v>
      </c>
      <c r="N310" s="22" t="s">
        <v>4255</v>
      </c>
      <c r="O310" s="17" t="s">
        <v>4254</v>
      </c>
      <c r="P310" s="7" t="s">
        <v>4253</v>
      </c>
      <c r="Q310" s="7" t="s">
        <v>3344</v>
      </c>
      <c r="AC310" s="3" t="str">
        <f ca="1">HYPERLINK("#"&amp;일위대가목록표!J2&amp;"!A"&amp;ROW(일위대가목록표!A307),"대가304 →")</f>
        <v>대가304 →</v>
      </c>
    </row>
    <row r="311" spans="1:29" ht="30.6" customHeight="1" x14ac:dyDescent="0.3">
      <c r="A311" s="10"/>
      <c r="B311" s="10" t="s">
        <v>737</v>
      </c>
      <c r="C311" s="41" t="s">
        <v>715</v>
      </c>
      <c r="D311" s="43">
        <v>0</v>
      </c>
      <c r="E311" s="22" t="s">
        <v>14</v>
      </c>
      <c r="F311" s="45">
        <f t="shared" si="20"/>
        <v>875708</v>
      </c>
      <c r="G311" s="48">
        <f t="shared" si="21"/>
        <v>0</v>
      </c>
      <c r="H311" s="50">
        <f>일위대가목록표!F308</f>
        <v>850203</v>
      </c>
      <c r="I311" s="13">
        <f t="shared" si="22"/>
        <v>0</v>
      </c>
      <c r="J311" s="52">
        <f>일위대가목록표!G308</f>
        <v>0</v>
      </c>
      <c r="K311" s="13">
        <f t="shared" si="23"/>
        <v>0</v>
      </c>
      <c r="L311" s="54">
        <f>일위대가목록표!H308</f>
        <v>25505</v>
      </c>
      <c r="M311" s="33">
        <f t="shared" si="24"/>
        <v>0</v>
      </c>
      <c r="N311" s="22" t="s">
        <v>4258</v>
      </c>
      <c r="O311" s="17" t="s">
        <v>4257</v>
      </c>
      <c r="P311" s="7" t="s">
        <v>4256</v>
      </c>
      <c r="Q311" s="7" t="s">
        <v>3344</v>
      </c>
      <c r="AC311" s="3" t="str">
        <f ca="1">HYPERLINK("#"&amp;일위대가목록표!J2&amp;"!A"&amp;ROW(일위대가목록표!A308),"대가305 →")</f>
        <v>대가305 →</v>
      </c>
    </row>
    <row r="312" spans="1:29" ht="30.6" customHeight="1" x14ac:dyDescent="0.3">
      <c r="A312" s="10"/>
      <c r="B312" s="10" t="s">
        <v>737</v>
      </c>
      <c r="C312" s="41" t="s">
        <v>718</v>
      </c>
      <c r="D312" s="43">
        <v>0</v>
      </c>
      <c r="E312" s="22" t="s">
        <v>14</v>
      </c>
      <c r="F312" s="45">
        <f t="shared" si="20"/>
        <v>1057069</v>
      </c>
      <c r="G312" s="48">
        <f t="shared" si="21"/>
        <v>0</v>
      </c>
      <c r="H312" s="50">
        <f>일위대가목록표!F309</f>
        <v>1026282</v>
      </c>
      <c r="I312" s="13">
        <f t="shared" si="22"/>
        <v>0</v>
      </c>
      <c r="J312" s="52">
        <f>일위대가목록표!G309</f>
        <v>0</v>
      </c>
      <c r="K312" s="13">
        <f t="shared" si="23"/>
        <v>0</v>
      </c>
      <c r="L312" s="54">
        <f>일위대가목록표!H309</f>
        <v>30787</v>
      </c>
      <c r="M312" s="33">
        <f t="shared" si="24"/>
        <v>0</v>
      </c>
      <c r="N312" s="22" t="s">
        <v>4261</v>
      </c>
      <c r="O312" s="17" t="s">
        <v>4260</v>
      </c>
      <c r="P312" s="7" t="s">
        <v>4259</v>
      </c>
      <c r="Q312" s="7" t="s">
        <v>3344</v>
      </c>
      <c r="AC312" s="3" t="str">
        <f ca="1">HYPERLINK("#"&amp;일위대가목록표!J2&amp;"!A"&amp;ROW(일위대가목록표!A309),"대가306 →")</f>
        <v>대가306 →</v>
      </c>
    </row>
    <row r="313" spans="1:29" ht="30.6" customHeight="1" x14ac:dyDescent="0.3">
      <c r="A313" s="10"/>
      <c r="B313" s="10" t="s">
        <v>737</v>
      </c>
      <c r="C313" s="41" t="s">
        <v>721</v>
      </c>
      <c r="D313" s="43">
        <v>0</v>
      </c>
      <c r="E313" s="22" t="s">
        <v>14</v>
      </c>
      <c r="F313" s="45">
        <f t="shared" si="20"/>
        <v>1258434</v>
      </c>
      <c r="G313" s="48">
        <f t="shared" si="21"/>
        <v>0</v>
      </c>
      <c r="H313" s="50">
        <f>일위대가목록표!F310</f>
        <v>1221781</v>
      </c>
      <c r="I313" s="13">
        <f t="shared" si="22"/>
        <v>0</v>
      </c>
      <c r="J313" s="52">
        <f>일위대가목록표!G310</f>
        <v>0</v>
      </c>
      <c r="K313" s="13">
        <f t="shared" si="23"/>
        <v>0</v>
      </c>
      <c r="L313" s="54">
        <f>일위대가목록표!H310</f>
        <v>36653</v>
      </c>
      <c r="M313" s="33">
        <f t="shared" si="24"/>
        <v>0</v>
      </c>
      <c r="N313" s="22" t="s">
        <v>4264</v>
      </c>
      <c r="O313" s="17" t="s">
        <v>4263</v>
      </c>
      <c r="P313" s="7" t="s">
        <v>4262</v>
      </c>
      <c r="Q313" s="7" t="s">
        <v>3344</v>
      </c>
      <c r="AC313" s="3" t="str">
        <f ca="1">HYPERLINK("#"&amp;일위대가목록표!J2&amp;"!A"&amp;ROW(일위대가목록표!A310),"대가307 →")</f>
        <v>대가307 →</v>
      </c>
    </row>
    <row r="314" spans="1:29" ht="30.6" customHeight="1" x14ac:dyDescent="0.3">
      <c r="A314" s="10"/>
      <c r="B314" s="10" t="s">
        <v>750</v>
      </c>
      <c r="C314" s="41" t="s">
        <v>725</v>
      </c>
      <c r="D314" s="43">
        <v>1</v>
      </c>
      <c r="E314" s="22" t="s">
        <v>14</v>
      </c>
      <c r="F314" s="45">
        <f t="shared" si="20"/>
        <v>1258434</v>
      </c>
      <c r="G314" s="48">
        <f t="shared" si="21"/>
        <v>1258434</v>
      </c>
      <c r="H314" s="50">
        <f>일위대가목록표!F311</f>
        <v>1221781</v>
      </c>
      <c r="I314" s="13">
        <f t="shared" si="22"/>
        <v>1221781</v>
      </c>
      <c r="J314" s="52">
        <f>일위대가목록표!G311</f>
        <v>0</v>
      </c>
      <c r="K314" s="13">
        <f t="shared" si="23"/>
        <v>0</v>
      </c>
      <c r="L314" s="54">
        <f>일위대가목록표!H311</f>
        <v>36653</v>
      </c>
      <c r="M314" s="33">
        <f t="shared" si="24"/>
        <v>36653</v>
      </c>
      <c r="N314" s="22" t="s">
        <v>4267</v>
      </c>
      <c r="O314" s="17" t="s">
        <v>4266</v>
      </c>
      <c r="P314" s="7" t="s">
        <v>4265</v>
      </c>
      <c r="Q314" s="7" t="s">
        <v>3344</v>
      </c>
      <c r="AC314" s="3" t="str">
        <f ca="1">HYPERLINK("#"&amp;일위대가목록표!J2&amp;"!A"&amp;ROW(일위대가목록표!A311),"대가308 →")</f>
        <v>대가308 →</v>
      </c>
    </row>
    <row r="315" spans="1:29" ht="30.6" customHeight="1" x14ac:dyDescent="0.3">
      <c r="A315" s="10"/>
      <c r="B315" s="10" t="s">
        <v>750</v>
      </c>
      <c r="C315" s="41" t="s">
        <v>728</v>
      </c>
      <c r="D315" s="43">
        <v>0</v>
      </c>
      <c r="E315" s="22" t="s">
        <v>14</v>
      </c>
      <c r="F315" s="45">
        <f t="shared" si="20"/>
        <v>1258434</v>
      </c>
      <c r="G315" s="48">
        <f t="shared" si="21"/>
        <v>0</v>
      </c>
      <c r="H315" s="50">
        <f>일위대가목록표!F312</f>
        <v>1221781</v>
      </c>
      <c r="I315" s="13">
        <f t="shared" si="22"/>
        <v>0</v>
      </c>
      <c r="J315" s="52">
        <f>일위대가목록표!G312</f>
        <v>0</v>
      </c>
      <c r="K315" s="13">
        <f t="shared" si="23"/>
        <v>0</v>
      </c>
      <c r="L315" s="54">
        <f>일위대가목록표!H312</f>
        <v>36653</v>
      </c>
      <c r="M315" s="33">
        <f t="shared" si="24"/>
        <v>0</v>
      </c>
      <c r="N315" s="22" t="s">
        <v>4270</v>
      </c>
      <c r="O315" s="17" t="s">
        <v>4269</v>
      </c>
      <c r="P315" s="7" t="s">
        <v>4268</v>
      </c>
      <c r="Q315" s="7" t="s">
        <v>3344</v>
      </c>
      <c r="AC315" s="3" t="str">
        <f ca="1">HYPERLINK("#"&amp;일위대가목록표!J2&amp;"!A"&amp;ROW(일위대가목록표!A312),"대가309 →")</f>
        <v>대가309 →</v>
      </c>
    </row>
    <row r="316" spans="1:29" ht="30.6" customHeight="1" x14ac:dyDescent="0.3">
      <c r="A316" s="10"/>
      <c r="B316" s="10" t="s">
        <v>750</v>
      </c>
      <c r="C316" s="41" t="s">
        <v>731</v>
      </c>
      <c r="D316" s="43">
        <v>0</v>
      </c>
      <c r="E316" s="22" t="s">
        <v>14</v>
      </c>
      <c r="F316" s="45">
        <f t="shared" si="20"/>
        <v>1258434</v>
      </c>
      <c r="G316" s="48">
        <f t="shared" si="21"/>
        <v>0</v>
      </c>
      <c r="H316" s="50">
        <f>일위대가목록표!F313</f>
        <v>1221781</v>
      </c>
      <c r="I316" s="13">
        <f t="shared" si="22"/>
        <v>0</v>
      </c>
      <c r="J316" s="52">
        <f>일위대가목록표!G313</f>
        <v>0</v>
      </c>
      <c r="K316" s="13">
        <f t="shared" si="23"/>
        <v>0</v>
      </c>
      <c r="L316" s="54">
        <f>일위대가목록표!H313</f>
        <v>36653</v>
      </c>
      <c r="M316" s="33">
        <f t="shared" si="24"/>
        <v>0</v>
      </c>
      <c r="N316" s="22" t="s">
        <v>4273</v>
      </c>
      <c r="O316" s="17" t="s">
        <v>4272</v>
      </c>
      <c r="P316" s="7" t="s">
        <v>4271</v>
      </c>
      <c r="Q316" s="7" t="s">
        <v>3344</v>
      </c>
      <c r="AC316" s="3" t="str">
        <f ca="1">HYPERLINK("#"&amp;일위대가목록표!J2&amp;"!A"&amp;ROW(일위대가목록표!A313),"대가310 →")</f>
        <v>대가310 →</v>
      </c>
    </row>
    <row r="317" spans="1:29" ht="30.6" customHeight="1" x14ac:dyDescent="0.3">
      <c r="A317" s="10"/>
      <c r="B317" s="10" t="s">
        <v>750</v>
      </c>
      <c r="C317" s="41" t="s">
        <v>734</v>
      </c>
      <c r="D317" s="43">
        <v>0</v>
      </c>
      <c r="E317" s="22" t="s">
        <v>14</v>
      </c>
      <c r="F317" s="45">
        <f t="shared" si="20"/>
        <v>1258434</v>
      </c>
      <c r="G317" s="48">
        <f t="shared" si="21"/>
        <v>0</v>
      </c>
      <c r="H317" s="50">
        <f>일위대가목록표!F314</f>
        <v>1221781</v>
      </c>
      <c r="I317" s="13">
        <f t="shared" si="22"/>
        <v>0</v>
      </c>
      <c r="J317" s="52">
        <f>일위대가목록표!G314</f>
        <v>0</v>
      </c>
      <c r="K317" s="13">
        <f t="shared" si="23"/>
        <v>0</v>
      </c>
      <c r="L317" s="54">
        <f>일위대가목록표!H314</f>
        <v>36653</v>
      </c>
      <c r="M317" s="33">
        <f t="shared" si="24"/>
        <v>0</v>
      </c>
      <c r="N317" s="22" t="s">
        <v>4276</v>
      </c>
      <c r="O317" s="17" t="s">
        <v>4275</v>
      </c>
      <c r="P317" s="7" t="s">
        <v>4274</v>
      </c>
      <c r="Q317" s="7" t="s">
        <v>3344</v>
      </c>
      <c r="AC317" s="3" t="str">
        <f ca="1">HYPERLINK("#"&amp;일위대가목록표!J2&amp;"!A"&amp;ROW(일위대가목록표!A314),"대가311 →")</f>
        <v>대가311 →</v>
      </c>
    </row>
    <row r="318" spans="1:29" ht="30.6" customHeight="1" x14ac:dyDescent="0.3">
      <c r="A318" s="10"/>
      <c r="B318" s="10" t="s">
        <v>759</v>
      </c>
      <c r="C318" s="41" t="s">
        <v>706</v>
      </c>
      <c r="D318" s="43">
        <v>1</v>
      </c>
      <c r="E318" s="22" t="s">
        <v>14</v>
      </c>
      <c r="F318" s="45">
        <f t="shared" si="20"/>
        <v>413331</v>
      </c>
      <c r="G318" s="48">
        <f t="shared" si="21"/>
        <v>413331</v>
      </c>
      <c r="H318" s="50">
        <f>일위대가목록표!F315</f>
        <v>401293</v>
      </c>
      <c r="I318" s="13">
        <f t="shared" si="22"/>
        <v>401293</v>
      </c>
      <c r="J318" s="52">
        <f>일위대가목록표!G315</f>
        <v>0</v>
      </c>
      <c r="K318" s="13">
        <f t="shared" si="23"/>
        <v>0</v>
      </c>
      <c r="L318" s="54">
        <f>일위대가목록표!H315</f>
        <v>12038</v>
      </c>
      <c r="M318" s="33">
        <f t="shared" si="24"/>
        <v>12038</v>
      </c>
      <c r="N318" s="22" t="s">
        <v>4279</v>
      </c>
      <c r="O318" s="17" t="s">
        <v>4278</v>
      </c>
      <c r="P318" s="7" t="s">
        <v>4277</v>
      </c>
      <c r="Q318" s="7" t="s">
        <v>3344</v>
      </c>
      <c r="AC318" s="3" t="str">
        <f ca="1">HYPERLINK("#"&amp;일위대가목록표!J2&amp;"!A"&amp;ROW(일위대가목록표!A315),"대가312 →")</f>
        <v>대가312 →</v>
      </c>
    </row>
    <row r="319" spans="1:29" ht="30.6" customHeight="1" x14ac:dyDescent="0.3">
      <c r="A319" s="10"/>
      <c r="B319" s="10" t="s">
        <v>759</v>
      </c>
      <c r="C319" s="41" t="s">
        <v>709</v>
      </c>
      <c r="D319" s="43">
        <v>1</v>
      </c>
      <c r="E319" s="22" t="s">
        <v>14</v>
      </c>
      <c r="F319" s="45">
        <f t="shared" si="20"/>
        <v>467388</v>
      </c>
      <c r="G319" s="48">
        <f t="shared" si="21"/>
        <v>467388</v>
      </c>
      <c r="H319" s="50">
        <f>일위대가목록표!F316</f>
        <v>453775</v>
      </c>
      <c r="I319" s="13">
        <f t="shared" si="22"/>
        <v>453775</v>
      </c>
      <c r="J319" s="52">
        <f>일위대가목록표!G316</f>
        <v>0</v>
      </c>
      <c r="K319" s="13">
        <f t="shared" si="23"/>
        <v>0</v>
      </c>
      <c r="L319" s="54">
        <f>일위대가목록표!H316</f>
        <v>13613</v>
      </c>
      <c r="M319" s="33">
        <f t="shared" si="24"/>
        <v>13613</v>
      </c>
      <c r="N319" s="22" t="s">
        <v>4282</v>
      </c>
      <c r="O319" s="17" t="s">
        <v>4281</v>
      </c>
      <c r="P319" s="7" t="s">
        <v>4280</v>
      </c>
      <c r="Q319" s="7" t="s">
        <v>3344</v>
      </c>
      <c r="AC319" s="3" t="str">
        <f ca="1">HYPERLINK("#"&amp;일위대가목록표!J2&amp;"!A"&amp;ROW(일위대가목록표!A316),"대가313 →")</f>
        <v>대가313 →</v>
      </c>
    </row>
    <row r="320" spans="1:29" ht="30.6" customHeight="1" x14ac:dyDescent="0.3">
      <c r="A320" s="10"/>
      <c r="B320" s="10" t="s">
        <v>759</v>
      </c>
      <c r="C320" s="41" t="s">
        <v>712</v>
      </c>
      <c r="D320" s="43">
        <v>0</v>
      </c>
      <c r="E320" s="22" t="s">
        <v>14</v>
      </c>
      <c r="F320" s="45">
        <f t="shared" si="20"/>
        <v>517820</v>
      </c>
      <c r="G320" s="48">
        <f t="shared" si="21"/>
        <v>0</v>
      </c>
      <c r="H320" s="50">
        <f>일위대가목록표!F317</f>
        <v>502738</v>
      </c>
      <c r="I320" s="13">
        <f t="shared" si="22"/>
        <v>0</v>
      </c>
      <c r="J320" s="52">
        <f>일위대가목록표!G317</f>
        <v>0</v>
      </c>
      <c r="K320" s="13">
        <f t="shared" si="23"/>
        <v>0</v>
      </c>
      <c r="L320" s="54">
        <f>일위대가목록표!H317</f>
        <v>15082</v>
      </c>
      <c r="M320" s="33">
        <f t="shared" si="24"/>
        <v>0</v>
      </c>
      <c r="N320" s="22" t="s">
        <v>4285</v>
      </c>
      <c r="O320" s="17" t="s">
        <v>4284</v>
      </c>
      <c r="P320" s="7" t="s">
        <v>4283</v>
      </c>
      <c r="Q320" s="7" t="s">
        <v>3344</v>
      </c>
      <c r="AC320" s="3" t="str">
        <f ca="1">HYPERLINK("#"&amp;일위대가목록표!J2&amp;"!A"&amp;ROW(일위대가목록표!A317),"대가314 →")</f>
        <v>대가314 →</v>
      </c>
    </row>
    <row r="321" spans="1:29" ht="30.6" customHeight="1" x14ac:dyDescent="0.3">
      <c r="A321" s="10"/>
      <c r="B321" s="10" t="s">
        <v>759</v>
      </c>
      <c r="C321" s="41" t="s">
        <v>715</v>
      </c>
      <c r="D321" s="43">
        <v>0</v>
      </c>
      <c r="E321" s="22" t="s">
        <v>14</v>
      </c>
      <c r="F321" s="45">
        <f t="shared" si="20"/>
        <v>625506</v>
      </c>
      <c r="G321" s="48">
        <f t="shared" si="21"/>
        <v>0</v>
      </c>
      <c r="H321" s="50">
        <f>일위대가목록표!F318</f>
        <v>607288</v>
      </c>
      <c r="I321" s="13">
        <f t="shared" si="22"/>
        <v>0</v>
      </c>
      <c r="J321" s="52">
        <f>일위대가목록표!G318</f>
        <v>0</v>
      </c>
      <c r="K321" s="13">
        <f t="shared" si="23"/>
        <v>0</v>
      </c>
      <c r="L321" s="54">
        <f>일위대가목록표!H318</f>
        <v>18218</v>
      </c>
      <c r="M321" s="33">
        <f t="shared" si="24"/>
        <v>0</v>
      </c>
      <c r="N321" s="22" t="s">
        <v>4288</v>
      </c>
      <c r="O321" s="17" t="s">
        <v>4287</v>
      </c>
      <c r="P321" s="7" t="s">
        <v>4286</v>
      </c>
      <c r="Q321" s="7" t="s">
        <v>3344</v>
      </c>
      <c r="AC321" s="3" t="str">
        <f ca="1">HYPERLINK("#"&amp;일위대가목록표!J2&amp;"!A"&amp;ROW(일위대가목록표!A318),"대가315 →")</f>
        <v>대가315 →</v>
      </c>
    </row>
    <row r="322" spans="1:29" ht="30.6" customHeight="1" x14ac:dyDescent="0.3">
      <c r="A322" s="10"/>
      <c r="B322" s="10" t="s">
        <v>759</v>
      </c>
      <c r="C322" s="41" t="s">
        <v>718</v>
      </c>
      <c r="D322" s="43">
        <v>0</v>
      </c>
      <c r="E322" s="22" t="s">
        <v>14</v>
      </c>
      <c r="F322" s="45">
        <f t="shared" si="20"/>
        <v>755050</v>
      </c>
      <c r="G322" s="48">
        <f t="shared" si="21"/>
        <v>0</v>
      </c>
      <c r="H322" s="50">
        <f>일위대가목록표!F319</f>
        <v>733059</v>
      </c>
      <c r="I322" s="13">
        <f t="shared" si="22"/>
        <v>0</v>
      </c>
      <c r="J322" s="52">
        <f>일위대가목록표!G319</f>
        <v>0</v>
      </c>
      <c r="K322" s="13">
        <f t="shared" si="23"/>
        <v>0</v>
      </c>
      <c r="L322" s="54">
        <f>일위대가목록표!H319</f>
        <v>21991</v>
      </c>
      <c r="M322" s="33">
        <f t="shared" si="24"/>
        <v>0</v>
      </c>
      <c r="N322" s="22" t="s">
        <v>4291</v>
      </c>
      <c r="O322" s="17" t="s">
        <v>4290</v>
      </c>
      <c r="P322" s="7" t="s">
        <v>4289</v>
      </c>
      <c r="Q322" s="7" t="s">
        <v>3344</v>
      </c>
      <c r="AC322" s="3" t="str">
        <f ca="1">HYPERLINK("#"&amp;일위대가목록표!J2&amp;"!A"&amp;ROW(일위대가목록표!A319),"대가316 →")</f>
        <v>대가316 →</v>
      </c>
    </row>
    <row r="323" spans="1:29" ht="30.6" customHeight="1" x14ac:dyDescent="0.3">
      <c r="A323" s="10"/>
      <c r="B323" s="10" t="s">
        <v>759</v>
      </c>
      <c r="C323" s="41" t="s">
        <v>721</v>
      </c>
      <c r="D323" s="43">
        <v>0</v>
      </c>
      <c r="E323" s="22" t="s">
        <v>14</v>
      </c>
      <c r="F323" s="45">
        <f t="shared" si="20"/>
        <v>898882</v>
      </c>
      <c r="G323" s="48">
        <f t="shared" si="21"/>
        <v>0</v>
      </c>
      <c r="H323" s="50">
        <f>일위대가목록표!F320</f>
        <v>872701</v>
      </c>
      <c r="I323" s="13">
        <f t="shared" si="22"/>
        <v>0</v>
      </c>
      <c r="J323" s="52">
        <f>일위대가목록표!G320</f>
        <v>0</v>
      </c>
      <c r="K323" s="13">
        <f t="shared" si="23"/>
        <v>0</v>
      </c>
      <c r="L323" s="54">
        <f>일위대가목록표!H320</f>
        <v>26181</v>
      </c>
      <c r="M323" s="33">
        <f t="shared" si="24"/>
        <v>0</v>
      </c>
      <c r="N323" s="22" t="s">
        <v>4294</v>
      </c>
      <c r="O323" s="17" t="s">
        <v>4293</v>
      </c>
      <c r="P323" s="7" t="s">
        <v>4292</v>
      </c>
      <c r="Q323" s="7" t="s">
        <v>3344</v>
      </c>
      <c r="AC323" s="3" t="str">
        <f ca="1">HYPERLINK("#"&amp;일위대가목록표!J2&amp;"!A"&amp;ROW(일위대가목록표!A320),"대가317 →")</f>
        <v>대가317 →</v>
      </c>
    </row>
    <row r="324" spans="1:29" ht="30.6" customHeight="1" x14ac:dyDescent="0.3">
      <c r="A324" s="10"/>
      <c r="B324" s="10" t="s">
        <v>772</v>
      </c>
      <c r="C324" s="41" t="s">
        <v>725</v>
      </c>
      <c r="D324" s="43">
        <v>0</v>
      </c>
      <c r="E324" s="22" t="s">
        <v>14</v>
      </c>
      <c r="F324" s="45">
        <f t="shared" si="20"/>
        <v>898882</v>
      </c>
      <c r="G324" s="48">
        <f t="shared" si="21"/>
        <v>0</v>
      </c>
      <c r="H324" s="50">
        <f>일위대가목록표!F321</f>
        <v>872701</v>
      </c>
      <c r="I324" s="13">
        <f t="shared" si="22"/>
        <v>0</v>
      </c>
      <c r="J324" s="52">
        <f>일위대가목록표!G321</f>
        <v>0</v>
      </c>
      <c r="K324" s="13">
        <f t="shared" si="23"/>
        <v>0</v>
      </c>
      <c r="L324" s="54">
        <f>일위대가목록표!H321</f>
        <v>26181</v>
      </c>
      <c r="M324" s="33">
        <f t="shared" si="24"/>
        <v>0</v>
      </c>
      <c r="N324" s="22" t="s">
        <v>4297</v>
      </c>
      <c r="O324" s="17" t="s">
        <v>4296</v>
      </c>
      <c r="P324" s="7" t="s">
        <v>4295</v>
      </c>
      <c r="Q324" s="7" t="s">
        <v>3344</v>
      </c>
      <c r="AC324" s="3" t="str">
        <f ca="1">HYPERLINK("#"&amp;일위대가목록표!J2&amp;"!A"&amp;ROW(일위대가목록표!A321),"대가318 →")</f>
        <v>대가318 →</v>
      </c>
    </row>
    <row r="325" spans="1:29" ht="30.6" customHeight="1" x14ac:dyDescent="0.3">
      <c r="A325" s="10"/>
      <c r="B325" s="10" t="s">
        <v>772</v>
      </c>
      <c r="C325" s="41" t="s">
        <v>728</v>
      </c>
      <c r="D325" s="43">
        <v>0</v>
      </c>
      <c r="E325" s="22" t="s">
        <v>14</v>
      </c>
      <c r="F325" s="45">
        <f t="shared" si="20"/>
        <v>898882</v>
      </c>
      <c r="G325" s="48">
        <f t="shared" si="21"/>
        <v>0</v>
      </c>
      <c r="H325" s="50">
        <f>일위대가목록표!F322</f>
        <v>872701</v>
      </c>
      <c r="I325" s="13">
        <f t="shared" si="22"/>
        <v>0</v>
      </c>
      <c r="J325" s="52">
        <f>일위대가목록표!G322</f>
        <v>0</v>
      </c>
      <c r="K325" s="13">
        <f t="shared" si="23"/>
        <v>0</v>
      </c>
      <c r="L325" s="54">
        <f>일위대가목록표!H322</f>
        <v>26181</v>
      </c>
      <c r="M325" s="33">
        <f t="shared" si="24"/>
        <v>0</v>
      </c>
      <c r="N325" s="22" t="s">
        <v>4300</v>
      </c>
      <c r="O325" s="17" t="s">
        <v>4299</v>
      </c>
      <c r="P325" s="7" t="s">
        <v>4298</v>
      </c>
      <c r="Q325" s="7" t="s">
        <v>3344</v>
      </c>
      <c r="AC325" s="3" t="str">
        <f ca="1">HYPERLINK("#"&amp;일위대가목록표!J2&amp;"!A"&amp;ROW(일위대가목록표!A322),"대가319 →")</f>
        <v>대가319 →</v>
      </c>
    </row>
    <row r="326" spans="1:29" ht="30.6" customHeight="1" x14ac:dyDescent="0.3">
      <c r="A326" s="10"/>
      <c r="B326" s="10" t="s">
        <v>772</v>
      </c>
      <c r="C326" s="41" t="s">
        <v>731</v>
      </c>
      <c r="D326" s="43">
        <v>0</v>
      </c>
      <c r="E326" s="22" t="s">
        <v>14</v>
      </c>
      <c r="F326" s="45">
        <f t="shared" si="20"/>
        <v>898882</v>
      </c>
      <c r="G326" s="48">
        <f t="shared" si="21"/>
        <v>0</v>
      </c>
      <c r="H326" s="50">
        <f>일위대가목록표!F323</f>
        <v>872701</v>
      </c>
      <c r="I326" s="13">
        <f t="shared" si="22"/>
        <v>0</v>
      </c>
      <c r="J326" s="52">
        <f>일위대가목록표!G323</f>
        <v>0</v>
      </c>
      <c r="K326" s="13">
        <f t="shared" si="23"/>
        <v>0</v>
      </c>
      <c r="L326" s="54">
        <f>일위대가목록표!H323</f>
        <v>26181</v>
      </c>
      <c r="M326" s="33">
        <f t="shared" si="24"/>
        <v>0</v>
      </c>
      <c r="N326" s="22" t="s">
        <v>4303</v>
      </c>
      <c r="O326" s="17" t="s">
        <v>4302</v>
      </c>
      <c r="P326" s="7" t="s">
        <v>4301</v>
      </c>
      <c r="Q326" s="7" t="s">
        <v>3344</v>
      </c>
      <c r="AC326" s="3" t="str">
        <f ca="1">HYPERLINK("#"&amp;일위대가목록표!J2&amp;"!A"&amp;ROW(일위대가목록표!A323),"대가320 →")</f>
        <v>대가320 →</v>
      </c>
    </row>
    <row r="327" spans="1:29" ht="30.6" customHeight="1" x14ac:dyDescent="0.3">
      <c r="A327" s="10"/>
      <c r="B327" s="10" t="s">
        <v>772</v>
      </c>
      <c r="C327" s="41" t="s">
        <v>734</v>
      </c>
      <c r="D327" s="43">
        <v>0</v>
      </c>
      <c r="E327" s="22" t="s">
        <v>14</v>
      </c>
      <c r="F327" s="45">
        <f t="shared" ref="F327:F390" si="25">J327+H327+L327</f>
        <v>898882</v>
      </c>
      <c r="G327" s="48">
        <f t="shared" ref="G327:G390" si="26">K327+I327+M327</f>
        <v>0</v>
      </c>
      <c r="H327" s="50">
        <f>일위대가목록표!F324</f>
        <v>872701</v>
      </c>
      <c r="I327" s="13">
        <f t="shared" ref="I327:I390" si="27">ROUNDDOWN(H327*D327,0)</f>
        <v>0</v>
      </c>
      <c r="J327" s="52">
        <f>일위대가목록표!G324</f>
        <v>0</v>
      </c>
      <c r="K327" s="13">
        <f t="shared" ref="K327:K390" si="28">ROUNDDOWN(J327*D327,0)</f>
        <v>0</v>
      </c>
      <c r="L327" s="54">
        <f>일위대가목록표!H324</f>
        <v>26181</v>
      </c>
      <c r="M327" s="33">
        <f t="shared" ref="M327:M390" si="29">ROUNDDOWN(L327*D327,0)</f>
        <v>0</v>
      </c>
      <c r="N327" s="22" t="s">
        <v>4306</v>
      </c>
      <c r="O327" s="17" t="s">
        <v>4305</v>
      </c>
      <c r="P327" s="7" t="s">
        <v>4304</v>
      </c>
      <c r="Q327" s="7" t="s">
        <v>3344</v>
      </c>
      <c r="AC327" s="3" t="str">
        <f ca="1">HYPERLINK("#"&amp;일위대가목록표!J2&amp;"!A"&amp;ROW(일위대가목록표!A324),"대가321 →")</f>
        <v>대가321 →</v>
      </c>
    </row>
    <row r="328" spans="1:29" ht="30.6" customHeight="1" x14ac:dyDescent="0.3">
      <c r="A328" s="10"/>
      <c r="B328" s="10" t="s">
        <v>781</v>
      </c>
      <c r="C328" s="41" t="s">
        <v>706</v>
      </c>
      <c r="D328" s="43">
        <v>0</v>
      </c>
      <c r="E328" s="22" t="s">
        <v>14</v>
      </c>
      <c r="F328" s="45">
        <f t="shared" si="25"/>
        <v>165332</v>
      </c>
      <c r="G328" s="48">
        <f t="shared" si="26"/>
        <v>0</v>
      </c>
      <c r="H328" s="50">
        <f>일위대가목록표!F325</f>
        <v>160517</v>
      </c>
      <c r="I328" s="13">
        <f t="shared" si="27"/>
        <v>0</v>
      </c>
      <c r="J328" s="52">
        <f>일위대가목록표!G325</f>
        <v>0</v>
      </c>
      <c r="K328" s="13">
        <f t="shared" si="28"/>
        <v>0</v>
      </c>
      <c r="L328" s="54">
        <f>일위대가목록표!H325</f>
        <v>4815</v>
      </c>
      <c r="M328" s="33">
        <f t="shared" si="29"/>
        <v>0</v>
      </c>
      <c r="N328" s="22" t="s">
        <v>4309</v>
      </c>
      <c r="O328" s="17" t="s">
        <v>4308</v>
      </c>
      <c r="P328" s="7" t="s">
        <v>4307</v>
      </c>
      <c r="Q328" s="7" t="s">
        <v>3344</v>
      </c>
      <c r="AC328" s="3" t="str">
        <f ca="1">HYPERLINK("#"&amp;일위대가목록표!J2&amp;"!A"&amp;ROW(일위대가목록표!A325),"대가322 →")</f>
        <v>대가322 →</v>
      </c>
    </row>
    <row r="329" spans="1:29" ht="30.6" customHeight="1" x14ac:dyDescent="0.3">
      <c r="A329" s="10"/>
      <c r="B329" s="10" t="s">
        <v>781</v>
      </c>
      <c r="C329" s="41" t="s">
        <v>709</v>
      </c>
      <c r="D329" s="43">
        <v>1</v>
      </c>
      <c r="E329" s="22" t="s">
        <v>14</v>
      </c>
      <c r="F329" s="45">
        <f t="shared" si="25"/>
        <v>186955</v>
      </c>
      <c r="G329" s="48">
        <f t="shared" si="26"/>
        <v>186955</v>
      </c>
      <c r="H329" s="50">
        <f>일위대가목록표!F326</f>
        <v>181510</v>
      </c>
      <c r="I329" s="13">
        <f t="shared" si="27"/>
        <v>181510</v>
      </c>
      <c r="J329" s="52">
        <f>일위대가목록표!G326</f>
        <v>0</v>
      </c>
      <c r="K329" s="13">
        <f t="shared" si="28"/>
        <v>0</v>
      </c>
      <c r="L329" s="54">
        <f>일위대가목록표!H326</f>
        <v>5445</v>
      </c>
      <c r="M329" s="33">
        <f t="shared" si="29"/>
        <v>5445</v>
      </c>
      <c r="N329" s="22" t="s">
        <v>4312</v>
      </c>
      <c r="O329" s="17" t="s">
        <v>4311</v>
      </c>
      <c r="P329" s="7" t="s">
        <v>4310</v>
      </c>
      <c r="Q329" s="7" t="s">
        <v>3344</v>
      </c>
      <c r="AC329" s="3" t="str">
        <f ca="1">HYPERLINK("#"&amp;일위대가목록표!J2&amp;"!A"&amp;ROW(일위대가목록표!A326),"대가323 →")</f>
        <v>대가323 →</v>
      </c>
    </row>
    <row r="330" spans="1:29" ht="30.6" customHeight="1" x14ac:dyDescent="0.3">
      <c r="A330" s="10"/>
      <c r="B330" s="10" t="s">
        <v>781</v>
      </c>
      <c r="C330" s="41" t="s">
        <v>712</v>
      </c>
      <c r="D330" s="43">
        <v>1</v>
      </c>
      <c r="E330" s="22" t="s">
        <v>14</v>
      </c>
      <c r="F330" s="45">
        <f t="shared" si="25"/>
        <v>207127</v>
      </c>
      <c r="G330" s="48">
        <f t="shared" si="26"/>
        <v>207127</v>
      </c>
      <c r="H330" s="50">
        <f>일위대가목록표!F327</f>
        <v>201095</v>
      </c>
      <c r="I330" s="13">
        <f t="shared" si="27"/>
        <v>201095</v>
      </c>
      <c r="J330" s="52">
        <f>일위대가목록표!G327</f>
        <v>0</v>
      </c>
      <c r="K330" s="13">
        <f t="shared" si="28"/>
        <v>0</v>
      </c>
      <c r="L330" s="54">
        <f>일위대가목록표!H327</f>
        <v>6032</v>
      </c>
      <c r="M330" s="33">
        <f t="shared" si="29"/>
        <v>6032</v>
      </c>
      <c r="N330" s="22" t="s">
        <v>4315</v>
      </c>
      <c r="O330" s="17" t="s">
        <v>4314</v>
      </c>
      <c r="P330" s="7" t="s">
        <v>4313</v>
      </c>
      <c r="Q330" s="7" t="s">
        <v>3344</v>
      </c>
      <c r="AC330" s="3" t="str">
        <f ca="1">HYPERLINK("#"&amp;일위대가목록표!J2&amp;"!A"&amp;ROW(일위대가목록표!A327),"대가324 →")</f>
        <v>대가324 →</v>
      </c>
    </row>
    <row r="331" spans="1:29" ht="30.6" customHeight="1" x14ac:dyDescent="0.3">
      <c r="A331" s="10"/>
      <c r="B331" s="10" t="s">
        <v>781</v>
      </c>
      <c r="C331" s="41" t="s">
        <v>715</v>
      </c>
      <c r="D331" s="43">
        <v>0</v>
      </c>
      <c r="E331" s="22" t="s">
        <v>14</v>
      </c>
      <c r="F331" s="45">
        <f t="shared" si="25"/>
        <v>250202</v>
      </c>
      <c r="G331" s="48">
        <f t="shared" si="26"/>
        <v>0</v>
      </c>
      <c r="H331" s="50">
        <f>일위대가목록표!F328</f>
        <v>242915</v>
      </c>
      <c r="I331" s="13">
        <f t="shared" si="27"/>
        <v>0</v>
      </c>
      <c r="J331" s="52">
        <f>일위대가목록표!G328</f>
        <v>0</v>
      </c>
      <c r="K331" s="13">
        <f t="shared" si="28"/>
        <v>0</v>
      </c>
      <c r="L331" s="54">
        <f>일위대가목록표!H328</f>
        <v>7287</v>
      </c>
      <c r="M331" s="33">
        <f t="shared" si="29"/>
        <v>0</v>
      </c>
      <c r="N331" s="22" t="s">
        <v>4318</v>
      </c>
      <c r="O331" s="17" t="s">
        <v>4317</v>
      </c>
      <c r="P331" s="7" t="s">
        <v>4316</v>
      </c>
      <c r="Q331" s="7" t="s">
        <v>3344</v>
      </c>
      <c r="AC331" s="3" t="str">
        <f ca="1">HYPERLINK("#"&amp;일위대가목록표!J2&amp;"!A"&amp;ROW(일위대가목록표!A328),"대가325 →")</f>
        <v>대가325 →</v>
      </c>
    </row>
    <row r="332" spans="1:29" ht="30.6" customHeight="1" x14ac:dyDescent="0.3">
      <c r="A332" s="10"/>
      <c r="B332" s="10" t="s">
        <v>781</v>
      </c>
      <c r="C332" s="41" t="s">
        <v>718</v>
      </c>
      <c r="D332" s="43">
        <v>0</v>
      </c>
      <c r="E332" s="22" t="s">
        <v>14</v>
      </c>
      <c r="F332" s="45">
        <f t="shared" si="25"/>
        <v>302019</v>
      </c>
      <c r="G332" s="48">
        <f t="shared" si="26"/>
        <v>0</v>
      </c>
      <c r="H332" s="50">
        <f>일위대가목록표!F329</f>
        <v>293223</v>
      </c>
      <c r="I332" s="13">
        <f t="shared" si="27"/>
        <v>0</v>
      </c>
      <c r="J332" s="52">
        <f>일위대가목록표!G329</f>
        <v>0</v>
      </c>
      <c r="K332" s="13">
        <f t="shared" si="28"/>
        <v>0</v>
      </c>
      <c r="L332" s="54">
        <f>일위대가목록표!H329</f>
        <v>8796</v>
      </c>
      <c r="M332" s="33">
        <f t="shared" si="29"/>
        <v>0</v>
      </c>
      <c r="N332" s="22" t="s">
        <v>4321</v>
      </c>
      <c r="O332" s="17" t="s">
        <v>4320</v>
      </c>
      <c r="P332" s="7" t="s">
        <v>4319</v>
      </c>
      <c r="Q332" s="7" t="s">
        <v>3344</v>
      </c>
      <c r="AC332" s="3" t="str">
        <f ca="1">HYPERLINK("#"&amp;일위대가목록표!J2&amp;"!A"&amp;ROW(일위대가목록표!A329),"대가326 →")</f>
        <v>대가326 →</v>
      </c>
    </row>
    <row r="333" spans="1:29" ht="30.6" customHeight="1" x14ac:dyDescent="0.3">
      <c r="A333" s="10"/>
      <c r="B333" s="10" t="s">
        <v>781</v>
      </c>
      <c r="C333" s="41" t="s">
        <v>721</v>
      </c>
      <c r="D333" s="43">
        <v>0</v>
      </c>
      <c r="E333" s="22" t="s">
        <v>14</v>
      </c>
      <c r="F333" s="45">
        <f t="shared" si="25"/>
        <v>359552</v>
      </c>
      <c r="G333" s="48">
        <f t="shared" si="26"/>
        <v>0</v>
      </c>
      <c r="H333" s="50">
        <f>일위대가목록표!F330</f>
        <v>349080</v>
      </c>
      <c r="I333" s="13">
        <f t="shared" si="27"/>
        <v>0</v>
      </c>
      <c r="J333" s="52">
        <f>일위대가목록표!G330</f>
        <v>0</v>
      </c>
      <c r="K333" s="13">
        <f t="shared" si="28"/>
        <v>0</v>
      </c>
      <c r="L333" s="54">
        <f>일위대가목록표!H330</f>
        <v>10472</v>
      </c>
      <c r="M333" s="33">
        <f t="shared" si="29"/>
        <v>0</v>
      </c>
      <c r="N333" s="22" t="s">
        <v>4324</v>
      </c>
      <c r="O333" s="17" t="s">
        <v>4323</v>
      </c>
      <c r="P333" s="7" t="s">
        <v>4322</v>
      </c>
      <c r="Q333" s="7" t="s">
        <v>3344</v>
      </c>
      <c r="AC333" s="3" t="str">
        <f ca="1">HYPERLINK("#"&amp;일위대가목록표!J2&amp;"!A"&amp;ROW(일위대가목록표!A330),"대가327 →")</f>
        <v>대가327 →</v>
      </c>
    </row>
    <row r="334" spans="1:29" ht="30.6" customHeight="1" x14ac:dyDescent="0.3">
      <c r="A334" s="10"/>
      <c r="B334" s="10" t="s">
        <v>794</v>
      </c>
      <c r="C334" s="41" t="s">
        <v>725</v>
      </c>
      <c r="D334" s="43">
        <v>0</v>
      </c>
      <c r="E334" s="22" t="s">
        <v>14</v>
      </c>
      <c r="F334" s="45">
        <f t="shared" si="25"/>
        <v>359552</v>
      </c>
      <c r="G334" s="48">
        <f t="shared" si="26"/>
        <v>0</v>
      </c>
      <c r="H334" s="50">
        <f>일위대가목록표!F331</f>
        <v>349080</v>
      </c>
      <c r="I334" s="13">
        <f t="shared" si="27"/>
        <v>0</v>
      </c>
      <c r="J334" s="52">
        <f>일위대가목록표!G331</f>
        <v>0</v>
      </c>
      <c r="K334" s="13">
        <f t="shared" si="28"/>
        <v>0</v>
      </c>
      <c r="L334" s="54">
        <f>일위대가목록표!H331</f>
        <v>10472</v>
      </c>
      <c r="M334" s="33">
        <f t="shared" si="29"/>
        <v>0</v>
      </c>
      <c r="N334" s="22" t="s">
        <v>4327</v>
      </c>
      <c r="O334" s="17" t="s">
        <v>4326</v>
      </c>
      <c r="P334" s="7" t="s">
        <v>4325</v>
      </c>
      <c r="Q334" s="7" t="s">
        <v>3344</v>
      </c>
      <c r="AC334" s="3" t="str">
        <f ca="1">HYPERLINK("#"&amp;일위대가목록표!J2&amp;"!A"&amp;ROW(일위대가목록표!A331),"대가328 →")</f>
        <v>대가328 →</v>
      </c>
    </row>
    <row r="335" spans="1:29" ht="30.6" customHeight="1" x14ac:dyDescent="0.3">
      <c r="A335" s="10"/>
      <c r="B335" s="10" t="s">
        <v>794</v>
      </c>
      <c r="C335" s="41" t="s">
        <v>728</v>
      </c>
      <c r="D335" s="43">
        <v>0</v>
      </c>
      <c r="E335" s="22" t="s">
        <v>14</v>
      </c>
      <c r="F335" s="45">
        <f t="shared" si="25"/>
        <v>359552</v>
      </c>
      <c r="G335" s="48">
        <f t="shared" si="26"/>
        <v>0</v>
      </c>
      <c r="H335" s="50">
        <f>일위대가목록표!F332</f>
        <v>349080</v>
      </c>
      <c r="I335" s="13">
        <f t="shared" si="27"/>
        <v>0</v>
      </c>
      <c r="J335" s="52">
        <f>일위대가목록표!G332</f>
        <v>0</v>
      </c>
      <c r="K335" s="13">
        <f t="shared" si="28"/>
        <v>0</v>
      </c>
      <c r="L335" s="54">
        <f>일위대가목록표!H332</f>
        <v>10472</v>
      </c>
      <c r="M335" s="33">
        <f t="shared" si="29"/>
        <v>0</v>
      </c>
      <c r="N335" s="22" t="s">
        <v>4330</v>
      </c>
      <c r="O335" s="17" t="s">
        <v>4329</v>
      </c>
      <c r="P335" s="7" t="s">
        <v>4328</v>
      </c>
      <c r="Q335" s="7" t="s">
        <v>3344</v>
      </c>
      <c r="AC335" s="3" t="str">
        <f ca="1">HYPERLINK("#"&amp;일위대가목록표!J2&amp;"!A"&amp;ROW(일위대가목록표!A332),"대가329 →")</f>
        <v>대가329 →</v>
      </c>
    </row>
    <row r="336" spans="1:29" ht="30.6" customHeight="1" x14ac:dyDescent="0.3">
      <c r="A336" s="10"/>
      <c r="B336" s="10" t="s">
        <v>794</v>
      </c>
      <c r="C336" s="41" t="s">
        <v>731</v>
      </c>
      <c r="D336" s="43">
        <v>0</v>
      </c>
      <c r="E336" s="22" t="s">
        <v>14</v>
      </c>
      <c r="F336" s="45">
        <f t="shared" si="25"/>
        <v>359552</v>
      </c>
      <c r="G336" s="48">
        <f t="shared" si="26"/>
        <v>0</v>
      </c>
      <c r="H336" s="50">
        <f>일위대가목록표!F333</f>
        <v>349080</v>
      </c>
      <c r="I336" s="13">
        <f t="shared" si="27"/>
        <v>0</v>
      </c>
      <c r="J336" s="52">
        <f>일위대가목록표!G333</f>
        <v>0</v>
      </c>
      <c r="K336" s="13">
        <f t="shared" si="28"/>
        <v>0</v>
      </c>
      <c r="L336" s="54">
        <f>일위대가목록표!H333</f>
        <v>10472</v>
      </c>
      <c r="M336" s="33">
        <f t="shared" si="29"/>
        <v>0</v>
      </c>
      <c r="N336" s="22" t="s">
        <v>4333</v>
      </c>
      <c r="O336" s="17" t="s">
        <v>4332</v>
      </c>
      <c r="P336" s="7" t="s">
        <v>4331</v>
      </c>
      <c r="Q336" s="7" t="s">
        <v>3344</v>
      </c>
      <c r="AC336" s="3" t="str">
        <f ca="1">HYPERLINK("#"&amp;일위대가목록표!J2&amp;"!A"&amp;ROW(일위대가목록표!A333),"대가330 →")</f>
        <v>대가330 →</v>
      </c>
    </row>
    <row r="337" spans="1:29" ht="30.6" customHeight="1" x14ac:dyDescent="0.3">
      <c r="A337" s="10"/>
      <c r="B337" s="10" t="s">
        <v>794</v>
      </c>
      <c r="C337" s="41" t="s">
        <v>734</v>
      </c>
      <c r="D337" s="43">
        <v>0</v>
      </c>
      <c r="E337" s="22" t="s">
        <v>14</v>
      </c>
      <c r="F337" s="45">
        <f t="shared" si="25"/>
        <v>359552</v>
      </c>
      <c r="G337" s="48">
        <f t="shared" si="26"/>
        <v>0</v>
      </c>
      <c r="H337" s="50">
        <f>일위대가목록표!F334</f>
        <v>349080</v>
      </c>
      <c r="I337" s="13">
        <f t="shared" si="27"/>
        <v>0</v>
      </c>
      <c r="J337" s="52">
        <f>일위대가목록표!G334</f>
        <v>0</v>
      </c>
      <c r="K337" s="13">
        <f t="shared" si="28"/>
        <v>0</v>
      </c>
      <c r="L337" s="54">
        <f>일위대가목록표!H334</f>
        <v>10472</v>
      </c>
      <c r="M337" s="33">
        <f t="shared" si="29"/>
        <v>0</v>
      </c>
      <c r="N337" s="22" t="s">
        <v>4336</v>
      </c>
      <c r="O337" s="17" t="s">
        <v>4335</v>
      </c>
      <c r="P337" s="7" t="s">
        <v>4334</v>
      </c>
      <c r="Q337" s="7" t="s">
        <v>3344</v>
      </c>
      <c r="AC337" s="3" t="str">
        <f ca="1">HYPERLINK("#"&amp;일위대가목록표!J2&amp;"!A"&amp;ROW(일위대가목록표!A334),"대가331 →")</f>
        <v>대가331 →</v>
      </c>
    </row>
    <row r="338" spans="1:29" ht="30.6" customHeight="1" x14ac:dyDescent="0.3">
      <c r="A338" s="10"/>
      <c r="B338" s="10" t="s">
        <v>803</v>
      </c>
      <c r="C338" s="41" t="s">
        <v>804</v>
      </c>
      <c r="D338" s="43">
        <v>0</v>
      </c>
      <c r="E338" s="22" t="s">
        <v>14</v>
      </c>
      <c r="F338" s="45">
        <f t="shared" si="25"/>
        <v>915713</v>
      </c>
      <c r="G338" s="48">
        <f t="shared" si="26"/>
        <v>0</v>
      </c>
      <c r="H338" s="50">
        <f>일위대가목록표!F335</f>
        <v>207713</v>
      </c>
      <c r="I338" s="13">
        <f t="shared" si="27"/>
        <v>0</v>
      </c>
      <c r="J338" s="52">
        <f>일위대가목록표!G335</f>
        <v>708000</v>
      </c>
      <c r="K338" s="13">
        <f t="shared" si="28"/>
        <v>0</v>
      </c>
      <c r="L338" s="54">
        <f>일위대가목록표!H335</f>
        <v>0</v>
      </c>
      <c r="M338" s="33">
        <f t="shared" si="29"/>
        <v>0</v>
      </c>
      <c r="N338" s="22" t="s">
        <v>4339</v>
      </c>
      <c r="O338" s="17" t="s">
        <v>4338</v>
      </c>
      <c r="P338" s="7" t="s">
        <v>4337</v>
      </c>
      <c r="Q338" s="7" t="s">
        <v>3344</v>
      </c>
      <c r="AC338" s="3" t="str">
        <f ca="1">HYPERLINK("#"&amp;일위대가목록표!J2&amp;"!A"&amp;ROW(일위대가목록표!A335),"대가332 →")</f>
        <v>대가332 →</v>
      </c>
    </row>
    <row r="339" spans="1:29" ht="30.6" customHeight="1" x14ac:dyDescent="0.3">
      <c r="A339" s="10"/>
      <c r="B339" s="10" t="s">
        <v>803</v>
      </c>
      <c r="C339" s="41" t="s">
        <v>807</v>
      </c>
      <c r="D339" s="43">
        <v>0</v>
      </c>
      <c r="E339" s="22" t="s">
        <v>14</v>
      </c>
      <c r="F339" s="45">
        <f t="shared" si="25"/>
        <v>1080713</v>
      </c>
      <c r="G339" s="48">
        <f t="shared" si="26"/>
        <v>0</v>
      </c>
      <c r="H339" s="50">
        <f>일위대가목록표!F336</f>
        <v>207713</v>
      </c>
      <c r="I339" s="13">
        <f t="shared" si="27"/>
        <v>0</v>
      </c>
      <c r="J339" s="52">
        <f>일위대가목록표!G336</f>
        <v>873000</v>
      </c>
      <c r="K339" s="13">
        <f t="shared" si="28"/>
        <v>0</v>
      </c>
      <c r="L339" s="54">
        <f>일위대가목록표!H336</f>
        <v>0</v>
      </c>
      <c r="M339" s="33">
        <f t="shared" si="29"/>
        <v>0</v>
      </c>
      <c r="N339" s="22" t="s">
        <v>4342</v>
      </c>
      <c r="O339" s="17" t="s">
        <v>4341</v>
      </c>
      <c r="P339" s="7" t="s">
        <v>4340</v>
      </c>
      <c r="Q339" s="7" t="s">
        <v>3344</v>
      </c>
      <c r="AC339" s="3" t="str">
        <f ca="1">HYPERLINK("#"&amp;일위대가목록표!J2&amp;"!A"&amp;ROW(일위대가목록표!A336),"대가333 →")</f>
        <v>대가333 →</v>
      </c>
    </row>
    <row r="340" spans="1:29" ht="30.6" customHeight="1" x14ac:dyDescent="0.3">
      <c r="A340" s="10"/>
      <c r="B340" s="10" t="s">
        <v>803</v>
      </c>
      <c r="C340" s="41" t="s">
        <v>810</v>
      </c>
      <c r="D340" s="43">
        <v>0</v>
      </c>
      <c r="E340" s="22" t="s">
        <v>14</v>
      </c>
      <c r="F340" s="45">
        <f t="shared" si="25"/>
        <v>1319256</v>
      </c>
      <c r="G340" s="48">
        <f t="shared" si="26"/>
        <v>0</v>
      </c>
      <c r="H340" s="50">
        <f>일위대가목록표!F337</f>
        <v>249256</v>
      </c>
      <c r="I340" s="13">
        <f t="shared" si="27"/>
        <v>0</v>
      </c>
      <c r="J340" s="52">
        <f>일위대가목록표!G337</f>
        <v>1070000</v>
      </c>
      <c r="K340" s="13">
        <f t="shared" si="28"/>
        <v>0</v>
      </c>
      <c r="L340" s="54">
        <f>일위대가목록표!H337</f>
        <v>0</v>
      </c>
      <c r="M340" s="33">
        <f t="shared" si="29"/>
        <v>0</v>
      </c>
      <c r="N340" s="22" t="s">
        <v>4345</v>
      </c>
      <c r="O340" s="17" t="s">
        <v>4344</v>
      </c>
      <c r="P340" s="7" t="s">
        <v>4343</v>
      </c>
      <c r="Q340" s="7" t="s">
        <v>3344</v>
      </c>
      <c r="AC340" s="3" t="str">
        <f ca="1">HYPERLINK("#"&amp;일위대가목록표!J2&amp;"!A"&amp;ROW(일위대가목록표!A337),"대가334 →")</f>
        <v>대가334 →</v>
      </c>
    </row>
    <row r="341" spans="1:29" ht="30.6" customHeight="1" x14ac:dyDescent="0.3">
      <c r="A341" s="10"/>
      <c r="B341" s="10" t="s">
        <v>803</v>
      </c>
      <c r="C341" s="41" t="s">
        <v>813</v>
      </c>
      <c r="D341" s="43">
        <v>0</v>
      </c>
      <c r="E341" s="22" t="s">
        <v>14</v>
      </c>
      <c r="F341" s="45">
        <f t="shared" si="25"/>
        <v>1885799</v>
      </c>
      <c r="G341" s="48">
        <f t="shared" si="26"/>
        <v>0</v>
      </c>
      <c r="H341" s="50">
        <f>일위대가목록표!F338</f>
        <v>290799</v>
      </c>
      <c r="I341" s="13">
        <f t="shared" si="27"/>
        <v>0</v>
      </c>
      <c r="J341" s="52">
        <f>일위대가목록표!G338</f>
        <v>1595000</v>
      </c>
      <c r="K341" s="13">
        <f t="shared" si="28"/>
        <v>0</v>
      </c>
      <c r="L341" s="54">
        <f>일위대가목록표!H338</f>
        <v>0</v>
      </c>
      <c r="M341" s="33">
        <f t="shared" si="29"/>
        <v>0</v>
      </c>
      <c r="N341" s="22" t="s">
        <v>4348</v>
      </c>
      <c r="O341" s="17" t="s">
        <v>4347</v>
      </c>
      <c r="P341" s="7" t="s">
        <v>4346</v>
      </c>
      <c r="Q341" s="7" t="s">
        <v>3344</v>
      </c>
      <c r="AC341" s="3" t="str">
        <f ca="1">HYPERLINK("#"&amp;일위대가목록표!J2&amp;"!A"&amp;ROW(일위대가목록표!A338),"대가335 →")</f>
        <v>대가335 →</v>
      </c>
    </row>
    <row r="342" spans="1:29" ht="30.6" customHeight="1" x14ac:dyDescent="0.3">
      <c r="A342" s="10"/>
      <c r="B342" s="10" t="s">
        <v>803</v>
      </c>
      <c r="C342" s="41" t="s">
        <v>816</v>
      </c>
      <c r="D342" s="43">
        <v>0</v>
      </c>
      <c r="E342" s="22" t="s">
        <v>14</v>
      </c>
      <c r="F342" s="45">
        <f t="shared" si="25"/>
        <v>2229885</v>
      </c>
      <c r="G342" s="48">
        <f t="shared" si="26"/>
        <v>0</v>
      </c>
      <c r="H342" s="50">
        <f>일위대가목록표!F339</f>
        <v>373885</v>
      </c>
      <c r="I342" s="13">
        <f t="shared" si="27"/>
        <v>0</v>
      </c>
      <c r="J342" s="52">
        <f>일위대가목록표!G339</f>
        <v>1856000</v>
      </c>
      <c r="K342" s="13">
        <f t="shared" si="28"/>
        <v>0</v>
      </c>
      <c r="L342" s="54">
        <f>일위대가목록표!H339</f>
        <v>0</v>
      </c>
      <c r="M342" s="33">
        <f t="shared" si="29"/>
        <v>0</v>
      </c>
      <c r="N342" s="22" t="s">
        <v>4351</v>
      </c>
      <c r="O342" s="17" t="s">
        <v>4350</v>
      </c>
      <c r="P342" s="7" t="s">
        <v>4349</v>
      </c>
      <c r="Q342" s="7" t="s">
        <v>3344</v>
      </c>
      <c r="AC342" s="3" t="str">
        <f ca="1">HYPERLINK("#"&amp;일위대가목록표!J2&amp;"!A"&amp;ROW(일위대가목록표!A339),"대가336 →")</f>
        <v>대가336 →</v>
      </c>
    </row>
    <row r="343" spans="1:29" ht="30.6" customHeight="1" x14ac:dyDescent="0.3">
      <c r="A343" s="10"/>
      <c r="B343" s="10" t="s">
        <v>803</v>
      </c>
      <c r="C343" s="41" t="s">
        <v>819</v>
      </c>
      <c r="D343" s="43">
        <v>0</v>
      </c>
      <c r="E343" s="22" t="s">
        <v>14</v>
      </c>
      <c r="F343" s="45">
        <f t="shared" si="25"/>
        <v>5110964</v>
      </c>
      <c r="G343" s="48">
        <f t="shared" si="26"/>
        <v>0</v>
      </c>
      <c r="H343" s="50">
        <f>일위대가목록표!F340</f>
        <v>2613964</v>
      </c>
      <c r="I343" s="13">
        <f t="shared" si="27"/>
        <v>0</v>
      </c>
      <c r="J343" s="52">
        <f>일위대가목록표!G340</f>
        <v>2497000</v>
      </c>
      <c r="K343" s="13">
        <f t="shared" si="28"/>
        <v>0</v>
      </c>
      <c r="L343" s="54">
        <f>일위대가목록표!H340</f>
        <v>0</v>
      </c>
      <c r="M343" s="33">
        <f t="shared" si="29"/>
        <v>0</v>
      </c>
      <c r="N343" s="22" t="s">
        <v>4354</v>
      </c>
      <c r="O343" s="17" t="s">
        <v>4353</v>
      </c>
      <c r="P343" s="7" t="s">
        <v>4352</v>
      </c>
      <c r="Q343" s="7" t="s">
        <v>3344</v>
      </c>
      <c r="AC343" s="3" t="str">
        <f ca="1">HYPERLINK("#"&amp;일위대가목록표!J2&amp;"!A"&amp;ROW(일위대가목록표!A340),"대가337 →")</f>
        <v>대가337 →</v>
      </c>
    </row>
    <row r="344" spans="1:29" ht="30.6" customHeight="1" x14ac:dyDescent="0.3">
      <c r="A344" s="10"/>
      <c r="B344" s="10" t="s">
        <v>803</v>
      </c>
      <c r="C344" s="41" t="s">
        <v>822</v>
      </c>
      <c r="D344" s="43">
        <v>0</v>
      </c>
      <c r="E344" s="22" t="s">
        <v>14</v>
      </c>
      <c r="F344" s="45">
        <f t="shared" si="25"/>
        <v>3969599</v>
      </c>
      <c r="G344" s="48">
        <f t="shared" si="26"/>
        <v>0</v>
      </c>
      <c r="H344" s="50">
        <f>일위대가목록표!F341</f>
        <v>581599</v>
      </c>
      <c r="I344" s="13">
        <f t="shared" si="27"/>
        <v>0</v>
      </c>
      <c r="J344" s="52">
        <f>일위대가목록표!G341</f>
        <v>3388000</v>
      </c>
      <c r="K344" s="13">
        <f t="shared" si="28"/>
        <v>0</v>
      </c>
      <c r="L344" s="54">
        <f>일위대가목록표!H341</f>
        <v>0</v>
      </c>
      <c r="M344" s="33">
        <f t="shared" si="29"/>
        <v>0</v>
      </c>
      <c r="N344" s="22" t="s">
        <v>4357</v>
      </c>
      <c r="O344" s="17" t="s">
        <v>4356</v>
      </c>
      <c r="P344" s="7" t="s">
        <v>4355</v>
      </c>
      <c r="Q344" s="7" t="s">
        <v>3344</v>
      </c>
      <c r="AC344" s="3" t="str">
        <f ca="1">HYPERLINK("#"&amp;일위대가목록표!J2&amp;"!A"&amp;ROW(일위대가목록표!A341),"대가338 →")</f>
        <v>대가338 →</v>
      </c>
    </row>
    <row r="345" spans="1:29" ht="30.6" customHeight="1" x14ac:dyDescent="0.3">
      <c r="A345" s="10"/>
      <c r="B345" s="10" t="s">
        <v>803</v>
      </c>
      <c r="C345" s="41" t="s">
        <v>825</v>
      </c>
      <c r="D345" s="43">
        <v>0</v>
      </c>
      <c r="E345" s="22" t="s">
        <v>14</v>
      </c>
      <c r="F345" s="45">
        <f t="shared" si="25"/>
        <v>6085080</v>
      </c>
      <c r="G345" s="48">
        <f t="shared" si="26"/>
        <v>0</v>
      </c>
      <c r="H345" s="50">
        <f>일위대가목록표!F342</f>
        <v>827080</v>
      </c>
      <c r="I345" s="13">
        <f t="shared" si="27"/>
        <v>0</v>
      </c>
      <c r="J345" s="52">
        <f>일위대가목록표!G342</f>
        <v>5258000</v>
      </c>
      <c r="K345" s="13">
        <f t="shared" si="28"/>
        <v>0</v>
      </c>
      <c r="L345" s="54">
        <f>일위대가목록표!H342</f>
        <v>0</v>
      </c>
      <c r="M345" s="33">
        <f t="shared" si="29"/>
        <v>0</v>
      </c>
      <c r="N345" s="22" t="s">
        <v>4360</v>
      </c>
      <c r="O345" s="17" t="s">
        <v>4359</v>
      </c>
      <c r="P345" s="7" t="s">
        <v>4358</v>
      </c>
      <c r="Q345" s="7" t="s">
        <v>3344</v>
      </c>
      <c r="AC345" s="3" t="str">
        <f ca="1">HYPERLINK("#"&amp;일위대가목록표!J2&amp;"!A"&amp;ROW(일위대가목록표!A342),"대가339 →")</f>
        <v>대가339 →</v>
      </c>
    </row>
    <row r="346" spans="1:29" ht="30.6" customHeight="1" x14ac:dyDescent="0.3">
      <c r="A346" s="10"/>
      <c r="B346" s="10" t="s">
        <v>803</v>
      </c>
      <c r="C346" s="41" t="s">
        <v>828</v>
      </c>
      <c r="D346" s="43">
        <v>0</v>
      </c>
      <c r="E346" s="22" t="s">
        <v>14</v>
      </c>
      <c r="F346" s="45">
        <f t="shared" si="25"/>
        <v>8608338</v>
      </c>
      <c r="G346" s="48">
        <f t="shared" si="26"/>
        <v>0</v>
      </c>
      <c r="H346" s="50">
        <f>일위대가목록표!F343</f>
        <v>1076338</v>
      </c>
      <c r="I346" s="13">
        <f t="shared" si="27"/>
        <v>0</v>
      </c>
      <c r="J346" s="52">
        <f>일위대가목록표!G343</f>
        <v>7532000</v>
      </c>
      <c r="K346" s="13">
        <f t="shared" si="28"/>
        <v>0</v>
      </c>
      <c r="L346" s="54">
        <f>일위대가목록표!H343</f>
        <v>0</v>
      </c>
      <c r="M346" s="33">
        <f t="shared" si="29"/>
        <v>0</v>
      </c>
      <c r="N346" s="22" t="s">
        <v>4363</v>
      </c>
      <c r="O346" s="17" t="s">
        <v>4362</v>
      </c>
      <c r="P346" s="7" t="s">
        <v>4361</v>
      </c>
      <c r="Q346" s="7" t="s">
        <v>3344</v>
      </c>
      <c r="AC346" s="3" t="str">
        <f ca="1">HYPERLINK("#"&amp;일위대가목록표!J2&amp;"!A"&amp;ROW(일위대가목록표!A343),"대가340 →")</f>
        <v>대가340 →</v>
      </c>
    </row>
    <row r="347" spans="1:29" ht="30.6" customHeight="1" x14ac:dyDescent="0.3">
      <c r="A347" s="10"/>
      <c r="B347" s="10" t="s">
        <v>803</v>
      </c>
      <c r="C347" s="41" t="s">
        <v>831</v>
      </c>
      <c r="D347" s="43">
        <v>0</v>
      </c>
      <c r="E347" s="22" t="s">
        <v>14</v>
      </c>
      <c r="F347" s="45">
        <f t="shared" si="25"/>
        <v>10754509</v>
      </c>
      <c r="G347" s="48">
        <f t="shared" si="26"/>
        <v>0</v>
      </c>
      <c r="H347" s="50">
        <f>일위대가목록표!F344</f>
        <v>1242509</v>
      </c>
      <c r="I347" s="13">
        <f t="shared" si="27"/>
        <v>0</v>
      </c>
      <c r="J347" s="52">
        <f>일위대가목록표!G344</f>
        <v>9512000</v>
      </c>
      <c r="K347" s="13">
        <f t="shared" si="28"/>
        <v>0</v>
      </c>
      <c r="L347" s="54">
        <f>일위대가목록표!H344</f>
        <v>0</v>
      </c>
      <c r="M347" s="33">
        <f t="shared" si="29"/>
        <v>0</v>
      </c>
      <c r="N347" s="22" t="s">
        <v>4366</v>
      </c>
      <c r="O347" s="17" t="s">
        <v>4365</v>
      </c>
      <c r="P347" s="7" t="s">
        <v>4364</v>
      </c>
      <c r="Q347" s="7" t="s">
        <v>3344</v>
      </c>
      <c r="AC347" s="3" t="str">
        <f ca="1">HYPERLINK("#"&amp;일위대가목록표!J2&amp;"!A"&amp;ROW(일위대가목록표!A344),"대가341 →")</f>
        <v>대가341 →</v>
      </c>
    </row>
    <row r="348" spans="1:29" ht="30.6" customHeight="1" x14ac:dyDescent="0.3">
      <c r="A348" s="10"/>
      <c r="B348" s="10" t="s">
        <v>803</v>
      </c>
      <c r="C348" s="41" t="s">
        <v>834</v>
      </c>
      <c r="D348" s="43">
        <v>0</v>
      </c>
      <c r="E348" s="22" t="s">
        <v>14</v>
      </c>
      <c r="F348" s="45">
        <f t="shared" si="25"/>
        <v>10067681</v>
      </c>
      <c r="G348" s="48">
        <f t="shared" si="26"/>
        <v>0</v>
      </c>
      <c r="H348" s="50">
        <f>일위대가목록표!F345</f>
        <v>1408681</v>
      </c>
      <c r="I348" s="13">
        <f t="shared" si="27"/>
        <v>0</v>
      </c>
      <c r="J348" s="52">
        <f>일위대가목록표!G345</f>
        <v>8659000</v>
      </c>
      <c r="K348" s="13">
        <f t="shared" si="28"/>
        <v>0</v>
      </c>
      <c r="L348" s="54">
        <f>일위대가목록표!H345</f>
        <v>0</v>
      </c>
      <c r="M348" s="33">
        <f t="shared" si="29"/>
        <v>0</v>
      </c>
      <c r="N348" s="22" t="s">
        <v>4369</v>
      </c>
      <c r="O348" s="17" t="s">
        <v>4368</v>
      </c>
      <c r="P348" s="7" t="s">
        <v>4367</v>
      </c>
      <c r="Q348" s="7" t="s">
        <v>3344</v>
      </c>
      <c r="AC348" s="3" t="str">
        <f ca="1">HYPERLINK("#"&amp;일위대가목록표!J2&amp;"!A"&amp;ROW(일위대가목록표!A345),"대가342 →")</f>
        <v>대가342 →</v>
      </c>
    </row>
    <row r="349" spans="1:29" ht="30.6" customHeight="1" x14ac:dyDescent="0.3">
      <c r="A349" s="10"/>
      <c r="B349" s="10" t="s">
        <v>803</v>
      </c>
      <c r="C349" s="41" t="s">
        <v>837</v>
      </c>
      <c r="D349" s="43">
        <v>0</v>
      </c>
      <c r="E349" s="22" t="s">
        <v>14</v>
      </c>
      <c r="F349" s="45">
        <f t="shared" si="25"/>
        <v>18474211</v>
      </c>
      <c r="G349" s="48">
        <f t="shared" si="26"/>
        <v>0</v>
      </c>
      <c r="H349" s="50">
        <f>일위대가목록표!F346</f>
        <v>2013211</v>
      </c>
      <c r="I349" s="13">
        <f t="shared" si="27"/>
        <v>0</v>
      </c>
      <c r="J349" s="52">
        <f>일위대가목록표!G346</f>
        <v>16461000</v>
      </c>
      <c r="K349" s="13">
        <f t="shared" si="28"/>
        <v>0</v>
      </c>
      <c r="L349" s="54">
        <f>일위대가목록표!H346</f>
        <v>0</v>
      </c>
      <c r="M349" s="33">
        <f t="shared" si="29"/>
        <v>0</v>
      </c>
      <c r="N349" s="22" t="s">
        <v>4372</v>
      </c>
      <c r="O349" s="17" t="s">
        <v>4371</v>
      </c>
      <c r="P349" s="7" t="s">
        <v>4370</v>
      </c>
      <c r="Q349" s="7" t="s">
        <v>3344</v>
      </c>
      <c r="AC349" s="3" t="str">
        <f ca="1">HYPERLINK("#"&amp;일위대가목록표!J2&amp;"!A"&amp;ROW(일위대가목록표!A346),"대가343 →")</f>
        <v>대가343 →</v>
      </c>
    </row>
    <row r="350" spans="1:29" ht="30.6" customHeight="1" x14ac:dyDescent="0.3">
      <c r="A350" s="10"/>
      <c r="B350" s="10" t="s">
        <v>840</v>
      </c>
      <c r="C350" s="41" t="s">
        <v>841</v>
      </c>
      <c r="D350" s="43">
        <v>1</v>
      </c>
      <c r="E350" s="22" t="s">
        <v>14</v>
      </c>
      <c r="F350" s="45">
        <f t="shared" si="25"/>
        <v>207713</v>
      </c>
      <c r="G350" s="48">
        <f t="shared" si="26"/>
        <v>207713</v>
      </c>
      <c r="H350" s="50">
        <f>일위대가목록표!F347</f>
        <v>207713</v>
      </c>
      <c r="I350" s="13">
        <f t="shared" si="27"/>
        <v>207713</v>
      </c>
      <c r="J350" s="52">
        <f>일위대가목록표!G347</f>
        <v>0</v>
      </c>
      <c r="K350" s="13">
        <f t="shared" si="28"/>
        <v>0</v>
      </c>
      <c r="L350" s="54">
        <f>일위대가목록표!H347</f>
        <v>0</v>
      </c>
      <c r="M350" s="33">
        <f t="shared" si="29"/>
        <v>0</v>
      </c>
      <c r="N350" s="22" t="s">
        <v>4375</v>
      </c>
      <c r="O350" s="17" t="s">
        <v>4374</v>
      </c>
      <c r="P350" s="7" t="s">
        <v>4373</v>
      </c>
      <c r="Q350" s="7" t="s">
        <v>3344</v>
      </c>
      <c r="AC350" s="3" t="str">
        <f ca="1">HYPERLINK("#"&amp;일위대가목록표!J2&amp;"!A"&amp;ROW(일위대가목록표!A347),"대가344 →")</f>
        <v>대가344 →</v>
      </c>
    </row>
    <row r="351" spans="1:29" ht="30.6" customHeight="1" x14ac:dyDescent="0.3">
      <c r="A351" s="10"/>
      <c r="B351" s="10" t="s">
        <v>840</v>
      </c>
      <c r="C351" s="41" t="s">
        <v>844</v>
      </c>
      <c r="D351" s="43">
        <v>0</v>
      </c>
      <c r="E351" s="22" t="s">
        <v>14</v>
      </c>
      <c r="F351" s="45">
        <f t="shared" si="25"/>
        <v>249256</v>
      </c>
      <c r="G351" s="48">
        <f t="shared" si="26"/>
        <v>0</v>
      </c>
      <c r="H351" s="50">
        <f>일위대가목록표!F348</f>
        <v>249256</v>
      </c>
      <c r="I351" s="13">
        <f t="shared" si="27"/>
        <v>0</v>
      </c>
      <c r="J351" s="52">
        <f>일위대가목록표!G348</f>
        <v>0</v>
      </c>
      <c r="K351" s="13">
        <f t="shared" si="28"/>
        <v>0</v>
      </c>
      <c r="L351" s="54">
        <f>일위대가목록표!H348</f>
        <v>0</v>
      </c>
      <c r="M351" s="33">
        <f t="shared" si="29"/>
        <v>0</v>
      </c>
      <c r="N351" s="22" t="s">
        <v>4378</v>
      </c>
      <c r="O351" s="17" t="s">
        <v>4377</v>
      </c>
      <c r="P351" s="7" t="s">
        <v>4376</v>
      </c>
      <c r="Q351" s="7" t="s">
        <v>3344</v>
      </c>
      <c r="AC351" s="3" t="str">
        <f ca="1">HYPERLINK("#"&amp;일위대가목록표!J2&amp;"!A"&amp;ROW(일위대가목록표!A348),"대가345 →")</f>
        <v>대가345 →</v>
      </c>
    </row>
    <row r="352" spans="1:29" ht="30.6" customHeight="1" x14ac:dyDescent="0.3">
      <c r="A352" s="10"/>
      <c r="B352" s="10" t="s">
        <v>840</v>
      </c>
      <c r="C352" s="41" t="s">
        <v>847</v>
      </c>
      <c r="D352" s="43">
        <v>0</v>
      </c>
      <c r="E352" s="22" t="s">
        <v>14</v>
      </c>
      <c r="F352" s="45">
        <f t="shared" si="25"/>
        <v>290799</v>
      </c>
      <c r="G352" s="48">
        <f t="shared" si="26"/>
        <v>0</v>
      </c>
      <c r="H352" s="50">
        <f>일위대가목록표!F349</f>
        <v>290799</v>
      </c>
      <c r="I352" s="13">
        <f t="shared" si="27"/>
        <v>0</v>
      </c>
      <c r="J352" s="52">
        <f>일위대가목록표!G349</f>
        <v>0</v>
      </c>
      <c r="K352" s="13">
        <f t="shared" si="28"/>
        <v>0</v>
      </c>
      <c r="L352" s="54">
        <f>일위대가목록표!H349</f>
        <v>0</v>
      </c>
      <c r="M352" s="33">
        <f t="shared" si="29"/>
        <v>0</v>
      </c>
      <c r="N352" s="22" t="s">
        <v>4381</v>
      </c>
      <c r="O352" s="17" t="s">
        <v>4380</v>
      </c>
      <c r="P352" s="7" t="s">
        <v>4379</v>
      </c>
      <c r="Q352" s="7" t="s">
        <v>3344</v>
      </c>
      <c r="AC352" s="3" t="str">
        <f ca="1">HYPERLINK("#"&amp;일위대가목록표!J2&amp;"!A"&amp;ROW(일위대가목록표!A349),"대가346 →")</f>
        <v>대가346 →</v>
      </c>
    </row>
    <row r="353" spans="1:29" ht="30.6" customHeight="1" x14ac:dyDescent="0.3">
      <c r="A353" s="10"/>
      <c r="B353" s="10" t="s">
        <v>840</v>
      </c>
      <c r="C353" s="41" t="s">
        <v>850</v>
      </c>
      <c r="D353" s="43">
        <v>0</v>
      </c>
      <c r="E353" s="22" t="s">
        <v>14</v>
      </c>
      <c r="F353" s="45">
        <f t="shared" si="25"/>
        <v>373885</v>
      </c>
      <c r="G353" s="48">
        <f t="shared" si="26"/>
        <v>0</v>
      </c>
      <c r="H353" s="50">
        <f>일위대가목록표!F350</f>
        <v>373885</v>
      </c>
      <c r="I353" s="13">
        <f t="shared" si="27"/>
        <v>0</v>
      </c>
      <c r="J353" s="52">
        <f>일위대가목록표!G350</f>
        <v>0</v>
      </c>
      <c r="K353" s="13">
        <f t="shared" si="28"/>
        <v>0</v>
      </c>
      <c r="L353" s="54">
        <f>일위대가목록표!H350</f>
        <v>0</v>
      </c>
      <c r="M353" s="33">
        <f t="shared" si="29"/>
        <v>0</v>
      </c>
      <c r="N353" s="22" t="s">
        <v>4384</v>
      </c>
      <c r="O353" s="17" t="s">
        <v>4383</v>
      </c>
      <c r="P353" s="7" t="s">
        <v>4382</v>
      </c>
      <c r="Q353" s="7" t="s">
        <v>3344</v>
      </c>
      <c r="AC353" s="3" t="str">
        <f ca="1">HYPERLINK("#"&amp;일위대가목록표!J2&amp;"!A"&amp;ROW(일위대가목록표!A350),"대가347 →")</f>
        <v>대가347 →</v>
      </c>
    </row>
    <row r="354" spans="1:29" ht="30.6" customHeight="1" x14ac:dyDescent="0.3">
      <c r="A354" s="10"/>
      <c r="B354" s="10" t="s">
        <v>840</v>
      </c>
      <c r="C354" s="41" t="s">
        <v>853</v>
      </c>
      <c r="D354" s="43">
        <v>0</v>
      </c>
      <c r="E354" s="22" t="s">
        <v>14</v>
      </c>
      <c r="F354" s="45">
        <f t="shared" si="25"/>
        <v>456971</v>
      </c>
      <c r="G354" s="48">
        <f t="shared" si="26"/>
        <v>0</v>
      </c>
      <c r="H354" s="50">
        <f>일위대가목록표!F351</f>
        <v>456971</v>
      </c>
      <c r="I354" s="13">
        <f t="shared" si="27"/>
        <v>0</v>
      </c>
      <c r="J354" s="52">
        <f>일위대가목록표!G351</f>
        <v>0</v>
      </c>
      <c r="K354" s="13">
        <f t="shared" si="28"/>
        <v>0</v>
      </c>
      <c r="L354" s="54">
        <f>일위대가목록표!H351</f>
        <v>0</v>
      </c>
      <c r="M354" s="33">
        <f t="shared" si="29"/>
        <v>0</v>
      </c>
      <c r="N354" s="22" t="s">
        <v>4387</v>
      </c>
      <c r="O354" s="17" t="s">
        <v>4386</v>
      </c>
      <c r="P354" s="7" t="s">
        <v>4385</v>
      </c>
      <c r="Q354" s="7" t="s">
        <v>3344</v>
      </c>
      <c r="AC354" s="3" t="str">
        <f ca="1">HYPERLINK("#"&amp;일위대가목록표!J2&amp;"!A"&amp;ROW(일위대가목록표!A351),"대가348 →")</f>
        <v>대가348 →</v>
      </c>
    </row>
    <row r="355" spans="1:29" ht="30.6" customHeight="1" x14ac:dyDescent="0.3">
      <c r="A355" s="10"/>
      <c r="B355" s="10" t="s">
        <v>840</v>
      </c>
      <c r="C355" s="41" t="s">
        <v>856</v>
      </c>
      <c r="D355" s="43">
        <v>0</v>
      </c>
      <c r="E355" s="22" t="s">
        <v>14</v>
      </c>
      <c r="F355" s="45">
        <f t="shared" si="25"/>
        <v>581599</v>
      </c>
      <c r="G355" s="48">
        <f t="shared" si="26"/>
        <v>0</v>
      </c>
      <c r="H355" s="50">
        <f>일위대가목록표!F352</f>
        <v>581599</v>
      </c>
      <c r="I355" s="13">
        <f t="shared" si="27"/>
        <v>0</v>
      </c>
      <c r="J355" s="52">
        <f>일위대가목록표!G352</f>
        <v>0</v>
      </c>
      <c r="K355" s="13">
        <f t="shared" si="28"/>
        <v>0</v>
      </c>
      <c r="L355" s="54">
        <f>일위대가목록표!H352</f>
        <v>0</v>
      </c>
      <c r="M355" s="33">
        <f t="shared" si="29"/>
        <v>0</v>
      </c>
      <c r="N355" s="22" t="s">
        <v>4390</v>
      </c>
      <c r="O355" s="17" t="s">
        <v>4389</v>
      </c>
      <c r="P355" s="7" t="s">
        <v>4388</v>
      </c>
      <c r="Q355" s="7" t="s">
        <v>3344</v>
      </c>
      <c r="AC355" s="3" t="str">
        <f ca="1">HYPERLINK("#"&amp;일위대가목록표!J2&amp;"!A"&amp;ROW(일위대가목록표!A352),"대가349 →")</f>
        <v>대가349 →</v>
      </c>
    </row>
    <row r="356" spans="1:29" ht="30.6" customHeight="1" x14ac:dyDescent="0.3">
      <c r="A356" s="10"/>
      <c r="B356" s="10" t="s">
        <v>840</v>
      </c>
      <c r="C356" s="41" t="s">
        <v>859</v>
      </c>
      <c r="D356" s="43">
        <v>0</v>
      </c>
      <c r="E356" s="22" t="s">
        <v>14</v>
      </c>
      <c r="F356" s="45">
        <f t="shared" si="25"/>
        <v>827080</v>
      </c>
      <c r="G356" s="48">
        <f t="shared" si="26"/>
        <v>0</v>
      </c>
      <c r="H356" s="50">
        <f>일위대가목록표!F353</f>
        <v>827080</v>
      </c>
      <c r="I356" s="13">
        <f t="shared" si="27"/>
        <v>0</v>
      </c>
      <c r="J356" s="52">
        <f>일위대가목록표!G353</f>
        <v>0</v>
      </c>
      <c r="K356" s="13">
        <f t="shared" si="28"/>
        <v>0</v>
      </c>
      <c r="L356" s="54">
        <f>일위대가목록표!H353</f>
        <v>0</v>
      </c>
      <c r="M356" s="33">
        <f t="shared" si="29"/>
        <v>0</v>
      </c>
      <c r="N356" s="22" t="s">
        <v>4393</v>
      </c>
      <c r="O356" s="17" t="s">
        <v>4392</v>
      </c>
      <c r="P356" s="7" t="s">
        <v>4391</v>
      </c>
      <c r="Q356" s="7" t="s">
        <v>3344</v>
      </c>
      <c r="AC356" s="3" t="str">
        <f ca="1">HYPERLINK("#"&amp;일위대가목록표!J2&amp;"!A"&amp;ROW(일위대가목록표!A353),"대가350 →")</f>
        <v>대가350 →</v>
      </c>
    </row>
    <row r="357" spans="1:29" ht="30.6" customHeight="1" x14ac:dyDescent="0.3">
      <c r="A357" s="10"/>
      <c r="B357" s="10" t="s">
        <v>840</v>
      </c>
      <c r="C357" s="41" t="s">
        <v>862</v>
      </c>
      <c r="D357" s="43">
        <v>0</v>
      </c>
      <c r="E357" s="22" t="s">
        <v>14</v>
      </c>
      <c r="F357" s="45">
        <f t="shared" si="25"/>
        <v>1076338</v>
      </c>
      <c r="G357" s="48">
        <f t="shared" si="26"/>
        <v>0</v>
      </c>
      <c r="H357" s="50">
        <f>일위대가목록표!F354</f>
        <v>1076338</v>
      </c>
      <c r="I357" s="13">
        <f t="shared" si="27"/>
        <v>0</v>
      </c>
      <c r="J357" s="52">
        <f>일위대가목록표!G354</f>
        <v>0</v>
      </c>
      <c r="K357" s="13">
        <f t="shared" si="28"/>
        <v>0</v>
      </c>
      <c r="L357" s="54">
        <f>일위대가목록표!H354</f>
        <v>0</v>
      </c>
      <c r="M357" s="33">
        <f t="shared" si="29"/>
        <v>0</v>
      </c>
      <c r="N357" s="22" t="s">
        <v>4396</v>
      </c>
      <c r="O357" s="17" t="s">
        <v>4395</v>
      </c>
      <c r="P357" s="7" t="s">
        <v>4394</v>
      </c>
      <c r="Q357" s="7" t="s">
        <v>3344</v>
      </c>
      <c r="AC357" s="3" t="str">
        <f ca="1">HYPERLINK("#"&amp;일위대가목록표!J2&amp;"!A"&amp;ROW(일위대가목록표!A354),"대가351 →")</f>
        <v>대가351 →</v>
      </c>
    </row>
    <row r="358" spans="1:29" ht="30.6" customHeight="1" x14ac:dyDescent="0.3">
      <c r="A358" s="10"/>
      <c r="B358" s="10" t="s">
        <v>840</v>
      </c>
      <c r="C358" s="41" t="s">
        <v>865</v>
      </c>
      <c r="D358" s="43">
        <v>0</v>
      </c>
      <c r="E358" s="22" t="s">
        <v>14</v>
      </c>
      <c r="F358" s="45">
        <f t="shared" si="25"/>
        <v>1242509</v>
      </c>
      <c r="G358" s="48">
        <f t="shared" si="26"/>
        <v>0</v>
      </c>
      <c r="H358" s="50">
        <f>일위대가목록표!F355</f>
        <v>1242509</v>
      </c>
      <c r="I358" s="13">
        <f t="shared" si="27"/>
        <v>0</v>
      </c>
      <c r="J358" s="52">
        <f>일위대가목록표!G355</f>
        <v>0</v>
      </c>
      <c r="K358" s="13">
        <f t="shared" si="28"/>
        <v>0</v>
      </c>
      <c r="L358" s="54">
        <f>일위대가목록표!H355</f>
        <v>0</v>
      </c>
      <c r="M358" s="33">
        <f t="shared" si="29"/>
        <v>0</v>
      </c>
      <c r="N358" s="22" t="s">
        <v>4399</v>
      </c>
      <c r="O358" s="17" t="s">
        <v>4398</v>
      </c>
      <c r="P358" s="7" t="s">
        <v>4397</v>
      </c>
      <c r="Q358" s="7" t="s">
        <v>3344</v>
      </c>
      <c r="AC358" s="3" t="str">
        <f ca="1">HYPERLINK("#"&amp;일위대가목록표!J2&amp;"!A"&amp;ROW(일위대가목록표!A355),"대가352 →")</f>
        <v>대가352 →</v>
      </c>
    </row>
    <row r="359" spans="1:29" ht="30.6" customHeight="1" x14ac:dyDescent="0.3">
      <c r="A359" s="10"/>
      <c r="B359" s="10" t="s">
        <v>840</v>
      </c>
      <c r="C359" s="41" t="s">
        <v>868</v>
      </c>
      <c r="D359" s="43">
        <v>0</v>
      </c>
      <c r="E359" s="22" t="s">
        <v>14</v>
      </c>
      <c r="F359" s="45">
        <f t="shared" si="25"/>
        <v>1408681</v>
      </c>
      <c r="G359" s="48">
        <f t="shared" si="26"/>
        <v>0</v>
      </c>
      <c r="H359" s="50">
        <f>일위대가목록표!F356</f>
        <v>1408681</v>
      </c>
      <c r="I359" s="13">
        <f t="shared" si="27"/>
        <v>0</v>
      </c>
      <c r="J359" s="52">
        <f>일위대가목록표!G356</f>
        <v>0</v>
      </c>
      <c r="K359" s="13">
        <f t="shared" si="28"/>
        <v>0</v>
      </c>
      <c r="L359" s="54">
        <f>일위대가목록표!H356</f>
        <v>0</v>
      </c>
      <c r="M359" s="33">
        <f t="shared" si="29"/>
        <v>0</v>
      </c>
      <c r="N359" s="22" t="s">
        <v>4402</v>
      </c>
      <c r="O359" s="17" t="s">
        <v>4401</v>
      </c>
      <c r="P359" s="7" t="s">
        <v>4400</v>
      </c>
      <c r="Q359" s="7" t="s">
        <v>3344</v>
      </c>
      <c r="AC359" s="3" t="str">
        <f ca="1">HYPERLINK("#"&amp;일위대가목록표!J2&amp;"!A"&amp;ROW(일위대가목록표!A356),"대가353 →")</f>
        <v>대가353 →</v>
      </c>
    </row>
    <row r="360" spans="1:29" ht="30.6" customHeight="1" x14ac:dyDescent="0.3">
      <c r="A360" s="10"/>
      <c r="B360" s="10" t="s">
        <v>840</v>
      </c>
      <c r="C360" s="41" t="s">
        <v>871</v>
      </c>
      <c r="D360" s="43">
        <v>0</v>
      </c>
      <c r="E360" s="22" t="s">
        <v>14</v>
      </c>
      <c r="F360" s="45">
        <f t="shared" si="25"/>
        <v>2013211</v>
      </c>
      <c r="G360" s="48">
        <f t="shared" si="26"/>
        <v>0</v>
      </c>
      <c r="H360" s="50">
        <f>일위대가목록표!F357</f>
        <v>2013211</v>
      </c>
      <c r="I360" s="13">
        <f t="shared" si="27"/>
        <v>0</v>
      </c>
      <c r="J360" s="52">
        <f>일위대가목록표!G357</f>
        <v>0</v>
      </c>
      <c r="K360" s="13">
        <f t="shared" si="28"/>
        <v>0</v>
      </c>
      <c r="L360" s="54">
        <f>일위대가목록표!H357</f>
        <v>0</v>
      </c>
      <c r="M360" s="33">
        <f t="shared" si="29"/>
        <v>0</v>
      </c>
      <c r="N360" s="22" t="s">
        <v>4405</v>
      </c>
      <c r="O360" s="17" t="s">
        <v>4404</v>
      </c>
      <c r="P360" s="7" t="s">
        <v>4403</v>
      </c>
      <c r="Q360" s="7" t="s">
        <v>3344</v>
      </c>
      <c r="AC360" s="3" t="str">
        <f ca="1">HYPERLINK("#"&amp;일위대가목록표!J2&amp;"!A"&amp;ROW(일위대가목록표!A357),"대가354 →")</f>
        <v>대가354 →</v>
      </c>
    </row>
    <row r="361" spans="1:29" ht="30.6" customHeight="1" x14ac:dyDescent="0.3">
      <c r="A361" s="10"/>
      <c r="B361" s="10" t="s">
        <v>840</v>
      </c>
      <c r="C361" s="41" t="s">
        <v>874</v>
      </c>
      <c r="D361" s="43">
        <v>0</v>
      </c>
      <c r="E361" s="22" t="s">
        <v>14</v>
      </c>
      <c r="F361" s="45">
        <f t="shared" si="25"/>
        <v>2613964</v>
      </c>
      <c r="G361" s="48">
        <f t="shared" si="26"/>
        <v>0</v>
      </c>
      <c r="H361" s="50">
        <f>일위대가목록표!F358</f>
        <v>2613964</v>
      </c>
      <c r="I361" s="13">
        <f t="shared" si="27"/>
        <v>0</v>
      </c>
      <c r="J361" s="52">
        <f>일위대가목록표!G358</f>
        <v>0</v>
      </c>
      <c r="K361" s="13">
        <f t="shared" si="28"/>
        <v>0</v>
      </c>
      <c r="L361" s="54">
        <f>일위대가목록표!H358</f>
        <v>0</v>
      </c>
      <c r="M361" s="33">
        <f t="shared" si="29"/>
        <v>0</v>
      </c>
      <c r="N361" s="22" t="s">
        <v>4408</v>
      </c>
      <c r="O361" s="17" t="s">
        <v>4407</v>
      </c>
      <c r="P361" s="7" t="s">
        <v>4406</v>
      </c>
      <c r="Q361" s="7" t="s">
        <v>3344</v>
      </c>
      <c r="AC361" s="3" t="str">
        <f ca="1">HYPERLINK("#"&amp;일위대가목록표!J2&amp;"!A"&amp;ROW(일위대가목록표!A358),"대가355 →")</f>
        <v>대가355 →</v>
      </c>
    </row>
    <row r="362" spans="1:29" ht="30.6" customHeight="1" x14ac:dyDescent="0.3">
      <c r="A362" s="10"/>
      <c r="B362" s="10" t="s">
        <v>877</v>
      </c>
      <c r="C362" s="41" t="s">
        <v>878</v>
      </c>
      <c r="D362" s="43">
        <v>0</v>
      </c>
      <c r="E362" s="22" t="s">
        <v>14</v>
      </c>
      <c r="F362" s="45">
        <f t="shared" si="25"/>
        <v>148367</v>
      </c>
      <c r="G362" s="48">
        <f t="shared" si="26"/>
        <v>0</v>
      </c>
      <c r="H362" s="50">
        <f>일위대가목록표!F359</f>
        <v>148367</v>
      </c>
      <c r="I362" s="13">
        <f t="shared" si="27"/>
        <v>0</v>
      </c>
      <c r="J362" s="52">
        <f>일위대가목록표!G359</f>
        <v>0</v>
      </c>
      <c r="K362" s="13">
        <f t="shared" si="28"/>
        <v>0</v>
      </c>
      <c r="L362" s="54">
        <f>일위대가목록표!H359</f>
        <v>0</v>
      </c>
      <c r="M362" s="33">
        <f t="shared" si="29"/>
        <v>0</v>
      </c>
      <c r="N362" s="22" t="s">
        <v>4411</v>
      </c>
      <c r="O362" s="17" t="s">
        <v>4410</v>
      </c>
      <c r="P362" s="7" t="s">
        <v>4409</v>
      </c>
      <c r="Q362" s="7" t="s">
        <v>3344</v>
      </c>
      <c r="AC362" s="3" t="str">
        <f ca="1">HYPERLINK("#"&amp;일위대가목록표!J2&amp;"!A"&amp;ROW(일위대가목록표!A359),"대가356 →")</f>
        <v>대가356 →</v>
      </c>
    </row>
    <row r="363" spans="1:29" ht="30.6" customHeight="1" x14ac:dyDescent="0.3">
      <c r="A363" s="10"/>
      <c r="B363" s="10" t="s">
        <v>877</v>
      </c>
      <c r="C363" s="41" t="s">
        <v>881</v>
      </c>
      <c r="D363" s="43">
        <v>0</v>
      </c>
      <c r="E363" s="22" t="s">
        <v>14</v>
      </c>
      <c r="F363" s="45">
        <f t="shared" si="25"/>
        <v>178040</v>
      </c>
      <c r="G363" s="48">
        <f t="shared" si="26"/>
        <v>0</v>
      </c>
      <c r="H363" s="50">
        <f>일위대가목록표!F360</f>
        <v>178040</v>
      </c>
      <c r="I363" s="13">
        <f t="shared" si="27"/>
        <v>0</v>
      </c>
      <c r="J363" s="52">
        <f>일위대가목록표!G360</f>
        <v>0</v>
      </c>
      <c r="K363" s="13">
        <f t="shared" si="28"/>
        <v>0</v>
      </c>
      <c r="L363" s="54">
        <f>일위대가목록표!H360</f>
        <v>0</v>
      </c>
      <c r="M363" s="33">
        <f t="shared" si="29"/>
        <v>0</v>
      </c>
      <c r="N363" s="22" t="s">
        <v>4414</v>
      </c>
      <c r="O363" s="17" t="s">
        <v>4413</v>
      </c>
      <c r="P363" s="7" t="s">
        <v>4412</v>
      </c>
      <c r="Q363" s="7" t="s">
        <v>3344</v>
      </c>
      <c r="AC363" s="3" t="str">
        <f ca="1">HYPERLINK("#"&amp;일위대가목록표!J2&amp;"!A"&amp;ROW(일위대가목록표!A360),"대가357 →")</f>
        <v>대가357 →</v>
      </c>
    </row>
    <row r="364" spans="1:29" ht="30.6" customHeight="1" x14ac:dyDescent="0.3">
      <c r="A364" s="10"/>
      <c r="B364" s="10" t="s">
        <v>877</v>
      </c>
      <c r="C364" s="41" t="s">
        <v>884</v>
      </c>
      <c r="D364" s="43">
        <v>0</v>
      </c>
      <c r="E364" s="22" t="s">
        <v>14</v>
      </c>
      <c r="F364" s="45">
        <f t="shared" si="25"/>
        <v>207714</v>
      </c>
      <c r="G364" s="48">
        <f t="shared" si="26"/>
        <v>0</v>
      </c>
      <c r="H364" s="50">
        <f>일위대가목록표!F361</f>
        <v>207714</v>
      </c>
      <c r="I364" s="13">
        <f t="shared" si="27"/>
        <v>0</v>
      </c>
      <c r="J364" s="52">
        <f>일위대가목록표!G361</f>
        <v>0</v>
      </c>
      <c r="K364" s="13">
        <f t="shared" si="28"/>
        <v>0</v>
      </c>
      <c r="L364" s="54">
        <f>일위대가목록표!H361</f>
        <v>0</v>
      </c>
      <c r="M364" s="33">
        <f t="shared" si="29"/>
        <v>0</v>
      </c>
      <c r="N364" s="22" t="s">
        <v>4417</v>
      </c>
      <c r="O364" s="17" t="s">
        <v>4416</v>
      </c>
      <c r="P364" s="7" t="s">
        <v>4415</v>
      </c>
      <c r="Q364" s="7" t="s">
        <v>3344</v>
      </c>
      <c r="AC364" s="3" t="str">
        <f ca="1">HYPERLINK("#"&amp;일위대가목록표!J2&amp;"!A"&amp;ROW(일위대가목록표!A361),"대가358 →")</f>
        <v>대가358 →</v>
      </c>
    </row>
    <row r="365" spans="1:29" ht="30.6" customHeight="1" x14ac:dyDescent="0.3">
      <c r="A365" s="10"/>
      <c r="B365" s="10" t="s">
        <v>877</v>
      </c>
      <c r="C365" s="41" t="s">
        <v>887</v>
      </c>
      <c r="D365" s="43">
        <v>1</v>
      </c>
      <c r="E365" s="22" t="s">
        <v>14</v>
      </c>
      <c r="F365" s="45">
        <f t="shared" si="25"/>
        <v>267061</v>
      </c>
      <c r="G365" s="48">
        <f t="shared" si="26"/>
        <v>267061</v>
      </c>
      <c r="H365" s="50">
        <f>일위대가목록표!F362</f>
        <v>267061</v>
      </c>
      <c r="I365" s="13">
        <f t="shared" si="27"/>
        <v>267061</v>
      </c>
      <c r="J365" s="52">
        <f>일위대가목록표!G362</f>
        <v>0</v>
      </c>
      <c r="K365" s="13">
        <f t="shared" si="28"/>
        <v>0</v>
      </c>
      <c r="L365" s="54">
        <f>일위대가목록표!H362</f>
        <v>0</v>
      </c>
      <c r="M365" s="33">
        <f t="shared" si="29"/>
        <v>0</v>
      </c>
      <c r="N365" s="22" t="s">
        <v>4420</v>
      </c>
      <c r="O365" s="17" t="s">
        <v>4419</v>
      </c>
      <c r="P365" s="7" t="s">
        <v>4418</v>
      </c>
      <c r="Q365" s="7" t="s">
        <v>3344</v>
      </c>
      <c r="AC365" s="3" t="str">
        <f ca="1">HYPERLINK("#"&amp;일위대가목록표!J2&amp;"!A"&amp;ROW(일위대가목록표!A362),"대가359 →")</f>
        <v>대가359 →</v>
      </c>
    </row>
    <row r="366" spans="1:29" ht="30.6" customHeight="1" x14ac:dyDescent="0.3">
      <c r="A366" s="10"/>
      <c r="B366" s="10" t="s">
        <v>877</v>
      </c>
      <c r="C366" s="41" t="s">
        <v>890</v>
      </c>
      <c r="D366" s="43">
        <v>1</v>
      </c>
      <c r="E366" s="22" t="s">
        <v>14</v>
      </c>
      <c r="F366" s="45">
        <f t="shared" si="25"/>
        <v>326408</v>
      </c>
      <c r="G366" s="48">
        <f t="shared" si="26"/>
        <v>326408</v>
      </c>
      <c r="H366" s="50">
        <f>일위대가목록표!F363</f>
        <v>326408</v>
      </c>
      <c r="I366" s="13">
        <f t="shared" si="27"/>
        <v>326408</v>
      </c>
      <c r="J366" s="52">
        <f>일위대가목록표!G363</f>
        <v>0</v>
      </c>
      <c r="K366" s="13">
        <f t="shared" si="28"/>
        <v>0</v>
      </c>
      <c r="L366" s="54">
        <f>일위대가목록표!H363</f>
        <v>0</v>
      </c>
      <c r="M366" s="33">
        <f t="shared" si="29"/>
        <v>0</v>
      </c>
      <c r="N366" s="22" t="s">
        <v>4423</v>
      </c>
      <c r="O366" s="17" t="s">
        <v>4422</v>
      </c>
      <c r="P366" s="7" t="s">
        <v>4421</v>
      </c>
      <c r="Q366" s="7" t="s">
        <v>3344</v>
      </c>
      <c r="AC366" s="3" t="str">
        <f ca="1">HYPERLINK("#"&amp;일위대가목록표!J2&amp;"!A"&amp;ROW(일위대가목록표!A363),"대가360 →")</f>
        <v>대가360 →</v>
      </c>
    </row>
    <row r="367" spans="1:29" ht="30.6" customHeight="1" x14ac:dyDescent="0.3">
      <c r="A367" s="10"/>
      <c r="B367" s="10" t="s">
        <v>877</v>
      </c>
      <c r="C367" s="41" t="s">
        <v>893</v>
      </c>
      <c r="D367" s="43">
        <v>0</v>
      </c>
      <c r="E367" s="22" t="s">
        <v>14</v>
      </c>
      <c r="F367" s="45">
        <f t="shared" si="25"/>
        <v>415428</v>
      </c>
      <c r="G367" s="48">
        <f t="shared" si="26"/>
        <v>0</v>
      </c>
      <c r="H367" s="50">
        <f>일위대가목록표!F364</f>
        <v>415428</v>
      </c>
      <c r="I367" s="13">
        <f t="shared" si="27"/>
        <v>0</v>
      </c>
      <c r="J367" s="52">
        <f>일위대가목록표!G364</f>
        <v>0</v>
      </c>
      <c r="K367" s="13">
        <f t="shared" si="28"/>
        <v>0</v>
      </c>
      <c r="L367" s="54">
        <f>일위대가목록표!H364</f>
        <v>0</v>
      </c>
      <c r="M367" s="33">
        <f t="shared" si="29"/>
        <v>0</v>
      </c>
      <c r="N367" s="22" t="s">
        <v>4426</v>
      </c>
      <c r="O367" s="17" t="s">
        <v>4425</v>
      </c>
      <c r="P367" s="7" t="s">
        <v>4424</v>
      </c>
      <c r="Q367" s="7" t="s">
        <v>3344</v>
      </c>
      <c r="AC367" s="3" t="str">
        <f ca="1">HYPERLINK("#"&amp;일위대가목록표!J2&amp;"!A"&amp;ROW(일위대가목록표!A364),"대가361 →")</f>
        <v>대가361 →</v>
      </c>
    </row>
    <row r="368" spans="1:29" ht="30.6" customHeight="1" x14ac:dyDescent="0.3">
      <c r="A368" s="10"/>
      <c r="B368" s="10" t="s">
        <v>877</v>
      </c>
      <c r="C368" s="41" t="s">
        <v>896</v>
      </c>
      <c r="D368" s="43">
        <v>0</v>
      </c>
      <c r="E368" s="22" t="s">
        <v>14</v>
      </c>
      <c r="F368" s="45">
        <f t="shared" si="25"/>
        <v>590772</v>
      </c>
      <c r="G368" s="48">
        <f t="shared" si="26"/>
        <v>0</v>
      </c>
      <c r="H368" s="50">
        <f>일위대가목록표!F365</f>
        <v>590772</v>
      </c>
      <c r="I368" s="13">
        <f t="shared" si="27"/>
        <v>0</v>
      </c>
      <c r="J368" s="52">
        <f>일위대가목록표!G365</f>
        <v>0</v>
      </c>
      <c r="K368" s="13">
        <f t="shared" si="28"/>
        <v>0</v>
      </c>
      <c r="L368" s="54">
        <f>일위대가목록표!H365</f>
        <v>0</v>
      </c>
      <c r="M368" s="33">
        <f t="shared" si="29"/>
        <v>0</v>
      </c>
      <c r="N368" s="22" t="s">
        <v>4429</v>
      </c>
      <c r="O368" s="17" t="s">
        <v>4428</v>
      </c>
      <c r="P368" s="7" t="s">
        <v>4427</v>
      </c>
      <c r="Q368" s="7" t="s">
        <v>3344</v>
      </c>
      <c r="AC368" s="3" t="str">
        <f ca="1">HYPERLINK("#"&amp;일위대가목록표!J2&amp;"!A"&amp;ROW(일위대가목록표!A365),"대가362 →")</f>
        <v>대가362 →</v>
      </c>
    </row>
    <row r="369" spans="1:29" ht="30.6" customHeight="1" x14ac:dyDescent="0.3">
      <c r="A369" s="10"/>
      <c r="B369" s="10" t="s">
        <v>877</v>
      </c>
      <c r="C369" s="41" t="s">
        <v>899</v>
      </c>
      <c r="D369" s="43">
        <v>0</v>
      </c>
      <c r="E369" s="22" t="s">
        <v>14</v>
      </c>
      <c r="F369" s="45">
        <f t="shared" si="25"/>
        <v>768813</v>
      </c>
      <c r="G369" s="48">
        <f t="shared" si="26"/>
        <v>0</v>
      </c>
      <c r="H369" s="50">
        <f>일위대가목록표!F366</f>
        <v>768813</v>
      </c>
      <c r="I369" s="13">
        <f t="shared" si="27"/>
        <v>0</v>
      </c>
      <c r="J369" s="52">
        <f>일위대가목록표!G366</f>
        <v>0</v>
      </c>
      <c r="K369" s="13">
        <f t="shared" si="28"/>
        <v>0</v>
      </c>
      <c r="L369" s="54">
        <f>일위대가목록표!H366</f>
        <v>0</v>
      </c>
      <c r="M369" s="33">
        <f t="shared" si="29"/>
        <v>0</v>
      </c>
      <c r="N369" s="22" t="s">
        <v>4432</v>
      </c>
      <c r="O369" s="17" t="s">
        <v>4431</v>
      </c>
      <c r="P369" s="7" t="s">
        <v>4430</v>
      </c>
      <c r="Q369" s="7" t="s">
        <v>3344</v>
      </c>
      <c r="AC369" s="3" t="str">
        <f ca="1">HYPERLINK("#"&amp;일위대가목록표!J2&amp;"!A"&amp;ROW(일위대가목록표!A366),"대가363 →")</f>
        <v>대가363 →</v>
      </c>
    </row>
    <row r="370" spans="1:29" ht="30.6" customHeight="1" x14ac:dyDescent="0.3">
      <c r="A370" s="10"/>
      <c r="B370" s="10" t="s">
        <v>877</v>
      </c>
      <c r="C370" s="41" t="s">
        <v>902</v>
      </c>
      <c r="D370" s="43">
        <v>0</v>
      </c>
      <c r="E370" s="22" t="s">
        <v>14</v>
      </c>
      <c r="F370" s="45">
        <f t="shared" si="25"/>
        <v>887507</v>
      </c>
      <c r="G370" s="48">
        <f t="shared" si="26"/>
        <v>0</v>
      </c>
      <c r="H370" s="50">
        <f>일위대가목록표!F367</f>
        <v>887507</v>
      </c>
      <c r="I370" s="13">
        <f t="shared" si="27"/>
        <v>0</v>
      </c>
      <c r="J370" s="52">
        <f>일위대가목록표!G367</f>
        <v>0</v>
      </c>
      <c r="K370" s="13">
        <f t="shared" si="28"/>
        <v>0</v>
      </c>
      <c r="L370" s="54">
        <f>일위대가목록표!H367</f>
        <v>0</v>
      </c>
      <c r="M370" s="33">
        <f t="shared" si="29"/>
        <v>0</v>
      </c>
      <c r="N370" s="22" t="s">
        <v>4435</v>
      </c>
      <c r="O370" s="17" t="s">
        <v>4434</v>
      </c>
      <c r="P370" s="7" t="s">
        <v>4433</v>
      </c>
      <c r="Q370" s="7" t="s">
        <v>3344</v>
      </c>
      <c r="AC370" s="3" t="str">
        <f ca="1">HYPERLINK("#"&amp;일위대가목록표!J2&amp;"!A"&amp;ROW(일위대가목록표!A367),"대가364 →")</f>
        <v>대가364 →</v>
      </c>
    </row>
    <row r="371" spans="1:29" ht="30.6" customHeight="1" x14ac:dyDescent="0.3">
      <c r="A371" s="10"/>
      <c r="B371" s="10" t="s">
        <v>877</v>
      </c>
      <c r="C371" s="41" t="s">
        <v>905</v>
      </c>
      <c r="D371" s="43">
        <v>0</v>
      </c>
      <c r="E371" s="22" t="s">
        <v>14</v>
      </c>
      <c r="F371" s="45">
        <f t="shared" si="25"/>
        <v>1006201</v>
      </c>
      <c r="G371" s="48">
        <f t="shared" si="26"/>
        <v>0</v>
      </c>
      <c r="H371" s="50">
        <f>일위대가목록표!F368</f>
        <v>1006201</v>
      </c>
      <c r="I371" s="13">
        <f t="shared" si="27"/>
        <v>0</v>
      </c>
      <c r="J371" s="52">
        <f>일위대가목록표!G368</f>
        <v>0</v>
      </c>
      <c r="K371" s="13">
        <f t="shared" si="28"/>
        <v>0</v>
      </c>
      <c r="L371" s="54">
        <f>일위대가목록표!H368</f>
        <v>0</v>
      </c>
      <c r="M371" s="33">
        <f t="shared" si="29"/>
        <v>0</v>
      </c>
      <c r="N371" s="22" t="s">
        <v>4438</v>
      </c>
      <c r="O371" s="17" t="s">
        <v>4437</v>
      </c>
      <c r="P371" s="7" t="s">
        <v>4436</v>
      </c>
      <c r="Q371" s="7" t="s">
        <v>3344</v>
      </c>
      <c r="AC371" s="3" t="str">
        <f ca="1">HYPERLINK("#"&amp;일위대가목록표!J2&amp;"!A"&amp;ROW(일위대가목록표!A368),"대가365 →")</f>
        <v>대가365 →</v>
      </c>
    </row>
    <row r="372" spans="1:29" ht="30.6" customHeight="1" x14ac:dyDescent="0.3">
      <c r="A372" s="10"/>
      <c r="B372" s="10" t="s">
        <v>877</v>
      </c>
      <c r="C372" s="41" t="s">
        <v>908</v>
      </c>
      <c r="D372" s="43">
        <v>0</v>
      </c>
      <c r="E372" s="22" t="s">
        <v>14</v>
      </c>
      <c r="F372" s="45">
        <f t="shared" si="25"/>
        <v>1184242</v>
      </c>
      <c r="G372" s="48">
        <f t="shared" si="26"/>
        <v>0</v>
      </c>
      <c r="H372" s="50">
        <f>일위대가목록표!F369</f>
        <v>1184242</v>
      </c>
      <c r="I372" s="13">
        <f t="shared" si="27"/>
        <v>0</v>
      </c>
      <c r="J372" s="52">
        <f>일위대가목록표!G369</f>
        <v>0</v>
      </c>
      <c r="K372" s="13">
        <f t="shared" si="28"/>
        <v>0</v>
      </c>
      <c r="L372" s="54">
        <f>일위대가목록표!H369</f>
        <v>0</v>
      </c>
      <c r="M372" s="33">
        <f t="shared" si="29"/>
        <v>0</v>
      </c>
      <c r="N372" s="22" t="s">
        <v>4441</v>
      </c>
      <c r="O372" s="17" t="s">
        <v>4440</v>
      </c>
      <c r="P372" s="7" t="s">
        <v>4439</v>
      </c>
      <c r="Q372" s="7" t="s">
        <v>3344</v>
      </c>
      <c r="AC372" s="3" t="str">
        <f ca="1">HYPERLINK("#"&amp;일위대가목록표!J2&amp;"!A"&amp;ROW(일위대가목록표!A369),"대가366 →")</f>
        <v>대가366 →</v>
      </c>
    </row>
    <row r="373" spans="1:29" ht="30.6" customHeight="1" x14ac:dyDescent="0.3">
      <c r="A373" s="10"/>
      <c r="B373" s="10" t="s">
        <v>877</v>
      </c>
      <c r="C373" s="41" t="s">
        <v>911</v>
      </c>
      <c r="D373" s="43">
        <v>0</v>
      </c>
      <c r="E373" s="22" t="s">
        <v>14</v>
      </c>
      <c r="F373" s="45">
        <f t="shared" si="25"/>
        <v>1537626</v>
      </c>
      <c r="G373" s="48">
        <f t="shared" si="26"/>
        <v>0</v>
      </c>
      <c r="H373" s="50">
        <f>일위대가목록표!F370</f>
        <v>1537626</v>
      </c>
      <c r="I373" s="13">
        <f t="shared" si="27"/>
        <v>0</v>
      </c>
      <c r="J373" s="52">
        <f>일위대가목록표!G370</f>
        <v>0</v>
      </c>
      <c r="K373" s="13">
        <f t="shared" si="28"/>
        <v>0</v>
      </c>
      <c r="L373" s="54">
        <f>일위대가목록표!H370</f>
        <v>0</v>
      </c>
      <c r="M373" s="33">
        <f t="shared" si="29"/>
        <v>0</v>
      </c>
      <c r="N373" s="22" t="s">
        <v>4444</v>
      </c>
      <c r="O373" s="17" t="s">
        <v>4443</v>
      </c>
      <c r="P373" s="7" t="s">
        <v>4442</v>
      </c>
      <c r="Q373" s="7" t="s">
        <v>3344</v>
      </c>
      <c r="AC373" s="3" t="str">
        <f ca="1">HYPERLINK("#"&amp;일위대가목록표!J2&amp;"!A"&amp;ROW(일위대가목록표!A370),"대가367 →")</f>
        <v>대가367 →</v>
      </c>
    </row>
    <row r="374" spans="1:29" ht="30.6" customHeight="1" x14ac:dyDescent="0.3">
      <c r="A374" s="10"/>
      <c r="B374" s="10" t="s">
        <v>914</v>
      </c>
      <c r="C374" s="41" t="s">
        <v>915</v>
      </c>
      <c r="D374" s="43">
        <v>0</v>
      </c>
      <c r="E374" s="22" t="s">
        <v>14</v>
      </c>
      <c r="F374" s="45">
        <f t="shared" si="25"/>
        <v>59346</v>
      </c>
      <c r="G374" s="48">
        <f t="shared" si="26"/>
        <v>0</v>
      </c>
      <c r="H374" s="50">
        <f>일위대가목록표!F371</f>
        <v>59346</v>
      </c>
      <c r="I374" s="13">
        <f t="shared" si="27"/>
        <v>0</v>
      </c>
      <c r="J374" s="52">
        <f>일위대가목록표!G371</f>
        <v>0</v>
      </c>
      <c r="K374" s="13">
        <f t="shared" si="28"/>
        <v>0</v>
      </c>
      <c r="L374" s="54">
        <f>일위대가목록표!H371</f>
        <v>0</v>
      </c>
      <c r="M374" s="33">
        <f t="shared" si="29"/>
        <v>0</v>
      </c>
      <c r="N374" s="22" t="s">
        <v>4447</v>
      </c>
      <c r="O374" s="17" t="s">
        <v>4446</v>
      </c>
      <c r="P374" s="7" t="s">
        <v>4445</v>
      </c>
      <c r="Q374" s="7" t="s">
        <v>3344</v>
      </c>
      <c r="AC374" s="3" t="str">
        <f ca="1">HYPERLINK("#"&amp;일위대가목록표!J2&amp;"!A"&amp;ROW(일위대가목록표!A371),"대가368 →")</f>
        <v>대가368 →</v>
      </c>
    </row>
    <row r="375" spans="1:29" ht="30.6" customHeight="1" x14ac:dyDescent="0.3">
      <c r="A375" s="10"/>
      <c r="B375" s="10" t="s">
        <v>914</v>
      </c>
      <c r="C375" s="41" t="s">
        <v>918</v>
      </c>
      <c r="D375" s="43">
        <v>0</v>
      </c>
      <c r="E375" s="22" t="s">
        <v>14</v>
      </c>
      <c r="F375" s="45">
        <f t="shared" si="25"/>
        <v>71216</v>
      </c>
      <c r="G375" s="48">
        <f t="shared" si="26"/>
        <v>0</v>
      </c>
      <c r="H375" s="50">
        <f>일위대가목록표!F372</f>
        <v>71216</v>
      </c>
      <c r="I375" s="13">
        <f t="shared" si="27"/>
        <v>0</v>
      </c>
      <c r="J375" s="52">
        <f>일위대가목록표!G372</f>
        <v>0</v>
      </c>
      <c r="K375" s="13">
        <f t="shared" si="28"/>
        <v>0</v>
      </c>
      <c r="L375" s="54">
        <f>일위대가목록표!H372</f>
        <v>0</v>
      </c>
      <c r="M375" s="33">
        <f t="shared" si="29"/>
        <v>0</v>
      </c>
      <c r="N375" s="22" t="s">
        <v>4450</v>
      </c>
      <c r="O375" s="17" t="s">
        <v>4449</v>
      </c>
      <c r="P375" s="7" t="s">
        <v>4448</v>
      </c>
      <c r="Q375" s="7" t="s">
        <v>3344</v>
      </c>
      <c r="AC375" s="3" t="str">
        <f ca="1">HYPERLINK("#"&amp;일위대가목록표!J2&amp;"!A"&amp;ROW(일위대가목록표!A372),"대가369 →")</f>
        <v>대가369 →</v>
      </c>
    </row>
    <row r="376" spans="1:29" ht="30.6" customHeight="1" x14ac:dyDescent="0.3">
      <c r="A376" s="10"/>
      <c r="B376" s="10" t="s">
        <v>914</v>
      </c>
      <c r="C376" s="41" t="s">
        <v>921</v>
      </c>
      <c r="D376" s="43">
        <v>0</v>
      </c>
      <c r="E376" s="22" t="s">
        <v>14</v>
      </c>
      <c r="F376" s="45">
        <f t="shared" si="25"/>
        <v>83085</v>
      </c>
      <c r="G376" s="48">
        <f t="shared" si="26"/>
        <v>0</v>
      </c>
      <c r="H376" s="50">
        <f>일위대가목록표!F373</f>
        <v>83085</v>
      </c>
      <c r="I376" s="13">
        <f t="shared" si="27"/>
        <v>0</v>
      </c>
      <c r="J376" s="52">
        <f>일위대가목록표!G373</f>
        <v>0</v>
      </c>
      <c r="K376" s="13">
        <f t="shared" si="28"/>
        <v>0</v>
      </c>
      <c r="L376" s="54">
        <f>일위대가목록표!H373</f>
        <v>0</v>
      </c>
      <c r="M376" s="33">
        <f t="shared" si="29"/>
        <v>0</v>
      </c>
      <c r="N376" s="22" t="s">
        <v>4453</v>
      </c>
      <c r="O376" s="17" t="s">
        <v>4452</v>
      </c>
      <c r="P376" s="7" t="s">
        <v>4451</v>
      </c>
      <c r="Q376" s="7" t="s">
        <v>3344</v>
      </c>
      <c r="AC376" s="3" t="str">
        <f ca="1">HYPERLINK("#"&amp;일위대가목록표!J2&amp;"!A"&amp;ROW(일위대가목록표!A373),"대가370 →")</f>
        <v>대가370 →</v>
      </c>
    </row>
    <row r="377" spans="1:29" ht="30.6" customHeight="1" x14ac:dyDescent="0.3">
      <c r="A377" s="10"/>
      <c r="B377" s="10" t="s">
        <v>914</v>
      </c>
      <c r="C377" s="41" t="s">
        <v>924</v>
      </c>
      <c r="D377" s="43">
        <v>1</v>
      </c>
      <c r="E377" s="22" t="s">
        <v>14</v>
      </c>
      <c r="F377" s="45">
        <f t="shared" si="25"/>
        <v>106824</v>
      </c>
      <c r="G377" s="48">
        <f t="shared" si="26"/>
        <v>106824</v>
      </c>
      <c r="H377" s="50">
        <f>일위대가목록표!F374</f>
        <v>106824</v>
      </c>
      <c r="I377" s="13">
        <f t="shared" si="27"/>
        <v>106824</v>
      </c>
      <c r="J377" s="52">
        <f>일위대가목록표!G374</f>
        <v>0</v>
      </c>
      <c r="K377" s="13">
        <f t="shared" si="28"/>
        <v>0</v>
      </c>
      <c r="L377" s="54">
        <f>일위대가목록표!H374</f>
        <v>0</v>
      </c>
      <c r="M377" s="33">
        <f t="shared" si="29"/>
        <v>0</v>
      </c>
      <c r="N377" s="22" t="s">
        <v>4456</v>
      </c>
      <c r="O377" s="17" t="s">
        <v>4455</v>
      </c>
      <c r="P377" s="7" t="s">
        <v>4454</v>
      </c>
      <c r="Q377" s="7" t="s">
        <v>3344</v>
      </c>
      <c r="AC377" s="3" t="str">
        <f ca="1">HYPERLINK("#"&amp;일위대가목록표!J2&amp;"!A"&amp;ROW(일위대가목록표!A374),"대가371 →")</f>
        <v>대가371 →</v>
      </c>
    </row>
    <row r="378" spans="1:29" ht="30.6" customHeight="1" x14ac:dyDescent="0.3">
      <c r="A378" s="10"/>
      <c r="B378" s="10" t="s">
        <v>914</v>
      </c>
      <c r="C378" s="41" t="s">
        <v>927</v>
      </c>
      <c r="D378" s="43">
        <v>1</v>
      </c>
      <c r="E378" s="22" t="s">
        <v>14</v>
      </c>
      <c r="F378" s="45">
        <f t="shared" si="25"/>
        <v>130563</v>
      </c>
      <c r="G378" s="48">
        <f t="shared" si="26"/>
        <v>130563</v>
      </c>
      <c r="H378" s="50">
        <f>일위대가목록표!F375</f>
        <v>130563</v>
      </c>
      <c r="I378" s="13">
        <f t="shared" si="27"/>
        <v>130563</v>
      </c>
      <c r="J378" s="52">
        <f>일위대가목록표!G375</f>
        <v>0</v>
      </c>
      <c r="K378" s="13">
        <f t="shared" si="28"/>
        <v>0</v>
      </c>
      <c r="L378" s="54">
        <f>일위대가목록표!H375</f>
        <v>0</v>
      </c>
      <c r="M378" s="33">
        <f t="shared" si="29"/>
        <v>0</v>
      </c>
      <c r="N378" s="22" t="s">
        <v>4459</v>
      </c>
      <c r="O378" s="17" t="s">
        <v>4458</v>
      </c>
      <c r="P378" s="7" t="s">
        <v>4457</v>
      </c>
      <c r="Q378" s="7" t="s">
        <v>3344</v>
      </c>
      <c r="AC378" s="3" t="str">
        <f ca="1">HYPERLINK("#"&amp;일위대가목록표!J2&amp;"!A"&amp;ROW(일위대가목록표!A375),"대가372 →")</f>
        <v>대가372 →</v>
      </c>
    </row>
    <row r="379" spans="1:29" ht="30.6" customHeight="1" x14ac:dyDescent="0.3">
      <c r="A379" s="10"/>
      <c r="B379" s="10" t="s">
        <v>914</v>
      </c>
      <c r="C379" s="41" t="s">
        <v>930</v>
      </c>
      <c r="D379" s="43">
        <v>0</v>
      </c>
      <c r="E379" s="22" t="s">
        <v>14</v>
      </c>
      <c r="F379" s="45">
        <f t="shared" si="25"/>
        <v>166171</v>
      </c>
      <c r="G379" s="48">
        <f t="shared" si="26"/>
        <v>0</v>
      </c>
      <c r="H379" s="50">
        <f>일위대가목록표!F376</f>
        <v>166171</v>
      </c>
      <c r="I379" s="13">
        <f t="shared" si="27"/>
        <v>0</v>
      </c>
      <c r="J379" s="52">
        <f>일위대가목록표!G376</f>
        <v>0</v>
      </c>
      <c r="K379" s="13">
        <f t="shared" si="28"/>
        <v>0</v>
      </c>
      <c r="L379" s="54">
        <f>일위대가목록표!H376</f>
        <v>0</v>
      </c>
      <c r="M379" s="33">
        <f t="shared" si="29"/>
        <v>0</v>
      </c>
      <c r="N379" s="22" t="s">
        <v>4462</v>
      </c>
      <c r="O379" s="17" t="s">
        <v>4461</v>
      </c>
      <c r="P379" s="7" t="s">
        <v>4460</v>
      </c>
      <c r="Q379" s="7" t="s">
        <v>3344</v>
      </c>
      <c r="AC379" s="3" t="str">
        <f ca="1">HYPERLINK("#"&amp;일위대가목록표!J2&amp;"!A"&amp;ROW(일위대가목록표!A376),"대가373 →")</f>
        <v>대가373 →</v>
      </c>
    </row>
    <row r="380" spans="1:29" ht="30.6" customHeight="1" x14ac:dyDescent="0.3">
      <c r="A380" s="10"/>
      <c r="B380" s="10" t="s">
        <v>914</v>
      </c>
      <c r="C380" s="41" t="s">
        <v>933</v>
      </c>
      <c r="D380" s="43">
        <v>0</v>
      </c>
      <c r="E380" s="22" t="s">
        <v>14</v>
      </c>
      <c r="F380" s="45">
        <f t="shared" si="25"/>
        <v>236308</v>
      </c>
      <c r="G380" s="48">
        <f t="shared" si="26"/>
        <v>0</v>
      </c>
      <c r="H380" s="50">
        <f>일위대가목록표!F377</f>
        <v>236308</v>
      </c>
      <c r="I380" s="13">
        <f t="shared" si="27"/>
        <v>0</v>
      </c>
      <c r="J380" s="52">
        <f>일위대가목록표!G377</f>
        <v>0</v>
      </c>
      <c r="K380" s="13">
        <f t="shared" si="28"/>
        <v>0</v>
      </c>
      <c r="L380" s="54">
        <f>일위대가목록표!H377</f>
        <v>0</v>
      </c>
      <c r="M380" s="33">
        <f t="shared" si="29"/>
        <v>0</v>
      </c>
      <c r="N380" s="22" t="s">
        <v>4465</v>
      </c>
      <c r="O380" s="17" t="s">
        <v>4464</v>
      </c>
      <c r="P380" s="7" t="s">
        <v>4463</v>
      </c>
      <c r="Q380" s="7" t="s">
        <v>3344</v>
      </c>
      <c r="AC380" s="3" t="str">
        <f ca="1">HYPERLINK("#"&amp;일위대가목록표!J2&amp;"!A"&amp;ROW(일위대가목록표!A377),"대가374 →")</f>
        <v>대가374 →</v>
      </c>
    </row>
    <row r="381" spans="1:29" ht="30.6" customHeight="1" x14ac:dyDescent="0.3">
      <c r="A381" s="10"/>
      <c r="B381" s="10" t="s">
        <v>914</v>
      </c>
      <c r="C381" s="41" t="s">
        <v>936</v>
      </c>
      <c r="D381" s="43">
        <v>0</v>
      </c>
      <c r="E381" s="22" t="s">
        <v>14</v>
      </c>
      <c r="F381" s="45">
        <f t="shared" si="25"/>
        <v>307525</v>
      </c>
      <c r="G381" s="48">
        <f t="shared" si="26"/>
        <v>0</v>
      </c>
      <c r="H381" s="50">
        <f>일위대가목록표!F378</f>
        <v>307525</v>
      </c>
      <c r="I381" s="13">
        <f t="shared" si="27"/>
        <v>0</v>
      </c>
      <c r="J381" s="52">
        <f>일위대가목록표!G378</f>
        <v>0</v>
      </c>
      <c r="K381" s="13">
        <f t="shared" si="28"/>
        <v>0</v>
      </c>
      <c r="L381" s="54">
        <f>일위대가목록표!H378</f>
        <v>0</v>
      </c>
      <c r="M381" s="33">
        <f t="shared" si="29"/>
        <v>0</v>
      </c>
      <c r="N381" s="22" t="s">
        <v>4468</v>
      </c>
      <c r="O381" s="17" t="s">
        <v>4467</v>
      </c>
      <c r="P381" s="7" t="s">
        <v>4466</v>
      </c>
      <c r="Q381" s="7" t="s">
        <v>3344</v>
      </c>
      <c r="AC381" s="3" t="str">
        <f ca="1">HYPERLINK("#"&amp;일위대가목록표!J2&amp;"!A"&amp;ROW(일위대가목록표!A378),"대가375 →")</f>
        <v>대가375 →</v>
      </c>
    </row>
    <row r="382" spans="1:29" ht="30.6" customHeight="1" x14ac:dyDescent="0.3">
      <c r="A382" s="10"/>
      <c r="B382" s="10" t="s">
        <v>914</v>
      </c>
      <c r="C382" s="41" t="s">
        <v>939</v>
      </c>
      <c r="D382" s="43">
        <v>0</v>
      </c>
      <c r="E382" s="22" t="s">
        <v>14</v>
      </c>
      <c r="F382" s="45">
        <f t="shared" si="25"/>
        <v>355002</v>
      </c>
      <c r="G382" s="48">
        <f t="shared" si="26"/>
        <v>0</v>
      </c>
      <c r="H382" s="50">
        <f>일위대가목록표!F379</f>
        <v>355002</v>
      </c>
      <c r="I382" s="13">
        <f t="shared" si="27"/>
        <v>0</v>
      </c>
      <c r="J382" s="52">
        <f>일위대가목록표!G379</f>
        <v>0</v>
      </c>
      <c r="K382" s="13">
        <f t="shared" si="28"/>
        <v>0</v>
      </c>
      <c r="L382" s="54">
        <f>일위대가목록표!H379</f>
        <v>0</v>
      </c>
      <c r="M382" s="33">
        <f t="shared" si="29"/>
        <v>0</v>
      </c>
      <c r="N382" s="22" t="s">
        <v>4471</v>
      </c>
      <c r="O382" s="17" t="s">
        <v>4470</v>
      </c>
      <c r="P382" s="7" t="s">
        <v>4469</v>
      </c>
      <c r="Q382" s="7" t="s">
        <v>3344</v>
      </c>
      <c r="AC382" s="3" t="str">
        <f ca="1">HYPERLINK("#"&amp;일위대가목록표!J2&amp;"!A"&amp;ROW(일위대가목록표!A379),"대가376 →")</f>
        <v>대가376 →</v>
      </c>
    </row>
    <row r="383" spans="1:29" ht="30.6" customHeight="1" x14ac:dyDescent="0.3">
      <c r="A383" s="10"/>
      <c r="B383" s="10" t="s">
        <v>914</v>
      </c>
      <c r="C383" s="41" t="s">
        <v>942</v>
      </c>
      <c r="D383" s="43">
        <v>0</v>
      </c>
      <c r="E383" s="22" t="s">
        <v>14</v>
      </c>
      <c r="F383" s="45">
        <f t="shared" si="25"/>
        <v>402480</v>
      </c>
      <c r="G383" s="48">
        <f t="shared" si="26"/>
        <v>0</v>
      </c>
      <c r="H383" s="50">
        <f>일위대가목록표!F380</f>
        <v>402480</v>
      </c>
      <c r="I383" s="13">
        <f t="shared" si="27"/>
        <v>0</v>
      </c>
      <c r="J383" s="52">
        <f>일위대가목록표!G380</f>
        <v>0</v>
      </c>
      <c r="K383" s="13">
        <f t="shared" si="28"/>
        <v>0</v>
      </c>
      <c r="L383" s="54">
        <f>일위대가목록표!H380</f>
        <v>0</v>
      </c>
      <c r="M383" s="33">
        <f t="shared" si="29"/>
        <v>0</v>
      </c>
      <c r="N383" s="22" t="s">
        <v>4474</v>
      </c>
      <c r="O383" s="17" t="s">
        <v>4473</v>
      </c>
      <c r="P383" s="7" t="s">
        <v>4472</v>
      </c>
      <c r="Q383" s="7" t="s">
        <v>3344</v>
      </c>
      <c r="AC383" s="3" t="str">
        <f ca="1">HYPERLINK("#"&amp;일위대가목록표!J2&amp;"!A"&amp;ROW(일위대가목록표!A380),"대가377 →")</f>
        <v>대가377 →</v>
      </c>
    </row>
    <row r="384" spans="1:29" ht="30.6" customHeight="1" x14ac:dyDescent="0.3">
      <c r="A384" s="10"/>
      <c r="B384" s="10" t="s">
        <v>914</v>
      </c>
      <c r="C384" s="41" t="s">
        <v>945</v>
      </c>
      <c r="D384" s="43">
        <v>0</v>
      </c>
      <c r="E384" s="22" t="s">
        <v>14</v>
      </c>
      <c r="F384" s="45">
        <f t="shared" si="25"/>
        <v>828969</v>
      </c>
      <c r="G384" s="48">
        <f t="shared" si="26"/>
        <v>0</v>
      </c>
      <c r="H384" s="50">
        <f>일위대가목록표!F381</f>
        <v>828969</v>
      </c>
      <c r="I384" s="13">
        <f t="shared" si="27"/>
        <v>0</v>
      </c>
      <c r="J384" s="52">
        <f>일위대가목록표!G381</f>
        <v>0</v>
      </c>
      <c r="K384" s="13">
        <f t="shared" si="28"/>
        <v>0</v>
      </c>
      <c r="L384" s="54">
        <f>일위대가목록표!H381</f>
        <v>0</v>
      </c>
      <c r="M384" s="33">
        <f t="shared" si="29"/>
        <v>0</v>
      </c>
      <c r="N384" s="22" t="s">
        <v>4477</v>
      </c>
      <c r="O384" s="17" t="s">
        <v>4476</v>
      </c>
      <c r="P384" s="7" t="s">
        <v>4475</v>
      </c>
      <c r="Q384" s="7" t="s">
        <v>3344</v>
      </c>
      <c r="AC384" s="3" t="str">
        <f ca="1">HYPERLINK("#"&amp;일위대가목록표!J2&amp;"!A"&amp;ROW(일위대가목록표!A381),"대가378 →")</f>
        <v>대가378 →</v>
      </c>
    </row>
    <row r="385" spans="1:29" ht="30.6" customHeight="1" x14ac:dyDescent="0.3">
      <c r="A385" s="10"/>
      <c r="B385" s="10" t="s">
        <v>914</v>
      </c>
      <c r="C385" s="41" t="s">
        <v>948</v>
      </c>
      <c r="D385" s="43">
        <v>0</v>
      </c>
      <c r="E385" s="22" t="s">
        <v>14</v>
      </c>
      <c r="F385" s="45">
        <f t="shared" si="25"/>
        <v>1076338</v>
      </c>
      <c r="G385" s="48">
        <f t="shared" si="26"/>
        <v>0</v>
      </c>
      <c r="H385" s="50">
        <f>일위대가목록표!F382</f>
        <v>1076338</v>
      </c>
      <c r="I385" s="13">
        <f t="shared" si="27"/>
        <v>0</v>
      </c>
      <c r="J385" s="52">
        <f>일위대가목록표!G382</f>
        <v>0</v>
      </c>
      <c r="K385" s="13">
        <f t="shared" si="28"/>
        <v>0</v>
      </c>
      <c r="L385" s="54">
        <f>일위대가목록표!H382</f>
        <v>0</v>
      </c>
      <c r="M385" s="33">
        <f t="shared" si="29"/>
        <v>0</v>
      </c>
      <c r="N385" s="22" t="s">
        <v>4480</v>
      </c>
      <c r="O385" s="17" t="s">
        <v>4479</v>
      </c>
      <c r="P385" s="7" t="s">
        <v>4478</v>
      </c>
      <c r="Q385" s="7" t="s">
        <v>3344</v>
      </c>
      <c r="AC385" s="3" t="str">
        <f ca="1">HYPERLINK("#"&amp;일위대가목록표!J2&amp;"!A"&amp;ROW(일위대가목록표!A382),"대가379 →")</f>
        <v>대가379 →</v>
      </c>
    </row>
    <row r="386" spans="1:29" ht="30.6" customHeight="1" x14ac:dyDescent="0.3">
      <c r="A386" s="10"/>
      <c r="B386" s="10" t="s">
        <v>951</v>
      </c>
      <c r="C386" s="41" t="s">
        <v>952</v>
      </c>
      <c r="D386" s="43">
        <v>0</v>
      </c>
      <c r="E386" s="22" t="s">
        <v>14</v>
      </c>
      <c r="F386" s="45">
        <f t="shared" si="25"/>
        <v>686000</v>
      </c>
      <c r="G386" s="48">
        <f t="shared" si="26"/>
        <v>0</v>
      </c>
      <c r="H386" s="50">
        <f>일위대가목록표!F383</f>
        <v>270000</v>
      </c>
      <c r="I386" s="13">
        <f t="shared" si="27"/>
        <v>0</v>
      </c>
      <c r="J386" s="52">
        <f>일위대가목록표!G383</f>
        <v>416000</v>
      </c>
      <c r="K386" s="13">
        <f t="shared" si="28"/>
        <v>0</v>
      </c>
      <c r="L386" s="54">
        <f>일위대가목록표!H383</f>
        <v>0</v>
      </c>
      <c r="M386" s="33">
        <f t="shared" si="29"/>
        <v>0</v>
      </c>
      <c r="N386" s="22" t="s">
        <v>4483</v>
      </c>
      <c r="O386" s="17" t="s">
        <v>4482</v>
      </c>
      <c r="P386" s="7" t="s">
        <v>4481</v>
      </c>
      <c r="Q386" s="7" t="s">
        <v>3344</v>
      </c>
      <c r="AC386" s="3" t="str">
        <f ca="1">HYPERLINK("#"&amp;일위대가목록표!J2&amp;"!A"&amp;ROW(일위대가목록표!A383),"대가380 →")</f>
        <v>대가380 →</v>
      </c>
    </row>
    <row r="387" spans="1:29" ht="30.6" customHeight="1" x14ac:dyDescent="0.3">
      <c r="A387" s="10"/>
      <c r="B387" s="10" t="s">
        <v>951</v>
      </c>
      <c r="C387" s="41" t="s">
        <v>955</v>
      </c>
      <c r="D387" s="43">
        <v>1</v>
      </c>
      <c r="E387" s="22" t="s">
        <v>14</v>
      </c>
      <c r="F387" s="45">
        <f t="shared" si="25"/>
        <v>857000</v>
      </c>
      <c r="G387" s="48">
        <f t="shared" si="26"/>
        <v>857000</v>
      </c>
      <c r="H387" s="50">
        <f>일위대가목록표!F384</f>
        <v>270000</v>
      </c>
      <c r="I387" s="13">
        <f t="shared" si="27"/>
        <v>270000</v>
      </c>
      <c r="J387" s="52">
        <f>일위대가목록표!G384</f>
        <v>587000</v>
      </c>
      <c r="K387" s="13">
        <f t="shared" si="28"/>
        <v>587000</v>
      </c>
      <c r="L387" s="54">
        <f>일위대가목록표!H384</f>
        <v>0</v>
      </c>
      <c r="M387" s="33">
        <f t="shared" si="29"/>
        <v>0</v>
      </c>
      <c r="N387" s="22" t="s">
        <v>4486</v>
      </c>
      <c r="O387" s="17" t="s">
        <v>4485</v>
      </c>
      <c r="P387" s="7" t="s">
        <v>4484</v>
      </c>
      <c r="Q387" s="7" t="s">
        <v>3344</v>
      </c>
      <c r="AC387" s="3" t="str">
        <f ca="1">HYPERLINK("#"&amp;일위대가목록표!J2&amp;"!A"&amp;ROW(일위대가목록표!A384),"대가381 →")</f>
        <v>대가381 →</v>
      </c>
    </row>
    <row r="388" spans="1:29" ht="30.6" customHeight="1" x14ac:dyDescent="0.3">
      <c r="A388" s="10"/>
      <c r="B388" s="10" t="s">
        <v>951</v>
      </c>
      <c r="C388" s="41" t="s">
        <v>958</v>
      </c>
      <c r="D388" s="43">
        <v>0</v>
      </c>
      <c r="E388" s="22" t="s">
        <v>14</v>
      </c>
      <c r="F388" s="45">
        <f t="shared" si="25"/>
        <v>1958000</v>
      </c>
      <c r="G388" s="48">
        <f t="shared" si="26"/>
        <v>0</v>
      </c>
      <c r="H388" s="50">
        <f>일위대가목록표!F385</f>
        <v>330000</v>
      </c>
      <c r="I388" s="13">
        <f t="shared" si="27"/>
        <v>0</v>
      </c>
      <c r="J388" s="52">
        <f>일위대가목록표!G385</f>
        <v>1628000</v>
      </c>
      <c r="K388" s="13">
        <f t="shared" si="28"/>
        <v>0</v>
      </c>
      <c r="L388" s="54">
        <f>일위대가목록표!H385</f>
        <v>0</v>
      </c>
      <c r="M388" s="33">
        <f t="shared" si="29"/>
        <v>0</v>
      </c>
      <c r="N388" s="22" t="s">
        <v>4489</v>
      </c>
      <c r="O388" s="17" t="s">
        <v>4488</v>
      </c>
      <c r="P388" s="7" t="s">
        <v>4487</v>
      </c>
      <c r="Q388" s="7" t="s">
        <v>3344</v>
      </c>
      <c r="AC388" s="3" t="str">
        <f ca="1">HYPERLINK("#"&amp;일위대가목록표!J2&amp;"!A"&amp;ROW(일위대가목록표!A385),"대가382 →")</f>
        <v>대가382 →</v>
      </c>
    </row>
    <row r="389" spans="1:29" ht="30.6" customHeight="1" x14ac:dyDescent="0.3">
      <c r="A389" s="10"/>
      <c r="B389" s="10" t="s">
        <v>951</v>
      </c>
      <c r="C389" s="41" t="s">
        <v>961</v>
      </c>
      <c r="D389" s="43">
        <v>0</v>
      </c>
      <c r="E389" s="22" t="s">
        <v>14</v>
      </c>
      <c r="F389" s="45">
        <f t="shared" si="25"/>
        <v>2384000</v>
      </c>
      <c r="G389" s="48">
        <f t="shared" si="26"/>
        <v>0</v>
      </c>
      <c r="H389" s="50">
        <f>일위대가목록표!F386</f>
        <v>330000</v>
      </c>
      <c r="I389" s="13">
        <f t="shared" si="27"/>
        <v>0</v>
      </c>
      <c r="J389" s="52">
        <f>일위대가목록표!G386</f>
        <v>2054000</v>
      </c>
      <c r="K389" s="13">
        <f t="shared" si="28"/>
        <v>0</v>
      </c>
      <c r="L389" s="54">
        <f>일위대가목록표!H386</f>
        <v>0</v>
      </c>
      <c r="M389" s="33">
        <f t="shared" si="29"/>
        <v>0</v>
      </c>
      <c r="N389" s="22" t="s">
        <v>4492</v>
      </c>
      <c r="O389" s="17" t="s">
        <v>4491</v>
      </c>
      <c r="P389" s="7" t="s">
        <v>4490</v>
      </c>
      <c r="Q389" s="7" t="s">
        <v>3344</v>
      </c>
      <c r="AC389" s="3" t="str">
        <f ca="1">HYPERLINK("#"&amp;일위대가목록표!J2&amp;"!A"&amp;ROW(일위대가목록표!A386),"대가383 →")</f>
        <v>대가383 →</v>
      </c>
    </row>
    <row r="390" spans="1:29" ht="30.6" customHeight="1" x14ac:dyDescent="0.3">
      <c r="A390" s="10"/>
      <c r="B390" s="10" t="s">
        <v>951</v>
      </c>
      <c r="C390" s="41" t="s">
        <v>964</v>
      </c>
      <c r="D390" s="43">
        <v>0</v>
      </c>
      <c r="E390" s="22" t="s">
        <v>14</v>
      </c>
      <c r="F390" s="45">
        <f t="shared" si="25"/>
        <v>3150000</v>
      </c>
      <c r="G390" s="48">
        <f t="shared" si="26"/>
        <v>0</v>
      </c>
      <c r="H390" s="50">
        <f>일위대가목록표!F387</f>
        <v>450000</v>
      </c>
      <c r="I390" s="13">
        <f t="shared" si="27"/>
        <v>0</v>
      </c>
      <c r="J390" s="52">
        <f>일위대가목록표!G387</f>
        <v>2700000</v>
      </c>
      <c r="K390" s="13">
        <f t="shared" si="28"/>
        <v>0</v>
      </c>
      <c r="L390" s="54">
        <f>일위대가목록표!H387</f>
        <v>0</v>
      </c>
      <c r="M390" s="33">
        <f t="shared" si="29"/>
        <v>0</v>
      </c>
      <c r="N390" s="22" t="s">
        <v>4495</v>
      </c>
      <c r="O390" s="17" t="s">
        <v>4494</v>
      </c>
      <c r="P390" s="7" t="s">
        <v>4493</v>
      </c>
      <c r="Q390" s="7" t="s">
        <v>3344</v>
      </c>
      <c r="AC390" s="3" t="str">
        <f ca="1">HYPERLINK("#"&amp;일위대가목록표!J2&amp;"!A"&amp;ROW(일위대가목록표!A387),"대가384 →")</f>
        <v>대가384 →</v>
      </c>
    </row>
    <row r="391" spans="1:29" ht="30.6" customHeight="1" x14ac:dyDescent="0.3">
      <c r="A391" s="10"/>
      <c r="B391" s="10" t="s">
        <v>951</v>
      </c>
      <c r="C391" s="41" t="s">
        <v>967</v>
      </c>
      <c r="D391" s="43">
        <v>0</v>
      </c>
      <c r="E391" s="22" t="s">
        <v>14</v>
      </c>
      <c r="F391" s="45">
        <f t="shared" ref="F391:F454" si="30">J391+H391+L391</f>
        <v>3834000</v>
      </c>
      <c r="G391" s="48">
        <f t="shared" ref="G391:G454" si="31">K391+I391+M391</f>
        <v>0</v>
      </c>
      <c r="H391" s="50">
        <f>일위대가목록표!F388</f>
        <v>450000</v>
      </c>
      <c r="I391" s="13">
        <f t="shared" ref="I391:I454" si="32">ROUNDDOWN(H391*D391,0)</f>
        <v>0</v>
      </c>
      <c r="J391" s="52">
        <f>일위대가목록표!G388</f>
        <v>3384000</v>
      </c>
      <c r="K391" s="13">
        <f t="shared" ref="K391:K454" si="33">ROUNDDOWN(J391*D391,0)</f>
        <v>0</v>
      </c>
      <c r="L391" s="54">
        <f>일위대가목록표!H388</f>
        <v>0</v>
      </c>
      <c r="M391" s="33">
        <f t="shared" ref="M391:M454" si="34">ROUNDDOWN(L391*D391,0)</f>
        <v>0</v>
      </c>
      <c r="N391" s="22" t="s">
        <v>4498</v>
      </c>
      <c r="O391" s="17" t="s">
        <v>4497</v>
      </c>
      <c r="P391" s="7" t="s">
        <v>4496</v>
      </c>
      <c r="Q391" s="7" t="s">
        <v>3344</v>
      </c>
      <c r="AC391" s="3" t="str">
        <f ca="1">HYPERLINK("#"&amp;일위대가목록표!J2&amp;"!A"&amp;ROW(일위대가목록표!A388),"대가385 →")</f>
        <v>대가385 →</v>
      </c>
    </row>
    <row r="392" spans="1:29" ht="30.6" customHeight="1" x14ac:dyDescent="0.3">
      <c r="A392" s="10"/>
      <c r="B392" s="10" t="s">
        <v>970</v>
      </c>
      <c r="C392" s="41" t="s">
        <v>971</v>
      </c>
      <c r="D392" s="43">
        <v>0</v>
      </c>
      <c r="E392" s="22" t="s">
        <v>14</v>
      </c>
      <c r="F392" s="45">
        <f t="shared" si="30"/>
        <v>270000</v>
      </c>
      <c r="G392" s="48">
        <f t="shared" si="31"/>
        <v>0</v>
      </c>
      <c r="H392" s="50">
        <f>일위대가목록표!F389</f>
        <v>270000</v>
      </c>
      <c r="I392" s="13">
        <f t="shared" si="32"/>
        <v>0</v>
      </c>
      <c r="J392" s="52">
        <f>일위대가목록표!G389</f>
        <v>0</v>
      </c>
      <c r="K392" s="13">
        <f t="shared" si="33"/>
        <v>0</v>
      </c>
      <c r="L392" s="54">
        <f>일위대가목록표!H389</f>
        <v>0</v>
      </c>
      <c r="M392" s="33">
        <f t="shared" si="34"/>
        <v>0</v>
      </c>
      <c r="N392" s="22" t="s">
        <v>4501</v>
      </c>
      <c r="O392" s="17" t="s">
        <v>4500</v>
      </c>
      <c r="P392" s="7" t="s">
        <v>4499</v>
      </c>
      <c r="Q392" s="7" t="s">
        <v>3344</v>
      </c>
      <c r="AC392" s="3" t="str">
        <f ca="1">HYPERLINK("#"&amp;일위대가목록표!J2&amp;"!A"&amp;ROW(일위대가목록표!A389),"대가386 →")</f>
        <v>대가386 →</v>
      </c>
    </row>
    <row r="393" spans="1:29" ht="30.6" customHeight="1" x14ac:dyDescent="0.3">
      <c r="A393" s="10"/>
      <c r="B393" s="10" t="s">
        <v>970</v>
      </c>
      <c r="C393" s="41" t="s">
        <v>958</v>
      </c>
      <c r="D393" s="43">
        <v>0</v>
      </c>
      <c r="E393" s="22" t="s">
        <v>14</v>
      </c>
      <c r="F393" s="45">
        <f t="shared" si="30"/>
        <v>330000</v>
      </c>
      <c r="G393" s="48">
        <f t="shared" si="31"/>
        <v>0</v>
      </c>
      <c r="H393" s="50">
        <f>일위대가목록표!F390</f>
        <v>330000</v>
      </c>
      <c r="I393" s="13">
        <f t="shared" si="32"/>
        <v>0</v>
      </c>
      <c r="J393" s="52">
        <f>일위대가목록표!G390</f>
        <v>0</v>
      </c>
      <c r="K393" s="13">
        <f t="shared" si="33"/>
        <v>0</v>
      </c>
      <c r="L393" s="54">
        <f>일위대가목록표!H390</f>
        <v>0</v>
      </c>
      <c r="M393" s="33">
        <f t="shared" si="34"/>
        <v>0</v>
      </c>
      <c r="N393" s="22" t="s">
        <v>4504</v>
      </c>
      <c r="O393" s="17" t="s">
        <v>4503</v>
      </c>
      <c r="P393" s="7" t="s">
        <v>4502</v>
      </c>
      <c r="Q393" s="7" t="s">
        <v>3344</v>
      </c>
      <c r="AC393" s="3" t="str">
        <f ca="1">HYPERLINK("#"&amp;일위대가목록표!J2&amp;"!A"&amp;ROW(일위대가목록표!A390),"대가387 →")</f>
        <v>대가387 →</v>
      </c>
    </row>
    <row r="394" spans="1:29" ht="30.6" customHeight="1" x14ac:dyDescent="0.3">
      <c r="A394" s="10"/>
      <c r="B394" s="10" t="s">
        <v>970</v>
      </c>
      <c r="C394" s="41" t="s">
        <v>961</v>
      </c>
      <c r="D394" s="43">
        <v>0</v>
      </c>
      <c r="E394" s="22" t="s">
        <v>14</v>
      </c>
      <c r="F394" s="45">
        <f t="shared" si="30"/>
        <v>330000</v>
      </c>
      <c r="G394" s="48">
        <f t="shared" si="31"/>
        <v>0</v>
      </c>
      <c r="H394" s="50">
        <f>일위대가목록표!F391</f>
        <v>330000</v>
      </c>
      <c r="I394" s="13">
        <f t="shared" si="32"/>
        <v>0</v>
      </c>
      <c r="J394" s="52">
        <f>일위대가목록표!G391</f>
        <v>0</v>
      </c>
      <c r="K394" s="13">
        <f t="shared" si="33"/>
        <v>0</v>
      </c>
      <c r="L394" s="54">
        <f>일위대가목록표!H391</f>
        <v>0</v>
      </c>
      <c r="M394" s="33">
        <f t="shared" si="34"/>
        <v>0</v>
      </c>
      <c r="N394" s="22" t="s">
        <v>4507</v>
      </c>
      <c r="O394" s="17" t="s">
        <v>4506</v>
      </c>
      <c r="P394" s="7" t="s">
        <v>4505</v>
      </c>
      <c r="Q394" s="7" t="s">
        <v>3344</v>
      </c>
      <c r="AC394" s="3" t="str">
        <f ca="1">HYPERLINK("#"&amp;일위대가목록표!J2&amp;"!A"&amp;ROW(일위대가목록표!A391),"대가388 →")</f>
        <v>대가388 →</v>
      </c>
    </row>
    <row r="395" spans="1:29" ht="30.6" customHeight="1" x14ac:dyDescent="0.3">
      <c r="A395" s="10"/>
      <c r="B395" s="10" t="s">
        <v>970</v>
      </c>
      <c r="C395" s="41" t="s">
        <v>964</v>
      </c>
      <c r="D395" s="43">
        <v>0</v>
      </c>
      <c r="E395" s="22" t="s">
        <v>14</v>
      </c>
      <c r="F395" s="45">
        <f t="shared" si="30"/>
        <v>450000</v>
      </c>
      <c r="G395" s="48">
        <f t="shared" si="31"/>
        <v>0</v>
      </c>
      <c r="H395" s="50">
        <f>일위대가목록표!F392</f>
        <v>450000</v>
      </c>
      <c r="I395" s="13">
        <f t="shared" si="32"/>
        <v>0</v>
      </c>
      <c r="J395" s="52">
        <f>일위대가목록표!G392</f>
        <v>0</v>
      </c>
      <c r="K395" s="13">
        <f t="shared" si="33"/>
        <v>0</v>
      </c>
      <c r="L395" s="54">
        <f>일위대가목록표!H392</f>
        <v>0</v>
      </c>
      <c r="M395" s="33">
        <f t="shared" si="34"/>
        <v>0</v>
      </c>
      <c r="N395" s="22" t="s">
        <v>4510</v>
      </c>
      <c r="O395" s="17" t="s">
        <v>4509</v>
      </c>
      <c r="P395" s="7" t="s">
        <v>4508</v>
      </c>
      <c r="Q395" s="7" t="s">
        <v>3344</v>
      </c>
      <c r="AC395" s="3" t="str">
        <f ca="1">HYPERLINK("#"&amp;일위대가목록표!J2&amp;"!A"&amp;ROW(일위대가목록표!A392),"대가389 →")</f>
        <v>대가389 →</v>
      </c>
    </row>
    <row r="396" spans="1:29" ht="30.6" customHeight="1" x14ac:dyDescent="0.3">
      <c r="A396" s="10"/>
      <c r="B396" s="10" t="s">
        <v>970</v>
      </c>
      <c r="C396" s="41" t="s">
        <v>967</v>
      </c>
      <c r="D396" s="43">
        <v>0</v>
      </c>
      <c r="E396" s="22" t="s">
        <v>14</v>
      </c>
      <c r="F396" s="45">
        <f t="shared" si="30"/>
        <v>450000</v>
      </c>
      <c r="G396" s="48">
        <f t="shared" si="31"/>
        <v>0</v>
      </c>
      <c r="H396" s="50">
        <f>일위대가목록표!F393</f>
        <v>450000</v>
      </c>
      <c r="I396" s="13">
        <f t="shared" si="32"/>
        <v>0</v>
      </c>
      <c r="J396" s="52">
        <f>일위대가목록표!G393</f>
        <v>0</v>
      </c>
      <c r="K396" s="13">
        <f t="shared" si="33"/>
        <v>0</v>
      </c>
      <c r="L396" s="54">
        <f>일위대가목록표!H393</f>
        <v>0</v>
      </c>
      <c r="M396" s="33">
        <f t="shared" si="34"/>
        <v>0</v>
      </c>
      <c r="N396" s="22" t="s">
        <v>4513</v>
      </c>
      <c r="O396" s="17" t="s">
        <v>4512</v>
      </c>
      <c r="P396" s="7" t="s">
        <v>4511</v>
      </c>
      <c r="Q396" s="7" t="s">
        <v>3344</v>
      </c>
      <c r="AC396" s="3" t="str">
        <f ca="1">HYPERLINK("#"&amp;일위대가목록표!J2&amp;"!A"&amp;ROW(일위대가목록표!A393),"대가390 →")</f>
        <v>대가390 →</v>
      </c>
    </row>
    <row r="397" spans="1:29" ht="30.6" customHeight="1" x14ac:dyDescent="0.3">
      <c r="A397" s="10"/>
      <c r="B397" s="10" t="s">
        <v>982</v>
      </c>
      <c r="C397" s="41" t="s">
        <v>983</v>
      </c>
      <c r="D397" s="43">
        <v>0</v>
      </c>
      <c r="E397" s="22" t="s">
        <v>14</v>
      </c>
      <c r="F397" s="45">
        <f t="shared" si="30"/>
        <v>3950000</v>
      </c>
      <c r="G397" s="48">
        <f t="shared" si="31"/>
        <v>0</v>
      </c>
      <c r="H397" s="50">
        <f>일위대가목록표!F394</f>
        <v>350000</v>
      </c>
      <c r="I397" s="13">
        <f t="shared" si="32"/>
        <v>0</v>
      </c>
      <c r="J397" s="52">
        <f>일위대가목록표!G394</f>
        <v>3600000</v>
      </c>
      <c r="K397" s="13">
        <f t="shared" si="33"/>
        <v>0</v>
      </c>
      <c r="L397" s="54">
        <f>일위대가목록표!H394</f>
        <v>0</v>
      </c>
      <c r="M397" s="33">
        <f t="shared" si="34"/>
        <v>0</v>
      </c>
      <c r="N397" s="22" t="s">
        <v>4516</v>
      </c>
      <c r="O397" s="17" t="s">
        <v>4515</v>
      </c>
      <c r="P397" s="7" t="s">
        <v>4514</v>
      </c>
      <c r="Q397" s="7" t="s">
        <v>3344</v>
      </c>
      <c r="AC397" s="3" t="str">
        <f ca="1">HYPERLINK("#"&amp;일위대가목록표!J2&amp;"!A"&amp;ROW(일위대가목록표!A394),"대가391 →")</f>
        <v>대가391 →</v>
      </c>
    </row>
    <row r="398" spans="1:29" ht="30.6" customHeight="1" x14ac:dyDescent="0.3">
      <c r="A398" s="10"/>
      <c r="B398" s="10" t="s">
        <v>982</v>
      </c>
      <c r="C398" s="41" t="s">
        <v>986</v>
      </c>
      <c r="D398" s="43">
        <v>0</v>
      </c>
      <c r="E398" s="22" t="s">
        <v>14</v>
      </c>
      <c r="F398" s="45">
        <f t="shared" si="30"/>
        <v>4550000</v>
      </c>
      <c r="G398" s="48">
        <f t="shared" si="31"/>
        <v>0</v>
      </c>
      <c r="H398" s="50">
        <f>일위대가목록표!F395</f>
        <v>350000</v>
      </c>
      <c r="I398" s="13">
        <f t="shared" si="32"/>
        <v>0</v>
      </c>
      <c r="J398" s="52">
        <f>일위대가목록표!G395</f>
        <v>4200000</v>
      </c>
      <c r="K398" s="13">
        <f t="shared" si="33"/>
        <v>0</v>
      </c>
      <c r="L398" s="54">
        <f>일위대가목록표!H395</f>
        <v>0</v>
      </c>
      <c r="M398" s="33">
        <f t="shared" si="34"/>
        <v>0</v>
      </c>
      <c r="N398" s="22" t="s">
        <v>4519</v>
      </c>
      <c r="O398" s="17" t="s">
        <v>4518</v>
      </c>
      <c r="P398" s="7" t="s">
        <v>4517</v>
      </c>
      <c r="Q398" s="7" t="s">
        <v>3344</v>
      </c>
      <c r="AC398" s="3" t="str">
        <f ca="1">HYPERLINK("#"&amp;일위대가목록표!J2&amp;"!A"&amp;ROW(일위대가목록표!A395),"대가392 →")</f>
        <v>대가392 →</v>
      </c>
    </row>
    <row r="399" spans="1:29" ht="30.6" customHeight="1" x14ac:dyDescent="0.3">
      <c r="A399" s="10"/>
      <c r="B399" s="10" t="s">
        <v>982</v>
      </c>
      <c r="C399" s="41" t="s">
        <v>989</v>
      </c>
      <c r="D399" s="43">
        <v>0</v>
      </c>
      <c r="E399" s="22" t="s">
        <v>14</v>
      </c>
      <c r="F399" s="45">
        <f t="shared" si="30"/>
        <v>4900000</v>
      </c>
      <c r="G399" s="48">
        <f t="shared" si="31"/>
        <v>0</v>
      </c>
      <c r="H399" s="50">
        <f>일위대가목록표!F396</f>
        <v>350000</v>
      </c>
      <c r="I399" s="13">
        <f t="shared" si="32"/>
        <v>0</v>
      </c>
      <c r="J399" s="52">
        <f>일위대가목록표!G396</f>
        <v>4550000</v>
      </c>
      <c r="K399" s="13">
        <f t="shared" si="33"/>
        <v>0</v>
      </c>
      <c r="L399" s="54">
        <f>일위대가목록표!H396</f>
        <v>0</v>
      </c>
      <c r="M399" s="33">
        <f t="shared" si="34"/>
        <v>0</v>
      </c>
      <c r="N399" s="22" t="s">
        <v>4522</v>
      </c>
      <c r="O399" s="17" t="s">
        <v>4521</v>
      </c>
      <c r="P399" s="7" t="s">
        <v>4520</v>
      </c>
      <c r="Q399" s="7" t="s">
        <v>3344</v>
      </c>
      <c r="AC399" s="3" t="str">
        <f ca="1">HYPERLINK("#"&amp;일위대가목록표!J2&amp;"!A"&amp;ROW(일위대가목록표!A396),"대가393 →")</f>
        <v>대가393 →</v>
      </c>
    </row>
    <row r="400" spans="1:29" ht="30.6" customHeight="1" x14ac:dyDescent="0.3">
      <c r="A400" s="10"/>
      <c r="B400" s="10" t="s">
        <v>982</v>
      </c>
      <c r="C400" s="41" t="s">
        <v>992</v>
      </c>
      <c r="D400" s="43">
        <v>0</v>
      </c>
      <c r="E400" s="22" t="s">
        <v>14</v>
      </c>
      <c r="F400" s="45">
        <f t="shared" si="30"/>
        <v>6030000</v>
      </c>
      <c r="G400" s="48">
        <f t="shared" si="31"/>
        <v>0</v>
      </c>
      <c r="H400" s="50">
        <f>일위대가목록표!F397</f>
        <v>350000</v>
      </c>
      <c r="I400" s="13">
        <f t="shared" si="32"/>
        <v>0</v>
      </c>
      <c r="J400" s="52">
        <f>일위대가목록표!G397</f>
        <v>5680000</v>
      </c>
      <c r="K400" s="13">
        <f t="shared" si="33"/>
        <v>0</v>
      </c>
      <c r="L400" s="54">
        <f>일위대가목록표!H397</f>
        <v>0</v>
      </c>
      <c r="M400" s="33">
        <f t="shared" si="34"/>
        <v>0</v>
      </c>
      <c r="N400" s="22" t="s">
        <v>4525</v>
      </c>
      <c r="O400" s="17" t="s">
        <v>4524</v>
      </c>
      <c r="P400" s="7" t="s">
        <v>4523</v>
      </c>
      <c r="Q400" s="7" t="s">
        <v>3344</v>
      </c>
      <c r="AC400" s="3" t="str">
        <f ca="1">HYPERLINK("#"&amp;일위대가목록표!J2&amp;"!A"&amp;ROW(일위대가목록표!A397),"대가394 →")</f>
        <v>대가394 →</v>
      </c>
    </row>
    <row r="401" spans="1:29" ht="30.6" customHeight="1" x14ac:dyDescent="0.3">
      <c r="A401" s="10"/>
      <c r="B401" s="10" t="s">
        <v>995</v>
      </c>
      <c r="C401" s="41" t="s">
        <v>996</v>
      </c>
      <c r="D401" s="43">
        <v>0</v>
      </c>
      <c r="E401" s="22" t="s">
        <v>14</v>
      </c>
      <c r="F401" s="45">
        <f t="shared" si="30"/>
        <v>350000</v>
      </c>
      <c r="G401" s="48">
        <f t="shared" si="31"/>
        <v>0</v>
      </c>
      <c r="H401" s="50">
        <f>일위대가목록표!F398</f>
        <v>350000</v>
      </c>
      <c r="I401" s="13">
        <f t="shared" si="32"/>
        <v>0</v>
      </c>
      <c r="J401" s="52">
        <f>일위대가목록표!G398</f>
        <v>0</v>
      </c>
      <c r="K401" s="13">
        <f t="shared" si="33"/>
        <v>0</v>
      </c>
      <c r="L401" s="54">
        <f>일위대가목록표!H398</f>
        <v>0</v>
      </c>
      <c r="M401" s="33">
        <f t="shared" si="34"/>
        <v>0</v>
      </c>
      <c r="N401" s="22" t="s">
        <v>4528</v>
      </c>
      <c r="O401" s="17" t="s">
        <v>4527</v>
      </c>
      <c r="P401" s="7" t="s">
        <v>4526</v>
      </c>
      <c r="Q401" s="7" t="s">
        <v>3344</v>
      </c>
      <c r="AC401" s="3" t="str">
        <f ca="1">HYPERLINK("#"&amp;일위대가목록표!J2&amp;"!A"&amp;ROW(일위대가목록표!A398),"대가395 →")</f>
        <v>대가395 →</v>
      </c>
    </row>
    <row r="402" spans="1:29" ht="30.6" customHeight="1" x14ac:dyDescent="0.3">
      <c r="A402" s="10"/>
      <c r="B402" s="10" t="s">
        <v>995</v>
      </c>
      <c r="C402" s="41" t="s">
        <v>999</v>
      </c>
      <c r="D402" s="43">
        <v>0</v>
      </c>
      <c r="E402" s="22" t="s">
        <v>14</v>
      </c>
      <c r="F402" s="45">
        <f t="shared" si="30"/>
        <v>350000</v>
      </c>
      <c r="G402" s="48">
        <f t="shared" si="31"/>
        <v>0</v>
      </c>
      <c r="H402" s="50">
        <f>일위대가목록표!F399</f>
        <v>350000</v>
      </c>
      <c r="I402" s="13">
        <f t="shared" si="32"/>
        <v>0</v>
      </c>
      <c r="J402" s="52">
        <f>일위대가목록표!G399</f>
        <v>0</v>
      </c>
      <c r="K402" s="13">
        <f t="shared" si="33"/>
        <v>0</v>
      </c>
      <c r="L402" s="54">
        <f>일위대가목록표!H399</f>
        <v>0</v>
      </c>
      <c r="M402" s="33">
        <f t="shared" si="34"/>
        <v>0</v>
      </c>
      <c r="N402" s="22" t="s">
        <v>4531</v>
      </c>
      <c r="O402" s="17" t="s">
        <v>4530</v>
      </c>
      <c r="P402" s="7" t="s">
        <v>4529</v>
      </c>
      <c r="Q402" s="7" t="s">
        <v>3344</v>
      </c>
      <c r="AC402" s="3" t="str">
        <f ca="1">HYPERLINK("#"&amp;일위대가목록표!J2&amp;"!A"&amp;ROW(일위대가목록표!A399),"대가396 →")</f>
        <v>대가396 →</v>
      </c>
    </row>
    <row r="403" spans="1:29" ht="30.6" customHeight="1" x14ac:dyDescent="0.3">
      <c r="A403" s="10"/>
      <c r="B403" s="10" t="s">
        <v>995</v>
      </c>
      <c r="C403" s="41" t="s">
        <v>1002</v>
      </c>
      <c r="D403" s="43">
        <v>0</v>
      </c>
      <c r="E403" s="22" t="s">
        <v>14</v>
      </c>
      <c r="F403" s="45">
        <f t="shared" si="30"/>
        <v>350000</v>
      </c>
      <c r="G403" s="48">
        <f t="shared" si="31"/>
        <v>0</v>
      </c>
      <c r="H403" s="50">
        <f>일위대가목록표!F400</f>
        <v>350000</v>
      </c>
      <c r="I403" s="13">
        <f t="shared" si="32"/>
        <v>0</v>
      </c>
      <c r="J403" s="52">
        <f>일위대가목록표!G400</f>
        <v>0</v>
      </c>
      <c r="K403" s="13">
        <f t="shared" si="33"/>
        <v>0</v>
      </c>
      <c r="L403" s="54">
        <f>일위대가목록표!H400</f>
        <v>0</v>
      </c>
      <c r="M403" s="33">
        <f t="shared" si="34"/>
        <v>0</v>
      </c>
      <c r="N403" s="22" t="s">
        <v>4534</v>
      </c>
      <c r="O403" s="17" t="s">
        <v>4533</v>
      </c>
      <c r="P403" s="7" t="s">
        <v>4532</v>
      </c>
      <c r="Q403" s="7" t="s">
        <v>3344</v>
      </c>
      <c r="AC403" s="3" t="str">
        <f ca="1">HYPERLINK("#"&amp;일위대가목록표!J2&amp;"!A"&amp;ROW(일위대가목록표!A400),"대가397 →")</f>
        <v>대가397 →</v>
      </c>
    </row>
    <row r="404" spans="1:29" ht="30.6" customHeight="1" x14ac:dyDescent="0.3">
      <c r="A404" s="10"/>
      <c r="B404" s="10" t="s">
        <v>995</v>
      </c>
      <c r="C404" s="41" t="s">
        <v>1005</v>
      </c>
      <c r="D404" s="43">
        <v>0</v>
      </c>
      <c r="E404" s="22" t="s">
        <v>14</v>
      </c>
      <c r="F404" s="45">
        <f t="shared" si="30"/>
        <v>350000</v>
      </c>
      <c r="G404" s="48">
        <f t="shared" si="31"/>
        <v>0</v>
      </c>
      <c r="H404" s="50">
        <f>일위대가목록표!F401</f>
        <v>350000</v>
      </c>
      <c r="I404" s="13">
        <f t="shared" si="32"/>
        <v>0</v>
      </c>
      <c r="J404" s="52">
        <f>일위대가목록표!G401</f>
        <v>0</v>
      </c>
      <c r="K404" s="13">
        <f t="shared" si="33"/>
        <v>0</v>
      </c>
      <c r="L404" s="54">
        <f>일위대가목록표!H401</f>
        <v>0</v>
      </c>
      <c r="M404" s="33">
        <f t="shared" si="34"/>
        <v>0</v>
      </c>
      <c r="N404" s="22" t="s">
        <v>4537</v>
      </c>
      <c r="O404" s="17" t="s">
        <v>4536</v>
      </c>
      <c r="P404" s="7" t="s">
        <v>4535</v>
      </c>
      <c r="Q404" s="7" t="s">
        <v>3344</v>
      </c>
      <c r="AC404" s="3" t="str">
        <f ca="1">HYPERLINK("#"&amp;일위대가목록표!J2&amp;"!A"&amp;ROW(일위대가목록표!A401),"대가398 →")</f>
        <v>대가398 →</v>
      </c>
    </row>
    <row r="405" spans="1:29" ht="30.6" customHeight="1" x14ac:dyDescent="0.3">
      <c r="A405" s="10"/>
      <c r="B405" s="10" t="s">
        <v>1008</v>
      </c>
      <c r="C405" s="41" t="s">
        <v>1009</v>
      </c>
      <c r="D405" s="43">
        <v>1</v>
      </c>
      <c r="E405" s="22" t="s">
        <v>1010</v>
      </c>
      <c r="F405" s="45">
        <f t="shared" si="30"/>
        <v>494775</v>
      </c>
      <c r="G405" s="48">
        <f t="shared" si="31"/>
        <v>494775</v>
      </c>
      <c r="H405" s="50">
        <f>일위대가목록표!F402</f>
        <v>100753</v>
      </c>
      <c r="I405" s="13">
        <f t="shared" si="32"/>
        <v>100753</v>
      </c>
      <c r="J405" s="52">
        <f>일위대가목록표!G402</f>
        <v>391000</v>
      </c>
      <c r="K405" s="13">
        <f t="shared" si="33"/>
        <v>391000</v>
      </c>
      <c r="L405" s="54">
        <f>일위대가목록표!H402</f>
        <v>3022</v>
      </c>
      <c r="M405" s="33">
        <f t="shared" si="34"/>
        <v>3022</v>
      </c>
      <c r="N405" s="22" t="s">
        <v>4540</v>
      </c>
      <c r="O405" s="17" t="s">
        <v>4539</v>
      </c>
      <c r="P405" s="7" t="s">
        <v>4538</v>
      </c>
      <c r="Q405" s="7" t="s">
        <v>3344</v>
      </c>
      <c r="AC405" s="3" t="str">
        <f ca="1">HYPERLINK("#"&amp;일위대가목록표!J2&amp;"!A"&amp;ROW(일위대가목록표!A402),"대가399 →")</f>
        <v>대가399 →</v>
      </c>
    </row>
    <row r="406" spans="1:29" ht="30.6" customHeight="1" x14ac:dyDescent="0.3">
      <c r="A406" s="10"/>
      <c r="B406" s="10" t="s">
        <v>1008</v>
      </c>
      <c r="C406" s="41" t="s">
        <v>1013</v>
      </c>
      <c r="D406" s="43">
        <v>0</v>
      </c>
      <c r="E406" s="22" t="s">
        <v>1010</v>
      </c>
      <c r="F406" s="45">
        <f t="shared" si="30"/>
        <v>614668</v>
      </c>
      <c r="G406" s="48">
        <f t="shared" si="31"/>
        <v>0</v>
      </c>
      <c r="H406" s="50">
        <f>일위대가목록표!F403</f>
        <v>145668</v>
      </c>
      <c r="I406" s="13">
        <f t="shared" si="32"/>
        <v>0</v>
      </c>
      <c r="J406" s="52">
        <f>일위대가목록표!G403</f>
        <v>469000</v>
      </c>
      <c r="K406" s="13">
        <f t="shared" si="33"/>
        <v>0</v>
      </c>
      <c r="L406" s="54">
        <f>일위대가목록표!H403</f>
        <v>0</v>
      </c>
      <c r="M406" s="33">
        <f t="shared" si="34"/>
        <v>0</v>
      </c>
      <c r="N406" s="22" t="s">
        <v>4543</v>
      </c>
      <c r="O406" s="17" t="s">
        <v>4542</v>
      </c>
      <c r="P406" s="7" t="s">
        <v>4541</v>
      </c>
      <c r="Q406" s="7" t="s">
        <v>3344</v>
      </c>
      <c r="AC406" s="3" t="str">
        <f ca="1">HYPERLINK("#"&amp;일위대가목록표!J2&amp;"!A"&amp;ROW(일위대가목록표!A403),"대가400 →")</f>
        <v>대가400 →</v>
      </c>
    </row>
    <row r="407" spans="1:29" ht="30.6" customHeight="1" x14ac:dyDescent="0.3">
      <c r="A407" s="10"/>
      <c r="B407" s="10" t="s">
        <v>1008</v>
      </c>
      <c r="C407" s="41" t="s">
        <v>1016</v>
      </c>
      <c r="D407" s="43">
        <v>0</v>
      </c>
      <c r="E407" s="22" t="s">
        <v>1010</v>
      </c>
      <c r="F407" s="45">
        <f t="shared" si="30"/>
        <v>1048819</v>
      </c>
      <c r="G407" s="48">
        <f t="shared" si="31"/>
        <v>0</v>
      </c>
      <c r="H407" s="50">
        <f>일위대가목록표!F404</f>
        <v>189819</v>
      </c>
      <c r="I407" s="13">
        <f t="shared" si="32"/>
        <v>0</v>
      </c>
      <c r="J407" s="52">
        <f>일위대가목록표!G404</f>
        <v>859000</v>
      </c>
      <c r="K407" s="13">
        <f t="shared" si="33"/>
        <v>0</v>
      </c>
      <c r="L407" s="54">
        <f>일위대가목록표!H404</f>
        <v>0</v>
      </c>
      <c r="M407" s="33">
        <f t="shared" si="34"/>
        <v>0</v>
      </c>
      <c r="N407" s="22" t="s">
        <v>4546</v>
      </c>
      <c r="O407" s="17" t="s">
        <v>4545</v>
      </c>
      <c r="P407" s="7" t="s">
        <v>4544</v>
      </c>
      <c r="Q407" s="7" t="s">
        <v>3344</v>
      </c>
      <c r="AC407" s="3" t="str">
        <f ca="1">HYPERLINK("#"&amp;일위대가목록표!J2&amp;"!A"&amp;ROW(일위대가목록표!A404),"대가401 →")</f>
        <v>대가401 →</v>
      </c>
    </row>
    <row r="408" spans="1:29" ht="30.6" customHeight="1" x14ac:dyDescent="0.3">
      <c r="A408" s="10"/>
      <c r="B408" s="10" t="s">
        <v>1008</v>
      </c>
      <c r="C408" s="41" t="s">
        <v>1019</v>
      </c>
      <c r="D408" s="43">
        <v>0</v>
      </c>
      <c r="E408" s="22" t="s">
        <v>1010</v>
      </c>
      <c r="F408" s="45">
        <f t="shared" si="30"/>
        <v>1446873</v>
      </c>
      <c r="G408" s="48">
        <f t="shared" si="31"/>
        <v>0</v>
      </c>
      <c r="H408" s="50">
        <f>일위대가목록표!F405</f>
        <v>246873</v>
      </c>
      <c r="I408" s="13">
        <f t="shared" si="32"/>
        <v>0</v>
      </c>
      <c r="J408" s="52">
        <f>일위대가목록표!G405</f>
        <v>1200000</v>
      </c>
      <c r="K408" s="13">
        <f t="shared" si="33"/>
        <v>0</v>
      </c>
      <c r="L408" s="54">
        <f>일위대가목록표!H405</f>
        <v>0</v>
      </c>
      <c r="M408" s="33">
        <f t="shared" si="34"/>
        <v>0</v>
      </c>
      <c r="N408" s="22" t="s">
        <v>4549</v>
      </c>
      <c r="O408" s="17" t="s">
        <v>4548</v>
      </c>
      <c r="P408" s="7" t="s">
        <v>4547</v>
      </c>
      <c r="Q408" s="7" t="s">
        <v>3344</v>
      </c>
      <c r="AC408" s="3" t="str">
        <f ca="1">HYPERLINK("#"&amp;일위대가목록표!J2&amp;"!A"&amp;ROW(일위대가목록표!A405),"대가402 →")</f>
        <v>대가402 →</v>
      </c>
    </row>
    <row r="409" spans="1:29" ht="30.6" customHeight="1" x14ac:dyDescent="0.3">
      <c r="A409" s="10"/>
      <c r="B409" s="10" t="s">
        <v>1022</v>
      </c>
      <c r="C409" s="41" t="s">
        <v>1009</v>
      </c>
      <c r="D409" s="43">
        <v>0</v>
      </c>
      <c r="E409" s="22" t="s">
        <v>14</v>
      </c>
      <c r="F409" s="45">
        <f t="shared" si="30"/>
        <v>103775</v>
      </c>
      <c r="G409" s="48">
        <f t="shared" si="31"/>
        <v>0</v>
      </c>
      <c r="H409" s="50">
        <f>일위대가목록표!F406</f>
        <v>100753</v>
      </c>
      <c r="I409" s="13">
        <f t="shared" si="32"/>
        <v>0</v>
      </c>
      <c r="J409" s="52">
        <f>일위대가목록표!G406</f>
        <v>0</v>
      </c>
      <c r="K409" s="13">
        <f t="shared" si="33"/>
        <v>0</v>
      </c>
      <c r="L409" s="54">
        <f>일위대가목록표!H406</f>
        <v>3022</v>
      </c>
      <c r="M409" s="33">
        <f t="shared" si="34"/>
        <v>0</v>
      </c>
      <c r="N409" s="22" t="s">
        <v>4552</v>
      </c>
      <c r="O409" s="17" t="s">
        <v>4551</v>
      </c>
      <c r="P409" s="7" t="s">
        <v>4550</v>
      </c>
      <c r="Q409" s="7" t="s">
        <v>3344</v>
      </c>
      <c r="AC409" s="3" t="str">
        <f ca="1">HYPERLINK("#"&amp;일위대가목록표!J2&amp;"!A"&amp;ROW(일위대가목록표!A406),"대가403 →")</f>
        <v>대가403 →</v>
      </c>
    </row>
    <row r="410" spans="1:29" ht="30.6" customHeight="1" x14ac:dyDescent="0.3">
      <c r="A410" s="10"/>
      <c r="B410" s="10" t="s">
        <v>1022</v>
      </c>
      <c r="C410" s="41" t="s">
        <v>1013</v>
      </c>
      <c r="D410" s="43">
        <v>0</v>
      </c>
      <c r="E410" s="22" t="s">
        <v>14</v>
      </c>
      <c r="F410" s="45">
        <f t="shared" si="30"/>
        <v>145668</v>
      </c>
      <c r="G410" s="48">
        <f t="shared" si="31"/>
        <v>0</v>
      </c>
      <c r="H410" s="50">
        <f>일위대가목록표!F407</f>
        <v>145668</v>
      </c>
      <c r="I410" s="13">
        <f t="shared" si="32"/>
        <v>0</v>
      </c>
      <c r="J410" s="52">
        <f>일위대가목록표!G407</f>
        <v>0</v>
      </c>
      <c r="K410" s="13">
        <f t="shared" si="33"/>
        <v>0</v>
      </c>
      <c r="L410" s="54">
        <f>일위대가목록표!H407</f>
        <v>0</v>
      </c>
      <c r="M410" s="33">
        <f t="shared" si="34"/>
        <v>0</v>
      </c>
      <c r="N410" s="22" t="s">
        <v>4555</v>
      </c>
      <c r="O410" s="17" t="s">
        <v>4554</v>
      </c>
      <c r="P410" s="7" t="s">
        <v>4553</v>
      </c>
      <c r="Q410" s="7" t="s">
        <v>3344</v>
      </c>
      <c r="AC410" s="3" t="str">
        <f ca="1">HYPERLINK("#"&amp;일위대가목록표!J2&amp;"!A"&amp;ROW(일위대가목록표!A407),"대가404 →")</f>
        <v>대가404 →</v>
      </c>
    </row>
    <row r="411" spans="1:29" ht="30.6" customHeight="1" x14ac:dyDescent="0.3">
      <c r="A411" s="10"/>
      <c r="B411" s="10" t="s">
        <v>1022</v>
      </c>
      <c r="C411" s="41" t="s">
        <v>1016</v>
      </c>
      <c r="D411" s="43">
        <v>0</v>
      </c>
      <c r="E411" s="22" t="s">
        <v>14</v>
      </c>
      <c r="F411" s="45">
        <f t="shared" si="30"/>
        <v>189819</v>
      </c>
      <c r="G411" s="48">
        <f t="shared" si="31"/>
        <v>0</v>
      </c>
      <c r="H411" s="50">
        <f>일위대가목록표!F408</f>
        <v>189819</v>
      </c>
      <c r="I411" s="13">
        <f t="shared" si="32"/>
        <v>0</v>
      </c>
      <c r="J411" s="52">
        <f>일위대가목록표!G408</f>
        <v>0</v>
      </c>
      <c r="K411" s="13">
        <f t="shared" si="33"/>
        <v>0</v>
      </c>
      <c r="L411" s="54">
        <f>일위대가목록표!H408</f>
        <v>0</v>
      </c>
      <c r="M411" s="33">
        <f t="shared" si="34"/>
        <v>0</v>
      </c>
      <c r="N411" s="22" t="s">
        <v>4558</v>
      </c>
      <c r="O411" s="17" t="s">
        <v>4557</v>
      </c>
      <c r="P411" s="7" t="s">
        <v>4556</v>
      </c>
      <c r="Q411" s="7" t="s">
        <v>3344</v>
      </c>
      <c r="AC411" s="3" t="str">
        <f ca="1">HYPERLINK("#"&amp;일위대가목록표!J2&amp;"!A"&amp;ROW(일위대가목록표!A408),"대가405 →")</f>
        <v>대가405 →</v>
      </c>
    </row>
    <row r="412" spans="1:29" ht="30.6" customHeight="1" x14ac:dyDescent="0.3">
      <c r="A412" s="10"/>
      <c r="B412" s="10" t="s">
        <v>1022</v>
      </c>
      <c r="C412" s="41" t="s">
        <v>1019</v>
      </c>
      <c r="D412" s="43">
        <v>0</v>
      </c>
      <c r="E412" s="22" t="s">
        <v>14</v>
      </c>
      <c r="F412" s="45">
        <f t="shared" si="30"/>
        <v>246873</v>
      </c>
      <c r="G412" s="48">
        <f t="shared" si="31"/>
        <v>0</v>
      </c>
      <c r="H412" s="50">
        <f>일위대가목록표!F409</f>
        <v>246873</v>
      </c>
      <c r="I412" s="13">
        <f t="shared" si="32"/>
        <v>0</v>
      </c>
      <c r="J412" s="52">
        <f>일위대가목록표!G409</f>
        <v>0</v>
      </c>
      <c r="K412" s="13">
        <f t="shared" si="33"/>
        <v>0</v>
      </c>
      <c r="L412" s="54">
        <f>일위대가목록표!H409</f>
        <v>0</v>
      </c>
      <c r="M412" s="33">
        <f t="shared" si="34"/>
        <v>0</v>
      </c>
      <c r="N412" s="22" t="s">
        <v>4561</v>
      </c>
      <c r="O412" s="17" t="s">
        <v>4560</v>
      </c>
      <c r="P412" s="7" t="s">
        <v>4559</v>
      </c>
      <c r="Q412" s="7" t="s">
        <v>3344</v>
      </c>
      <c r="AC412" s="3" t="str">
        <f ca="1">HYPERLINK("#"&amp;일위대가목록표!J2&amp;"!A"&amp;ROW(일위대가목록표!A409),"대가406 →")</f>
        <v>대가406 →</v>
      </c>
    </row>
    <row r="413" spans="1:29" ht="30.6" customHeight="1" x14ac:dyDescent="0.3">
      <c r="A413" s="10"/>
      <c r="B413" s="10" t="s">
        <v>1031</v>
      </c>
      <c r="C413" s="41" t="s">
        <v>1009</v>
      </c>
      <c r="D413" s="43">
        <v>0</v>
      </c>
      <c r="E413" s="22" t="s">
        <v>14</v>
      </c>
      <c r="F413" s="45">
        <f t="shared" si="30"/>
        <v>74126</v>
      </c>
      <c r="G413" s="48">
        <f t="shared" si="31"/>
        <v>0</v>
      </c>
      <c r="H413" s="50">
        <f>일위대가목록표!F410</f>
        <v>71967</v>
      </c>
      <c r="I413" s="13">
        <f t="shared" si="32"/>
        <v>0</v>
      </c>
      <c r="J413" s="52">
        <f>일위대가목록표!G410</f>
        <v>0</v>
      </c>
      <c r="K413" s="13">
        <f t="shared" si="33"/>
        <v>0</v>
      </c>
      <c r="L413" s="54">
        <f>일위대가목록표!H410</f>
        <v>2159</v>
      </c>
      <c r="M413" s="33">
        <f t="shared" si="34"/>
        <v>0</v>
      </c>
      <c r="N413" s="22" t="s">
        <v>4564</v>
      </c>
      <c r="O413" s="17" t="s">
        <v>4563</v>
      </c>
      <c r="P413" s="7" t="s">
        <v>4562</v>
      </c>
      <c r="Q413" s="7" t="s">
        <v>3344</v>
      </c>
      <c r="AC413" s="3" t="str">
        <f ca="1">HYPERLINK("#"&amp;일위대가목록표!J2&amp;"!A"&amp;ROW(일위대가목록표!A410),"대가407 →")</f>
        <v>대가407 →</v>
      </c>
    </row>
    <row r="414" spans="1:29" ht="30.6" customHeight="1" x14ac:dyDescent="0.3">
      <c r="A414" s="10"/>
      <c r="B414" s="10" t="s">
        <v>1031</v>
      </c>
      <c r="C414" s="41" t="s">
        <v>1013</v>
      </c>
      <c r="D414" s="43">
        <v>0</v>
      </c>
      <c r="E414" s="22" t="s">
        <v>14</v>
      </c>
      <c r="F414" s="45">
        <f t="shared" si="30"/>
        <v>104049</v>
      </c>
      <c r="G414" s="48">
        <f t="shared" si="31"/>
        <v>0</v>
      </c>
      <c r="H414" s="50">
        <f>일위대가목록표!F411</f>
        <v>104049</v>
      </c>
      <c r="I414" s="13">
        <f t="shared" si="32"/>
        <v>0</v>
      </c>
      <c r="J414" s="52">
        <f>일위대가목록표!G411</f>
        <v>0</v>
      </c>
      <c r="K414" s="13">
        <f t="shared" si="33"/>
        <v>0</v>
      </c>
      <c r="L414" s="54">
        <f>일위대가목록표!H411</f>
        <v>0</v>
      </c>
      <c r="M414" s="33">
        <f t="shared" si="34"/>
        <v>0</v>
      </c>
      <c r="N414" s="22" t="s">
        <v>4567</v>
      </c>
      <c r="O414" s="17" t="s">
        <v>4566</v>
      </c>
      <c r="P414" s="7" t="s">
        <v>4565</v>
      </c>
      <c r="Q414" s="7" t="s">
        <v>3344</v>
      </c>
      <c r="AC414" s="3" t="str">
        <f ca="1">HYPERLINK("#"&amp;일위대가목록표!J2&amp;"!A"&amp;ROW(일위대가목록표!A411),"대가408 →")</f>
        <v>대가408 →</v>
      </c>
    </row>
    <row r="415" spans="1:29" ht="30.6" customHeight="1" x14ac:dyDescent="0.3">
      <c r="A415" s="10"/>
      <c r="B415" s="10" t="s">
        <v>1031</v>
      </c>
      <c r="C415" s="41" t="s">
        <v>1016</v>
      </c>
      <c r="D415" s="43">
        <v>0</v>
      </c>
      <c r="E415" s="22" t="s">
        <v>14</v>
      </c>
      <c r="F415" s="45">
        <f t="shared" si="30"/>
        <v>135585</v>
      </c>
      <c r="G415" s="48">
        <f t="shared" si="31"/>
        <v>0</v>
      </c>
      <c r="H415" s="50">
        <f>일위대가목록표!F412</f>
        <v>135585</v>
      </c>
      <c r="I415" s="13">
        <f t="shared" si="32"/>
        <v>0</v>
      </c>
      <c r="J415" s="52">
        <f>일위대가목록표!G412</f>
        <v>0</v>
      </c>
      <c r="K415" s="13">
        <f t="shared" si="33"/>
        <v>0</v>
      </c>
      <c r="L415" s="54">
        <f>일위대가목록표!H412</f>
        <v>0</v>
      </c>
      <c r="M415" s="33">
        <f t="shared" si="34"/>
        <v>0</v>
      </c>
      <c r="N415" s="22" t="s">
        <v>4570</v>
      </c>
      <c r="O415" s="17" t="s">
        <v>4569</v>
      </c>
      <c r="P415" s="7" t="s">
        <v>4568</v>
      </c>
      <c r="Q415" s="7" t="s">
        <v>3344</v>
      </c>
      <c r="AC415" s="3" t="str">
        <f ca="1">HYPERLINK("#"&amp;일위대가목록표!J2&amp;"!A"&amp;ROW(일위대가목록표!A412),"대가409 →")</f>
        <v>대가409 →</v>
      </c>
    </row>
    <row r="416" spans="1:29" ht="30.6" customHeight="1" x14ac:dyDescent="0.3">
      <c r="A416" s="10"/>
      <c r="B416" s="10" t="s">
        <v>1031</v>
      </c>
      <c r="C416" s="41" t="s">
        <v>1019</v>
      </c>
      <c r="D416" s="43">
        <v>0</v>
      </c>
      <c r="E416" s="22" t="s">
        <v>14</v>
      </c>
      <c r="F416" s="45">
        <f t="shared" si="30"/>
        <v>176338</v>
      </c>
      <c r="G416" s="48">
        <f t="shared" si="31"/>
        <v>0</v>
      </c>
      <c r="H416" s="50">
        <f>일위대가목록표!F413</f>
        <v>176338</v>
      </c>
      <c r="I416" s="13">
        <f t="shared" si="32"/>
        <v>0</v>
      </c>
      <c r="J416" s="52">
        <f>일위대가목록표!G413</f>
        <v>0</v>
      </c>
      <c r="K416" s="13">
        <f t="shared" si="33"/>
        <v>0</v>
      </c>
      <c r="L416" s="54">
        <f>일위대가목록표!H413</f>
        <v>0</v>
      </c>
      <c r="M416" s="33">
        <f t="shared" si="34"/>
        <v>0</v>
      </c>
      <c r="N416" s="22" t="s">
        <v>4573</v>
      </c>
      <c r="O416" s="17" t="s">
        <v>4572</v>
      </c>
      <c r="P416" s="7" t="s">
        <v>4571</v>
      </c>
      <c r="Q416" s="7" t="s">
        <v>3344</v>
      </c>
      <c r="AC416" s="3" t="str">
        <f ca="1">HYPERLINK("#"&amp;일위대가목록표!J2&amp;"!A"&amp;ROW(일위대가목록표!A413),"대가410 →")</f>
        <v>대가410 →</v>
      </c>
    </row>
    <row r="417" spans="1:29" ht="30.6" customHeight="1" x14ac:dyDescent="0.3">
      <c r="A417" s="10"/>
      <c r="B417" s="10" t="s">
        <v>1040</v>
      </c>
      <c r="C417" s="41" t="s">
        <v>1009</v>
      </c>
      <c r="D417" s="43">
        <v>1</v>
      </c>
      <c r="E417" s="22" t="s">
        <v>14</v>
      </c>
      <c r="F417" s="45">
        <f t="shared" si="30"/>
        <v>29649</v>
      </c>
      <c r="G417" s="48">
        <f t="shared" si="31"/>
        <v>29649</v>
      </c>
      <c r="H417" s="50">
        <f>일위대가목록표!F414</f>
        <v>28786</v>
      </c>
      <c r="I417" s="13">
        <f t="shared" si="32"/>
        <v>28786</v>
      </c>
      <c r="J417" s="52">
        <f>일위대가목록표!G414</f>
        <v>0</v>
      </c>
      <c r="K417" s="13">
        <f t="shared" si="33"/>
        <v>0</v>
      </c>
      <c r="L417" s="54">
        <f>일위대가목록표!H414</f>
        <v>863</v>
      </c>
      <c r="M417" s="33">
        <f t="shared" si="34"/>
        <v>863</v>
      </c>
      <c r="N417" s="22" t="s">
        <v>4576</v>
      </c>
      <c r="O417" s="17" t="s">
        <v>4575</v>
      </c>
      <c r="P417" s="7" t="s">
        <v>4574</v>
      </c>
      <c r="Q417" s="7" t="s">
        <v>3344</v>
      </c>
      <c r="AC417" s="3" t="str">
        <f ca="1">HYPERLINK("#"&amp;일위대가목록표!J2&amp;"!A"&amp;ROW(일위대가목록표!A414),"대가411 →")</f>
        <v>대가411 →</v>
      </c>
    </row>
    <row r="418" spans="1:29" ht="30.6" customHeight="1" x14ac:dyDescent="0.3">
      <c r="A418" s="10"/>
      <c r="B418" s="10" t="s">
        <v>1040</v>
      </c>
      <c r="C418" s="41" t="s">
        <v>1013</v>
      </c>
      <c r="D418" s="43">
        <v>0</v>
      </c>
      <c r="E418" s="22" t="s">
        <v>14</v>
      </c>
      <c r="F418" s="45">
        <f t="shared" si="30"/>
        <v>41619</v>
      </c>
      <c r="G418" s="48">
        <f t="shared" si="31"/>
        <v>0</v>
      </c>
      <c r="H418" s="50">
        <f>일위대가목록표!F415</f>
        <v>41619</v>
      </c>
      <c r="I418" s="13">
        <f t="shared" si="32"/>
        <v>0</v>
      </c>
      <c r="J418" s="52">
        <f>일위대가목록표!G415</f>
        <v>0</v>
      </c>
      <c r="K418" s="13">
        <f t="shared" si="33"/>
        <v>0</v>
      </c>
      <c r="L418" s="54">
        <f>일위대가목록표!H415</f>
        <v>0</v>
      </c>
      <c r="M418" s="33">
        <f t="shared" si="34"/>
        <v>0</v>
      </c>
      <c r="N418" s="22" t="s">
        <v>4579</v>
      </c>
      <c r="O418" s="17" t="s">
        <v>4578</v>
      </c>
      <c r="P418" s="7" t="s">
        <v>4577</v>
      </c>
      <c r="Q418" s="7" t="s">
        <v>3344</v>
      </c>
      <c r="AC418" s="3" t="str">
        <f ca="1">HYPERLINK("#"&amp;일위대가목록표!J2&amp;"!A"&amp;ROW(일위대가목록표!A415),"대가412 →")</f>
        <v>대가412 →</v>
      </c>
    </row>
    <row r="419" spans="1:29" ht="30.6" customHeight="1" x14ac:dyDescent="0.3">
      <c r="A419" s="10"/>
      <c r="B419" s="10" t="s">
        <v>1040</v>
      </c>
      <c r="C419" s="41" t="s">
        <v>1016</v>
      </c>
      <c r="D419" s="43">
        <v>0</v>
      </c>
      <c r="E419" s="22" t="s">
        <v>14</v>
      </c>
      <c r="F419" s="45">
        <f t="shared" si="30"/>
        <v>54234</v>
      </c>
      <c r="G419" s="48">
        <f t="shared" si="31"/>
        <v>0</v>
      </c>
      <c r="H419" s="50">
        <f>일위대가목록표!F416</f>
        <v>54234</v>
      </c>
      <c r="I419" s="13">
        <f t="shared" si="32"/>
        <v>0</v>
      </c>
      <c r="J419" s="52">
        <f>일위대가목록표!G416</f>
        <v>0</v>
      </c>
      <c r="K419" s="13">
        <f t="shared" si="33"/>
        <v>0</v>
      </c>
      <c r="L419" s="54">
        <f>일위대가목록표!H416</f>
        <v>0</v>
      </c>
      <c r="M419" s="33">
        <f t="shared" si="34"/>
        <v>0</v>
      </c>
      <c r="N419" s="22" t="s">
        <v>4582</v>
      </c>
      <c r="O419" s="17" t="s">
        <v>4581</v>
      </c>
      <c r="P419" s="7" t="s">
        <v>4580</v>
      </c>
      <c r="Q419" s="7" t="s">
        <v>3344</v>
      </c>
      <c r="AC419" s="3" t="str">
        <f ca="1">HYPERLINK("#"&amp;일위대가목록표!J2&amp;"!A"&amp;ROW(일위대가목록표!A416),"대가413 →")</f>
        <v>대가413 →</v>
      </c>
    </row>
    <row r="420" spans="1:29" ht="30.6" customHeight="1" x14ac:dyDescent="0.3">
      <c r="A420" s="10"/>
      <c r="B420" s="10" t="s">
        <v>1040</v>
      </c>
      <c r="C420" s="41" t="s">
        <v>1019</v>
      </c>
      <c r="D420" s="43">
        <v>0</v>
      </c>
      <c r="E420" s="22" t="s">
        <v>14</v>
      </c>
      <c r="F420" s="45">
        <f t="shared" si="30"/>
        <v>70535</v>
      </c>
      <c r="G420" s="48">
        <f t="shared" si="31"/>
        <v>0</v>
      </c>
      <c r="H420" s="50">
        <f>일위대가목록표!F417</f>
        <v>70535</v>
      </c>
      <c r="I420" s="13">
        <f t="shared" si="32"/>
        <v>0</v>
      </c>
      <c r="J420" s="52">
        <f>일위대가목록표!G417</f>
        <v>0</v>
      </c>
      <c r="K420" s="13">
        <f t="shared" si="33"/>
        <v>0</v>
      </c>
      <c r="L420" s="54">
        <f>일위대가목록표!H417</f>
        <v>0</v>
      </c>
      <c r="M420" s="33">
        <f t="shared" si="34"/>
        <v>0</v>
      </c>
      <c r="N420" s="22" t="s">
        <v>4585</v>
      </c>
      <c r="O420" s="17" t="s">
        <v>4584</v>
      </c>
      <c r="P420" s="7" t="s">
        <v>4583</v>
      </c>
      <c r="Q420" s="7" t="s">
        <v>3344</v>
      </c>
      <c r="AC420" s="3" t="str">
        <f ca="1">HYPERLINK("#"&amp;일위대가목록표!J2&amp;"!A"&amp;ROW(일위대가목록표!A417),"대가414 →")</f>
        <v>대가414 →</v>
      </c>
    </row>
    <row r="421" spans="1:29" ht="30.6" customHeight="1" x14ac:dyDescent="0.3">
      <c r="A421" s="10"/>
      <c r="B421" s="10" t="s">
        <v>1049</v>
      </c>
      <c r="C421" s="41" t="s">
        <v>1050</v>
      </c>
      <c r="D421" s="43">
        <v>0</v>
      </c>
      <c r="E421" s="22" t="s">
        <v>1010</v>
      </c>
      <c r="F421" s="45">
        <f t="shared" si="30"/>
        <v>390695</v>
      </c>
      <c r="G421" s="48">
        <f t="shared" si="31"/>
        <v>0</v>
      </c>
      <c r="H421" s="50">
        <f>일위대가목록표!F418</f>
        <v>60695</v>
      </c>
      <c r="I421" s="13">
        <f t="shared" si="32"/>
        <v>0</v>
      </c>
      <c r="J421" s="52">
        <f>일위대가목록표!G418</f>
        <v>330000</v>
      </c>
      <c r="K421" s="13">
        <f t="shared" si="33"/>
        <v>0</v>
      </c>
      <c r="L421" s="54">
        <f>일위대가목록표!H418</f>
        <v>0</v>
      </c>
      <c r="M421" s="33">
        <f t="shared" si="34"/>
        <v>0</v>
      </c>
      <c r="N421" s="22" t="s">
        <v>4588</v>
      </c>
      <c r="O421" s="17" t="s">
        <v>4587</v>
      </c>
      <c r="P421" s="7" t="s">
        <v>4586</v>
      </c>
      <c r="Q421" s="7" t="s">
        <v>3344</v>
      </c>
      <c r="AC421" s="3" t="str">
        <f ca="1">HYPERLINK("#"&amp;일위대가목록표!J2&amp;"!A"&amp;ROW(일위대가목록표!A418),"대가415 →")</f>
        <v>대가415 →</v>
      </c>
    </row>
    <row r="422" spans="1:29" ht="30.6" customHeight="1" x14ac:dyDescent="0.3">
      <c r="A422" s="10"/>
      <c r="B422" s="10" t="s">
        <v>1049</v>
      </c>
      <c r="C422" s="41" t="s">
        <v>1053</v>
      </c>
      <c r="D422" s="43">
        <v>0</v>
      </c>
      <c r="E422" s="22" t="s">
        <v>1010</v>
      </c>
      <c r="F422" s="45">
        <f t="shared" si="30"/>
        <v>683775</v>
      </c>
      <c r="G422" s="48">
        <f t="shared" si="31"/>
        <v>0</v>
      </c>
      <c r="H422" s="50">
        <f>일위대가목록표!F419</f>
        <v>100753</v>
      </c>
      <c r="I422" s="13">
        <f t="shared" si="32"/>
        <v>0</v>
      </c>
      <c r="J422" s="52">
        <f>일위대가목록표!G419</f>
        <v>580000</v>
      </c>
      <c r="K422" s="13">
        <f t="shared" si="33"/>
        <v>0</v>
      </c>
      <c r="L422" s="54">
        <f>일위대가목록표!H419</f>
        <v>3022</v>
      </c>
      <c r="M422" s="33">
        <f t="shared" si="34"/>
        <v>0</v>
      </c>
      <c r="N422" s="22" t="s">
        <v>4591</v>
      </c>
      <c r="O422" s="17" t="s">
        <v>4590</v>
      </c>
      <c r="P422" s="7" t="s">
        <v>4589</v>
      </c>
      <c r="Q422" s="7" t="s">
        <v>3344</v>
      </c>
      <c r="AC422" s="3" t="str">
        <f ca="1">HYPERLINK("#"&amp;일위대가목록표!J2&amp;"!A"&amp;ROW(일위대가목록표!A419),"대가416 →")</f>
        <v>대가416 →</v>
      </c>
    </row>
    <row r="423" spans="1:29" ht="30.6" customHeight="1" x14ac:dyDescent="0.3">
      <c r="A423" s="10"/>
      <c r="B423" s="10" t="s">
        <v>1049</v>
      </c>
      <c r="C423" s="41" t="s">
        <v>1056</v>
      </c>
      <c r="D423" s="43">
        <v>0</v>
      </c>
      <c r="E423" s="22" t="s">
        <v>1010</v>
      </c>
      <c r="F423" s="45">
        <f t="shared" si="30"/>
        <v>965668</v>
      </c>
      <c r="G423" s="48">
        <f t="shared" si="31"/>
        <v>0</v>
      </c>
      <c r="H423" s="50">
        <f>일위대가목록표!F420</f>
        <v>145668</v>
      </c>
      <c r="I423" s="13">
        <f t="shared" si="32"/>
        <v>0</v>
      </c>
      <c r="J423" s="52">
        <f>일위대가목록표!G420</f>
        <v>820000</v>
      </c>
      <c r="K423" s="13">
        <f t="shared" si="33"/>
        <v>0</v>
      </c>
      <c r="L423" s="54">
        <f>일위대가목록표!H420</f>
        <v>0</v>
      </c>
      <c r="M423" s="33">
        <f t="shared" si="34"/>
        <v>0</v>
      </c>
      <c r="N423" s="22" t="s">
        <v>4594</v>
      </c>
      <c r="O423" s="17" t="s">
        <v>4593</v>
      </c>
      <c r="P423" s="7" t="s">
        <v>4592</v>
      </c>
      <c r="Q423" s="7" t="s">
        <v>3344</v>
      </c>
      <c r="AC423" s="3" t="str">
        <f ca="1">HYPERLINK("#"&amp;일위대가목록표!J2&amp;"!A"&amp;ROW(일위대가목록표!A420),"대가417 →")</f>
        <v>대가417 →</v>
      </c>
    </row>
    <row r="424" spans="1:29" ht="30.6" customHeight="1" x14ac:dyDescent="0.3">
      <c r="A424" s="10"/>
      <c r="B424" s="10" t="s">
        <v>1049</v>
      </c>
      <c r="C424" s="41" t="s">
        <v>1059</v>
      </c>
      <c r="D424" s="43">
        <v>0</v>
      </c>
      <c r="E424" s="22" t="s">
        <v>1010</v>
      </c>
      <c r="F424" s="45">
        <f t="shared" si="30"/>
        <v>1639819</v>
      </c>
      <c r="G424" s="48">
        <f t="shared" si="31"/>
        <v>0</v>
      </c>
      <c r="H424" s="50">
        <f>일위대가목록표!F421</f>
        <v>189819</v>
      </c>
      <c r="I424" s="13">
        <f t="shared" si="32"/>
        <v>0</v>
      </c>
      <c r="J424" s="52">
        <f>일위대가목록표!G421</f>
        <v>1450000</v>
      </c>
      <c r="K424" s="13">
        <f t="shared" si="33"/>
        <v>0</v>
      </c>
      <c r="L424" s="54">
        <f>일위대가목록표!H421</f>
        <v>0</v>
      </c>
      <c r="M424" s="33">
        <f t="shared" si="34"/>
        <v>0</v>
      </c>
      <c r="N424" s="22" t="s">
        <v>4597</v>
      </c>
      <c r="O424" s="17" t="s">
        <v>4596</v>
      </c>
      <c r="P424" s="7" t="s">
        <v>4595</v>
      </c>
      <c r="Q424" s="7" t="s">
        <v>3344</v>
      </c>
      <c r="AC424" s="3" t="str">
        <f ca="1">HYPERLINK("#"&amp;일위대가목록표!J2&amp;"!A"&amp;ROW(일위대가목록표!A421),"대가418 →")</f>
        <v>대가418 →</v>
      </c>
    </row>
    <row r="425" spans="1:29" ht="30.6" customHeight="1" x14ac:dyDescent="0.3">
      <c r="A425" s="10"/>
      <c r="B425" s="10" t="s">
        <v>1049</v>
      </c>
      <c r="C425" s="41" t="s">
        <v>1062</v>
      </c>
      <c r="D425" s="43">
        <v>0</v>
      </c>
      <c r="E425" s="22" t="s">
        <v>1010</v>
      </c>
      <c r="F425" s="45">
        <f t="shared" si="30"/>
        <v>2246873</v>
      </c>
      <c r="G425" s="48">
        <f t="shared" si="31"/>
        <v>0</v>
      </c>
      <c r="H425" s="50">
        <f>일위대가목록표!F422</f>
        <v>246873</v>
      </c>
      <c r="I425" s="13">
        <f t="shared" si="32"/>
        <v>0</v>
      </c>
      <c r="J425" s="52">
        <f>일위대가목록표!G422</f>
        <v>2000000</v>
      </c>
      <c r="K425" s="13">
        <f t="shared" si="33"/>
        <v>0</v>
      </c>
      <c r="L425" s="54">
        <f>일위대가목록표!H422</f>
        <v>0</v>
      </c>
      <c r="M425" s="33">
        <f t="shared" si="34"/>
        <v>0</v>
      </c>
      <c r="N425" s="22" t="s">
        <v>4600</v>
      </c>
      <c r="O425" s="17" t="s">
        <v>4599</v>
      </c>
      <c r="P425" s="7" t="s">
        <v>4598</v>
      </c>
      <c r="Q425" s="7" t="s">
        <v>3344</v>
      </c>
      <c r="AC425" s="3" t="str">
        <f ca="1">HYPERLINK("#"&amp;일위대가목록표!J2&amp;"!A"&amp;ROW(일위대가목록표!A422),"대가419 →")</f>
        <v>대가419 →</v>
      </c>
    </row>
    <row r="426" spans="1:29" ht="30.6" customHeight="1" x14ac:dyDescent="0.3">
      <c r="A426" s="10"/>
      <c r="B426" s="10" t="s">
        <v>1049</v>
      </c>
      <c r="C426" s="41" t="s">
        <v>1065</v>
      </c>
      <c r="D426" s="43">
        <v>0</v>
      </c>
      <c r="E426" s="22" t="s">
        <v>1010</v>
      </c>
      <c r="F426" s="45">
        <f t="shared" si="30"/>
        <v>3820535</v>
      </c>
      <c r="G426" s="48">
        <f t="shared" si="31"/>
        <v>0</v>
      </c>
      <c r="H426" s="50">
        <f>일위대가목록표!F423</f>
        <v>70535</v>
      </c>
      <c r="I426" s="13">
        <f t="shared" si="32"/>
        <v>0</v>
      </c>
      <c r="J426" s="52">
        <f>일위대가목록표!G423</f>
        <v>3750000</v>
      </c>
      <c r="K426" s="13">
        <f t="shared" si="33"/>
        <v>0</v>
      </c>
      <c r="L426" s="54">
        <f>일위대가목록표!H423</f>
        <v>0</v>
      </c>
      <c r="M426" s="33">
        <f t="shared" si="34"/>
        <v>0</v>
      </c>
      <c r="N426" s="22" t="s">
        <v>4603</v>
      </c>
      <c r="O426" s="17" t="s">
        <v>4602</v>
      </c>
      <c r="P426" s="7" t="s">
        <v>4601</v>
      </c>
      <c r="Q426" s="7" t="s">
        <v>3344</v>
      </c>
      <c r="AC426" s="3" t="str">
        <f ca="1">HYPERLINK("#"&amp;일위대가목록표!J2&amp;"!A"&amp;ROW(일위대가목록표!A423),"대가420 →")</f>
        <v>대가420 →</v>
      </c>
    </row>
    <row r="427" spans="1:29" ht="30.6" customHeight="1" x14ac:dyDescent="0.3">
      <c r="A427" s="10"/>
      <c r="B427" s="10" t="s">
        <v>1068</v>
      </c>
      <c r="C427" s="41" t="s">
        <v>1050</v>
      </c>
      <c r="D427" s="43">
        <v>0</v>
      </c>
      <c r="E427" s="22" t="s">
        <v>1010</v>
      </c>
      <c r="F427" s="45">
        <f t="shared" si="30"/>
        <v>60695</v>
      </c>
      <c r="G427" s="48">
        <f t="shared" si="31"/>
        <v>0</v>
      </c>
      <c r="H427" s="50">
        <f>일위대가목록표!F424</f>
        <v>60695</v>
      </c>
      <c r="I427" s="13">
        <f t="shared" si="32"/>
        <v>0</v>
      </c>
      <c r="J427" s="52">
        <f>일위대가목록표!G424</f>
        <v>0</v>
      </c>
      <c r="K427" s="13">
        <f t="shared" si="33"/>
        <v>0</v>
      </c>
      <c r="L427" s="54">
        <f>일위대가목록표!H424</f>
        <v>0</v>
      </c>
      <c r="M427" s="33">
        <f t="shared" si="34"/>
        <v>0</v>
      </c>
      <c r="N427" s="22" t="s">
        <v>4606</v>
      </c>
      <c r="O427" s="17" t="s">
        <v>4605</v>
      </c>
      <c r="P427" s="7" t="s">
        <v>4604</v>
      </c>
      <c r="Q427" s="7" t="s">
        <v>3344</v>
      </c>
      <c r="AC427" s="3" t="str">
        <f ca="1">HYPERLINK("#"&amp;일위대가목록표!J2&amp;"!A"&amp;ROW(일위대가목록표!A424),"대가421 →")</f>
        <v>대가421 →</v>
      </c>
    </row>
    <row r="428" spans="1:29" ht="30.6" customHeight="1" x14ac:dyDescent="0.3">
      <c r="A428" s="10"/>
      <c r="B428" s="10" t="s">
        <v>1068</v>
      </c>
      <c r="C428" s="41" t="s">
        <v>1053</v>
      </c>
      <c r="D428" s="43">
        <v>0</v>
      </c>
      <c r="E428" s="22" t="s">
        <v>1010</v>
      </c>
      <c r="F428" s="45">
        <f t="shared" si="30"/>
        <v>103775</v>
      </c>
      <c r="G428" s="48">
        <f t="shared" si="31"/>
        <v>0</v>
      </c>
      <c r="H428" s="50">
        <f>일위대가목록표!F425</f>
        <v>100753</v>
      </c>
      <c r="I428" s="13">
        <f t="shared" si="32"/>
        <v>0</v>
      </c>
      <c r="J428" s="52">
        <f>일위대가목록표!G425</f>
        <v>0</v>
      </c>
      <c r="K428" s="13">
        <f t="shared" si="33"/>
        <v>0</v>
      </c>
      <c r="L428" s="54">
        <f>일위대가목록표!H425</f>
        <v>3022</v>
      </c>
      <c r="M428" s="33">
        <f t="shared" si="34"/>
        <v>0</v>
      </c>
      <c r="N428" s="22" t="s">
        <v>4609</v>
      </c>
      <c r="O428" s="17" t="s">
        <v>4608</v>
      </c>
      <c r="P428" s="7" t="s">
        <v>4607</v>
      </c>
      <c r="Q428" s="7" t="s">
        <v>3344</v>
      </c>
      <c r="AC428" s="3" t="str">
        <f ca="1">HYPERLINK("#"&amp;일위대가목록표!J2&amp;"!A"&amp;ROW(일위대가목록표!A425),"대가422 →")</f>
        <v>대가422 →</v>
      </c>
    </row>
    <row r="429" spans="1:29" ht="30.6" customHeight="1" x14ac:dyDescent="0.3">
      <c r="A429" s="10"/>
      <c r="B429" s="10" t="s">
        <v>1068</v>
      </c>
      <c r="C429" s="41" t="s">
        <v>1056</v>
      </c>
      <c r="D429" s="43">
        <v>0</v>
      </c>
      <c r="E429" s="22" t="s">
        <v>1010</v>
      </c>
      <c r="F429" s="45">
        <f t="shared" si="30"/>
        <v>145668</v>
      </c>
      <c r="G429" s="48">
        <f t="shared" si="31"/>
        <v>0</v>
      </c>
      <c r="H429" s="50">
        <f>일위대가목록표!F426</f>
        <v>145668</v>
      </c>
      <c r="I429" s="13">
        <f t="shared" si="32"/>
        <v>0</v>
      </c>
      <c r="J429" s="52">
        <f>일위대가목록표!G426</f>
        <v>0</v>
      </c>
      <c r="K429" s="13">
        <f t="shared" si="33"/>
        <v>0</v>
      </c>
      <c r="L429" s="54">
        <f>일위대가목록표!H426</f>
        <v>0</v>
      </c>
      <c r="M429" s="33">
        <f t="shared" si="34"/>
        <v>0</v>
      </c>
      <c r="N429" s="22" t="s">
        <v>4612</v>
      </c>
      <c r="O429" s="17" t="s">
        <v>4611</v>
      </c>
      <c r="P429" s="7" t="s">
        <v>4610</v>
      </c>
      <c r="Q429" s="7" t="s">
        <v>3344</v>
      </c>
      <c r="AC429" s="3" t="str">
        <f ca="1">HYPERLINK("#"&amp;일위대가목록표!J2&amp;"!A"&amp;ROW(일위대가목록표!A426),"대가423 →")</f>
        <v>대가423 →</v>
      </c>
    </row>
    <row r="430" spans="1:29" ht="30.6" customHeight="1" x14ac:dyDescent="0.3">
      <c r="A430" s="10"/>
      <c r="B430" s="10" t="s">
        <v>1068</v>
      </c>
      <c r="C430" s="41" t="s">
        <v>1059</v>
      </c>
      <c r="D430" s="43">
        <v>0</v>
      </c>
      <c r="E430" s="22" t="s">
        <v>1010</v>
      </c>
      <c r="F430" s="45">
        <f t="shared" si="30"/>
        <v>189819</v>
      </c>
      <c r="G430" s="48">
        <f t="shared" si="31"/>
        <v>0</v>
      </c>
      <c r="H430" s="50">
        <f>일위대가목록표!F427</f>
        <v>189819</v>
      </c>
      <c r="I430" s="13">
        <f t="shared" si="32"/>
        <v>0</v>
      </c>
      <c r="J430" s="52">
        <f>일위대가목록표!G427</f>
        <v>0</v>
      </c>
      <c r="K430" s="13">
        <f t="shared" si="33"/>
        <v>0</v>
      </c>
      <c r="L430" s="54">
        <f>일위대가목록표!H427</f>
        <v>0</v>
      </c>
      <c r="M430" s="33">
        <f t="shared" si="34"/>
        <v>0</v>
      </c>
      <c r="N430" s="22" t="s">
        <v>4615</v>
      </c>
      <c r="O430" s="17" t="s">
        <v>4614</v>
      </c>
      <c r="P430" s="7" t="s">
        <v>4613</v>
      </c>
      <c r="Q430" s="7" t="s">
        <v>3344</v>
      </c>
      <c r="AC430" s="3" t="str">
        <f ca="1">HYPERLINK("#"&amp;일위대가목록표!J2&amp;"!A"&amp;ROW(일위대가목록표!A427),"대가424 →")</f>
        <v>대가424 →</v>
      </c>
    </row>
    <row r="431" spans="1:29" ht="30.6" customHeight="1" x14ac:dyDescent="0.3">
      <c r="A431" s="10"/>
      <c r="B431" s="10" t="s">
        <v>1068</v>
      </c>
      <c r="C431" s="41" t="s">
        <v>1062</v>
      </c>
      <c r="D431" s="43">
        <v>0</v>
      </c>
      <c r="E431" s="22" t="s">
        <v>1010</v>
      </c>
      <c r="F431" s="45">
        <f t="shared" si="30"/>
        <v>246873</v>
      </c>
      <c r="G431" s="48">
        <f t="shared" si="31"/>
        <v>0</v>
      </c>
      <c r="H431" s="50">
        <f>일위대가목록표!F428</f>
        <v>246873</v>
      </c>
      <c r="I431" s="13">
        <f t="shared" si="32"/>
        <v>0</v>
      </c>
      <c r="J431" s="52">
        <f>일위대가목록표!G428</f>
        <v>0</v>
      </c>
      <c r="K431" s="13">
        <f t="shared" si="33"/>
        <v>0</v>
      </c>
      <c r="L431" s="54">
        <f>일위대가목록표!H428</f>
        <v>0</v>
      </c>
      <c r="M431" s="33">
        <f t="shared" si="34"/>
        <v>0</v>
      </c>
      <c r="N431" s="22" t="s">
        <v>4618</v>
      </c>
      <c r="O431" s="17" t="s">
        <v>4617</v>
      </c>
      <c r="P431" s="7" t="s">
        <v>4616</v>
      </c>
      <c r="Q431" s="7" t="s">
        <v>3344</v>
      </c>
      <c r="AC431" s="3" t="str">
        <f ca="1">HYPERLINK("#"&amp;일위대가목록표!J2&amp;"!A"&amp;ROW(일위대가목록표!A428),"대가425 →")</f>
        <v>대가425 →</v>
      </c>
    </row>
    <row r="432" spans="1:29" ht="30.6" customHeight="1" x14ac:dyDescent="0.3">
      <c r="A432" s="10"/>
      <c r="B432" s="10" t="s">
        <v>1068</v>
      </c>
      <c r="C432" s="41" t="s">
        <v>1065</v>
      </c>
      <c r="D432" s="43">
        <v>0</v>
      </c>
      <c r="E432" s="22" t="s">
        <v>1010</v>
      </c>
      <c r="F432" s="45">
        <f t="shared" si="30"/>
        <v>70535</v>
      </c>
      <c r="G432" s="48">
        <f t="shared" si="31"/>
        <v>0</v>
      </c>
      <c r="H432" s="50">
        <f>일위대가목록표!F429</f>
        <v>70535</v>
      </c>
      <c r="I432" s="13">
        <f t="shared" si="32"/>
        <v>0</v>
      </c>
      <c r="J432" s="52">
        <f>일위대가목록표!G429</f>
        <v>0</v>
      </c>
      <c r="K432" s="13">
        <f t="shared" si="33"/>
        <v>0</v>
      </c>
      <c r="L432" s="54">
        <f>일위대가목록표!H429</f>
        <v>0</v>
      </c>
      <c r="M432" s="33">
        <f t="shared" si="34"/>
        <v>0</v>
      </c>
      <c r="N432" s="22" t="s">
        <v>4621</v>
      </c>
      <c r="O432" s="17" t="s">
        <v>4620</v>
      </c>
      <c r="P432" s="7" t="s">
        <v>4619</v>
      </c>
      <c r="Q432" s="7" t="s">
        <v>3344</v>
      </c>
      <c r="AC432" s="3" t="str">
        <f ca="1">HYPERLINK("#"&amp;일위대가목록표!J2&amp;"!A"&amp;ROW(일위대가목록표!A429),"대가426 →")</f>
        <v>대가426 →</v>
      </c>
    </row>
    <row r="433" spans="1:29" ht="30.6" customHeight="1" x14ac:dyDescent="0.3">
      <c r="A433" s="10"/>
      <c r="B433" s="10" t="s">
        <v>1081</v>
      </c>
      <c r="C433" s="41" t="s">
        <v>1050</v>
      </c>
      <c r="D433" s="43">
        <v>0</v>
      </c>
      <c r="E433" s="22" t="s">
        <v>1010</v>
      </c>
      <c r="F433" s="45">
        <f t="shared" si="30"/>
        <v>43354</v>
      </c>
      <c r="G433" s="48">
        <f t="shared" si="31"/>
        <v>0</v>
      </c>
      <c r="H433" s="50">
        <f>일위대가목록표!F430</f>
        <v>43354</v>
      </c>
      <c r="I433" s="13">
        <f t="shared" si="32"/>
        <v>0</v>
      </c>
      <c r="J433" s="52">
        <f>일위대가목록표!G430</f>
        <v>0</v>
      </c>
      <c r="K433" s="13">
        <f t="shared" si="33"/>
        <v>0</v>
      </c>
      <c r="L433" s="54">
        <f>일위대가목록표!H430</f>
        <v>0</v>
      </c>
      <c r="M433" s="33">
        <f t="shared" si="34"/>
        <v>0</v>
      </c>
      <c r="N433" s="22" t="s">
        <v>4624</v>
      </c>
      <c r="O433" s="17" t="s">
        <v>4623</v>
      </c>
      <c r="P433" s="7" t="s">
        <v>4622</v>
      </c>
      <c r="Q433" s="7" t="s">
        <v>3344</v>
      </c>
      <c r="AC433" s="3" t="str">
        <f ca="1">HYPERLINK("#"&amp;일위대가목록표!J2&amp;"!A"&amp;ROW(일위대가목록표!A430),"대가427 →")</f>
        <v>대가427 →</v>
      </c>
    </row>
    <row r="434" spans="1:29" ht="30.6" customHeight="1" x14ac:dyDescent="0.3">
      <c r="A434" s="10"/>
      <c r="B434" s="10" t="s">
        <v>1081</v>
      </c>
      <c r="C434" s="41" t="s">
        <v>1053</v>
      </c>
      <c r="D434" s="43">
        <v>0</v>
      </c>
      <c r="E434" s="22" t="s">
        <v>1010</v>
      </c>
      <c r="F434" s="45">
        <f t="shared" si="30"/>
        <v>74126</v>
      </c>
      <c r="G434" s="48">
        <f t="shared" si="31"/>
        <v>0</v>
      </c>
      <c r="H434" s="50">
        <f>일위대가목록표!F431</f>
        <v>71967</v>
      </c>
      <c r="I434" s="13">
        <f t="shared" si="32"/>
        <v>0</v>
      </c>
      <c r="J434" s="52">
        <f>일위대가목록표!G431</f>
        <v>0</v>
      </c>
      <c r="K434" s="13">
        <f t="shared" si="33"/>
        <v>0</v>
      </c>
      <c r="L434" s="54">
        <f>일위대가목록표!H431</f>
        <v>2159</v>
      </c>
      <c r="M434" s="33">
        <f t="shared" si="34"/>
        <v>0</v>
      </c>
      <c r="N434" s="22" t="s">
        <v>4627</v>
      </c>
      <c r="O434" s="17" t="s">
        <v>4626</v>
      </c>
      <c r="P434" s="7" t="s">
        <v>4625</v>
      </c>
      <c r="Q434" s="7" t="s">
        <v>3344</v>
      </c>
      <c r="AC434" s="3" t="str">
        <f ca="1">HYPERLINK("#"&amp;일위대가목록표!J2&amp;"!A"&amp;ROW(일위대가목록표!A431),"대가428 →")</f>
        <v>대가428 →</v>
      </c>
    </row>
    <row r="435" spans="1:29" ht="30.6" customHeight="1" x14ac:dyDescent="0.3">
      <c r="A435" s="10"/>
      <c r="B435" s="10" t="s">
        <v>1081</v>
      </c>
      <c r="C435" s="41" t="s">
        <v>1056</v>
      </c>
      <c r="D435" s="43">
        <v>0</v>
      </c>
      <c r="E435" s="22" t="s">
        <v>1010</v>
      </c>
      <c r="F435" s="45">
        <f t="shared" si="30"/>
        <v>104049</v>
      </c>
      <c r="G435" s="48">
        <f t="shared" si="31"/>
        <v>0</v>
      </c>
      <c r="H435" s="50">
        <f>일위대가목록표!F432</f>
        <v>104049</v>
      </c>
      <c r="I435" s="13">
        <f t="shared" si="32"/>
        <v>0</v>
      </c>
      <c r="J435" s="52">
        <f>일위대가목록표!G432</f>
        <v>0</v>
      </c>
      <c r="K435" s="13">
        <f t="shared" si="33"/>
        <v>0</v>
      </c>
      <c r="L435" s="54">
        <f>일위대가목록표!H432</f>
        <v>0</v>
      </c>
      <c r="M435" s="33">
        <f t="shared" si="34"/>
        <v>0</v>
      </c>
      <c r="N435" s="22" t="s">
        <v>4630</v>
      </c>
      <c r="O435" s="17" t="s">
        <v>4629</v>
      </c>
      <c r="P435" s="7" t="s">
        <v>4628</v>
      </c>
      <c r="Q435" s="7" t="s">
        <v>3344</v>
      </c>
      <c r="AC435" s="3" t="str">
        <f ca="1">HYPERLINK("#"&amp;일위대가목록표!J2&amp;"!A"&amp;ROW(일위대가목록표!A432),"대가429 →")</f>
        <v>대가429 →</v>
      </c>
    </row>
    <row r="436" spans="1:29" ht="30.6" customHeight="1" x14ac:dyDescent="0.3">
      <c r="A436" s="10"/>
      <c r="B436" s="10" t="s">
        <v>1081</v>
      </c>
      <c r="C436" s="41" t="s">
        <v>1059</v>
      </c>
      <c r="D436" s="43">
        <v>0</v>
      </c>
      <c r="E436" s="22" t="s">
        <v>1010</v>
      </c>
      <c r="F436" s="45">
        <f t="shared" si="30"/>
        <v>135585</v>
      </c>
      <c r="G436" s="48">
        <f t="shared" si="31"/>
        <v>0</v>
      </c>
      <c r="H436" s="50">
        <f>일위대가목록표!F433</f>
        <v>135585</v>
      </c>
      <c r="I436" s="13">
        <f t="shared" si="32"/>
        <v>0</v>
      </c>
      <c r="J436" s="52">
        <f>일위대가목록표!G433</f>
        <v>0</v>
      </c>
      <c r="K436" s="13">
        <f t="shared" si="33"/>
        <v>0</v>
      </c>
      <c r="L436" s="54">
        <f>일위대가목록표!H433</f>
        <v>0</v>
      </c>
      <c r="M436" s="33">
        <f t="shared" si="34"/>
        <v>0</v>
      </c>
      <c r="N436" s="22" t="s">
        <v>4633</v>
      </c>
      <c r="O436" s="17" t="s">
        <v>4632</v>
      </c>
      <c r="P436" s="7" t="s">
        <v>4631</v>
      </c>
      <c r="Q436" s="7" t="s">
        <v>3344</v>
      </c>
      <c r="AC436" s="3" t="str">
        <f ca="1">HYPERLINK("#"&amp;일위대가목록표!J2&amp;"!A"&amp;ROW(일위대가목록표!A433),"대가430 →")</f>
        <v>대가430 →</v>
      </c>
    </row>
    <row r="437" spans="1:29" ht="30.6" customHeight="1" x14ac:dyDescent="0.3">
      <c r="A437" s="10"/>
      <c r="B437" s="10" t="s">
        <v>1081</v>
      </c>
      <c r="C437" s="41" t="s">
        <v>1062</v>
      </c>
      <c r="D437" s="43">
        <v>0</v>
      </c>
      <c r="E437" s="22" t="s">
        <v>1010</v>
      </c>
      <c r="F437" s="45">
        <f t="shared" si="30"/>
        <v>176338</v>
      </c>
      <c r="G437" s="48">
        <f t="shared" si="31"/>
        <v>0</v>
      </c>
      <c r="H437" s="50">
        <f>일위대가목록표!F434</f>
        <v>176338</v>
      </c>
      <c r="I437" s="13">
        <f t="shared" si="32"/>
        <v>0</v>
      </c>
      <c r="J437" s="52">
        <f>일위대가목록표!G434</f>
        <v>0</v>
      </c>
      <c r="K437" s="13">
        <f t="shared" si="33"/>
        <v>0</v>
      </c>
      <c r="L437" s="54">
        <f>일위대가목록표!H434</f>
        <v>0</v>
      </c>
      <c r="M437" s="33">
        <f t="shared" si="34"/>
        <v>0</v>
      </c>
      <c r="N437" s="22" t="s">
        <v>4636</v>
      </c>
      <c r="O437" s="17" t="s">
        <v>4635</v>
      </c>
      <c r="P437" s="7" t="s">
        <v>4634</v>
      </c>
      <c r="Q437" s="7" t="s">
        <v>3344</v>
      </c>
      <c r="AC437" s="3" t="str">
        <f ca="1">HYPERLINK("#"&amp;일위대가목록표!J2&amp;"!A"&amp;ROW(일위대가목록표!A434),"대가431 →")</f>
        <v>대가431 →</v>
      </c>
    </row>
    <row r="438" spans="1:29" ht="30.6" customHeight="1" x14ac:dyDescent="0.3">
      <c r="A438" s="10"/>
      <c r="B438" s="10" t="s">
        <v>1081</v>
      </c>
      <c r="C438" s="41" t="s">
        <v>1065</v>
      </c>
      <c r="D438" s="43">
        <v>0</v>
      </c>
      <c r="E438" s="22" t="s">
        <v>1010</v>
      </c>
      <c r="F438" s="45">
        <f t="shared" si="30"/>
        <v>176338</v>
      </c>
      <c r="G438" s="48">
        <f t="shared" si="31"/>
        <v>0</v>
      </c>
      <c r="H438" s="50">
        <f>일위대가목록표!F435</f>
        <v>176338</v>
      </c>
      <c r="I438" s="13">
        <f t="shared" si="32"/>
        <v>0</v>
      </c>
      <c r="J438" s="52">
        <f>일위대가목록표!G435</f>
        <v>0</v>
      </c>
      <c r="K438" s="13">
        <f t="shared" si="33"/>
        <v>0</v>
      </c>
      <c r="L438" s="54">
        <f>일위대가목록표!H435</f>
        <v>0</v>
      </c>
      <c r="M438" s="33">
        <f t="shared" si="34"/>
        <v>0</v>
      </c>
      <c r="N438" s="22" t="s">
        <v>4639</v>
      </c>
      <c r="O438" s="17" t="s">
        <v>4638</v>
      </c>
      <c r="P438" s="7" t="s">
        <v>4637</v>
      </c>
      <c r="Q438" s="7" t="s">
        <v>3344</v>
      </c>
      <c r="AC438" s="3" t="str">
        <f ca="1">HYPERLINK("#"&amp;일위대가목록표!J2&amp;"!A"&amp;ROW(일위대가목록표!A435),"대가432 →")</f>
        <v>대가432 →</v>
      </c>
    </row>
    <row r="439" spans="1:29" ht="30.6" customHeight="1" x14ac:dyDescent="0.3">
      <c r="A439" s="10"/>
      <c r="B439" s="10" t="s">
        <v>1094</v>
      </c>
      <c r="C439" s="41" t="s">
        <v>1050</v>
      </c>
      <c r="D439" s="43">
        <v>0</v>
      </c>
      <c r="E439" s="22" t="s">
        <v>1010</v>
      </c>
      <c r="F439" s="45">
        <f t="shared" si="30"/>
        <v>17341</v>
      </c>
      <c r="G439" s="48">
        <f t="shared" si="31"/>
        <v>0</v>
      </c>
      <c r="H439" s="50">
        <f>일위대가목록표!F436</f>
        <v>17341</v>
      </c>
      <c r="I439" s="13">
        <f t="shared" si="32"/>
        <v>0</v>
      </c>
      <c r="J439" s="52">
        <f>일위대가목록표!G436</f>
        <v>0</v>
      </c>
      <c r="K439" s="13">
        <f t="shared" si="33"/>
        <v>0</v>
      </c>
      <c r="L439" s="54">
        <f>일위대가목록표!H436</f>
        <v>0</v>
      </c>
      <c r="M439" s="33">
        <f t="shared" si="34"/>
        <v>0</v>
      </c>
      <c r="N439" s="22" t="s">
        <v>4642</v>
      </c>
      <c r="O439" s="17" t="s">
        <v>4641</v>
      </c>
      <c r="P439" s="7" t="s">
        <v>4640</v>
      </c>
      <c r="Q439" s="7" t="s">
        <v>3344</v>
      </c>
      <c r="AC439" s="3" t="str">
        <f ca="1">HYPERLINK("#"&amp;일위대가목록표!J2&amp;"!A"&amp;ROW(일위대가목록표!A436),"대가433 →")</f>
        <v>대가433 →</v>
      </c>
    </row>
    <row r="440" spans="1:29" ht="30.6" customHeight="1" x14ac:dyDescent="0.3">
      <c r="A440" s="10"/>
      <c r="B440" s="10" t="s">
        <v>1094</v>
      </c>
      <c r="C440" s="41" t="s">
        <v>1053</v>
      </c>
      <c r="D440" s="43">
        <v>0</v>
      </c>
      <c r="E440" s="22" t="s">
        <v>1010</v>
      </c>
      <c r="F440" s="45">
        <f t="shared" si="30"/>
        <v>29649</v>
      </c>
      <c r="G440" s="48">
        <f t="shared" si="31"/>
        <v>0</v>
      </c>
      <c r="H440" s="50">
        <f>일위대가목록표!F437</f>
        <v>28786</v>
      </c>
      <c r="I440" s="13">
        <f t="shared" si="32"/>
        <v>0</v>
      </c>
      <c r="J440" s="52">
        <f>일위대가목록표!G437</f>
        <v>0</v>
      </c>
      <c r="K440" s="13">
        <f t="shared" si="33"/>
        <v>0</v>
      </c>
      <c r="L440" s="54">
        <f>일위대가목록표!H437</f>
        <v>863</v>
      </c>
      <c r="M440" s="33">
        <f t="shared" si="34"/>
        <v>0</v>
      </c>
      <c r="N440" s="22" t="s">
        <v>4645</v>
      </c>
      <c r="O440" s="17" t="s">
        <v>4644</v>
      </c>
      <c r="P440" s="7" t="s">
        <v>4643</v>
      </c>
      <c r="Q440" s="7" t="s">
        <v>3344</v>
      </c>
      <c r="AC440" s="3" t="str">
        <f ca="1">HYPERLINK("#"&amp;일위대가목록표!J2&amp;"!A"&amp;ROW(일위대가목록표!A437),"대가434 →")</f>
        <v>대가434 →</v>
      </c>
    </row>
    <row r="441" spans="1:29" ht="30.6" customHeight="1" x14ac:dyDescent="0.3">
      <c r="A441" s="10"/>
      <c r="B441" s="10" t="s">
        <v>1094</v>
      </c>
      <c r="C441" s="41" t="s">
        <v>1056</v>
      </c>
      <c r="D441" s="43">
        <v>0</v>
      </c>
      <c r="E441" s="22" t="s">
        <v>1010</v>
      </c>
      <c r="F441" s="45">
        <f t="shared" si="30"/>
        <v>41619</v>
      </c>
      <c r="G441" s="48">
        <f t="shared" si="31"/>
        <v>0</v>
      </c>
      <c r="H441" s="50">
        <f>일위대가목록표!F438</f>
        <v>41619</v>
      </c>
      <c r="I441" s="13">
        <f t="shared" si="32"/>
        <v>0</v>
      </c>
      <c r="J441" s="52">
        <f>일위대가목록표!G438</f>
        <v>0</v>
      </c>
      <c r="K441" s="13">
        <f t="shared" si="33"/>
        <v>0</v>
      </c>
      <c r="L441" s="54">
        <f>일위대가목록표!H438</f>
        <v>0</v>
      </c>
      <c r="M441" s="33">
        <f t="shared" si="34"/>
        <v>0</v>
      </c>
      <c r="N441" s="22" t="s">
        <v>4648</v>
      </c>
      <c r="O441" s="17" t="s">
        <v>4647</v>
      </c>
      <c r="P441" s="7" t="s">
        <v>4646</v>
      </c>
      <c r="Q441" s="7" t="s">
        <v>3344</v>
      </c>
      <c r="AC441" s="3" t="str">
        <f ca="1">HYPERLINK("#"&amp;일위대가목록표!J2&amp;"!A"&amp;ROW(일위대가목록표!A438),"대가435 →")</f>
        <v>대가435 →</v>
      </c>
    </row>
    <row r="442" spans="1:29" ht="30.6" customHeight="1" x14ac:dyDescent="0.3">
      <c r="A442" s="10"/>
      <c r="B442" s="10" t="s">
        <v>1094</v>
      </c>
      <c r="C442" s="41" t="s">
        <v>1059</v>
      </c>
      <c r="D442" s="43">
        <v>0</v>
      </c>
      <c r="E442" s="22" t="s">
        <v>1010</v>
      </c>
      <c r="F442" s="45">
        <f t="shared" si="30"/>
        <v>54234</v>
      </c>
      <c r="G442" s="48">
        <f t="shared" si="31"/>
        <v>0</v>
      </c>
      <c r="H442" s="50">
        <f>일위대가목록표!F439</f>
        <v>54234</v>
      </c>
      <c r="I442" s="13">
        <f t="shared" si="32"/>
        <v>0</v>
      </c>
      <c r="J442" s="52">
        <f>일위대가목록표!G439</f>
        <v>0</v>
      </c>
      <c r="K442" s="13">
        <f t="shared" si="33"/>
        <v>0</v>
      </c>
      <c r="L442" s="54">
        <f>일위대가목록표!H439</f>
        <v>0</v>
      </c>
      <c r="M442" s="33">
        <f t="shared" si="34"/>
        <v>0</v>
      </c>
      <c r="N442" s="22" t="s">
        <v>4651</v>
      </c>
      <c r="O442" s="17" t="s">
        <v>4650</v>
      </c>
      <c r="P442" s="7" t="s">
        <v>4649</v>
      </c>
      <c r="Q442" s="7" t="s">
        <v>3344</v>
      </c>
      <c r="AC442" s="3" t="str">
        <f ca="1">HYPERLINK("#"&amp;일위대가목록표!J2&amp;"!A"&amp;ROW(일위대가목록표!A439),"대가436 →")</f>
        <v>대가436 →</v>
      </c>
    </row>
    <row r="443" spans="1:29" ht="30.6" customHeight="1" x14ac:dyDescent="0.3">
      <c r="A443" s="10"/>
      <c r="B443" s="10" t="s">
        <v>1094</v>
      </c>
      <c r="C443" s="41" t="s">
        <v>1062</v>
      </c>
      <c r="D443" s="43">
        <v>0</v>
      </c>
      <c r="E443" s="22" t="s">
        <v>1010</v>
      </c>
      <c r="F443" s="45">
        <f t="shared" si="30"/>
        <v>70535</v>
      </c>
      <c r="G443" s="48">
        <f t="shared" si="31"/>
        <v>0</v>
      </c>
      <c r="H443" s="50">
        <f>일위대가목록표!F440</f>
        <v>70535</v>
      </c>
      <c r="I443" s="13">
        <f t="shared" si="32"/>
        <v>0</v>
      </c>
      <c r="J443" s="52">
        <f>일위대가목록표!G440</f>
        <v>0</v>
      </c>
      <c r="K443" s="13">
        <f t="shared" si="33"/>
        <v>0</v>
      </c>
      <c r="L443" s="54">
        <f>일위대가목록표!H440</f>
        <v>0</v>
      </c>
      <c r="M443" s="33">
        <f t="shared" si="34"/>
        <v>0</v>
      </c>
      <c r="N443" s="22" t="s">
        <v>4654</v>
      </c>
      <c r="O443" s="17" t="s">
        <v>4653</v>
      </c>
      <c r="P443" s="7" t="s">
        <v>4652</v>
      </c>
      <c r="Q443" s="7" t="s">
        <v>3344</v>
      </c>
      <c r="AC443" s="3" t="str">
        <f ca="1">HYPERLINK("#"&amp;일위대가목록표!J2&amp;"!A"&amp;ROW(일위대가목록표!A440),"대가437 →")</f>
        <v>대가437 →</v>
      </c>
    </row>
    <row r="444" spans="1:29" ht="30.6" customHeight="1" x14ac:dyDescent="0.3">
      <c r="A444" s="10"/>
      <c r="B444" s="10" t="s">
        <v>1094</v>
      </c>
      <c r="C444" s="41" t="s">
        <v>1065</v>
      </c>
      <c r="D444" s="43">
        <v>0</v>
      </c>
      <c r="E444" s="22" t="s">
        <v>1010</v>
      </c>
      <c r="F444" s="45">
        <f t="shared" si="30"/>
        <v>70535</v>
      </c>
      <c r="G444" s="48">
        <f t="shared" si="31"/>
        <v>0</v>
      </c>
      <c r="H444" s="50">
        <f>일위대가목록표!F441</f>
        <v>70535</v>
      </c>
      <c r="I444" s="13">
        <f t="shared" si="32"/>
        <v>0</v>
      </c>
      <c r="J444" s="52">
        <f>일위대가목록표!G441</f>
        <v>0</v>
      </c>
      <c r="K444" s="13">
        <f t="shared" si="33"/>
        <v>0</v>
      </c>
      <c r="L444" s="54">
        <f>일위대가목록표!H441</f>
        <v>0</v>
      </c>
      <c r="M444" s="33">
        <f t="shared" si="34"/>
        <v>0</v>
      </c>
      <c r="N444" s="22" t="s">
        <v>4657</v>
      </c>
      <c r="O444" s="17" t="s">
        <v>4656</v>
      </c>
      <c r="P444" s="7" t="s">
        <v>4655</v>
      </c>
      <c r="Q444" s="7" t="s">
        <v>3344</v>
      </c>
      <c r="AC444" s="3" t="str">
        <f ca="1">HYPERLINK("#"&amp;일위대가목록표!J2&amp;"!A"&amp;ROW(일위대가목록표!A441),"대가438 →")</f>
        <v>대가438 →</v>
      </c>
    </row>
    <row r="445" spans="1:29" ht="30.6" customHeight="1" x14ac:dyDescent="0.3">
      <c r="A445" s="10"/>
      <c r="B445" s="10" t="s">
        <v>1107</v>
      </c>
      <c r="C445" s="41" t="s">
        <v>1108</v>
      </c>
      <c r="D445" s="43">
        <v>1</v>
      </c>
      <c r="E445" s="22" t="s">
        <v>1010</v>
      </c>
      <c r="F445" s="45">
        <f t="shared" si="30"/>
        <v>333695</v>
      </c>
      <c r="G445" s="48">
        <f t="shared" si="31"/>
        <v>333695</v>
      </c>
      <c r="H445" s="50">
        <f>일위대가목록표!F442</f>
        <v>60695</v>
      </c>
      <c r="I445" s="13">
        <f t="shared" si="32"/>
        <v>60695</v>
      </c>
      <c r="J445" s="52">
        <f>일위대가목록표!G442</f>
        <v>273000</v>
      </c>
      <c r="K445" s="13">
        <f t="shared" si="33"/>
        <v>273000</v>
      </c>
      <c r="L445" s="54">
        <f>일위대가목록표!H442</f>
        <v>0</v>
      </c>
      <c r="M445" s="33">
        <f t="shared" si="34"/>
        <v>0</v>
      </c>
      <c r="N445" s="22" t="s">
        <v>4660</v>
      </c>
      <c r="O445" s="17" t="s">
        <v>4659</v>
      </c>
      <c r="P445" s="7" t="s">
        <v>4658</v>
      </c>
      <c r="Q445" s="7" t="s">
        <v>3344</v>
      </c>
      <c r="AC445" s="3" t="str">
        <f ca="1">HYPERLINK("#"&amp;일위대가목록표!J2&amp;"!A"&amp;ROW(일위대가목록표!A442),"대가439 →")</f>
        <v>대가439 →</v>
      </c>
    </row>
    <row r="446" spans="1:29" ht="30.6" customHeight="1" x14ac:dyDescent="0.3">
      <c r="A446" s="10"/>
      <c r="B446" s="10" t="s">
        <v>1107</v>
      </c>
      <c r="C446" s="41" t="s">
        <v>1111</v>
      </c>
      <c r="D446" s="43">
        <v>0</v>
      </c>
      <c r="E446" s="22" t="s">
        <v>1010</v>
      </c>
      <c r="F446" s="45">
        <f t="shared" si="30"/>
        <v>457775</v>
      </c>
      <c r="G446" s="48">
        <f t="shared" si="31"/>
        <v>0</v>
      </c>
      <c r="H446" s="50">
        <f>일위대가목록표!F443</f>
        <v>100753</v>
      </c>
      <c r="I446" s="13">
        <f t="shared" si="32"/>
        <v>0</v>
      </c>
      <c r="J446" s="52">
        <f>일위대가목록표!G443</f>
        <v>354000</v>
      </c>
      <c r="K446" s="13">
        <f t="shared" si="33"/>
        <v>0</v>
      </c>
      <c r="L446" s="54">
        <f>일위대가목록표!H443</f>
        <v>3022</v>
      </c>
      <c r="M446" s="33">
        <f t="shared" si="34"/>
        <v>0</v>
      </c>
      <c r="N446" s="22" t="s">
        <v>4663</v>
      </c>
      <c r="O446" s="17" t="s">
        <v>4662</v>
      </c>
      <c r="P446" s="7" t="s">
        <v>4661</v>
      </c>
      <c r="Q446" s="7" t="s">
        <v>3344</v>
      </c>
      <c r="AC446" s="3" t="str">
        <f ca="1">HYPERLINK("#"&amp;일위대가목록표!J2&amp;"!A"&amp;ROW(일위대가목록표!A443),"대가440 →")</f>
        <v>대가440 →</v>
      </c>
    </row>
    <row r="447" spans="1:29" ht="30.6" customHeight="1" x14ac:dyDescent="0.3">
      <c r="A447" s="10"/>
      <c r="B447" s="10" t="s">
        <v>1107</v>
      </c>
      <c r="C447" s="41" t="s">
        <v>1114</v>
      </c>
      <c r="D447" s="43">
        <v>0</v>
      </c>
      <c r="E447" s="22" t="s">
        <v>1010</v>
      </c>
      <c r="F447" s="45">
        <f t="shared" si="30"/>
        <v>663668</v>
      </c>
      <c r="G447" s="48">
        <f t="shared" si="31"/>
        <v>0</v>
      </c>
      <c r="H447" s="50">
        <f>일위대가목록표!F444</f>
        <v>145668</v>
      </c>
      <c r="I447" s="13">
        <f t="shared" si="32"/>
        <v>0</v>
      </c>
      <c r="J447" s="52">
        <f>일위대가목록표!G444</f>
        <v>518000</v>
      </c>
      <c r="K447" s="13">
        <f t="shared" si="33"/>
        <v>0</v>
      </c>
      <c r="L447" s="54">
        <f>일위대가목록표!H444</f>
        <v>0</v>
      </c>
      <c r="M447" s="33">
        <f t="shared" si="34"/>
        <v>0</v>
      </c>
      <c r="N447" s="22" t="s">
        <v>4666</v>
      </c>
      <c r="O447" s="17" t="s">
        <v>4665</v>
      </c>
      <c r="P447" s="7" t="s">
        <v>4664</v>
      </c>
      <c r="Q447" s="7" t="s">
        <v>3344</v>
      </c>
      <c r="AC447" s="3" t="str">
        <f ca="1">HYPERLINK("#"&amp;일위대가목록표!J2&amp;"!A"&amp;ROW(일위대가목록표!A444),"대가441 →")</f>
        <v>대가441 →</v>
      </c>
    </row>
    <row r="448" spans="1:29" ht="30.6" customHeight="1" x14ac:dyDescent="0.3">
      <c r="A448" s="10"/>
      <c r="B448" s="10" t="s">
        <v>1107</v>
      </c>
      <c r="C448" s="41" t="s">
        <v>1117</v>
      </c>
      <c r="D448" s="43">
        <v>0</v>
      </c>
      <c r="E448" s="22" t="s">
        <v>1010</v>
      </c>
      <c r="F448" s="45">
        <f t="shared" si="30"/>
        <v>1155819</v>
      </c>
      <c r="G448" s="48">
        <f t="shared" si="31"/>
        <v>0</v>
      </c>
      <c r="H448" s="50">
        <f>일위대가목록표!F445</f>
        <v>189819</v>
      </c>
      <c r="I448" s="13">
        <f t="shared" si="32"/>
        <v>0</v>
      </c>
      <c r="J448" s="52">
        <f>일위대가목록표!G445</f>
        <v>966000</v>
      </c>
      <c r="K448" s="13">
        <f t="shared" si="33"/>
        <v>0</v>
      </c>
      <c r="L448" s="54">
        <f>일위대가목록표!H445</f>
        <v>0</v>
      </c>
      <c r="M448" s="33">
        <f t="shared" si="34"/>
        <v>0</v>
      </c>
      <c r="N448" s="22" t="s">
        <v>4669</v>
      </c>
      <c r="O448" s="17" t="s">
        <v>4668</v>
      </c>
      <c r="P448" s="7" t="s">
        <v>4667</v>
      </c>
      <c r="Q448" s="7" t="s">
        <v>3344</v>
      </c>
      <c r="AC448" s="3" t="str">
        <f ca="1">HYPERLINK("#"&amp;일위대가목록표!J2&amp;"!A"&amp;ROW(일위대가목록표!A445),"대가442 →")</f>
        <v>대가442 →</v>
      </c>
    </row>
    <row r="449" spans="1:29" ht="30.6" customHeight="1" x14ac:dyDescent="0.3">
      <c r="A449" s="10"/>
      <c r="B449" s="10" t="s">
        <v>1107</v>
      </c>
      <c r="C449" s="41" t="s">
        <v>1120</v>
      </c>
      <c r="D449" s="43">
        <v>0</v>
      </c>
      <c r="E449" s="22" t="s">
        <v>1010</v>
      </c>
      <c r="F449" s="45">
        <f t="shared" si="30"/>
        <v>1768873</v>
      </c>
      <c r="G449" s="48">
        <f t="shared" si="31"/>
        <v>0</v>
      </c>
      <c r="H449" s="50">
        <f>일위대가목록표!F446</f>
        <v>246873</v>
      </c>
      <c r="I449" s="13">
        <f t="shared" si="32"/>
        <v>0</v>
      </c>
      <c r="J449" s="52">
        <f>일위대가목록표!G446</f>
        <v>1522000</v>
      </c>
      <c r="K449" s="13">
        <f t="shared" si="33"/>
        <v>0</v>
      </c>
      <c r="L449" s="54">
        <f>일위대가목록표!H446</f>
        <v>0</v>
      </c>
      <c r="M449" s="33">
        <f t="shared" si="34"/>
        <v>0</v>
      </c>
      <c r="N449" s="22" t="s">
        <v>4672</v>
      </c>
      <c r="O449" s="17" t="s">
        <v>4671</v>
      </c>
      <c r="P449" s="7" t="s">
        <v>4670</v>
      </c>
      <c r="Q449" s="7" t="s">
        <v>3344</v>
      </c>
      <c r="AC449" s="3" t="str">
        <f ca="1">HYPERLINK("#"&amp;일위대가목록표!J2&amp;"!A"&amp;ROW(일위대가목록표!A446),"대가443 →")</f>
        <v>대가443 →</v>
      </c>
    </row>
    <row r="450" spans="1:29" ht="30.6" customHeight="1" x14ac:dyDescent="0.3">
      <c r="A450" s="10"/>
      <c r="B450" s="10" t="s">
        <v>1123</v>
      </c>
      <c r="C450" s="41" t="s">
        <v>1108</v>
      </c>
      <c r="D450" s="43">
        <v>0</v>
      </c>
      <c r="E450" s="22" t="s">
        <v>1010</v>
      </c>
      <c r="F450" s="45">
        <f t="shared" si="30"/>
        <v>60695</v>
      </c>
      <c r="G450" s="48">
        <f t="shared" si="31"/>
        <v>0</v>
      </c>
      <c r="H450" s="50">
        <f>일위대가목록표!F447</f>
        <v>60695</v>
      </c>
      <c r="I450" s="13">
        <f t="shared" si="32"/>
        <v>0</v>
      </c>
      <c r="J450" s="52">
        <f>일위대가목록표!G447</f>
        <v>0</v>
      </c>
      <c r="K450" s="13">
        <f t="shared" si="33"/>
        <v>0</v>
      </c>
      <c r="L450" s="54">
        <f>일위대가목록표!H447</f>
        <v>0</v>
      </c>
      <c r="M450" s="33">
        <f t="shared" si="34"/>
        <v>0</v>
      </c>
      <c r="N450" s="22" t="s">
        <v>4675</v>
      </c>
      <c r="O450" s="17" t="s">
        <v>4674</v>
      </c>
      <c r="P450" s="7" t="s">
        <v>4673</v>
      </c>
      <c r="Q450" s="7" t="s">
        <v>3344</v>
      </c>
      <c r="AC450" s="3" t="str">
        <f ca="1">HYPERLINK("#"&amp;일위대가목록표!J2&amp;"!A"&amp;ROW(일위대가목록표!A447),"대가444 →")</f>
        <v>대가444 →</v>
      </c>
    </row>
    <row r="451" spans="1:29" ht="30.6" customHeight="1" x14ac:dyDescent="0.3">
      <c r="A451" s="10"/>
      <c r="B451" s="10" t="s">
        <v>1123</v>
      </c>
      <c r="C451" s="41" t="s">
        <v>1111</v>
      </c>
      <c r="D451" s="43">
        <v>0</v>
      </c>
      <c r="E451" s="22" t="s">
        <v>1010</v>
      </c>
      <c r="F451" s="45">
        <f t="shared" si="30"/>
        <v>103775</v>
      </c>
      <c r="G451" s="48">
        <f t="shared" si="31"/>
        <v>0</v>
      </c>
      <c r="H451" s="50">
        <f>일위대가목록표!F448</f>
        <v>100753</v>
      </c>
      <c r="I451" s="13">
        <f t="shared" si="32"/>
        <v>0</v>
      </c>
      <c r="J451" s="52">
        <f>일위대가목록표!G448</f>
        <v>0</v>
      </c>
      <c r="K451" s="13">
        <f t="shared" si="33"/>
        <v>0</v>
      </c>
      <c r="L451" s="54">
        <f>일위대가목록표!H448</f>
        <v>3022</v>
      </c>
      <c r="M451" s="33">
        <f t="shared" si="34"/>
        <v>0</v>
      </c>
      <c r="N451" s="22" t="s">
        <v>4678</v>
      </c>
      <c r="O451" s="17" t="s">
        <v>4677</v>
      </c>
      <c r="P451" s="7" t="s">
        <v>4676</v>
      </c>
      <c r="Q451" s="7" t="s">
        <v>3344</v>
      </c>
      <c r="AC451" s="3" t="str">
        <f ca="1">HYPERLINK("#"&amp;일위대가목록표!J2&amp;"!A"&amp;ROW(일위대가목록표!A448),"대가445 →")</f>
        <v>대가445 →</v>
      </c>
    </row>
    <row r="452" spans="1:29" ht="30.6" customHeight="1" x14ac:dyDescent="0.3">
      <c r="A452" s="10"/>
      <c r="B452" s="10" t="s">
        <v>1123</v>
      </c>
      <c r="C452" s="41" t="s">
        <v>1114</v>
      </c>
      <c r="D452" s="43">
        <v>0</v>
      </c>
      <c r="E452" s="22" t="s">
        <v>1010</v>
      </c>
      <c r="F452" s="45">
        <f t="shared" si="30"/>
        <v>145668</v>
      </c>
      <c r="G452" s="48">
        <f t="shared" si="31"/>
        <v>0</v>
      </c>
      <c r="H452" s="50">
        <f>일위대가목록표!F449</f>
        <v>145668</v>
      </c>
      <c r="I452" s="13">
        <f t="shared" si="32"/>
        <v>0</v>
      </c>
      <c r="J452" s="52">
        <f>일위대가목록표!G449</f>
        <v>0</v>
      </c>
      <c r="K452" s="13">
        <f t="shared" si="33"/>
        <v>0</v>
      </c>
      <c r="L452" s="54">
        <f>일위대가목록표!H449</f>
        <v>0</v>
      </c>
      <c r="M452" s="33">
        <f t="shared" si="34"/>
        <v>0</v>
      </c>
      <c r="N452" s="22" t="s">
        <v>4681</v>
      </c>
      <c r="O452" s="17" t="s">
        <v>4680</v>
      </c>
      <c r="P452" s="7" t="s">
        <v>4679</v>
      </c>
      <c r="Q452" s="7" t="s">
        <v>3344</v>
      </c>
      <c r="AC452" s="3" t="str">
        <f ca="1">HYPERLINK("#"&amp;일위대가목록표!J2&amp;"!A"&amp;ROW(일위대가목록표!A449),"대가446 →")</f>
        <v>대가446 →</v>
      </c>
    </row>
    <row r="453" spans="1:29" ht="30.6" customHeight="1" x14ac:dyDescent="0.3">
      <c r="A453" s="10"/>
      <c r="B453" s="10" t="s">
        <v>1123</v>
      </c>
      <c r="C453" s="41" t="s">
        <v>1117</v>
      </c>
      <c r="D453" s="43">
        <v>0</v>
      </c>
      <c r="E453" s="22" t="s">
        <v>1010</v>
      </c>
      <c r="F453" s="45">
        <f t="shared" si="30"/>
        <v>189819</v>
      </c>
      <c r="G453" s="48">
        <f t="shared" si="31"/>
        <v>0</v>
      </c>
      <c r="H453" s="50">
        <f>일위대가목록표!F450</f>
        <v>189819</v>
      </c>
      <c r="I453" s="13">
        <f t="shared" si="32"/>
        <v>0</v>
      </c>
      <c r="J453" s="52">
        <f>일위대가목록표!G450</f>
        <v>0</v>
      </c>
      <c r="K453" s="13">
        <f t="shared" si="33"/>
        <v>0</v>
      </c>
      <c r="L453" s="54">
        <f>일위대가목록표!H450</f>
        <v>0</v>
      </c>
      <c r="M453" s="33">
        <f t="shared" si="34"/>
        <v>0</v>
      </c>
      <c r="N453" s="22" t="s">
        <v>4684</v>
      </c>
      <c r="O453" s="17" t="s">
        <v>4683</v>
      </c>
      <c r="P453" s="7" t="s">
        <v>4682</v>
      </c>
      <c r="Q453" s="7" t="s">
        <v>3344</v>
      </c>
      <c r="AC453" s="3" t="str">
        <f ca="1">HYPERLINK("#"&amp;일위대가목록표!J2&amp;"!A"&amp;ROW(일위대가목록표!A450),"대가447 →")</f>
        <v>대가447 →</v>
      </c>
    </row>
    <row r="454" spans="1:29" ht="30.6" customHeight="1" x14ac:dyDescent="0.3">
      <c r="A454" s="10"/>
      <c r="B454" s="10" t="s">
        <v>1123</v>
      </c>
      <c r="C454" s="41" t="s">
        <v>1120</v>
      </c>
      <c r="D454" s="43">
        <v>0</v>
      </c>
      <c r="E454" s="22" t="s">
        <v>1010</v>
      </c>
      <c r="F454" s="45">
        <f t="shared" si="30"/>
        <v>246873</v>
      </c>
      <c r="G454" s="48">
        <f t="shared" si="31"/>
        <v>0</v>
      </c>
      <c r="H454" s="50">
        <f>일위대가목록표!F451</f>
        <v>246873</v>
      </c>
      <c r="I454" s="13">
        <f t="shared" si="32"/>
        <v>0</v>
      </c>
      <c r="J454" s="52">
        <f>일위대가목록표!G451</f>
        <v>0</v>
      </c>
      <c r="K454" s="13">
        <f t="shared" si="33"/>
        <v>0</v>
      </c>
      <c r="L454" s="54">
        <f>일위대가목록표!H451</f>
        <v>0</v>
      </c>
      <c r="M454" s="33">
        <f t="shared" si="34"/>
        <v>0</v>
      </c>
      <c r="N454" s="22" t="s">
        <v>4687</v>
      </c>
      <c r="O454" s="17" t="s">
        <v>4686</v>
      </c>
      <c r="P454" s="7" t="s">
        <v>4685</v>
      </c>
      <c r="Q454" s="7" t="s">
        <v>3344</v>
      </c>
      <c r="AC454" s="3" t="str">
        <f ca="1">HYPERLINK("#"&amp;일위대가목록표!J2&amp;"!A"&amp;ROW(일위대가목록표!A451),"대가448 →")</f>
        <v>대가448 →</v>
      </c>
    </row>
    <row r="455" spans="1:29" ht="30.6" customHeight="1" x14ac:dyDescent="0.3">
      <c r="A455" s="10"/>
      <c r="B455" s="10" t="s">
        <v>1134</v>
      </c>
      <c r="C455" s="41" t="s">
        <v>1108</v>
      </c>
      <c r="D455" s="43">
        <v>0</v>
      </c>
      <c r="E455" s="22" t="s">
        <v>1010</v>
      </c>
      <c r="F455" s="45">
        <f t="shared" ref="F455:F518" si="35">J455+H455+L455</f>
        <v>43354</v>
      </c>
      <c r="G455" s="48">
        <f t="shared" ref="G455:G518" si="36">K455+I455+M455</f>
        <v>0</v>
      </c>
      <c r="H455" s="50">
        <f>일위대가목록표!F452</f>
        <v>43354</v>
      </c>
      <c r="I455" s="13">
        <f t="shared" ref="I455:I518" si="37">ROUNDDOWN(H455*D455,0)</f>
        <v>0</v>
      </c>
      <c r="J455" s="52">
        <f>일위대가목록표!G452</f>
        <v>0</v>
      </c>
      <c r="K455" s="13">
        <f t="shared" ref="K455:K518" si="38">ROUNDDOWN(J455*D455,0)</f>
        <v>0</v>
      </c>
      <c r="L455" s="54">
        <f>일위대가목록표!H452</f>
        <v>0</v>
      </c>
      <c r="M455" s="33">
        <f t="shared" ref="M455:M518" si="39">ROUNDDOWN(L455*D455,0)</f>
        <v>0</v>
      </c>
      <c r="N455" s="22" t="s">
        <v>4690</v>
      </c>
      <c r="O455" s="17" t="s">
        <v>4689</v>
      </c>
      <c r="P455" s="7" t="s">
        <v>4688</v>
      </c>
      <c r="Q455" s="7" t="s">
        <v>3344</v>
      </c>
      <c r="AC455" s="3" t="str">
        <f ca="1">HYPERLINK("#"&amp;일위대가목록표!J2&amp;"!A"&amp;ROW(일위대가목록표!A452),"대가449 →")</f>
        <v>대가449 →</v>
      </c>
    </row>
    <row r="456" spans="1:29" ht="30.6" customHeight="1" x14ac:dyDescent="0.3">
      <c r="A456" s="10"/>
      <c r="B456" s="10" t="s">
        <v>1134</v>
      </c>
      <c r="C456" s="41" t="s">
        <v>1111</v>
      </c>
      <c r="D456" s="43">
        <v>0</v>
      </c>
      <c r="E456" s="22" t="s">
        <v>1010</v>
      </c>
      <c r="F456" s="45">
        <f t="shared" si="35"/>
        <v>74126</v>
      </c>
      <c r="G456" s="48">
        <f t="shared" si="36"/>
        <v>0</v>
      </c>
      <c r="H456" s="50">
        <f>일위대가목록표!F453</f>
        <v>71967</v>
      </c>
      <c r="I456" s="13">
        <f t="shared" si="37"/>
        <v>0</v>
      </c>
      <c r="J456" s="52">
        <f>일위대가목록표!G453</f>
        <v>0</v>
      </c>
      <c r="K456" s="13">
        <f t="shared" si="38"/>
        <v>0</v>
      </c>
      <c r="L456" s="54">
        <f>일위대가목록표!H453</f>
        <v>2159</v>
      </c>
      <c r="M456" s="33">
        <f t="shared" si="39"/>
        <v>0</v>
      </c>
      <c r="N456" s="22" t="s">
        <v>4693</v>
      </c>
      <c r="O456" s="17" t="s">
        <v>4692</v>
      </c>
      <c r="P456" s="7" t="s">
        <v>4691</v>
      </c>
      <c r="Q456" s="7" t="s">
        <v>3344</v>
      </c>
      <c r="AC456" s="3" t="str">
        <f ca="1">HYPERLINK("#"&amp;일위대가목록표!J2&amp;"!A"&amp;ROW(일위대가목록표!A453),"대가450 →")</f>
        <v>대가450 →</v>
      </c>
    </row>
    <row r="457" spans="1:29" ht="30.6" customHeight="1" x14ac:dyDescent="0.3">
      <c r="A457" s="10"/>
      <c r="B457" s="10" t="s">
        <v>1134</v>
      </c>
      <c r="C457" s="41" t="s">
        <v>1114</v>
      </c>
      <c r="D457" s="43">
        <v>0</v>
      </c>
      <c r="E457" s="22" t="s">
        <v>1010</v>
      </c>
      <c r="F457" s="45">
        <f t="shared" si="35"/>
        <v>104049</v>
      </c>
      <c r="G457" s="48">
        <f t="shared" si="36"/>
        <v>0</v>
      </c>
      <c r="H457" s="50">
        <f>일위대가목록표!F454</f>
        <v>104049</v>
      </c>
      <c r="I457" s="13">
        <f t="shared" si="37"/>
        <v>0</v>
      </c>
      <c r="J457" s="52">
        <f>일위대가목록표!G454</f>
        <v>0</v>
      </c>
      <c r="K457" s="13">
        <f t="shared" si="38"/>
        <v>0</v>
      </c>
      <c r="L457" s="54">
        <f>일위대가목록표!H454</f>
        <v>0</v>
      </c>
      <c r="M457" s="33">
        <f t="shared" si="39"/>
        <v>0</v>
      </c>
      <c r="N457" s="22" t="s">
        <v>4696</v>
      </c>
      <c r="O457" s="17" t="s">
        <v>4695</v>
      </c>
      <c r="P457" s="7" t="s">
        <v>4694</v>
      </c>
      <c r="Q457" s="7" t="s">
        <v>3344</v>
      </c>
      <c r="AC457" s="3" t="str">
        <f ca="1">HYPERLINK("#"&amp;일위대가목록표!J2&amp;"!A"&amp;ROW(일위대가목록표!A454),"대가451 →")</f>
        <v>대가451 →</v>
      </c>
    </row>
    <row r="458" spans="1:29" ht="30.6" customHeight="1" x14ac:dyDescent="0.3">
      <c r="A458" s="10"/>
      <c r="B458" s="10" t="s">
        <v>1134</v>
      </c>
      <c r="C458" s="41" t="s">
        <v>1117</v>
      </c>
      <c r="D458" s="43">
        <v>0</v>
      </c>
      <c r="E458" s="22" t="s">
        <v>1010</v>
      </c>
      <c r="F458" s="45">
        <f t="shared" si="35"/>
        <v>135585</v>
      </c>
      <c r="G458" s="48">
        <f t="shared" si="36"/>
        <v>0</v>
      </c>
      <c r="H458" s="50">
        <f>일위대가목록표!F455</f>
        <v>135585</v>
      </c>
      <c r="I458" s="13">
        <f t="shared" si="37"/>
        <v>0</v>
      </c>
      <c r="J458" s="52">
        <f>일위대가목록표!G455</f>
        <v>0</v>
      </c>
      <c r="K458" s="13">
        <f t="shared" si="38"/>
        <v>0</v>
      </c>
      <c r="L458" s="54">
        <f>일위대가목록표!H455</f>
        <v>0</v>
      </c>
      <c r="M458" s="33">
        <f t="shared" si="39"/>
        <v>0</v>
      </c>
      <c r="N458" s="22" t="s">
        <v>4699</v>
      </c>
      <c r="O458" s="17" t="s">
        <v>4698</v>
      </c>
      <c r="P458" s="7" t="s">
        <v>4697</v>
      </c>
      <c r="Q458" s="7" t="s">
        <v>3344</v>
      </c>
      <c r="AC458" s="3" t="str">
        <f ca="1">HYPERLINK("#"&amp;일위대가목록표!J2&amp;"!A"&amp;ROW(일위대가목록표!A455),"대가452 →")</f>
        <v>대가452 →</v>
      </c>
    </row>
    <row r="459" spans="1:29" ht="30.6" customHeight="1" x14ac:dyDescent="0.3">
      <c r="A459" s="10"/>
      <c r="B459" s="10" t="s">
        <v>1134</v>
      </c>
      <c r="C459" s="41" t="s">
        <v>1120</v>
      </c>
      <c r="D459" s="43">
        <v>0</v>
      </c>
      <c r="E459" s="22" t="s">
        <v>1010</v>
      </c>
      <c r="F459" s="45">
        <f t="shared" si="35"/>
        <v>176338</v>
      </c>
      <c r="G459" s="48">
        <f t="shared" si="36"/>
        <v>0</v>
      </c>
      <c r="H459" s="50">
        <f>일위대가목록표!F456</f>
        <v>176338</v>
      </c>
      <c r="I459" s="13">
        <f t="shared" si="37"/>
        <v>0</v>
      </c>
      <c r="J459" s="52">
        <f>일위대가목록표!G456</f>
        <v>0</v>
      </c>
      <c r="K459" s="13">
        <f t="shared" si="38"/>
        <v>0</v>
      </c>
      <c r="L459" s="54">
        <f>일위대가목록표!H456</f>
        <v>0</v>
      </c>
      <c r="M459" s="33">
        <f t="shared" si="39"/>
        <v>0</v>
      </c>
      <c r="N459" s="22" t="s">
        <v>4702</v>
      </c>
      <c r="O459" s="17" t="s">
        <v>4701</v>
      </c>
      <c r="P459" s="7" t="s">
        <v>4700</v>
      </c>
      <c r="Q459" s="7" t="s">
        <v>3344</v>
      </c>
      <c r="AC459" s="3" t="str">
        <f ca="1">HYPERLINK("#"&amp;일위대가목록표!J2&amp;"!A"&amp;ROW(일위대가목록표!A456),"대가453 →")</f>
        <v>대가453 →</v>
      </c>
    </row>
    <row r="460" spans="1:29" ht="30.6" customHeight="1" x14ac:dyDescent="0.3">
      <c r="A460" s="10"/>
      <c r="B460" s="10" t="s">
        <v>1145</v>
      </c>
      <c r="C460" s="41" t="s">
        <v>1108</v>
      </c>
      <c r="D460" s="43">
        <v>0</v>
      </c>
      <c r="E460" s="22" t="s">
        <v>1010</v>
      </c>
      <c r="F460" s="45">
        <f t="shared" si="35"/>
        <v>17341</v>
      </c>
      <c r="G460" s="48">
        <f t="shared" si="36"/>
        <v>0</v>
      </c>
      <c r="H460" s="50">
        <f>일위대가목록표!F457</f>
        <v>17341</v>
      </c>
      <c r="I460" s="13">
        <f t="shared" si="37"/>
        <v>0</v>
      </c>
      <c r="J460" s="52">
        <f>일위대가목록표!G457</f>
        <v>0</v>
      </c>
      <c r="K460" s="13">
        <f t="shared" si="38"/>
        <v>0</v>
      </c>
      <c r="L460" s="54">
        <f>일위대가목록표!H457</f>
        <v>0</v>
      </c>
      <c r="M460" s="33">
        <f t="shared" si="39"/>
        <v>0</v>
      </c>
      <c r="N460" s="22" t="s">
        <v>4705</v>
      </c>
      <c r="O460" s="17" t="s">
        <v>4704</v>
      </c>
      <c r="P460" s="7" t="s">
        <v>4703</v>
      </c>
      <c r="Q460" s="7" t="s">
        <v>3344</v>
      </c>
      <c r="AC460" s="3" t="str">
        <f ca="1">HYPERLINK("#"&amp;일위대가목록표!J2&amp;"!A"&amp;ROW(일위대가목록표!A457),"대가454 →")</f>
        <v>대가454 →</v>
      </c>
    </row>
    <row r="461" spans="1:29" ht="30.6" customHeight="1" x14ac:dyDescent="0.3">
      <c r="A461" s="10"/>
      <c r="B461" s="10" t="s">
        <v>1145</v>
      </c>
      <c r="C461" s="41" t="s">
        <v>1111</v>
      </c>
      <c r="D461" s="43">
        <v>0</v>
      </c>
      <c r="E461" s="22" t="s">
        <v>1010</v>
      </c>
      <c r="F461" s="45">
        <f t="shared" si="35"/>
        <v>29649</v>
      </c>
      <c r="G461" s="48">
        <f t="shared" si="36"/>
        <v>0</v>
      </c>
      <c r="H461" s="50">
        <f>일위대가목록표!F458</f>
        <v>28786</v>
      </c>
      <c r="I461" s="13">
        <f t="shared" si="37"/>
        <v>0</v>
      </c>
      <c r="J461" s="52">
        <f>일위대가목록표!G458</f>
        <v>0</v>
      </c>
      <c r="K461" s="13">
        <f t="shared" si="38"/>
        <v>0</v>
      </c>
      <c r="L461" s="54">
        <f>일위대가목록표!H458</f>
        <v>863</v>
      </c>
      <c r="M461" s="33">
        <f t="shared" si="39"/>
        <v>0</v>
      </c>
      <c r="N461" s="22" t="s">
        <v>4708</v>
      </c>
      <c r="O461" s="17" t="s">
        <v>4707</v>
      </c>
      <c r="P461" s="7" t="s">
        <v>4706</v>
      </c>
      <c r="Q461" s="7" t="s">
        <v>3344</v>
      </c>
      <c r="AC461" s="3" t="str">
        <f ca="1">HYPERLINK("#"&amp;일위대가목록표!J2&amp;"!A"&amp;ROW(일위대가목록표!A458),"대가455 →")</f>
        <v>대가455 →</v>
      </c>
    </row>
    <row r="462" spans="1:29" ht="30.6" customHeight="1" x14ac:dyDescent="0.3">
      <c r="A462" s="10"/>
      <c r="B462" s="10" t="s">
        <v>1145</v>
      </c>
      <c r="C462" s="41" t="s">
        <v>1114</v>
      </c>
      <c r="D462" s="43">
        <v>0</v>
      </c>
      <c r="E462" s="22" t="s">
        <v>1010</v>
      </c>
      <c r="F462" s="45">
        <f t="shared" si="35"/>
        <v>41619</v>
      </c>
      <c r="G462" s="48">
        <f t="shared" si="36"/>
        <v>0</v>
      </c>
      <c r="H462" s="50">
        <f>일위대가목록표!F459</f>
        <v>41619</v>
      </c>
      <c r="I462" s="13">
        <f t="shared" si="37"/>
        <v>0</v>
      </c>
      <c r="J462" s="52">
        <f>일위대가목록표!G459</f>
        <v>0</v>
      </c>
      <c r="K462" s="13">
        <f t="shared" si="38"/>
        <v>0</v>
      </c>
      <c r="L462" s="54">
        <f>일위대가목록표!H459</f>
        <v>0</v>
      </c>
      <c r="M462" s="33">
        <f t="shared" si="39"/>
        <v>0</v>
      </c>
      <c r="N462" s="22" t="s">
        <v>4711</v>
      </c>
      <c r="O462" s="17" t="s">
        <v>4710</v>
      </c>
      <c r="P462" s="7" t="s">
        <v>4709</v>
      </c>
      <c r="Q462" s="7" t="s">
        <v>3344</v>
      </c>
      <c r="AC462" s="3" t="str">
        <f ca="1">HYPERLINK("#"&amp;일위대가목록표!J2&amp;"!A"&amp;ROW(일위대가목록표!A459),"대가456 →")</f>
        <v>대가456 →</v>
      </c>
    </row>
    <row r="463" spans="1:29" ht="30.6" customHeight="1" x14ac:dyDescent="0.3">
      <c r="A463" s="10"/>
      <c r="B463" s="10" t="s">
        <v>1145</v>
      </c>
      <c r="C463" s="41" t="s">
        <v>1117</v>
      </c>
      <c r="D463" s="43">
        <v>0</v>
      </c>
      <c r="E463" s="22" t="s">
        <v>1010</v>
      </c>
      <c r="F463" s="45">
        <f t="shared" si="35"/>
        <v>54234</v>
      </c>
      <c r="G463" s="48">
        <f t="shared" si="36"/>
        <v>0</v>
      </c>
      <c r="H463" s="50">
        <f>일위대가목록표!F460</f>
        <v>54234</v>
      </c>
      <c r="I463" s="13">
        <f t="shared" si="37"/>
        <v>0</v>
      </c>
      <c r="J463" s="52">
        <f>일위대가목록표!G460</f>
        <v>0</v>
      </c>
      <c r="K463" s="13">
        <f t="shared" si="38"/>
        <v>0</v>
      </c>
      <c r="L463" s="54">
        <f>일위대가목록표!H460</f>
        <v>0</v>
      </c>
      <c r="M463" s="33">
        <f t="shared" si="39"/>
        <v>0</v>
      </c>
      <c r="N463" s="22" t="s">
        <v>4714</v>
      </c>
      <c r="O463" s="17" t="s">
        <v>4713</v>
      </c>
      <c r="P463" s="7" t="s">
        <v>4712</v>
      </c>
      <c r="Q463" s="7" t="s">
        <v>3344</v>
      </c>
      <c r="AC463" s="3" t="str">
        <f ca="1">HYPERLINK("#"&amp;일위대가목록표!J2&amp;"!A"&amp;ROW(일위대가목록표!A460),"대가457 →")</f>
        <v>대가457 →</v>
      </c>
    </row>
    <row r="464" spans="1:29" ht="30.6" customHeight="1" x14ac:dyDescent="0.3">
      <c r="A464" s="10"/>
      <c r="B464" s="10" t="s">
        <v>1145</v>
      </c>
      <c r="C464" s="41" t="s">
        <v>1120</v>
      </c>
      <c r="D464" s="43">
        <v>0</v>
      </c>
      <c r="E464" s="22" t="s">
        <v>1010</v>
      </c>
      <c r="F464" s="45">
        <f t="shared" si="35"/>
        <v>70535</v>
      </c>
      <c r="G464" s="48">
        <f t="shared" si="36"/>
        <v>0</v>
      </c>
      <c r="H464" s="50">
        <f>일위대가목록표!F461</f>
        <v>70535</v>
      </c>
      <c r="I464" s="13">
        <f t="shared" si="37"/>
        <v>0</v>
      </c>
      <c r="J464" s="52">
        <f>일위대가목록표!G461</f>
        <v>0</v>
      </c>
      <c r="K464" s="13">
        <f t="shared" si="38"/>
        <v>0</v>
      </c>
      <c r="L464" s="54">
        <f>일위대가목록표!H461</f>
        <v>0</v>
      </c>
      <c r="M464" s="33">
        <f t="shared" si="39"/>
        <v>0</v>
      </c>
      <c r="N464" s="22" t="s">
        <v>4717</v>
      </c>
      <c r="O464" s="17" t="s">
        <v>4716</v>
      </c>
      <c r="P464" s="7" t="s">
        <v>4715</v>
      </c>
      <c r="Q464" s="7" t="s">
        <v>3344</v>
      </c>
      <c r="AC464" s="3" t="str">
        <f ca="1">HYPERLINK("#"&amp;일위대가목록표!J2&amp;"!A"&amp;ROW(일위대가목록표!A461),"대가458 →")</f>
        <v>대가458 →</v>
      </c>
    </row>
    <row r="465" spans="1:29" ht="30.6" customHeight="1" x14ac:dyDescent="0.3">
      <c r="A465" s="10"/>
      <c r="B465" s="10" t="s">
        <v>1156</v>
      </c>
      <c r="C465" s="41" t="s">
        <v>1157</v>
      </c>
      <c r="D465" s="43">
        <v>0</v>
      </c>
      <c r="E465" s="22" t="s">
        <v>1010</v>
      </c>
      <c r="F465" s="45">
        <f t="shared" si="35"/>
        <v>169695</v>
      </c>
      <c r="G465" s="48">
        <f t="shared" si="36"/>
        <v>0</v>
      </c>
      <c r="H465" s="50">
        <f>일위대가목록표!F462</f>
        <v>60695</v>
      </c>
      <c r="I465" s="13">
        <f t="shared" si="37"/>
        <v>0</v>
      </c>
      <c r="J465" s="52">
        <f>일위대가목록표!G462</f>
        <v>109000</v>
      </c>
      <c r="K465" s="13">
        <f t="shared" si="38"/>
        <v>0</v>
      </c>
      <c r="L465" s="54">
        <f>일위대가목록표!H462</f>
        <v>0</v>
      </c>
      <c r="M465" s="33">
        <f t="shared" si="39"/>
        <v>0</v>
      </c>
      <c r="N465" s="22" t="s">
        <v>4720</v>
      </c>
      <c r="O465" s="17" t="s">
        <v>4719</v>
      </c>
      <c r="P465" s="7" t="s">
        <v>4718</v>
      </c>
      <c r="Q465" s="7" t="s">
        <v>3344</v>
      </c>
      <c r="AC465" s="3" t="str">
        <f ca="1">HYPERLINK("#"&amp;일위대가목록표!J2&amp;"!A"&amp;ROW(일위대가목록표!A462),"대가459 →")</f>
        <v>대가459 →</v>
      </c>
    </row>
    <row r="466" spans="1:29" ht="30.6" customHeight="1" x14ac:dyDescent="0.3">
      <c r="A466" s="10"/>
      <c r="B466" s="10" t="s">
        <v>1156</v>
      </c>
      <c r="C466" s="41" t="s">
        <v>1160</v>
      </c>
      <c r="D466" s="43">
        <v>0</v>
      </c>
      <c r="E466" s="22" t="s">
        <v>1010</v>
      </c>
      <c r="F466" s="45">
        <f t="shared" si="35"/>
        <v>211895</v>
      </c>
      <c r="G466" s="48">
        <f t="shared" si="36"/>
        <v>0</v>
      </c>
      <c r="H466" s="50">
        <f>일위대가목록표!F463</f>
        <v>60695</v>
      </c>
      <c r="I466" s="13">
        <f t="shared" si="37"/>
        <v>0</v>
      </c>
      <c r="J466" s="52">
        <f>일위대가목록표!G463</f>
        <v>151200</v>
      </c>
      <c r="K466" s="13">
        <f t="shared" si="38"/>
        <v>0</v>
      </c>
      <c r="L466" s="54">
        <f>일위대가목록표!H463</f>
        <v>0</v>
      </c>
      <c r="M466" s="33">
        <f t="shared" si="39"/>
        <v>0</v>
      </c>
      <c r="N466" s="22" t="s">
        <v>4723</v>
      </c>
      <c r="O466" s="17" t="s">
        <v>4722</v>
      </c>
      <c r="P466" s="7" t="s">
        <v>4721</v>
      </c>
      <c r="Q466" s="7" t="s">
        <v>3344</v>
      </c>
      <c r="AC466" s="3" t="str">
        <f ca="1">HYPERLINK("#"&amp;일위대가목록표!J2&amp;"!A"&amp;ROW(일위대가목록표!A463),"대가460 →")</f>
        <v>대가460 →</v>
      </c>
    </row>
    <row r="467" spans="1:29" ht="30.6" customHeight="1" x14ac:dyDescent="0.3">
      <c r="A467" s="10"/>
      <c r="B467" s="10" t="s">
        <v>1163</v>
      </c>
      <c r="C467" s="41" t="s">
        <v>1157</v>
      </c>
      <c r="D467" s="43">
        <v>0</v>
      </c>
      <c r="E467" s="22" t="s">
        <v>1010</v>
      </c>
      <c r="F467" s="45">
        <f t="shared" si="35"/>
        <v>60695</v>
      </c>
      <c r="G467" s="48">
        <f t="shared" si="36"/>
        <v>0</v>
      </c>
      <c r="H467" s="50">
        <f>일위대가목록표!F464</f>
        <v>60695</v>
      </c>
      <c r="I467" s="13">
        <f t="shared" si="37"/>
        <v>0</v>
      </c>
      <c r="J467" s="52">
        <f>일위대가목록표!G464</f>
        <v>0</v>
      </c>
      <c r="K467" s="13">
        <f t="shared" si="38"/>
        <v>0</v>
      </c>
      <c r="L467" s="54">
        <f>일위대가목록표!H464</f>
        <v>0</v>
      </c>
      <c r="M467" s="33">
        <f t="shared" si="39"/>
        <v>0</v>
      </c>
      <c r="N467" s="22" t="s">
        <v>4726</v>
      </c>
      <c r="O467" s="17" t="s">
        <v>4725</v>
      </c>
      <c r="P467" s="7" t="s">
        <v>4724</v>
      </c>
      <c r="Q467" s="7" t="s">
        <v>3344</v>
      </c>
      <c r="AC467" s="3" t="str">
        <f ca="1">HYPERLINK("#"&amp;일위대가목록표!J2&amp;"!A"&amp;ROW(일위대가목록표!A464),"대가461 →")</f>
        <v>대가461 →</v>
      </c>
    </row>
    <row r="468" spans="1:29" ht="30.6" customHeight="1" x14ac:dyDescent="0.3">
      <c r="A468" s="10"/>
      <c r="B468" s="10" t="s">
        <v>1163</v>
      </c>
      <c r="C468" s="41" t="s">
        <v>1160</v>
      </c>
      <c r="D468" s="43">
        <v>0</v>
      </c>
      <c r="E468" s="22" t="s">
        <v>1010</v>
      </c>
      <c r="F468" s="45">
        <f t="shared" si="35"/>
        <v>60695</v>
      </c>
      <c r="G468" s="48">
        <f t="shared" si="36"/>
        <v>0</v>
      </c>
      <c r="H468" s="50">
        <f>일위대가목록표!F465</f>
        <v>60695</v>
      </c>
      <c r="I468" s="13">
        <f t="shared" si="37"/>
        <v>0</v>
      </c>
      <c r="J468" s="52">
        <f>일위대가목록표!G465</f>
        <v>0</v>
      </c>
      <c r="K468" s="13">
        <f t="shared" si="38"/>
        <v>0</v>
      </c>
      <c r="L468" s="54">
        <f>일위대가목록표!H465</f>
        <v>0</v>
      </c>
      <c r="M468" s="33">
        <f t="shared" si="39"/>
        <v>0</v>
      </c>
      <c r="N468" s="22" t="s">
        <v>4729</v>
      </c>
      <c r="O468" s="17" t="s">
        <v>4728</v>
      </c>
      <c r="P468" s="7" t="s">
        <v>4727</v>
      </c>
      <c r="Q468" s="7" t="s">
        <v>3344</v>
      </c>
      <c r="AC468" s="3" t="str">
        <f ca="1">HYPERLINK("#"&amp;일위대가목록표!J2&amp;"!A"&amp;ROW(일위대가목록표!A465),"대가462 →")</f>
        <v>대가462 →</v>
      </c>
    </row>
    <row r="469" spans="1:29" ht="30.6" customHeight="1" x14ac:dyDescent="0.3">
      <c r="A469" s="10"/>
      <c r="B469" s="10" t="s">
        <v>1168</v>
      </c>
      <c r="C469" s="41" t="s">
        <v>1157</v>
      </c>
      <c r="D469" s="43">
        <v>0</v>
      </c>
      <c r="E469" s="22" t="s">
        <v>1010</v>
      </c>
      <c r="F469" s="45">
        <f t="shared" si="35"/>
        <v>43354</v>
      </c>
      <c r="G469" s="48">
        <f t="shared" si="36"/>
        <v>0</v>
      </c>
      <c r="H469" s="50">
        <f>일위대가목록표!F466</f>
        <v>43354</v>
      </c>
      <c r="I469" s="13">
        <f t="shared" si="37"/>
        <v>0</v>
      </c>
      <c r="J469" s="52">
        <f>일위대가목록표!G466</f>
        <v>0</v>
      </c>
      <c r="K469" s="13">
        <f t="shared" si="38"/>
        <v>0</v>
      </c>
      <c r="L469" s="54">
        <f>일위대가목록표!H466</f>
        <v>0</v>
      </c>
      <c r="M469" s="33">
        <f t="shared" si="39"/>
        <v>0</v>
      </c>
      <c r="N469" s="22" t="s">
        <v>4732</v>
      </c>
      <c r="O469" s="17" t="s">
        <v>4731</v>
      </c>
      <c r="P469" s="7" t="s">
        <v>4730</v>
      </c>
      <c r="Q469" s="7" t="s">
        <v>3344</v>
      </c>
      <c r="AC469" s="3" t="str">
        <f ca="1">HYPERLINK("#"&amp;일위대가목록표!J2&amp;"!A"&amp;ROW(일위대가목록표!A466),"대가463 →")</f>
        <v>대가463 →</v>
      </c>
    </row>
    <row r="470" spans="1:29" ht="30.6" customHeight="1" x14ac:dyDescent="0.3">
      <c r="A470" s="10"/>
      <c r="B470" s="10" t="s">
        <v>1168</v>
      </c>
      <c r="C470" s="41" t="s">
        <v>1160</v>
      </c>
      <c r="D470" s="43">
        <v>0</v>
      </c>
      <c r="E470" s="22" t="s">
        <v>1010</v>
      </c>
      <c r="F470" s="45">
        <f t="shared" si="35"/>
        <v>43354</v>
      </c>
      <c r="G470" s="48">
        <f t="shared" si="36"/>
        <v>0</v>
      </c>
      <c r="H470" s="50">
        <f>일위대가목록표!F467</f>
        <v>43354</v>
      </c>
      <c r="I470" s="13">
        <f t="shared" si="37"/>
        <v>0</v>
      </c>
      <c r="J470" s="52">
        <f>일위대가목록표!G467</f>
        <v>0</v>
      </c>
      <c r="K470" s="13">
        <f t="shared" si="38"/>
        <v>0</v>
      </c>
      <c r="L470" s="54">
        <f>일위대가목록표!H467</f>
        <v>0</v>
      </c>
      <c r="M470" s="33">
        <f t="shared" si="39"/>
        <v>0</v>
      </c>
      <c r="N470" s="22" t="s">
        <v>4735</v>
      </c>
      <c r="O470" s="17" t="s">
        <v>4734</v>
      </c>
      <c r="P470" s="7" t="s">
        <v>4733</v>
      </c>
      <c r="Q470" s="7" t="s">
        <v>3344</v>
      </c>
      <c r="AC470" s="3" t="str">
        <f ca="1">HYPERLINK("#"&amp;일위대가목록표!J2&amp;"!A"&amp;ROW(일위대가목록표!A467),"대가464 →")</f>
        <v>대가464 →</v>
      </c>
    </row>
    <row r="471" spans="1:29" ht="30.6" customHeight="1" x14ac:dyDescent="0.3">
      <c r="A471" s="10"/>
      <c r="B471" s="10" t="s">
        <v>1173</v>
      </c>
      <c r="C471" s="41" t="s">
        <v>1157</v>
      </c>
      <c r="D471" s="43">
        <v>0</v>
      </c>
      <c r="E471" s="22" t="s">
        <v>1010</v>
      </c>
      <c r="F471" s="45">
        <f t="shared" si="35"/>
        <v>17341</v>
      </c>
      <c r="G471" s="48">
        <f t="shared" si="36"/>
        <v>0</v>
      </c>
      <c r="H471" s="50">
        <f>일위대가목록표!F468</f>
        <v>17341</v>
      </c>
      <c r="I471" s="13">
        <f t="shared" si="37"/>
        <v>0</v>
      </c>
      <c r="J471" s="52">
        <f>일위대가목록표!G468</f>
        <v>0</v>
      </c>
      <c r="K471" s="13">
        <f t="shared" si="38"/>
        <v>0</v>
      </c>
      <c r="L471" s="54">
        <f>일위대가목록표!H468</f>
        <v>0</v>
      </c>
      <c r="M471" s="33">
        <f t="shared" si="39"/>
        <v>0</v>
      </c>
      <c r="N471" s="22" t="s">
        <v>4738</v>
      </c>
      <c r="O471" s="17" t="s">
        <v>4737</v>
      </c>
      <c r="P471" s="7" t="s">
        <v>4736</v>
      </c>
      <c r="Q471" s="7" t="s">
        <v>3344</v>
      </c>
      <c r="AC471" s="3" t="str">
        <f ca="1">HYPERLINK("#"&amp;일위대가목록표!J2&amp;"!A"&amp;ROW(일위대가목록표!A468),"대가465 →")</f>
        <v>대가465 →</v>
      </c>
    </row>
    <row r="472" spans="1:29" ht="30.6" customHeight="1" x14ac:dyDescent="0.3">
      <c r="A472" s="10"/>
      <c r="B472" s="10" t="s">
        <v>1173</v>
      </c>
      <c r="C472" s="41" t="s">
        <v>1160</v>
      </c>
      <c r="D472" s="43">
        <v>0</v>
      </c>
      <c r="E472" s="22" t="s">
        <v>1010</v>
      </c>
      <c r="F472" s="45">
        <f t="shared" si="35"/>
        <v>17341</v>
      </c>
      <c r="G472" s="48">
        <f t="shared" si="36"/>
        <v>0</v>
      </c>
      <c r="H472" s="50">
        <f>일위대가목록표!F469</f>
        <v>17341</v>
      </c>
      <c r="I472" s="13">
        <f t="shared" si="37"/>
        <v>0</v>
      </c>
      <c r="J472" s="52">
        <f>일위대가목록표!G469</f>
        <v>0</v>
      </c>
      <c r="K472" s="13">
        <f t="shared" si="38"/>
        <v>0</v>
      </c>
      <c r="L472" s="54">
        <f>일위대가목록표!H469</f>
        <v>0</v>
      </c>
      <c r="M472" s="33">
        <f t="shared" si="39"/>
        <v>0</v>
      </c>
      <c r="N472" s="22" t="s">
        <v>4741</v>
      </c>
      <c r="O472" s="17" t="s">
        <v>4740</v>
      </c>
      <c r="P472" s="7" t="s">
        <v>4739</v>
      </c>
      <c r="Q472" s="7" t="s">
        <v>3344</v>
      </c>
      <c r="AC472" s="3" t="str">
        <f ca="1">HYPERLINK("#"&amp;일위대가목록표!J2&amp;"!A"&amp;ROW(일위대가목록표!A469),"대가466 →")</f>
        <v>대가466 →</v>
      </c>
    </row>
    <row r="473" spans="1:29" ht="30.6" customHeight="1" x14ac:dyDescent="0.3">
      <c r="A473" s="10"/>
      <c r="B473" s="10" t="s">
        <v>1178</v>
      </c>
      <c r="C473" s="41" t="s">
        <v>1053</v>
      </c>
      <c r="D473" s="43">
        <v>1</v>
      </c>
      <c r="E473" s="22" t="s">
        <v>1010</v>
      </c>
      <c r="F473" s="45">
        <f t="shared" si="35"/>
        <v>683775</v>
      </c>
      <c r="G473" s="48">
        <f t="shared" si="36"/>
        <v>683775</v>
      </c>
      <c r="H473" s="50">
        <f>일위대가목록표!F470</f>
        <v>100753</v>
      </c>
      <c r="I473" s="13">
        <f t="shared" si="37"/>
        <v>100753</v>
      </c>
      <c r="J473" s="52">
        <f>일위대가목록표!G470</f>
        <v>580000</v>
      </c>
      <c r="K473" s="13">
        <f t="shared" si="38"/>
        <v>580000</v>
      </c>
      <c r="L473" s="54">
        <f>일위대가목록표!H470</f>
        <v>3022</v>
      </c>
      <c r="M473" s="33">
        <f t="shared" si="39"/>
        <v>3022</v>
      </c>
      <c r="N473" s="22" t="s">
        <v>4744</v>
      </c>
      <c r="O473" s="17" t="s">
        <v>4743</v>
      </c>
      <c r="P473" s="7" t="s">
        <v>4742</v>
      </c>
      <c r="Q473" s="7" t="s">
        <v>3344</v>
      </c>
      <c r="AC473" s="3" t="str">
        <f ca="1">HYPERLINK("#"&amp;일위대가목록표!J2&amp;"!A"&amp;ROW(일위대가목록표!A470),"대가467 →")</f>
        <v>대가467 →</v>
      </c>
    </row>
    <row r="474" spans="1:29" ht="30.6" customHeight="1" x14ac:dyDescent="0.3">
      <c r="A474" s="10"/>
      <c r="B474" s="10" t="s">
        <v>1178</v>
      </c>
      <c r="C474" s="41" t="s">
        <v>1056</v>
      </c>
      <c r="D474" s="43">
        <v>0</v>
      </c>
      <c r="E474" s="22" t="s">
        <v>1010</v>
      </c>
      <c r="F474" s="45">
        <f t="shared" si="35"/>
        <v>975668</v>
      </c>
      <c r="G474" s="48">
        <f t="shared" si="36"/>
        <v>0</v>
      </c>
      <c r="H474" s="50">
        <f>일위대가목록표!F471</f>
        <v>145668</v>
      </c>
      <c r="I474" s="13">
        <f t="shared" si="37"/>
        <v>0</v>
      </c>
      <c r="J474" s="52">
        <f>일위대가목록표!G471</f>
        <v>830000</v>
      </c>
      <c r="K474" s="13">
        <f t="shared" si="38"/>
        <v>0</v>
      </c>
      <c r="L474" s="54">
        <f>일위대가목록표!H471</f>
        <v>0</v>
      </c>
      <c r="M474" s="33">
        <f t="shared" si="39"/>
        <v>0</v>
      </c>
      <c r="N474" s="22" t="s">
        <v>4747</v>
      </c>
      <c r="O474" s="17" t="s">
        <v>4746</v>
      </c>
      <c r="P474" s="7" t="s">
        <v>4745</v>
      </c>
      <c r="Q474" s="7" t="s">
        <v>3344</v>
      </c>
      <c r="AC474" s="3" t="str">
        <f ca="1">HYPERLINK("#"&amp;일위대가목록표!J2&amp;"!A"&amp;ROW(일위대가목록표!A471),"대가468 →")</f>
        <v>대가468 →</v>
      </c>
    </row>
    <row r="475" spans="1:29" ht="30.6" customHeight="1" x14ac:dyDescent="0.3">
      <c r="A475" s="10"/>
      <c r="B475" s="10" t="s">
        <v>1178</v>
      </c>
      <c r="C475" s="41" t="s">
        <v>1059</v>
      </c>
      <c r="D475" s="43">
        <v>0</v>
      </c>
      <c r="E475" s="22" t="s">
        <v>1010</v>
      </c>
      <c r="F475" s="45">
        <f t="shared" si="35"/>
        <v>1639819</v>
      </c>
      <c r="G475" s="48">
        <f t="shared" si="36"/>
        <v>0</v>
      </c>
      <c r="H475" s="50">
        <f>일위대가목록표!F472</f>
        <v>189819</v>
      </c>
      <c r="I475" s="13">
        <f t="shared" si="37"/>
        <v>0</v>
      </c>
      <c r="J475" s="52">
        <f>일위대가목록표!G472</f>
        <v>1450000</v>
      </c>
      <c r="K475" s="13">
        <f t="shared" si="38"/>
        <v>0</v>
      </c>
      <c r="L475" s="54">
        <f>일위대가목록표!H472</f>
        <v>0</v>
      </c>
      <c r="M475" s="33">
        <f t="shared" si="39"/>
        <v>0</v>
      </c>
      <c r="N475" s="22" t="s">
        <v>4750</v>
      </c>
      <c r="O475" s="17" t="s">
        <v>4749</v>
      </c>
      <c r="P475" s="7" t="s">
        <v>4748</v>
      </c>
      <c r="Q475" s="7" t="s">
        <v>3344</v>
      </c>
      <c r="AC475" s="3" t="str">
        <f ca="1">HYPERLINK("#"&amp;일위대가목록표!J2&amp;"!A"&amp;ROW(일위대가목록표!A472),"대가469 →")</f>
        <v>대가469 →</v>
      </c>
    </row>
    <row r="476" spans="1:29" ht="30.6" customHeight="1" x14ac:dyDescent="0.3">
      <c r="A476" s="10"/>
      <c r="B476" s="10" t="s">
        <v>1178</v>
      </c>
      <c r="C476" s="41" t="s">
        <v>1062</v>
      </c>
      <c r="D476" s="43">
        <v>0</v>
      </c>
      <c r="E476" s="22" t="s">
        <v>1010</v>
      </c>
      <c r="F476" s="45">
        <f t="shared" si="35"/>
        <v>2476873</v>
      </c>
      <c r="G476" s="48">
        <f t="shared" si="36"/>
        <v>0</v>
      </c>
      <c r="H476" s="50">
        <f>일위대가목록표!F473</f>
        <v>246873</v>
      </c>
      <c r="I476" s="13">
        <f t="shared" si="37"/>
        <v>0</v>
      </c>
      <c r="J476" s="52">
        <f>일위대가목록표!G473</f>
        <v>2230000</v>
      </c>
      <c r="K476" s="13">
        <f t="shared" si="38"/>
        <v>0</v>
      </c>
      <c r="L476" s="54">
        <f>일위대가목록표!H473</f>
        <v>0</v>
      </c>
      <c r="M476" s="33">
        <f t="shared" si="39"/>
        <v>0</v>
      </c>
      <c r="N476" s="22" t="s">
        <v>4753</v>
      </c>
      <c r="O476" s="17" t="s">
        <v>4752</v>
      </c>
      <c r="P476" s="7" t="s">
        <v>4751</v>
      </c>
      <c r="Q476" s="7" t="s">
        <v>3344</v>
      </c>
      <c r="AC476" s="3" t="str">
        <f ca="1">HYPERLINK("#"&amp;일위대가목록표!J2&amp;"!A"&amp;ROW(일위대가목록표!A473),"대가470 →")</f>
        <v>대가470 →</v>
      </c>
    </row>
    <row r="477" spans="1:29" ht="30.6" customHeight="1" x14ac:dyDescent="0.3">
      <c r="A477" s="10"/>
      <c r="B477" s="10" t="s">
        <v>1178</v>
      </c>
      <c r="C477" s="41" t="s">
        <v>1065</v>
      </c>
      <c r="D477" s="43">
        <v>0</v>
      </c>
      <c r="E477" s="22" t="s">
        <v>1010</v>
      </c>
      <c r="F477" s="45">
        <f t="shared" si="35"/>
        <v>4046873</v>
      </c>
      <c r="G477" s="48">
        <f t="shared" si="36"/>
        <v>0</v>
      </c>
      <c r="H477" s="50">
        <f>일위대가목록표!F474</f>
        <v>246873</v>
      </c>
      <c r="I477" s="13">
        <f t="shared" si="37"/>
        <v>0</v>
      </c>
      <c r="J477" s="52">
        <f>일위대가목록표!G474</f>
        <v>3800000</v>
      </c>
      <c r="K477" s="13">
        <f t="shared" si="38"/>
        <v>0</v>
      </c>
      <c r="L477" s="54">
        <f>일위대가목록표!H474</f>
        <v>0</v>
      </c>
      <c r="M477" s="33">
        <f t="shared" si="39"/>
        <v>0</v>
      </c>
      <c r="N477" s="22" t="s">
        <v>4756</v>
      </c>
      <c r="O477" s="17" t="s">
        <v>4755</v>
      </c>
      <c r="P477" s="7" t="s">
        <v>4754</v>
      </c>
      <c r="Q477" s="7" t="s">
        <v>3344</v>
      </c>
      <c r="AC477" s="3" t="str">
        <f ca="1">HYPERLINK("#"&amp;일위대가목록표!J2&amp;"!A"&amp;ROW(일위대가목록표!A474),"대가471 →")</f>
        <v>대가471 →</v>
      </c>
    </row>
    <row r="478" spans="1:29" ht="30.6" customHeight="1" x14ac:dyDescent="0.3">
      <c r="A478" s="10"/>
      <c r="B478" s="10" t="s">
        <v>1189</v>
      </c>
      <c r="C478" s="41" t="s">
        <v>1053</v>
      </c>
      <c r="D478" s="43">
        <v>0</v>
      </c>
      <c r="E478" s="22" t="s">
        <v>1010</v>
      </c>
      <c r="F478" s="45">
        <f t="shared" si="35"/>
        <v>103775</v>
      </c>
      <c r="G478" s="48">
        <f t="shared" si="36"/>
        <v>0</v>
      </c>
      <c r="H478" s="50">
        <f>일위대가목록표!F475</f>
        <v>100753</v>
      </c>
      <c r="I478" s="13">
        <f t="shared" si="37"/>
        <v>0</v>
      </c>
      <c r="J478" s="52">
        <f>일위대가목록표!G475</f>
        <v>0</v>
      </c>
      <c r="K478" s="13">
        <f t="shared" si="38"/>
        <v>0</v>
      </c>
      <c r="L478" s="54">
        <f>일위대가목록표!H475</f>
        <v>3022</v>
      </c>
      <c r="M478" s="33">
        <f t="shared" si="39"/>
        <v>0</v>
      </c>
      <c r="N478" s="22" t="s">
        <v>4759</v>
      </c>
      <c r="O478" s="17" t="s">
        <v>4758</v>
      </c>
      <c r="P478" s="7" t="s">
        <v>4757</v>
      </c>
      <c r="Q478" s="7" t="s">
        <v>3344</v>
      </c>
      <c r="AC478" s="3" t="str">
        <f ca="1">HYPERLINK("#"&amp;일위대가목록표!J2&amp;"!A"&amp;ROW(일위대가목록표!A475),"대가472 →")</f>
        <v>대가472 →</v>
      </c>
    </row>
    <row r="479" spans="1:29" ht="30.6" customHeight="1" x14ac:dyDescent="0.3">
      <c r="A479" s="10"/>
      <c r="B479" s="10" t="s">
        <v>1189</v>
      </c>
      <c r="C479" s="41" t="s">
        <v>1056</v>
      </c>
      <c r="D479" s="43">
        <v>0</v>
      </c>
      <c r="E479" s="22" t="s">
        <v>1010</v>
      </c>
      <c r="F479" s="45">
        <f t="shared" si="35"/>
        <v>145668</v>
      </c>
      <c r="G479" s="48">
        <f t="shared" si="36"/>
        <v>0</v>
      </c>
      <c r="H479" s="50">
        <f>일위대가목록표!F476</f>
        <v>145668</v>
      </c>
      <c r="I479" s="13">
        <f t="shared" si="37"/>
        <v>0</v>
      </c>
      <c r="J479" s="52">
        <f>일위대가목록표!G476</f>
        <v>0</v>
      </c>
      <c r="K479" s="13">
        <f t="shared" si="38"/>
        <v>0</v>
      </c>
      <c r="L479" s="54">
        <f>일위대가목록표!H476</f>
        <v>0</v>
      </c>
      <c r="M479" s="33">
        <f t="shared" si="39"/>
        <v>0</v>
      </c>
      <c r="N479" s="22" t="s">
        <v>4762</v>
      </c>
      <c r="O479" s="17" t="s">
        <v>4761</v>
      </c>
      <c r="P479" s="7" t="s">
        <v>4760</v>
      </c>
      <c r="Q479" s="7" t="s">
        <v>3344</v>
      </c>
      <c r="AC479" s="3" t="str">
        <f ca="1">HYPERLINK("#"&amp;일위대가목록표!J2&amp;"!A"&amp;ROW(일위대가목록표!A476),"대가473 →")</f>
        <v>대가473 →</v>
      </c>
    </row>
    <row r="480" spans="1:29" ht="30.6" customHeight="1" x14ac:dyDescent="0.3">
      <c r="A480" s="10"/>
      <c r="B480" s="10" t="s">
        <v>1189</v>
      </c>
      <c r="C480" s="41" t="s">
        <v>1059</v>
      </c>
      <c r="D480" s="43">
        <v>0</v>
      </c>
      <c r="E480" s="22" t="s">
        <v>1010</v>
      </c>
      <c r="F480" s="45">
        <f t="shared" si="35"/>
        <v>189819</v>
      </c>
      <c r="G480" s="48">
        <f t="shared" si="36"/>
        <v>0</v>
      </c>
      <c r="H480" s="50">
        <f>일위대가목록표!F477</f>
        <v>189819</v>
      </c>
      <c r="I480" s="13">
        <f t="shared" si="37"/>
        <v>0</v>
      </c>
      <c r="J480" s="52">
        <f>일위대가목록표!G477</f>
        <v>0</v>
      </c>
      <c r="K480" s="13">
        <f t="shared" si="38"/>
        <v>0</v>
      </c>
      <c r="L480" s="54">
        <f>일위대가목록표!H477</f>
        <v>0</v>
      </c>
      <c r="M480" s="33">
        <f t="shared" si="39"/>
        <v>0</v>
      </c>
      <c r="N480" s="22" t="s">
        <v>4765</v>
      </c>
      <c r="O480" s="17" t="s">
        <v>4764</v>
      </c>
      <c r="P480" s="7" t="s">
        <v>4763</v>
      </c>
      <c r="Q480" s="7" t="s">
        <v>3344</v>
      </c>
      <c r="AC480" s="3" t="str">
        <f ca="1">HYPERLINK("#"&amp;일위대가목록표!J2&amp;"!A"&amp;ROW(일위대가목록표!A477),"대가474 →")</f>
        <v>대가474 →</v>
      </c>
    </row>
    <row r="481" spans="1:29" ht="30.6" customHeight="1" x14ac:dyDescent="0.3">
      <c r="A481" s="10"/>
      <c r="B481" s="10" t="s">
        <v>1189</v>
      </c>
      <c r="C481" s="41" t="s">
        <v>1062</v>
      </c>
      <c r="D481" s="43">
        <v>0</v>
      </c>
      <c r="E481" s="22" t="s">
        <v>1010</v>
      </c>
      <c r="F481" s="45">
        <f t="shared" si="35"/>
        <v>246873</v>
      </c>
      <c r="G481" s="48">
        <f t="shared" si="36"/>
        <v>0</v>
      </c>
      <c r="H481" s="50">
        <f>일위대가목록표!F478</f>
        <v>246873</v>
      </c>
      <c r="I481" s="13">
        <f t="shared" si="37"/>
        <v>0</v>
      </c>
      <c r="J481" s="52">
        <f>일위대가목록표!G478</f>
        <v>0</v>
      </c>
      <c r="K481" s="13">
        <f t="shared" si="38"/>
        <v>0</v>
      </c>
      <c r="L481" s="54">
        <f>일위대가목록표!H478</f>
        <v>0</v>
      </c>
      <c r="M481" s="33">
        <f t="shared" si="39"/>
        <v>0</v>
      </c>
      <c r="N481" s="22" t="s">
        <v>4768</v>
      </c>
      <c r="O481" s="17" t="s">
        <v>4767</v>
      </c>
      <c r="P481" s="7" t="s">
        <v>4766</v>
      </c>
      <c r="Q481" s="7" t="s">
        <v>3344</v>
      </c>
      <c r="AC481" s="3" t="str">
        <f ca="1">HYPERLINK("#"&amp;일위대가목록표!J2&amp;"!A"&amp;ROW(일위대가목록표!A478),"대가475 →")</f>
        <v>대가475 →</v>
      </c>
    </row>
    <row r="482" spans="1:29" ht="30.6" customHeight="1" x14ac:dyDescent="0.3">
      <c r="A482" s="10"/>
      <c r="B482" s="10" t="s">
        <v>1198</v>
      </c>
      <c r="C482" s="41" t="s">
        <v>1053</v>
      </c>
      <c r="D482" s="43">
        <v>0</v>
      </c>
      <c r="E482" s="22" t="s">
        <v>1010</v>
      </c>
      <c r="F482" s="45">
        <f t="shared" si="35"/>
        <v>74126</v>
      </c>
      <c r="G482" s="48">
        <f t="shared" si="36"/>
        <v>0</v>
      </c>
      <c r="H482" s="50">
        <f>일위대가목록표!F479</f>
        <v>71967</v>
      </c>
      <c r="I482" s="13">
        <f t="shared" si="37"/>
        <v>0</v>
      </c>
      <c r="J482" s="52">
        <f>일위대가목록표!G479</f>
        <v>0</v>
      </c>
      <c r="K482" s="13">
        <f t="shared" si="38"/>
        <v>0</v>
      </c>
      <c r="L482" s="54">
        <f>일위대가목록표!H479</f>
        <v>2159</v>
      </c>
      <c r="M482" s="33">
        <f t="shared" si="39"/>
        <v>0</v>
      </c>
      <c r="N482" s="22" t="s">
        <v>4771</v>
      </c>
      <c r="O482" s="17" t="s">
        <v>4770</v>
      </c>
      <c r="P482" s="7" t="s">
        <v>4769</v>
      </c>
      <c r="Q482" s="7" t="s">
        <v>3344</v>
      </c>
      <c r="AC482" s="3" t="str">
        <f ca="1">HYPERLINK("#"&amp;일위대가목록표!J2&amp;"!A"&amp;ROW(일위대가목록표!A479),"대가476 →")</f>
        <v>대가476 →</v>
      </c>
    </row>
    <row r="483" spans="1:29" ht="30.6" customHeight="1" x14ac:dyDescent="0.3">
      <c r="A483" s="10"/>
      <c r="B483" s="10" t="s">
        <v>1198</v>
      </c>
      <c r="C483" s="41" t="s">
        <v>1056</v>
      </c>
      <c r="D483" s="43">
        <v>0</v>
      </c>
      <c r="E483" s="22" t="s">
        <v>1010</v>
      </c>
      <c r="F483" s="45">
        <f t="shared" si="35"/>
        <v>104049</v>
      </c>
      <c r="G483" s="48">
        <f t="shared" si="36"/>
        <v>0</v>
      </c>
      <c r="H483" s="50">
        <f>일위대가목록표!F480</f>
        <v>104049</v>
      </c>
      <c r="I483" s="13">
        <f t="shared" si="37"/>
        <v>0</v>
      </c>
      <c r="J483" s="52">
        <f>일위대가목록표!G480</f>
        <v>0</v>
      </c>
      <c r="K483" s="13">
        <f t="shared" si="38"/>
        <v>0</v>
      </c>
      <c r="L483" s="54">
        <f>일위대가목록표!H480</f>
        <v>0</v>
      </c>
      <c r="M483" s="33">
        <f t="shared" si="39"/>
        <v>0</v>
      </c>
      <c r="N483" s="22" t="s">
        <v>4774</v>
      </c>
      <c r="O483" s="17" t="s">
        <v>4773</v>
      </c>
      <c r="P483" s="7" t="s">
        <v>4772</v>
      </c>
      <c r="Q483" s="7" t="s">
        <v>3344</v>
      </c>
      <c r="AC483" s="3" t="str">
        <f ca="1">HYPERLINK("#"&amp;일위대가목록표!J2&amp;"!A"&amp;ROW(일위대가목록표!A480),"대가477 →")</f>
        <v>대가477 →</v>
      </c>
    </row>
    <row r="484" spans="1:29" ht="30.6" customHeight="1" x14ac:dyDescent="0.3">
      <c r="A484" s="10"/>
      <c r="B484" s="10" t="s">
        <v>1198</v>
      </c>
      <c r="C484" s="41" t="s">
        <v>1059</v>
      </c>
      <c r="D484" s="43">
        <v>0</v>
      </c>
      <c r="E484" s="22" t="s">
        <v>1010</v>
      </c>
      <c r="F484" s="45">
        <f t="shared" si="35"/>
        <v>135585</v>
      </c>
      <c r="G484" s="48">
        <f t="shared" si="36"/>
        <v>0</v>
      </c>
      <c r="H484" s="50">
        <f>일위대가목록표!F481</f>
        <v>135585</v>
      </c>
      <c r="I484" s="13">
        <f t="shared" si="37"/>
        <v>0</v>
      </c>
      <c r="J484" s="52">
        <f>일위대가목록표!G481</f>
        <v>0</v>
      </c>
      <c r="K484" s="13">
        <f t="shared" si="38"/>
        <v>0</v>
      </c>
      <c r="L484" s="54">
        <f>일위대가목록표!H481</f>
        <v>0</v>
      </c>
      <c r="M484" s="33">
        <f t="shared" si="39"/>
        <v>0</v>
      </c>
      <c r="N484" s="22" t="s">
        <v>4777</v>
      </c>
      <c r="O484" s="17" t="s">
        <v>4776</v>
      </c>
      <c r="P484" s="7" t="s">
        <v>4775</v>
      </c>
      <c r="Q484" s="7" t="s">
        <v>3344</v>
      </c>
      <c r="AC484" s="3" t="str">
        <f ca="1">HYPERLINK("#"&amp;일위대가목록표!J2&amp;"!A"&amp;ROW(일위대가목록표!A481),"대가478 →")</f>
        <v>대가478 →</v>
      </c>
    </row>
    <row r="485" spans="1:29" ht="30.6" customHeight="1" x14ac:dyDescent="0.3">
      <c r="A485" s="10"/>
      <c r="B485" s="10" t="s">
        <v>1198</v>
      </c>
      <c r="C485" s="41" t="s">
        <v>1062</v>
      </c>
      <c r="D485" s="43">
        <v>0</v>
      </c>
      <c r="E485" s="22" t="s">
        <v>1010</v>
      </c>
      <c r="F485" s="45">
        <f t="shared" si="35"/>
        <v>176338</v>
      </c>
      <c r="G485" s="48">
        <f t="shared" si="36"/>
        <v>0</v>
      </c>
      <c r="H485" s="50">
        <f>일위대가목록표!F482</f>
        <v>176338</v>
      </c>
      <c r="I485" s="13">
        <f t="shared" si="37"/>
        <v>0</v>
      </c>
      <c r="J485" s="52">
        <f>일위대가목록표!G482</f>
        <v>0</v>
      </c>
      <c r="K485" s="13">
        <f t="shared" si="38"/>
        <v>0</v>
      </c>
      <c r="L485" s="54">
        <f>일위대가목록표!H482</f>
        <v>0</v>
      </c>
      <c r="M485" s="33">
        <f t="shared" si="39"/>
        <v>0</v>
      </c>
      <c r="N485" s="22" t="s">
        <v>4780</v>
      </c>
      <c r="O485" s="17" t="s">
        <v>4779</v>
      </c>
      <c r="P485" s="7" t="s">
        <v>4778</v>
      </c>
      <c r="Q485" s="7" t="s">
        <v>3344</v>
      </c>
      <c r="AC485" s="3" t="str">
        <f ca="1">HYPERLINK("#"&amp;일위대가목록표!J2&amp;"!A"&amp;ROW(일위대가목록표!A482),"대가479 →")</f>
        <v>대가479 →</v>
      </c>
    </row>
    <row r="486" spans="1:29" ht="30.6" customHeight="1" x14ac:dyDescent="0.3">
      <c r="A486" s="10"/>
      <c r="B486" s="10" t="s">
        <v>1207</v>
      </c>
      <c r="C486" s="41" t="s">
        <v>1053</v>
      </c>
      <c r="D486" s="43">
        <v>0</v>
      </c>
      <c r="E486" s="22" t="s">
        <v>1010</v>
      </c>
      <c r="F486" s="45">
        <f t="shared" si="35"/>
        <v>29649</v>
      </c>
      <c r="G486" s="48">
        <f t="shared" si="36"/>
        <v>0</v>
      </c>
      <c r="H486" s="50">
        <f>일위대가목록표!F483</f>
        <v>28786</v>
      </c>
      <c r="I486" s="13">
        <f t="shared" si="37"/>
        <v>0</v>
      </c>
      <c r="J486" s="52">
        <f>일위대가목록표!G483</f>
        <v>0</v>
      </c>
      <c r="K486" s="13">
        <f t="shared" si="38"/>
        <v>0</v>
      </c>
      <c r="L486" s="54">
        <f>일위대가목록표!H483</f>
        <v>863</v>
      </c>
      <c r="M486" s="33">
        <f t="shared" si="39"/>
        <v>0</v>
      </c>
      <c r="N486" s="22" t="s">
        <v>4783</v>
      </c>
      <c r="O486" s="17" t="s">
        <v>4782</v>
      </c>
      <c r="P486" s="7" t="s">
        <v>4781</v>
      </c>
      <c r="Q486" s="7" t="s">
        <v>3344</v>
      </c>
      <c r="AC486" s="3" t="str">
        <f ca="1">HYPERLINK("#"&amp;일위대가목록표!J2&amp;"!A"&amp;ROW(일위대가목록표!A483),"대가480 →")</f>
        <v>대가480 →</v>
      </c>
    </row>
    <row r="487" spans="1:29" ht="30.6" customHeight="1" x14ac:dyDescent="0.3">
      <c r="A487" s="10"/>
      <c r="B487" s="10" t="s">
        <v>1207</v>
      </c>
      <c r="C487" s="41" t="s">
        <v>1056</v>
      </c>
      <c r="D487" s="43">
        <v>0</v>
      </c>
      <c r="E487" s="22" t="s">
        <v>1010</v>
      </c>
      <c r="F487" s="45">
        <f t="shared" si="35"/>
        <v>41619</v>
      </c>
      <c r="G487" s="48">
        <f t="shared" si="36"/>
        <v>0</v>
      </c>
      <c r="H487" s="50">
        <f>일위대가목록표!F484</f>
        <v>41619</v>
      </c>
      <c r="I487" s="13">
        <f t="shared" si="37"/>
        <v>0</v>
      </c>
      <c r="J487" s="52">
        <f>일위대가목록표!G484</f>
        <v>0</v>
      </c>
      <c r="K487" s="13">
        <f t="shared" si="38"/>
        <v>0</v>
      </c>
      <c r="L487" s="54">
        <f>일위대가목록표!H484</f>
        <v>0</v>
      </c>
      <c r="M487" s="33">
        <f t="shared" si="39"/>
        <v>0</v>
      </c>
      <c r="N487" s="22" t="s">
        <v>4786</v>
      </c>
      <c r="O487" s="17" t="s">
        <v>4785</v>
      </c>
      <c r="P487" s="7" t="s">
        <v>4784</v>
      </c>
      <c r="Q487" s="7" t="s">
        <v>3344</v>
      </c>
      <c r="AC487" s="3" t="str">
        <f ca="1">HYPERLINK("#"&amp;일위대가목록표!J2&amp;"!A"&amp;ROW(일위대가목록표!A484),"대가481 →")</f>
        <v>대가481 →</v>
      </c>
    </row>
    <row r="488" spans="1:29" ht="30.6" customHeight="1" x14ac:dyDescent="0.3">
      <c r="A488" s="10"/>
      <c r="B488" s="10" t="s">
        <v>1207</v>
      </c>
      <c r="C488" s="41" t="s">
        <v>1059</v>
      </c>
      <c r="D488" s="43">
        <v>0</v>
      </c>
      <c r="E488" s="22" t="s">
        <v>1010</v>
      </c>
      <c r="F488" s="45">
        <f t="shared" si="35"/>
        <v>54234</v>
      </c>
      <c r="G488" s="48">
        <f t="shared" si="36"/>
        <v>0</v>
      </c>
      <c r="H488" s="50">
        <f>일위대가목록표!F485</f>
        <v>54234</v>
      </c>
      <c r="I488" s="13">
        <f t="shared" si="37"/>
        <v>0</v>
      </c>
      <c r="J488" s="52">
        <f>일위대가목록표!G485</f>
        <v>0</v>
      </c>
      <c r="K488" s="13">
        <f t="shared" si="38"/>
        <v>0</v>
      </c>
      <c r="L488" s="54">
        <f>일위대가목록표!H485</f>
        <v>0</v>
      </c>
      <c r="M488" s="33">
        <f t="shared" si="39"/>
        <v>0</v>
      </c>
      <c r="N488" s="22" t="s">
        <v>4789</v>
      </c>
      <c r="O488" s="17" t="s">
        <v>4788</v>
      </c>
      <c r="P488" s="7" t="s">
        <v>4787</v>
      </c>
      <c r="Q488" s="7" t="s">
        <v>3344</v>
      </c>
      <c r="AC488" s="3" t="str">
        <f ca="1">HYPERLINK("#"&amp;일위대가목록표!J2&amp;"!A"&amp;ROW(일위대가목록표!A485),"대가482 →")</f>
        <v>대가482 →</v>
      </c>
    </row>
    <row r="489" spans="1:29" ht="30.6" customHeight="1" x14ac:dyDescent="0.3">
      <c r="A489" s="10"/>
      <c r="B489" s="10" t="s">
        <v>1207</v>
      </c>
      <c r="C489" s="41" t="s">
        <v>1062</v>
      </c>
      <c r="D489" s="43">
        <v>0</v>
      </c>
      <c r="E489" s="22" t="s">
        <v>1010</v>
      </c>
      <c r="F489" s="45">
        <f t="shared" si="35"/>
        <v>70535</v>
      </c>
      <c r="G489" s="48">
        <f t="shared" si="36"/>
        <v>0</v>
      </c>
      <c r="H489" s="50">
        <f>일위대가목록표!F486</f>
        <v>70535</v>
      </c>
      <c r="I489" s="13">
        <f t="shared" si="37"/>
        <v>0</v>
      </c>
      <c r="J489" s="52">
        <f>일위대가목록표!G486</f>
        <v>0</v>
      </c>
      <c r="K489" s="13">
        <f t="shared" si="38"/>
        <v>0</v>
      </c>
      <c r="L489" s="54">
        <f>일위대가목록표!H486</f>
        <v>0</v>
      </c>
      <c r="M489" s="33">
        <f t="shared" si="39"/>
        <v>0</v>
      </c>
      <c r="N489" s="22" t="s">
        <v>4792</v>
      </c>
      <c r="O489" s="17" t="s">
        <v>4791</v>
      </c>
      <c r="P489" s="7" t="s">
        <v>4790</v>
      </c>
      <c r="Q489" s="7" t="s">
        <v>3344</v>
      </c>
      <c r="AC489" s="3" t="str">
        <f ca="1">HYPERLINK("#"&amp;일위대가목록표!J2&amp;"!A"&amp;ROW(일위대가목록표!A486),"대가483 →")</f>
        <v>대가483 →</v>
      </c>
    </row>
    <row r="490" spans="1:29" ht="30.6" customHeight="1" x14ac:dyDescent="0.3">
      <c r="A490" s="10"/>
      <c r="B490" s="10" t="s">
        <v>1216</v>
      </c>
      <c r="C490" s="41" t="s">
        <v>1050</v>
      </c>
      <c r="D490" s="43">
        <v>0</v>
      </c>
      <c r="E490" s="22" t="s">
        <v>1010</v>
      </c>
      <c r="F490" s="45">
        <f t="shared" si="35"/>
        <v>410695</v>
      </c>
      <c r="G490" s="48">
        <f t="shared" si="36"/>
        <v>0</v>
      </c>
      <c r="H490" s="50">
        <f>일위대가목록표!F487</f>
        <v>60695</v>
      </c>
      <c r="I490" s="13">
        <f t="shared" si="37"/>
        <v>0</v>
      </c>
      <c r="J490" s="52">
        <f>일위대가목록표!G487</f>
        <v>350000</v>
      </c>
      <c r="K490" s="13">
        <f t="shared" si="38"/>
        <v>0</v>
      </c>
      <c r="L490" s="54">
        <f>일위대가목록표!H487</f>
        <v>0</v>
      </c>
      <c r="M490" s="33">
        <f t="shared" si="39"/>
        <v>0</v>
      </c>
      <c r="N490" s="22" t="s">
        <v>4795</v>
      </c>
      <c r="O490" s="17" t="s">
        <v>4794</v>
      </c>
      <c r="P490" s="7" t="s">
        <v>4793</v>
      </c>
      <c r="Q490" s="7" t="s">
        <v>3344</v>
      </c>
      <c r="AC490" s="3" t="str">
        <f ca="1">HYPERLINK("#"&amp;일위대가목록표!J2&amp;"!A"&amp;ROW(일위대가목록표!A487),"대가484 →")</f>
        <v>대가484 →</v>
      </c>
    </row>
    <row r="491" spans="1:29" ht="30.6" customHeight="1" x14ac:dyDescent="0.3">
      <c r="A491" s="10"/>
      <c r="B491" s="10" t="s">
        <v>1216</v>
      </c>
      <c r="C491" s="41" t="s">
        <v>1053</v>
      </c>
      <c r="D491" s="43">
        <v>1</v>
      </c>
      <c r="E491" s="22" t="s">
        <v>1010</v>
      </c>
      <c r="F491" s="45">
        <f t="shared" si="35"/>
        <v>753775</v>
      </c>
      <c r="G491" s="48">
        <f t="shared" si="36"/>
        <v>753775</v>
      </c>
      <c r="H491" s="50">
        <f>일위대가목록표!F488</f>
        <v>100753</v>
      </c>
      <c r="I491" s="13">
        <f t="shared" si="37"/>
        <v>100753</v>
      </c>
      <c r="J491" s="52">
        <f>일위대가목록표!G488</f>
        <v>650000</v>
      </c>
      <c r="K491" s="13">
        <f t="shared" si="38"/>
        <v>650000</v>
      </c>
      <c r="L491" s="54">
        <f>일위대가목록표!H488</f>
        <v>3022</v>
      </c>
      <c r="M491" s="33">
        <f t="shared" si="39"/>
        <v>3022</v>
      </c>
      <c r="N491" s="22" t="s">
        <v>4798</v>
      </c>
      <c r="O491" s="17" t="s">
        <v>4797</v>
      </c>
      <c r="P491" s="7" t="s">
        <v>4796</v>
      </c>
      <c r="Q491" s="7" t="s">
        <v>3344</v>
      </c>
      <c r="AC491" s="3" t="str">
        <f ca="1">HYPERLINK("#"&amp;일위대가목록표!J2&amp;"!A"&amp;ROW(일위대가목록표!A488),"대가485 →")</f>
        <v>대가485 →</v>
      </c>
    </row>
    <row r="492" spans="1:29" ht="30.6" customHeight="1" x14ac:dyDescent="0.3">
      <c r="A492" s="10"/>
      <c r="B492" s="10" t="s">
        <v>1216</v>
      </c>
      <c r="C492" s="41" t="s">
        <v>1056</v>
      </c>
      <c r="D492" s="43">
        <v>0</v>
      </c>
      <c r="E492" s="22" t="s">
        <v>1010</v>
      </c>
      <c r="F492" s="45">
        <f t="shared" si="35"/>
        <v>1005668</v>
      </c>
      <c r="G492" s="48">
        <f t="shared" si="36"/>
        <v>0</v>
      </c>
      <c r="H492" s="50">
        <f>일위대가목록표!F489</f>
        <v>145668</v>
      </c>
      <c r="I492" s="13">
        <f t="shared" si="37"/>
        <v>0</v>
      </c>
      <c r="J492" s="52">
        <f>일위대가목록표!G489</f>
        <v>860000</v>
      </c>
      <c r="K492" s="13">
        <f t="shared" si="38"/>
        <v>0</v>
      </c>
      <c r="L492" s="54">
        <f>일위대가목록표!H489</f>
        <v>0</v>
      </c>
      <c r="M492" s="33">
        <f t="shared" si="39"/>
        <v>0</v>
      </c>
      <c r="N492" s="22" t="s">
        <v>4801</v>
      </c>
      <c r="O492" s="17" t="s">
        <v>4800</v>
      </c>
      <c r="P492" s="7" t="s">
        <v>4799</v>
      </c>
      <c r="Q492" s="7" t="s">
        <v>3344</v>
      </c>
      <c r="AC492" s="3" t="str">
        <f ca="1">HYPERLINK("#"&amp;일위대가목록표!J2&amp;"!A"&amp;ROW(일위대가목록표!A489),"대가486 →")</f>
        <v>대가486 →</v>
      </c>
    </row>
    <row r="493" spans="1:29" ht="30.6" customHeight="1" x14ac:dyDescent="0.3">
      <c r="A493" s="10"/>
      <c r="B493" s="10" t="s">
        <v>1216</v>
      </c>
      <c r="C493" s="41" t="s">
        <v>1059</v>
      </c>
      <c r="D493" s="43">
        <v>0</v>
      </c>
      <c r="E493" s="22" t="s">
        <v>1010</v>
      </c>
      <c r="F493" s="45">
        <f t="shared" si="35"/>
        <v>1669819</v>
      </c>
      <c r="G493" s="48">
        <f t="shared" si="36"/>
        <v>0</v>
      </c>
      <c r="H493" s="50">
        <f>일위대가목록표!F490</f>
        <v>189819</v>
      </c>
      <c r="I493" s="13">
        <f t="shared" si="37"/>
        <v>0</v>
      </c>
      <c r="J493" s="52">
        <f>일위대가목록표!G490</f>
        <v>1480000</v>
      </c>
      <c r="K493" s="13">
        <f t="shared" si="38"/>
        <v>0</v>
      </c>
      <c r="L493" s="54">
        <f>일위대가목록표!H490</f>
        <v>0</v>
      </c>
      <c r="M493" s="33">
        <f t="shared" si="39"/>
        <v>0</v>
      </c>
      <c r="N493" s="22" t="s">
        <v>4804</v>
      </c>
      <c r="O493" s="17" t="s">
        <v>4803</v>
      </c>
      <c r="P493" s="7" t="s">
        <v>4802</v>
      </c>
      <c r="Q493" s="7" t="s">
        <v>3344</v>
      </c>
      <c r="AC493" s="3" t="str">
        <f ca="1">HYPERLINK("#"&amp;일위대가목록표!J2&amp;"!A"&amp;ROW(일위대가목록표!A490),"대가487 →")</f>
        <v>대가487 →</v>
      </c>
    </row>
    <row r="494" spans="1:29" ht="30.6" customHeight="1" x14ac:dyDescent="0.3">
      <c r="A494" s="10"/>
      <c r="B494" s="10" t="s">
        <v>1216</v>
      </c>
      <c r="C494" s="41" t="s">
        <v>1062</v>
      </c>
      <c r="D494" s="43">
        <v>0</v>
      </c>
      <c r="E494" s="22" t="s">
        <v>1010</v>
      </c>
      <c r="F494" s="45">
        <f t="shared" si="35"/>
        <v>2296873</v>
      </c>
      <c r="G494" s="48">
        <f t="shared" si="36"/>
        <v>0</v>
      </c>
      <c r="H494" s="50">
        <f>일위대가목록표!F491</f>
        <v>246873</v>
      </c>
      <c r="I494" s="13">
        <f t="shared" si="37"/>
        <v>0</v>
      </c>
      <c r="J494" s="52">
        <f>일위대가목록표!G491</f>
        <v>2050000</v>
      </c>
      <c r="K494" s="13">
        <f t="shared" si="38"/>
        <v>0</v>
      </c>
      <c r="L494" s="54">
        <f>일위대가목록표!H491</f>
        <v>0</v>
      </c>
      <c r="M494" s="33">
        <f t="shared" si="39"/>
        <v>0</v>
      </c>
      <c r="N494" s="22" t="s">
        <v>4807</v>
      </c>
      <c r="O494" s="17" t="s">
        <v>4806</v>
      </c>
      <c r="P494" s="7" t="s">
        <v>4805</v>
      </c>
      <c r="Q494" s="7" t="s">
        <v>3344</v>
      </c>
      <c r="AC494" s="3" t="str">
        <f ca="1">HYPERLINK("#"&amp;일위대가목록표!J2&amp;"!A"&amp;ROW(일위대가목록표!A491),"대가488 →")</f>
        <v>대가488 →</v>
      </c>
    </row>
    <row r="495" spans="1:29" ht="30.6" customHeight="1" x14ac:dyDescent="0.3">
      <c r="A495" s="10"/>
      <c r="B495" s="10" t="s">
        <v>1216</v>
      </c>
      <c r="C495" s="41" t="s">
        <v>1065</v>
      </c>
      <c r="D495" s="43">
        <v>0</v>
      </c>
      <c r="E495" s="22" t="s">
        <v>1010</v>
      </c>
      <c r="F495" s="45">
        <f t="shared" si="35"/>
        <v>3876873</v>
      </c>
      <c r="G495" s="48">
        <f t="shared" si="36"/>
        <v>0</v>
      </c>
      <c r="H495" s="50">
        <f>일위대가목록표!F492</f>
        <v>246873</v>
      </c>
      <c r="I495" s="13">
        <f t="shared" si="37"/>
        <v>0</v>
      </c>
      <c r="J495" s="52">
        <f>일위대가목록표!G492</f>
        <v>3630000</v>
      </c>
      <c r="K495" s="13">
        <f t="shared" si="38"/>
        <v>0</v>
      </c>
      <c r="L495" s="54">
        <f>일위대가목록표!H492</f>
        <v>0</v>
      </c>
      <c r="M495" s="33">
        <f t="shared" si="39"/>
        <v>0</v>
      </c>
      <c r="N495" s="22" t="s">
        <v>4810</v>
      </c>
      <c r="O495" s="17" t="s">
        <v>4809</v>
      </c>
      <c r="P495" s="7" t="s">
        <v>4808</v>
      </c>
      <c r="Q495" s="7" t="s">
        <v>3344</v>
      </c>
      <c r="AC495" s="3" t="str">
        <f ca="1">HYPERLINK("#"&amp;일위대가목록표!J2&amp;"!A"&amp;ROW(일위대가목록표!A492),"대가489 →")</f>
        <v>대가489 →</v>
      </c>
    </row>
    <row r="496" spans="1:29" ht="30.6" customHeight="1" x14ac:dyDescent="0.3">
      <c r="A496" s="10"/>
      <c r="B496" s="10" t="s">
        <v>1229</v>
      </c>
      <c r="C496" s="41" t="s">
        <v>1050</v>
      </c>
      <c r="D496" s="43">
        <v>0</v>
      </c>
      <c r="E496" s="22" t="s">
        <v>1010</v>
      </c>
      <c r="F496" s="45">
        <f t="shared" si="35"/>
        <v>60695</v>
      </c>
      <c r="G496" s="48">
        <f t="shared" si="36"/>
        <v>0</v>
      </c>
      <c r="H496" s="50">
        <f>일위대가목록표!F493</f>
        <v>60695</v>
      </c>
      <c r="I496" s="13">
        <f t="shared" si="37"/>
        <v>0</v>
      </c>
      <c r="J496" s="52">
        <f>일위대가목록표!G493</f>
        <v>0</v>
      </c>
      <c r="K496" s="13">
        <f t="shared" si="38"/>
        <v>0</v>
      </c>
      <c r="L496" s="54">
        <f>일위대가목록표!H493</f>
        <v>0</v>
      </c>
      <c r="M496" s="33">
        <f t="shared" si="39"/>
        <v>0</v>
      </c>
      <c r="N496" s="22" t="s">
        <v>4813</v>
      </c>
      <c r="O496" s="17" t="s">
        <v>4812</v>
      </c>
      <c r="P496" s="7" t="s">
        <v>4811</v>
      </c>
      <c r="Q496" s="7" t="s">
        <v>3344</v>
      </c>
      <c r="AC496" s="3" t="str">
        <f ca="1">HYPERLINK("#"&amp;일위대가목록표!J2&amp;"!A"&amp;ROW(일위대가목록표!A493),"대가490 →")</f>
        <v>대가490 →</v>
      </c>
    </row>
    <row r="497" spans="1:29" ht="30.6" customHeight="1" x14ac:dyDescent="0.3">
      <c r="A497" s="10"/>
      <c r="B497" s="10" t="s">
        <v>1229</v>
      </c>
      <c r="C497" s="41" t="s">
        <v>1053</v>
      </c>
      <c r="D497" s="43">
        <v>0</v>
      </c>
      <c r="E497" s="22" t="s">
        <v>1010</v>
      </c>
      <c r="F497" s="45">
        <f t="shared" si="35"/>
        <v>103775</v>
      </c>
      <c r="G497" s="48">
        <f t="shared" si="36"/>
        <v>0</v>
      </c>
      <c r="H497" s="50">
        <f>일위대가목록표!F494</f>
        <v>100753</v>
      </c>
      <c r="I497" s="13">
        <f t="shared" si="37"/>
        <v>0</v>
      </c>
      <c r="J497" s="52">
        <f>일위대가목록표!G494</f>
        <v>0</v>
      </c>
      <c r="K497" s="13">
        <f t="shared" si="38"/>
        <v>0</v>
      </c>
      <c r="L497" s="54">
        <f>일위대가목록표!H494</f>
        <v>3022</v>
      </c>
      <c r="M497" s="33">
        <f t="shared" si="39"/>
        <v>0</v>
      </c>
      <c r="N497" s="22" t="s">
        <v>4816</v>
      </c>
      <c r="O497" s="17" t="s">
        <v>4815</v>
      </c>
      <c r="P497" s="7" t="s">
        <v>4814</v>
      </c>
      <c r="Q497" s="7" t="s">
        <v>3344</v>
      </c>
      <c r="AC497" s="3" t="str">
        <f ca="1">HYPERLINK("#"&amp;일위대가목록표!J2&amp;"!A"&amp;ROW(일위대가목록표!A494),"대가491 →")</f>
        <v>대가491 →</v>
      </c>
    </row>
    <row r="498" spans="1:29" ht="30.6" customHeight="1" x14ac:dyDescent="0.3">
      <c r="A498" s="10"/>
      <c r="B498" s="10" t="s">
        <v>1229</v>
      </c>
      <c r="C498" s="41" t="s">
        <v>1056</v>
      </c>
      <c r="D498" s="43">
        <v>0</v>
      </c>
      <c r="E498" s="22" t="s">
        <v>1010</v>
      </c>
      <c r="F498" s="45">
        <f t="shared" si="35"/>
        <v>145668</v>
      </c>
      <c r="G498" s="48">
        <f t="shared" si="36"/>
        <v>0</v>
      </c>
      <c r="H498" s="50">
        <f>일위대가목록표!F495</f>
        <v>145668</v>
      </c>
      <c r="I498" s="13">
        <f t="shared" si="37"/>
        <v>0</v>
      </c>
      <c r="J498" s="52">
        <f>일위대가목록표!G495</f>
        <v>0</v>
      </c>
      <c r="K498" s="13">
        <f t="shared" si="38"/>
        <v>0</v>
      </c>
      <c r="L498" s="54">
        <f>일위대가목록표!H495</f>
        <v>0</v>
      </c>
      <c r="M498" s="33">
        <f t="shared" si="39"/>
        <v>0</v>
      </c>
      <c r="N498" s="22" t="s">
        <v>4819</v>
      </c>
      <c r="O498" s="17" t="s">
        <v>4818</v>
      </c>
      <c r="P498" s="7" t="s">
        <v>4817</v>
      </c>
      <c r="Q498" s="7" t="s">
        <v>3344</v>
      </c>
      <c r="AC498" s="3" t="str">
        <f ca="1">HYPERLINK("#"&amp;일위대가목록표!J2&amp;"!A"&amp;ROW(일위대가목록표!A495),"대가492 →")</f>
        <v>대가492 →</v>
      </c>
    </row>
    <row r="499" spans="1:29" ht="30.6" customHeight="1" x14ac:dyDescent="0.3">
      <c r="A499" s="10"/>
      <c r="B499" s="10" t="s">
        <v>1229</v>
      </c>
      <c r="C499" s="41" t="s">
        <v>1059</v>
      </c>
      <c r="D499" s="43">
        <v>0</v>
      </c>
      <c r="E499" s="22" t="s">
        <v>1010</v>
      </c>
      <c r="F499" s="45">
        <f t="shared" si="35"/>
        <v>189819</v>
      </c>
      <c r="G499" s="48">
        <f t="shared" si="36"/>
        <v>0</v>
      </c>
      <c r="H499" s="50">
        <f>일위대가목록표!F496</f>
        <v>189819</v>
      </c>
      <c r="I499" s="13">
        <f t="shared" si="37"/>
        <v>0</v>
      </c>
      <c r="J499" s="52">
        <f>일위대가목록표!G496</f>
        <v>0</v>
      </c>
      <c r="K499" s="13">
        <f t="shared" si="38"/>
        <v>0</v>
      </c>
      <c r="L499" s="54">
        <f>일위대가목록표!H496</f>
        <v>0</v>
      </c>
      <c r="M499" s="33">
        <f t="shared" si="39"/>
        <v>0</v>
      </c>
      <c r="N499" s="22" t="s">
        <v>4822</v>
      </c>
      <c r="O499" s="17" t="s">
        <v>4821</v>
      </c>
      <c r="P499" s="7" t="s">
        <v>4820</v>
      </c>
      <c r="Q499" s="7" t="s">
        <v>3344</v>
      </c>
      <c r="AC499" s="3" t="str">
        <f ca="1">HYPERLINK("#"&amp;일위대가목록표!J2&amp;"!A"&amp;ROW(일위대가목록표!A496),"대가493 →")</f>
        <v>대가493 →</v>
      </c>
    </row>
    <row r="500" spans="1:29" ht="30.6" customHeight="1" x14ac:dyDescent="0.3">
      <c r="A500" s="10"/>
      <c r="B500" s="10" t="s">
        <v>1229</v>
      </c>
      <c r="C500" s="41" t="s">
        <v>1062</v>
      </c>
      <c r="D500" s="43">
        <v>0</v>
      </c>
      <c r="E500" s="22" t="s">
        <v>1010</v>
      </c>
      <c r="F500" s="45">
        <f t="shared" si="35"/>
        <v>246873</v>
      </c>
      <c r="G500" s="48">
        <f t="shared" si="36"/>
        <v>0</v>
      </c>
      <c r="H500" s="50">
        <f>일위대가목록표!F497</f>
        <v>246873</v>
      </c>
      <c r="I500" s="13">
        <f t="shared" si="37"/>
        <v>0</v>
      </c>
      <c r="J500" s="52">
        <f>일위대가목록표!G497</f>
        <v>0</v>
      </c>
      <c r="K500" s="13">
        <f t="shared" si="38"/>
        <v>0</v>
      </c>
      <c r="L500" s="54">
        <f>일위대가목록표!H497</f>
        <v>0</v>
      </c>
      <c r="M500" s="33">
        <f t="shared" si="39"/>
        <v>0</v>
      </c>
      <c r="N500" s="22" t="s">
        <v>4825</v>
      </c>
      <c r="O500" s="17" t="s">
        <v>4824</v>
      </c>
      <c r="P500" s="7" t="s">
        <v>4823</v>
      </c>
      <c r="Q500" s="7" t="s">
        <v>3344</v>
      </c>
      <c r="AC500" s="3" t="str">
        <f ca="1">HYPERLINK("#"&amp;일위대가목록표!J2&amp;"!A"&amp;ROW(일위대가목록표!A497),"대가494 →")</f>
        <v>대가494 →</v>
      </c>
    </row>
    <row r="501" spans="1:29" ht="30.6" customHeight="1" x14ac:dyDescent="0.3">
      <c r="A501" s="10"/>
      <c r="B501" s="10" t="s">
        <v>1229</v>
      </c>
      <c r="C501" s="41" t="s">
        <v>1065</v>
      </c>
      <c r="D501" s="43">
        <v>0</v>
      </c>
      <c r="E501" s="22" t="s">
        <v>1010</v>
      </c>
      <c r="F501" s="45">
        <f t="shared" si="35"/>
        <v>246873</v>
      </c>
      <c r="G501" s="48">
        <f t="shared" si="36"/>
        <v>0</v>
      </c>
      <c r="H501" s="50">
        <f>일위대가목록표!F498</f>
        <v>246873</v>
      </c>
      <c r="I501" s="13">
        <f t="shared" si="37"/>
        <v>0</v>
      </c>
      <c r="J501" s="52">
        <f>일위대가목록표!G498</f>
        <v>0</v>
      </c>
      <c r="K501" s="13">
        <f t="shared" si="38"/>
        <v>0</v>
      </c>
      <c r="L501" s="54">
        <f>일위대가목록표!H498</f>
        <v>0</v>
      </c>
      <c r="M501" s="33">
        <f t="shared" si="39"/>
        <v>0</v>
      </c>
      <c r="N501" s="22" t="s">
        <v>4828</v>
      </c>
      <c r="O501" s="17" t="s">
        <v>4827</v>
      </c>
      <c r="P501" s="7" t="s">
        <v>4826</v>
      </c>
      <c r="Q501" s="7" t="s">
        <v>3344</v>
      </c>
      <c r="AC501" s="3" t="str">
        <f ca="1">HYPERLINK("#"&amp;일위대가목록표!J2&amp;"!A"&amp;ROW(일위대가목록표!A498),"대가495 →")</f>
        <v>대가495 →</v>
      </c>
    </row>
    <row r="502" spans="1:29" ht="30.6" customHeight="1" x14ac:dyDescent="0.3">
      <c r="A502" s="10"/>
      <c r="B502" s="10" t="s">
        <v>1242</v>
      </c>
      <c r="C502" s="41" t="s">
        <v>1050</v>
      </c>
      <c r="D502" s="43">
        <v>0</v>
      </c>
      <c r="E502" s="22" t="s">
        <v>1010</v>
      </c>
      <c r="F502" s="45">
        <f t="shared" si="35"/>
        <v>43354</v>
      </c>
      <c r="G502" s="48">
        <f t="shared" si="36"/>
        <v>0</v>
      </c>
      <c r="H502" s="50">
        <f>일위대가목록표!F499</f>
        <v>43354</v>
      </c>
      <c r="I502" s="13">
        <f t="shared" si="37"/>
        <v>0</v>
      </c>
      <c r="J502" s="52">
        <f>일위대가목록표!G499</f>
        <v>0</v>
      </c>
      <c r="K502" s="13">
        <f t="shared" si="38"/>
        <v>0</v>
      </c>
      <c r="L502" s="54">
        <f>일위대가목록표!H499</f>
        <v>0</v>
      </c>
      <c r="M502" s="33">
        <f t="shared" si="39"/>
        <v>0</v>
      </c>
      <c r="N502" s="22" t="s">
        <v>4831</v>
      </c>
      <c r="O502" s="17" t="s">
        <v>4830</v>
      </c>
      <c r="P502" s="7" t="s">
        <v>4829</v>
      </c>
      <c r="Q502" s="7" t="s">
        <v>3344</v>
      </c>
      <c r="AC502" s="3" t="str">
        <f ca="1">HYPERLINK("#"&amp;일위대가목록표!J2&amp;"!A"&amp;ROW(일위대가목록표!A499),"대가496 →")</f>
        <v>대가496 →</v>
      </c>
    </row>
    <row r="503" spans="1:29" ht="30.6" customHeight="1" x14ac:dyDescent="0.3">
      <c r="A503" s="10"/>
      <c r="B503" s="10" t="s">
        <v>1242</v>
      </c>
      <c r="C503" s="41" t="s">
        <v>1053</v>
      </c>
      <c r="D503" s="43">
        <v>0</v>
      </c>
      <c r="E503" s="22" t="s">
        <v>1010</v>
      </c>
      <c r="F503" s="45">
        <f t="shared" si="35"/>
        <v>74126</v>
      </c>
      <c r="G503" s="48">
        <f t="shared" si="36"/>
        <v>0</v>
      </c>
      <c r="H503" s="50">
        <f>일위대가목록표!F500</f>
        <v>71967</v>
      </c>
      <c r="I503" s="13">
        <f t="shared" si="37"/>
        <v>0</v>
      </c>
      <c r="J503" s="52">
        <f>일위대가목록표!G500</f>
        <v>0</v>
      </c>
      <c r="K503" s="13">
        <f t="shared" si="38"/>
        <v>0</v>
      </c>
      <c r="L503" s="54">
        <f>일위대가목록표!H500</f>
        <v>2159</v>
      </c>
      <c r="M503" s="33">
        <f t="shared" si="39"/>
        <v>0</v>
      </c>
      <c r="N503" s="22" t="s">
        <v>4834</v>
      </c>
      <c r="O503" s="17" t="s">
        <v>4833</v>
      </c>
      <c r="P503" s="7" t="s">
        <v>4832</v>
      </c>
      <c r="Q503" s="7" t="s">
        <v>3344</v>
      </c>
      <c r="AC503" s="3" t="str">
        <f ca="1">HYPERLINK("#"&amp;일위대가목록표!J2&amp;"!A"&amp;ROW(일위대가목록표!A500),"대가497 →")</f>
        <v>대가497 →</v>
      </c>
    </row>
    <row r="504" spans="1:29" ht="30.6" customHeight="1" x14ac:dyDescent="0.3">
      <c r="A504" s="10"/>
      <c r="B504" s="10" t="s">
        <v>1242</v>
      </c>
      <c r="C504" s="41" t="s">
        <v>1056</v>
      </c>
      <c r="D504" s="43">
        <v>0</v>
      </c>
      <c r="E504" s="22" t="s">
        <v>1010</v>
      </c>
      <c r="F504" s="45">
        <f t="shared" si="35"/>
        <v>104049</v>
      </c>
      <c r="G504" s="48">
        <f t="shared" si="36"/>
        <v>0</v>
      </c>
      <c r="H504" s="50">
        <f>일위대가목록표!F501</f>
        <v>104049</v>
      </c>
      <c r="I504" s="13">
        <f t="shared" si="37"/>
        <v>0</v>
      </c>
      <c r="J504" s="52">
        <f>일위대가목록표!G501</f>
        <v>0</v>
      </c>
      <c r="K504" s="13">
        <f t="shared" si="38"/>
        <v>0</v>
      </c>
      <c r="L504" s="54">
        <f>일위대가목록표!H501</f>
        <v>0</v>
      </c>
      <c r="M504" s="33">
        <f t="shared" si="39"/>
        <v>0</v>
      </c>
      <c r="N504" s="22" t="s">
        <v>4837</v>
      </c>
      <c r="O504" s="17" t="s">
        <v>4836</v>
      </c>
      <c r="P504" s="7" t="s">
        <v>4835</v>
      </c>
      <c r="Q504" s="7" t="s">
        <v>3344</v>
      </c>
      <c r="AC504" s="3" t="str">
        <f ca="1">HYPERLINK("#"&amp;일위대가목록표!J2&amp;"!A"&amp;ROW(일위대가목록표!A501),"대가498 →")</f>
        <v>대가498 →</v>
      </c>
    </row>
    <row r="505" spans="1:29" ht="30.6" customHeight="1" x14ac:dyDescent="0.3">
      <c r="A505" s="10"/>
      <c r="B505" s="10" t="s">
        <v>1242</v>
      </c>
      <c r="C505" s="41" t="s">
        <v>1059</v>
      </c>
      <c r="D505" s="43">
        <v>0</v>
      </c>
      <c r="E505" s="22" t="s">
        <v>1010</v>
      </c>
      <c r="F505" s="45">
        <f t="shared" si="35"/>
        <v>135585</v>
      </c>
      <c r="G505" s="48">
        <f t="shared" si="36"/>
        <v>0</v>
      </c>
      <c r="H505" s="50">
        <f>일위대가목록표!F502</f>
        <v>135585</v>
      </c>
      <c r="I505" s="13">
        <f t="shared" si="37"/>
        <v>0</v>
      </c>
      <c r="J505" s="52">
        <f>일위대가목록표!G502</f>
        <v>0</v>
      </c>
      <c r="K505" s="13">
        <f t="shared" si="38"/>
        <v>0</v>
      </c>
      <c r="L505" s="54">
        <f>일위대가목록표!H502</f>
        <v>0</v>
      </c>
      <c r="M505" s="33">
        <f t="shared" si="39"/>
        <v>0</v>
      </c>
      <c r="N505" s="22" t="s">
        <v>4840</v>
      </c>
      <c r="O505" s="17" t="s">
        <v>4839</v>
      </c>
      <c r="P505" s="7" t="s">
        <v>4838</v>
      </c>
      <c r="Q505" s="7" t="s">
        <v>3344</v>
      </c>
      <c r="AC505" s="3" t="str">
        <f ca="1">HYPERLINK("#"&amp;일위대가목록표!J2&amp;"!A"&amp;ROW(일위대가목록표!A502),"대가499 →")</f>
        <v>대가499 →</v>
      </c>
    </row>
    <row r="506" spans="1:29" ht="30.6" customHeight="1" x14ac:dyDescent="0.3">
      <c r="A506" s="10"/>
      <c r="B506" s="10" t="s">
        <v>1242</v>
      </c>
      <c r="C506" s="41" t="s">
        <v>1062</v>
      </c>
      <c r="D506" s="43">
        <v>0</v>
      </c>
      <c r="E506" s="22" t="s">
        <v>1010</v>
      </c>
      <c r="F506" s="45">
        <f t="shared" si="35"/>
        <v>176338</v>
      </c>
      <c r="G506" s="48">
        <f t="shared" si="36"/>
        <v>0</v>
      </c>
      <c r="H506" s="50">
        <f>일위대가목록표!F503</f>
        <v>176338</v>
      </c>
      <c r="I506" s="13">
        <f t="shared" si="37"/>
        <v>0</v>
      </c>
      <c r="J506" s="52">
        <f>일위대가목록표!G503</f>
        <v>0</v>
      </c>
      <c r="K506" s="13">
        <f t="shared" si="38"/>
        <v>0</v>
      </c>
      <c r="L506" s="54">
        <f>일위대가목록표!H503</f>
        <v>0</v>
      </c>
      <c r="M506" s="33">
        <f t="shared" si="39"/>
        <v>0</v>
      </c>
      <c r="N506" s="22" t="s">
        <v>4843</v>
      </c>
      <c r="O506" s="17" t="s">
        <v>4842</v>
      </c>
      <c r="P506" s="7" t="s">
        <v>4841</v>
      </c>
      <c r="Q506" s="7" t="s">
        <v>3344</v>
      </c>
      <c r="AC506" s="3" t="str">
        <f ca="1">HYPERLINK("#"&amp;일위대가목록표!J2&amp;"!A"&amp;ROW(일위대가목록표!A503),"대가500 →")</f>
        <v>대가500 →</v>
      </c>
    </row>
    <row r="507" spans="1:29" ht="30.6" customHeight="1" x14ac:dyDescent="0.3">
      <c r="A507" s="10"/>
      <c r="B507" s="10" t="s">
        <v>1242</v>
      </c>
      <c r="C507" s="41" t="s">
        <v>1065</v>
      </c>
      <c r="D507" s="43">
        <v>0</v>
      </c>
      <c r="E507" s="22" t="s">
        <v>1010</v>
      </c>
      <c r="F507" s="45">
        <f t="shared" si="35"/>
        <v>176338</v>
      </c>
      <c r="G507" s="48">
        <f t="shared" si="36"/>
        <v>0</v>
      </c>
      <c r="H507" s="50">
        <f>일위대가목록표!F504</f>
        <v>176338</v>
      </c>
      <c r="I507" s="13">
        <f t="shared" si="37"/>
        <v>0</v>
      </c>
      <c r="J507" s="52">
        <f>일위대가목록표!G504</f>
        <v>0</v>
      </c>
      <c r="K507" s="13">
        <f t="shared" si="38"/>
        <v>0</v>
      </c>
      <c r="L507" s="54">
        <f>일위대가목록표!H504</f>
        <v>0</v>
      </c>
      <c r="M507" s="33">
        <f t="shared" si="39"/>
        <v>0</v>
      </c>
      <c r="N507" s="22" t="s">
        <v>4846</v>
      </c>
      <c r="O507" s="17" t="s">
        <v>4845</v>
      </c>
      <c r="P507" s="7" t="s">
        <v>4844</v>
      </c>
      <c r="Q507" s="7" t="s">
        <v>3344</v>
      </c>
      <c r="AC507" s="3" t="str">
        <f ca="1">HYPERLINK("#"&amp;일위대가목록표!J2&amp;"!A"&amp;ROW(일위대가목록표!A504),"대가501 →")</f>
        <v>대가501 →</v>
      </c>
    </row>
    <row r="508" spans="1:29" ht="30.6" customHeight="1" x14ac:dyDescent="0.3">
      <c r="A508" s="10"/>
      <c r="B508" s="10" t="s">
        <v>1255</v>
      </c>
      <c r="C508" s="41" t="s">
        <v>1050</v>
      </c>
      <c r="D508" s="43">
        <v>0</v>
      </c>
      <c r="E508" s="22" t="s">
        <v>1010</v>
      </c>
      <c r="F508" s="45">
        <f t="shared" si="35"/>
        <v>17341</v>
      </c>
      <c r="G508" s="48">
        <f t="shared" si="36"/>
        <v>0</v>
      </c>
      <c r="H508" s="50">
        <f>일위대가목록표!F505</f>
        <v>17341</v>
      </c>
      <c r="I508" s="13">
        <f t="shared" si="37"/>
        <v>0</v>
      </c>
      <c r="J508" s="52">
        <f>일위대가목록표!G505</f>
        <v>0</v>
      </c>
      <c r="K508" s="13">
        <f t="shared" si="38"/>
        <v>0</v>
      </c>
      <c r="L508" s="54">
        <f>일위대가목록표!H505</f>
        <v>0</v>
      </c>
      <c r="M508" s="33">
        <f t="shared" si="39"/>
        <v>0</v>
      </c>
      <c r="N508" s="22" t="s">
        <v>4849</v>
      </c>
      <c r="O508" s="17" t="s">
        <v>4848</v>
      </c>
      <c r="P508" s="7" t="s">
        <v>4847</v>
      </c>
      <c r="Q508" s="7" t="s">
        <v>3344</v>
      </c>
      <c r="AC508" s="3" t="str">
        <f ca="1">HYPERLINK("#"&amp;일위대가목록표!J2&amp;"!A"&amp;ROW(일위대가목록표!A505),"대가502 →")</f>
        <v>대가502 →</v>
      </c>
    </row>
    <row r="509" spans="1:29" ht="30.6" customHeight="1" x14ac:dyDescent="0.3">
      <c r="A509" s="10"/>
      <c r="B509" s="10" t="s">
        <v>1255</v>
      </c>
      <c r="C509" s="41" t="s">
        <v>1053</v>
      </c>
      <c r="D509" s="43">
        <v>0</v>
      </c>
      <c r="E509" s="22" t="s">
        <v>1010</v>
      </c>
      <c r="F509" s="45">
        <f t="shared" si="35"/>
        <v>29649</v>
      </c>
      <c r="G509" s="48">
        <f t="shared" si="36"/>
        <v>0</v>
      </c>
      <c r="H509" s="50">
        <f>일위대가목록표!F506</f>
        <v>28786</v>
      </c>
      <c r="I509" s="13">
        <f t="shared" si="37"/>
        <v>0</v>
      </c>
      <c r="J509" s="52">
        <f>일위대가목록표!G506</f>
        <v>0</v>
      </c>
      <c r="K509" s="13">
        <f t="shared" si="38"/>
        <v>0</v>
      </c>
      <c r="L509" s="54">
        <f>일위대가목록표!H506</f>
        <v>863</v>
      </c>
      <c r="M509" s="33">
        <f t="shared" si="39"/>
        <v>0</v>
      </c>
      <c r="N509" s="22" t="s">
        <v>4852</v>
      </c>
      <c r="O509" s="17" t="s">
        <v>4851</v>
      </c>
      <c r="P509" s="7" t="s">
        <v>4850</v>
      </c>
      <c r="Q509" s="7" t="s">
        <v>3344</v>
      </c>
      <c r="AC509" s="3" t="str">
        <f ca="1">HYPERLINK("#"&amp;일위대가목록표!J2&amp;"!A"&amp;ROW(일위대가목록표!A506),"대가503 →")</f>
        <v>대가503 →</v>
      </c>
    </row>
    <row r="510" spans="1:29" ht="30.6" customHeight="1" x14ac:dyDescent="0.3">
      <c r="A510" s="10"/>
      <c r="B510" s="10" t="s">
        <v>1255</v>
      </c>
      <c r="C510" s="41" t="s">
        <v>1056</v>
      </c>
      <c r="D510" s="43">
        <v>0</v>
      </c>
      <c r="E510" s="22" t="s">
        <v>1010</v>
      </c>
      <c r="F510" s="45">
        <f t="shared" si="35"/>
        <v>41619</v>
      </c>
      <c r="G510" s="48">
        <f t="shared" si="36"/>
        <v>0</v>
      </c>
      <c r="H510" s="50">
        <f>일위대가목록표!F507</f>
        <v>41619</v>
      </c>
      <c r="I510" s="13">
        <f t="shared" si="37"/>
        <v>0</v>
      </c>
      <c r="J510" s="52">
        <f>일위대가목록표!G507</f>
        <v>0</v>
      </c>
      <c r="K510" s="13">
        <f t="shared" si="38"/>
        <v>0</v>
      </c>
      <c r="L510" s="54">
        <f>일위대가목록표!H507</f>
        <v>0</v>
      </c>
      <c r="M510" s="33">
        <f t="shared" si="39"/>
        <v>0</v>
      </c>
      <c r="N510" s="22" t="s">
        <v>4855</v>
      </c>
      <c r="O510" s="17" t="s">
        <v>4854</v>
      </c>
      <c r="P510" s="7" t="s">
        <v>4853</v>
      </c>
      <c r="Q510" s="7" t="s">
        <v>3344</v>
      </c>
      <c r="AC510" s="3" t="str">
        <f ca="1">HYPERLINK("#"&amp;일위대가목록표!J2&amp;"!A"&amp;ROW(일위대가목록표!A507),"대가504 →")</f>
        <v>대가504 →</v>
      </c>
    </row>
    <row r="511" spans="1:29" ht="30.6" customHeight="1" x14ac:dyDescent="0.3">
      <c r="A511" s="10"/>
      <c r="B511" s="10" t="s">
        <v>1255</v>
      </c>
      <c r="C511" s="41" t="s">
        <v>1059</v>
      </c>
      <c r="D511" s="43">
        <v>0</v>
      </c>
      <c r="E511" s="22" t="s">
        <v>1010</v>
      </c>
      <c r="F511" s="45">
        <f t="shared" si="35"/>
        <v>54234</v>
      </c>
      <c r="G511" s="48">
        <f t="shared" si="36"/>
        <v>0</v>
      </c>
      <c r="H511" s="50">
        <f>일위대가목록표!F508</f>
        <v>54234</v>
      </c>
      <c r="I511" s="13">
        <f t="shared" si="37"/>
        <v>0</v>
      </c>
      <c r="J511" s="52">
        <f>일위대가목록표!G508</f>
        <v>0</v>
      </c>
      <c r="K511" s="13">
        <f t="shared" si="38"/>
        <v>0</v>
      </c>
      <c r="L511" s="54">
        <f>일위대가목록표!H508</f>
        <v>0</v>
      </c>
      <c r="M511" s="33">
        <f t="shared" si="39"/>
        <v>0</v>
      </c>
      <c r="N511" s="22" t="s">
        <v>4858</v>
      </c>
      <c r="O511" s="17" t="s">
        <v>4857</v>
      </c>
      <c r="P511" s="7" t="s">
        <v>4856</v>
      </c>
      <c r="Q511" s="7" t="s">
        <v>3344</v>
      </c>
      <c r="AC511" s="3" t="str">
        <f ca="1">HYPERLINK("#"&amp;일위대가목록표!J2&amp;"!A"&amp;ROW(일위대가목록표!A508),"대가505 →")</f>
        <v>대가505 →</v>
      </c>
    </row>
    <row r="512" spans="1:29" ht="30.6" customHeight="1" x14ac:dyDescent="0.3">
      <c r="A512" s="10"/>
      <c r="B512" s="10" t="s">
        <v>1255</v>
      </c>
      <c r="C512" s="41" t="s">
        <v>1062</v>
      </c>
      <c r="D512" s="43">
        <v>0</v>
      </c>
      <c r="E512" s="22" t="s">
        <v>1010</v>
      </c>
      <c r="F512" s="45">
        <f t="shared" si="35"/>
        <v>70535</v>
      </c>
      <c r="G512" s="48">
        <f t="shared" si="36"/>
        <v>0</v>
      </c>
      <c r="H512" s="50">
        <f>일위대가목록표!F509</f>
        <v>70535</v>
      </c>
      <c r="I512" s="13">
        <f t="shared" si="37"/>
        <v>0</v>
      </c>
      <c r="J512" s="52">
        <f>일위대가목록표!G509</f>
        <v>0</v>
      </c>
      <c r="K512" s="13">
        <f t="shared" si="38"/>
        <v>0</v>
      </c>
      <c r="L512" s="54">
        <f>일위대가목록표!H509</f>
        <v>0</v>
      </c>
      <c r="M512" s="33">
        <f t="shared" si="39"/>
        <v>0</v>
      </c>
      <c r="N512" s="22" t="s">
        <v>4861</v>
      </c>
      <c r="O512" s="17" t="s">
        <v>4860</v>
      </c>
      <c r="P512" s="7" t="s">
        <v>4859</v>
      </c>
      <c r="Q512" s="7" t="s">
        <v>3344</v>
      </c>
      <c r="AC512" s="3" t="str">
        <f ca="1">HYPERLINK("#"&amp;일위대가목록표!J2&amp;"!A"&amp;ROW(일위대가목록표!A509),"대가506 →")</f>
        <v>대가506 →</v>
      </c>
    </row>
    <row r="513" spans="1:29" ht="30.6" customHeight="1" x14ac:dyDescent="0.3">
      <c r="A513" s="10"/>
      <c r="B513" s="10" t="s">
        <v>1255</v>
      </c>
      <c r="C513" s="41" t="s">
        <v>1065</v>
      </c>
      <c r="D513" s="43">
        <v>0</v>
      </c>
      <c r="E513" s="22" t="s">
        <v>1010</v>
      </c>
      <c r="F513" s="45">
        <f t="shared" si="35"/>
        <v>70535</v>
      </c>
      <c r="G513" s="48">
        <f t="shared" si="36"/>
        <v>0</v>
      </c>
      <c r="H513" s="50">
        <f>일위대가목록표!F510</f>
        <v>70535</v>
      </c>
      <c r="I513" s="13">
        <f t="shared" si="37"/>
        <v>0</v>
      </c>
      <c r="J513" s="52">
        <f>일위대가목록표!G510</f>
        <v>0</v>
      </c>
      <c r="K513" s="13">
        <f t="shared" si="38"/>
        <v>0</v>
      </c>
      <c r="L513" s="54">
        <f>일위대가목록표!H510</f>
        <v>0</v>
      </c>
      <c r="M513" s="33">
        <f t="shared" si="39"/>
        <v>0</v>
      </c>
      <c r="N513" s="22" t="s">
        <v>4864</v>
      </c>
      <c r="O513" s="17" t="s">
        <v>4863</v>
      </c>
      <c r="P513" s="7" t="s">
        <v>4862</v>
      </c>
      <c r="Q513" s="7" t="s">
        <v>3344</v>
      </c>
      <c r="AC513" s="3" t="str">
        <f ca="1">HYPERLINK("#"&amp;일위대가목록표!J2&amp;"!A"&amp;ROW(일위대가목록표!A510),"대가507 →")</f>
        <v>대가507 →</v>
      </c>
    </row>
    <row r="514" spans="1:29" ht="30.6" customHeight="1" x14ac:dyDescent="0.3">
      <c r="A514" s="10"/>
      <c r="B514" s="10" t="s">
        <v>1268</v>
      </c>
      <c r="C514" s="41" t="s">
        <v>1269</v>
      </c>
      <c r="D514" s="43">
        <v>0</v>
      </c>
      <c r="E514" s="22" t="s">
        <v>1010</v>
      </c>
      <c r="F514" s="45">
        <f t="shared" si="35"/>
        <v>175395</v>
      </c>
      <c r="G514" s="48">
        <f t="shared" si="36"/>
        <v>0</v>
      </c>
      <c r="H514" s="50">
        <f>일위대가목록표!F511</f>
        <v>60695</v>
      </c>
      <c r="I514" s="13">
        <f t="shared" si="37"/>
        <v>0</v>
      </c>
      <c r="J514" s="52">
        <f>일위대가목록표!G511</f>
        <v>114700</v>
      </c>
      <c r="K514" s="13">
        <f t="shared" si="38"/>
        <v>0</v>
      </c>
      <c r="L514" s="54">
        <f>일위대가목록표!H511</f>
        <v>0</v>
      </c>
      <c r="M514" s="33">
        <f t="shared" si="39"/>
        <v>0</v>
      </c>
      <c r="N514" s="22" t="s">
        <v>4867</v>
      </c>
      <c r="O514" s="17" t="s">
        <v>4866</v>
      </c>
      <c r="P514" s="7" t="s">
        <v>4865</v>
      </c>
      <c r="Q514" s="7" t="s">
        <v>3344</v>
      </c>
      <c r="AC514" s="3" t="str">
        <f ca="1">HYPERLINK("#"&amp;일위대가목록표!J2&amp;"!A"&amp;ROW(일위대가목록표!A511),"대가508 →")</f>
        <v>대가508 →</v>
      </c>
    </row>
    <row r="515" spans="1:29" ht="30.6" customHeight="1" x14ac:dyDescent="0.3">
      <c r="A515" s="10"/>
      <c r="B515" s="10" t="s">
        <v>1268</v>
      </c>
      <c r="C515" s="41" t="s">
        <v>1272</v>
      </c>
      <c r="D515" s="43">
        <v>0</v>
      </c>
      <c r="E515" s="22" t="s">
        <v>1010</v>
      </c>
      <c r="F515" s="45">
        <f t="shared" si="35"/>
        <v>252675</v>
      </c>
      <c r="G515" s="48">
        <f t="shared" si="36"/>
        <v>0</v>
      </c>
      <c r="H515" s="50">
        <f>일위대가목록표!F512</f>
        <v>100753</v>
      </c>
      <c r="I515" s="13">
        <f t="shared" si="37"/>
        <v>0</v>
      </c>
      <c r="J515" s="52">
        <f>일위대가목록표!G512</f>
        <v>148900</v>
      </c>
      <c r="K515" s="13">
        <f t="shared" si="38"/>
        <v>0</v>
      </c>
      <c r="L515" s="54">
        <f>일위대가목록표!H512</f>
        <v>3022</v>
      </c>
      <c r="M515" s="33">
        <f t="shared" si="39"/>
        <v>0</v>
      </c>
      <c r="N515" s="22" t="s">
        <v>4870</v>
      </c>
      <c r="O515" s="17" t="s">
        <v>4869</v>
      </c>
      <c r="P515" s="7" t="s">
        <v>4868</v>
      </c>
      <c r="Q515" s="7" t="s">
        <v>3344</v>
      </c>
      <c r="AC515" s="3" t="str">
        <f ca="1">HYPERLINK("#"&amp;일위대가목록표!J2&amp;"!A"&amp;ROW(일위대가목록표!A512),"대가509 →")</f>
        <v>대가509 →</v>
      </c>
    </row>
    <row r="516" spans="1:29" ht="30.6" customHeight="1" x14ac:dyDescent="0.3">
      <c r="A516" s="10"/>
      <c r="B516" s="10" t="s">
        <v>1268</v>
      </c>
      <c r="C516" s="41" t="s">
        <v>1275</v>
      </c>
      <c r="D516" s="43">
        <v>0</v>
      </c>
      <c r="E516" s="22" t="s">
        <v>1010</v>
      </c>
      <c r="F516" s="45">
        <f t="shared" si="35"/>
        <v>400168</v>
      </c>
      <c r="G516" s="48">
        <f t="shared" si="36"/>
        <v>0</v>
      </c>
      <c r="H516" s="50">
        <f>일위대가목록표!F513</f>
        <v>145668</v>
      </c>
      <c r="I516" s="13">
        <f t="shared" si="37"/>
        <v>0</v>
      </c>
      <c r="J516" s="52">
        <f>일위대가목록표!G513</f>
        <v>254500</v>
      </c>
      <c r="K516" s="13">
        <f t="shared" si="38"/>
        <v>0</v>
      </c>
      <c r="L516" s="54">
        <f>일위대가목록표!H513</f>
        <v>0</v>
      </c>
      <c r="M516" s="33">
        <f t="shared" si="39"/>
        <v>0</v>
      </c>
      <c r="N516" s="22" t="s">
        <v>4873</v>
      </c>
      <c r="O516" s="17" t="s">
        <v>4872</v>
      </c>
      <c r="P516" s="7" t="s">
        <v>4871</v>
      </c>
      <c r="Q516" s="7" t="s">
        <v>3344</v>
      </c>
      <c r="AC516" s="3" t="str">
        <f ca="1">HYPERLINK("#"&amp;일위대가목록표!J2&amp;"!A"&amp;ROW(일위대가목록표!A513),"대가510 →")</f>
        <v>대가510 →</v>
      </c>
    </row>
    <row r="517" spans="1:29" ht="30.6" customHeight="1" x14ac:dyDescent="0.3">
      <c r="A517" s="10"/>
      <c r="B517" s="10" t="s">
        <v>1268</v>
      </c>
      <c r="C517" s="41" t="s">
        <v>1278</v>
      </c>
      <c r="D517" s="43">
        <v>0</v>
      </c>
      <c r="E517" s="22" t="s">
        <v>1010</v>
      </c>
      <c r="F517" s="45">
        <f t="shared" si="35"/>
        <v>608719</v>
      </c>
      <c r="G517" s="48">
        <f t="shared" si="36"/>
        <v>0</v>
      </c>
      <c r="H517" s="50">
        <f>일위대가목록표!F514</f>
        <v>189819</v>
      </c>
      <c r="I517" s="13">
        <f t="shared" si="37"/>
        <v>0</v>
      </c>
      <c r="J517" s="52">
        <f>일위대가목록표!G514</f>
        <v>418900</v>
      </c>
      <c r="K517" s="13">
        <f t="shared" si="38"/>
        <v>0</v>
      </c>
      <c r="L517" s="54">
        <f>일위대가목록표!H514</f>
        <v>0</v>
      </c>
      <c r="M517" s="33">
        <f t="shared" si="39"/>
        <v>0</v>
      </c>
      <c r="N517" s="22" t="s">
        <v>4876</v>
      </c>
      <c r="O517" s="17" t="s">
        <v>4875</v>
      </c>
      <c r="P517" s="7" t="s">
        <v>4874</v>
      </c>
      <c r="Q517" s="7" t="s">
        <v>3344</v>
      </c>
      <c r="AC517" s="3" t="str">
        <f ca="1">HYPERLINK("#"&amp;일위대가목록표!J2&amp;"!A"&amp;ROW(일위대가목록표!A514),"대가511 →")</f>
        <v>대가511 →</v>
      </c>
    </row>
    <row r="518" spans="1:29" ht="30.6" customHeight="1" x14ac:dyDescent="0.3">
      <c r="A518" s="10"/>
      <c r="B518" s="10" t="s">
        <v>1268</v>
      </c>
      <c r="C518" s="41" t="s">
        <v>1281</v>
      </c>
      <c r="D518" s="43">
        <v>0</v>
      </c>
      <c r="E518" s="22" t="s">
        <v>1010</v>
      </c>
      <c r="F518" s="45">
        <f t="shared" si="35"/>
        <v>897173</v>
      </c>
      <c r="G518" s="48">
        <f t="shared" si="36"/>
        <v>0</v>
      </c>
      <c r="H518" s="50">
        <f>일위대가목록표!F515</f>
        <v>246873</v>
      </c>
      <c r="I518" s="13">
        <f t="shared" si="37"/>
        <v>0</v>
      </c>
      <c r="J518" s="52">
        <f>일위대가목록표!G515</f>
        <v>650300</v>
      </c>
      <c r="K518" s="13">
        <f t="shared" si="38"/>
        <v>0</v>
      </c>
      <c r="L518" s="54">
        <f>일위대가목록표!H515</f>
        <v>0</v>
      </c>
      <c r="M518" s="33">
        <f t="shared" si="39"/>
        <v>0</v>
      </c>
      <c r="N518" s="22" t="s">
        <v>4879</v>
      </c>
      <c r="O518" s="17" t="s">
        <v>4878</v>
      </c>
      <c r="P518" s="7" t="s">
        <v>4877</v>
      </c>
      <c r="Q518" s="7" t="s">
        <v>3344</v>
      </c>
      <c r="AC518" s="3" t="str">
        <f ca="1">HYPERLINK("#"&amp;일위대가목록표!J2&amp;"!A"&amp;ROW(일위대가목록표!A515),"대가512 →")</f>
        <v>대가512 →</v>
      </c>
    </row>
    <row r="519" spans="1:29" ht="30.6" customHeight="1" x14ac:dyDescent="0.3">
      <c r="A519" s="10"/>
      <c r="B519" s="10" t="s">
        <v>1284</v>
      </c>
      <c r="C519" s="41" t="s">
        <v>1269</v>
      </c>
      <c r="D519" s="43">
        <v>0</v>
      </c>
      <c r="E519" s="22" t="s">
        <v>1010</v>
      </c>
      <c r="F519" s="45">
        <f t="shared" ref="F519:F582" si="40">J519+H519+L519</f>
        <v>60695</v>
      </c>
      <c r="G519" s="48">
        <f t="shared" ref="G519:G582" si="41">K519+I519+M519</f>
        <v>0</v>
      </c>
      <c r="H519" s="50">
        <f>일위대가목록표!F516</f>
        <v>60695</v>
      </c>
      <c r="I519" s="13">
        <f t="shared" ref="I519:I582" si="42">ROUNDDOWN(H519*D519,0)</f>
        <v>0</v>
      </c>
      <c r="J519" s="52">
        <f>일위대가목록표!G516</f>
        <v>0</v>
      </c>
      <c r="K519" s="13">
        <f t="shared" ref="K519:K582" si="43">ROUNDDOWN(J519*D519,0)</f>
        <v>0</v>
      </c>
      <c r="L519" s="54">
        <f>일위대가목록표!H516</f>
        <v>0</v>
      </c>
      <c r="M519" s="33">
        <f t="shared" ref="M519:M582" si="44">ROUNDDOWN(L519*D519,0)</f>
        <v>0</v>
      </c>
      <c r="N519" s="22" t="s">
        <v>4882</v>
      </c>
      <c r="O519" s="17" t="s">
        <v>4881</v>
      </c>
      <c r="P519" s="7" t="s">
        <v>4880</v>
      </c>
      <c r="Q519" s="7" t="s">
        <v>3344</v>
      </c>
      <c r="AC519" s="3" t="str">
        <f ca="1">HYPERLINK("#"&amp;일위대가목록표!J2&amp;"!A"&amp;ROW(일위대가목록표!A516),"대가513 →")</f>
        <v>대가513 →</v>
      </c>
    </row>
    <row r="520" spans="1:29" ht="30.6" customHeight="1" x14ac:dyDescent="0.3">
      <c r="A520" s="10"/>
      <c r="B520" s="10" t="s">
        <v>1284</v>
      </c>
      <c r="C520" s="41" t="s">
        <v>1272</v>
      </c>
      <c r="D520" s="43">
        <v>0</v>
      </c>
      <c r="E520" s="22" t="s">
        <v>1010</v>
      </c>
      <c r="F520" s="45">
        <f t="shared" si="40"/>
        <v>103775</v>
      </c>
      <c r="G520" s="48">
        <f t="shared" si="41"/>
        <v>0</v>
      </c>
      <c r="H520" s="50">
        <f>일위대가목록표!F517</f>
        <v>100753</v>
      </c>
      <c r="I520" s="13">
        <f t="shared" si="42"/>
        <v>0</v>
      </c>
      <c r="J520" s="52">
        <f>일위대가목록표!G517</f>
        <v>0</v>
      </c>
      <c r="K520" s="13">
        <f t="shared" si="43"/>
        <v>0</v>
      </c>
      <c r="L520" s="54">
        <f>일위대가목록표!H517</f>
        <v>3022</v>
      </c>
      <c r="M520" s="33">
        <f t="shared" si="44"/>
        <v>0</v>
      </c>
      <c r="N520" s="22" t="s">
        <v>4885</v>
      </c>
      <c r="O520" s="17" t="s">
        <v>4884</v>
      </c>
      <c r="P520" s="7" t="s">
        <v>4883</v>
      </c>
      <c r="Q520" s="7" t="s">
        <v>3344</v>
      </c>
      <c r="AC520" s="3" t="str">
        <f ca="1">HYPERLINK("#"&amp;일위대가목록표!J2&amp;"!A"&amp;ROW(일위대가목록표!A517),"대가514 →")</f>
        <v>대가514 →</v>
      </c>
    </row>
    <row r="521" spans="1:29" ht="30.6" customHeight="1" x14ac:dyDescent="0.3">
      <c r="A521" s="10"/>
      <c r="B521" s="10" t="s">
        <v>1284</v>
      </c>
      <c r="C521" s="41" t="s">
        <v>1275</v>
      </c>
      <c r="D521" s="43">
        <v>1</v>
      </c>
      <c r="E521" s="22" t="s">
        <v>1010</v>
      </c>
      <c r="F521" s="45">
        <f t="shared" si="40"/>
        <v>145668</v>
      </c>
      <c r="G521" s="48">
        <f t="shared" si="41"/>
        <v>145668</v>
      </c>
      <c r="H521" s="50">
        <f>일위대가목록표!F518</f>
        <v>145668</v>
      </c>
      <c r="I521" s="13">
        <f t="shared" si="42"/>
        <v>145668</v>
      </c>
      <c r="J521" s="52">
        <f>일위대가목록표!G518</f>
        <v>0</v>
      </c>
      <c r="K521" s="13">
        <f t="shared" si="43"/>
        <v>0</v>
      </c>
      <c r="L521" s="54">
        <f>일위대가목록표!H518</f>
        <v>0</v>
      </c>
      <c r="M521" s="33">
        <f t="shared" si="44"/>
        <v>0</v>
      </c>
      <c r="N521" s="22" t="s">
        <v>4888</v>
      </c>
      <c r="O521" s="17" t="s">
        <v>4887</v>
      </c>
      <c r="P521" s="7" t="s">
        <v>4886</v>
      </c>
      <c r="Q521" s="7" t="s">
        <v>3344</v>
      </c>
      <c r="AC521" s="3" t="str">
        <f ca="1">HYPERLINK("#"&amp;일위대가목록표!J2&amp;"!A"&amp;ROW(일위대가목록표!A518),"대가515 →")</f>
        <v>대가515 →</v>
      </c>
    </row>
    <row r="522" spans="1:29" ht="30.6" customHeight="1" x14ac:dyDescent="0.3">
      <c r="A522" s="10"/>
      <c r="B522" s="10" t="s">
        <v>1284</v>
      </c>
      <c r="C522" s="41" t="s">
        <v>1278</v>
      </c>
      <c r="D522" s="43">
        <v>0</v>
      </c>
      <c r="E522" s="22" t="s">
        <v>1010</v>
      </c>
      <c r="F522" s="45">
        <f t="shared" si="40"/>
        <v>189819</v>
      </c>
      <c r="G522" s="48">
        <f t="shared" si="41"/>
        <v>0</v>
      </c>
      <c r="H522" s="50">
        <f>일위대가목록표!F519</f>
        <v>189819</v>
      </c>
      <c r="I522" s="13">
        <f t="shared" si="42"/>
        <v>0</v>
      </c>
      <c r="J522" s="52">
        <f>일위대가목록표!G519</f>
        <v>0</v>
      </c>
      <c r="K522" s="13">
        <f t="shared" si="43"/>
        <v>0</v>
      </c>
      <c r="L522" s="54">
        <f>일위대가목록표!H519</f>
        <v>0</v>
      </c>
      <c r="M522" s="33">
        <f t="shared" si="44"/>
        <v>0</v>
      </c>
      <c r="N522" s="22" t="s">
        <v>4891</v>
      </c>
      <c r="O522" s="17" t="s">
        <v>4890</v>
      </c>
      <c r="P522" s="7" t="s">
        <v>4889</v>
      </c>
      <c r="Q522" s="7" t="s">
        <v>3344</v>
      </c>
      <c r="AC522" s="3" t="str">
        <f ca="1">HYPERLINK("#"&amp;일위대가목록표!J2&amp;"!A"&amp;ROW(일위대가목록표!A519),"대가516 →")</f>
        <v>대가516 →</v>
      </c>
    </row>
    <row r="523" spans="1:29" ht="30.6" customHeight="1" x14ac:dyDescent="0.3">
      <c r="A523" s="10"/>
      <c r="B523" s="10" t="s">
        <v>1284</v>
      </c>
      <c r="C523" s="41" t="s">
        <v>1281</v>
      </c>
      <c r="D523" s="43">
        <v>0</v>
      </c>
      <c r="E523" s="22" t="s">
        <v>1010</v>
      </c>
      <c r="F523" s="45">
        <f t="shared" si="40"/>
        <v>246873</v>
      </c>
      <c r="G523" s="48">
        <f t="shared" si="41"/>
        <v>0</v>
      </c>
      <c r="H523" s="50">
        <f>일위대가목록표!F520</f>
        <v>246873</v>
      </c>
      <c r="I523" s="13">
        <f t="shared" si="42"/>
        <v>0</v>
      </c>
      <c r="J523" s="52">
        <f>일위대가목록표!G520</f>
        <v>0</v>
      </c>
      <c r="K523" s="13">
        <f t="shared" si="43"/>
        <v>0</v>
      </c>
      <c r="L523" s="54">
        <f>일위대가목록표!H520</f>
        <v>0</v>
      </c>
      <c r="M523" s="33">
        <f t="shared" si="44"/>
        <v>0</v>
      </c>
      <c r="N523" s="22" t="s">
        <v>4894</v>
      </c>
      <c r="O523" s="17" t="s">
        <v>4893</v>
      </c>
      <c r="P523" s="7" t="s">
        <v>4892</v>
      </c>
      <c r="Q523" s="7" t="s">
        <v>3344</v>
      </c>
      <c r="AC523" s="3" t="str">
        <f ca="1">HYPERLINK("#"&amp;일위대가목록표!J2&amp;"!A"&amp;ROW(일위대가목록표!A520),"대가517 →")</f>
        <v>대가517 →</v>
      </c>
    </row>
    <row r="524" spans="1:29" ht="30.6" customHeight="1" x14ac:dyDescent="0.3">
      <c r="A524" s="10"/>
      <c r="B524" s="10" t="s">
        <v>1295</v>
      </c>
      <c r="C524" s="41" t="s">
        <v>1269</v>
      </c>
      <c r="D524" s="43">
        <v>0</v>
      </c>
      <c r="E524" s="22" t="s">
        <v>1010</v>
      </c>
      <c r="F524" s="45">
        <f t="shared" si="40"/>
        <v>43354</v>
      </c>
      <c r="G524" s="48">
        <f t="shared" si="41"/>
        <v>0</v>
      </c>
      <c r="H524" s="50">
        <f>일위대가목록표!F521</f>
        <v>43354</v>
      </c>
      <c r="I524" s="13">
        <f t="shared" si="42"/>
        <v>0</v>
      </c>
      <c r="J524" s="52">
        <f>일위대가목록표!G521</f>
        <v>0</v>
      </c>
      <c r="K524" s="13">
        <f t="shared" si="43"/>
        <v>0</v>
      </c>
      <c r="L524" s="54">
        <f>일위대가목록표!H521</f>
        <v>0</v>
      </c>
      <c r="M524" s="33">
        <f t="shared" si="44"/>
        <v>0</v>
      </c>
      <c r="N524" s="22" t="s">
        <v>4897</v>
      </c>
      <c r="O524" s="17" t="s">
        <v>4896</v>
      </c>
      <c r="P524" s="7" t="s">
        <v>4895</v>
      </c>
      <c r="Q524" s="7" t="s">
        <v>3344</v>
      </c>
      <c r="AC524" s="3" t="str">
        <f ca="1">HYPERLINK("#"&amp;일위대가목록표!J2&amp;"!A"&amp;ROW(일위대가목록표!A521),"대가518 →")</f>
        <v>대가518 →</v>
      </c>
    </row>
    <row r="525" spans="1:29" ht="30.6" customHeight="1" x14ac:dyDescent="0.3">
      <c r="A525" s="10"/>
      <c r="B525" s="10" t="s">
        <v>1295</v>
      </c>
      <c r="C525" s="41" t="s">
        <v>1272</v>
      </c>
      <c r="D525" s="43">
        <v>0</v>
      </c>
      <c r="E525" s="22" t="s">
        <v>1010</v>
      </c>
      <c r="F525" s="45">
        <f t="shared" si="40"/>
        <v>74126</v>
      </c>
      <c r="G525" s="48">
        <f t="shared" si="41"/>
        <v>0</v>
      </c>
      <c r="H525" s="50">
        <f>일위대가목록표!F522</f>
        <v>71967</v>
      </c>
      <c r="I525" s="13">
        <f t="shared" si="42"/>
        <v>0</v>
      </c>
      <c r="J525" s="52">
        <f>일위대가목록표!G522</f>
        <v>0</v>
      </c>
      <c r="K525" s="13">
        <f t="shared" si="43"/>
        <v>0</v>
      </c>
      <c r="L525" s="54">
        <f>일위대가목록표!H522</f>
        <v>2159</v>
      </c>
      <c r="M525" s="33">
        <f t="shared" si="44"/>
        <v>0</v>
      </c>
      <c r="N525" s="22" t="s">
        <v>4900</v>
      </c>
      <c r="O525" s="17" t="s">
        <v>4899</v>
      </c>
      <c r="P525" s="7" t="s">
        <v>4898</v>
      </c>
      <c r="Q525" s="7" t="s">
        <v>3344</v>
      </c>
      <c r="AC525" s="3" t="str">
        <f ca="1">HYPERLINK("#"&amp;일위대가목록표!J2&amp;"!A"&amp;ROW(일위대가목록표!A522),"대가519 →")</f>
        <v>대가519 →</v>
      </c>
    </row>
    <row r="526" spans="1:29" ht="30.6" customHeight="1" x14ac:dyDescent="0.3">
      <c r="A526" s="10"/>
      <c r="B526" s="10" t="s">
        <v>1295</v>
      </c>
      <c r="C526" s="41" t="s">
        <v>1275</v>
      </c>
      <c r="D526" s="43">
        <v>0</v>
      </c>
      <c r="E526" s="22" t="s">
        <v>1010</v>
      </c>
      <c r="F526" s="45">
        <f t="shared" si="40"/>
        <v>104049</v>
      </c>
      <c r="G526" s="48">
        <f t="shared" si="41"/>
        <v>0</v>
      </c>
      <c r="H526" s="50">
        <f>일위대가목록표!F523</f>
        <v>104049</v>
      </c>
      <c r="I526" s="13">
        <f t="shared" si="42"/>
        <v>0</v>
      </c>
      <c r="J526" s="52">
        <f>일위대가목록표!G523</f>
        <v>0</v>
      </c>
      <c r="K526" s="13">
        <f t="shared" si="43"/>
        <v>0</v>
      </c>
      <c r="L526" s="54">
        <f>일위대가목록표!H523</f>
        <v>0</v>
      </c>
      <c r="M526" s="33">
        <f t="shared" si="44"/>
        <v>0</v>
      </c>
      <c r="N526" s="22" t="s">
        <v>4903</v>
      </c>
      <c r="O526" s="17" t="s">
        <v>4902</v>
      </c>
      <c r="P526" s="7" t="s">
        <v>4901</v>
      </c>
      <c r="Q526" s="7" t="s">
        <v>3344</v>
      </c>
      <c r="AC526" s="3" t="str">
        <f ca="1">HYPERLINK("#"&amp;일위대가목록표!J2&amp;"!A"&amp;ROW(일위대가목록표!A523),"대가520 →")</f>
        <v>대가520 →</v>
      </c>
    </row>
    <row r="527" spans="1:29" ht="30.6" customHeight="1" x14ac:dyDescent="0.3">
      <c r="A527" s="10"/>
      <c r="B527" s="10" t="s">
        <v>1295</v>
      </c>
      <c r="C527" s="41" t="s">
        <v>1278</v>
      </c>
      <c r="D527" s="43">
        <v>0</v>
      </c>
      <c r="E527" s="22" t="s">
        <v>1010</v>
      </c>
      <c r="F527" s="45">
        <f t="shared" si="40"/>
        <v>135585</v>
      </c>
      <c r="G527" s="48">
        <f t="shared" si="41"/>
        <v>0</v>
      </c>
      <c r="H527" s="50">
        <f>일위대가목록표!F524</f>
        <v>135585</v>
      </c>
      <c r="I527" s="13">
        <f t="shared" si="42"/>
        <v>0</v>
      </c>
      <c r="J527" s="52">
        <f>일위대가목록표!G524</f>
        <v>0</v>
      </c>
      <c r="K527" s="13">
        <f t="shared" si="43"/>
        <v>0</v>
      </c>
      <c r="L527" s="54">
        <f>일위대가목록표!H524</f>
        <v>0</v>
      </c>
      <c r="M527" s="33">
        <f t="shared" si="44"/>
        <v>0</v>
      </c>
      <c r="N527" s="22" t="s">
        <v>4906</v>
      </c>
      <c r="O527" s="17" t="s">
        <v>4905</v>
      </c>
      <c r="P527" s="7" t="s">
        <v>4904</v>
      </c>
      <c r="Q527" s="7" t="s">
        <v>3344</v>
      </c>
      <c r="AC527" s="3" t="str">
        <f ca="1">HYPERLINK("#"&amp;일위대가목록표!J2&amp;"!A"&amp;ROW(일위대가목록표!A524),"대가521 →")</f>
        <v>대가521 →</v>
      </c>
    </row>
    <row r="528" spans="1:29" ht="30.6" customHeight="1" x14ac:dyDescent="0.3">
      <c r="A528" s="10"/>
      <c r="B528" s="10" t="s">
        <v>1295</v>
      </c>
      <c r="C528" s="41" t="s">
        <v>1281</v>
      </c>
      <c r="D528" s="43">
        <v>0</v>
      </c>
      <c r="E528" s="22" t="s">
        <v>1010</v>
      </c>
      <c r="F528" s="45">
        <f t="shared" si="40"/>
        <v>176338</v>
      </c>
      <c r="G528" s="48">
        <f t="shared" si="41"/>
        <v>0</v>
      </c>
      <c r="H528" s="50">
        <f>일위대가목록표!F525</f>
        <v>176338</v>
      </c>
      <c r="I528" s="13">
        <f t="shared" si="42"/>
        <v>0</v>
      </c>
      <c r="J528" s="52">
        <f>일위대가목록표!G525</f>
        <v>0</v>
      </c>
      <c r="K528" s="13">
        <f t="shared" si="43"/>
        <v>0</v>
      </c>
      <c r="L528" s="54">
        <f>일위대가목록표!H525</f>
        <v>0</v>
      </c>
      <c r="M528" s="33">
        <f t="shared" si="44"/>
        <v>0</v>
      </c>
      <c r="N528" s="22" t="s">
        <v>4909</v>
      </c>
      <c r="O528" s="17" t="s">
        <v>4908</v>
      </c>
      <c r="P528" s="7" t="s">
        <v>4907</v>
      </c>
      <c r="Q528" s="7" t="s">
        <v>3344</v>
      </c>
      <c r="AC528" s="3" t="str">
        <f ca="1">HYPERLINK("#"&amp;일위대가목록표!J2&amp;"!A"&amp;ROW(일위대가목록표!A525),"대가522 →")</f>
        <v>대가522 →</v>
      </c>
    </row>
    <row r="529" spans="1:29" ht="30.6" customHeight="1" x14ac:dyDescent="0.3">
      <c r="A529" s="10"/>
      <c r="B529" s="10" t="s">
        <v>1306</v>
      </c>
      <c r="C529" s="41" t="s">
        <v>1269</v>
      </c>
      <c r="D529" s="43">
        <v>0</v>
      </c>
      <c r="E529" s="22" t="s">
        <v>1010</v>
      </c>
      <c r="F529" s="45">
        <f t="shared" si="40"/>
        <v>17341</v>
      </c>
      <c r="G529" s="48">
        <f t="shared" si="41"/>
        <v>0</v>
      </c>
      <c r="H529" s="50">
        <f>일위대가목록표!F526</f>
        <v>17341</v>
      </c>
      <c r="I529" s="13">
        <f t="shared" si="42"/>
        <v>0</v>
      </c>
      <c r="J529" s="52">
        <f>일위대가목록표!G526</f>
        <v>0</v>
      </c>
      <c r="K529" s="13">
        <f t="shared" si="43"/>
        <v>0</v>
      </c>
      <c r="L529" s="54">
        <f>일위대가목록표!H526</f>
        <v>0</v>
      </c>
      <c r="M529" s="33">
        <f t="shared" si="44"/>
        <v>0</v>
      </c>
      <c r="N529" s="22" t="s">
        <v>4912</v>
      </c>
      <c r="O529" s="17" t="s">
        <v>4911</v>
      </c>
      <c r="P529" s="7" t="s">
        <v>4910</v>
      </c>
      <c r="Q529" s="7" t="s">
        <v>3344</v>
      </c>
      <c r="AC529" s="3" t="str">
        <f ca="1">HYPERLINK("#"&amp;일위대가목록표!J2&amp;"!A"&amp;ROW(일위대가목록표!A526),"대가523 →")</f>
        <v>대가523 →</v>
      </c>
    </row>
    <row r="530" spans="1:29" ht="30.6" customHeight="1" x14ac:dyDescent="0.3">
      <c r="A530" s="10"/>
      <c r="B530" s="10" t="s">
        <v>1306</v>
      </c>
      <c r="C530" s="41" t="s">
        <v>1272</v>
      </c>
      <c r="D530" s="43">
        <v>0</v>
      </c>
      <c r="E530" s="22" t="s">
        <v>1010</v>
      </c>
      <c r="F530" s="45">
        <f t="shared" si="40"/>
        <v>29649</v>
      </c>
      <c r="G530" s="48">
        <f t="shared" si="41"/>
        <v>0</v>
      </c>
      <c r="H530" s="50">
        <f>일위대가목록표!F527</f>
        <v>28786</v>
      </c>
      <c r="I530" s="13">
        <f t="shared" si="42"/>
        <v>0</v>
      </c>
      <c r="J530" s="52">
        <f>일위대가목록표!G527</f>
        <v>0</v>
      </c>
      <c r="K530" s="13">
        <f t="shared" si="43"/>
        <v>0</v>
      </c>
      <c r="L530" s="54">
        <f>일위대가목록표!H527</f>
        <v>863</v>
      </c>
      <c r="M530" s="33">
        <f t="shared" si="44"/>
        <v>0</v>
      </c>
      <c r="N530" s="22" t="s">
        <v>4915</v>
      </c>
      <c r="O530" s="17" t="s">
        <v>4914</v>
      </c>
      <c r="P530" s="7" t="s">
        <v>4913</v>
      </c>
      <c r="Q530" s="7" t="s">
        <v>3344</v>
      </c>
      <c r="AC530" s="3" t="str">
        <f ca="1">HYPERLINK("#"&amp;일위대가목록표!J2&amp;"!A"&amp;ROW(일위대가목록표!A527),"대가524 →")</f>
        <v>대가524 →</v>
      </c>
    </row>
    <row r="531" spans="1:29" ht="30.6" customHeight="1" x14ac:dyDescent="0.3">
      <c r="A531" s="10"/>
      <c r="B531" s="10" t="s">
        <v>1306</v>
      </c>
      <c r="C531" s="41" t="s">
        <v>1275</v>
      </c>
      <c r="D531" s="43">
        <v>0</v>
      </c>
      <c r="E531" s="22" t="s">
        <v>1010</v>
      </c>
      <c r="F531" s="45">
        <f t="shared" si="40"/>
        <v>41619</v>
      </c>
      <c r="G531" s="48">
        <f t="shared" si="41"/>
        <v>0</v>
      </c>
      <c r="H531" s="50">
        <f>일위대가목록표!F528</f>
        <v>41619</v>
      </c>
      <c r="I531" s="13">
        <f t="shared" si="42"/>
        <v>0</v>
      </c>
      <c r="J531" s="52">
        <f>일위대가목록표!G528</f>
        <v>0</v>
      </c>
      <c r="K531" s="13">
        <f t="shared" si="43"/>
        <v>0</v>
      </c>
      <c r="L531" s="54">
        <f>일위대가목록표!H528</f>
        <v>0</v>
      </c>
      <c r="M531" s="33">
        <f t="shared" si="44"/>
        <v>0</v>
      </c>
      <c r="N531" s="22" t="s">
        <v>4918</v>
      </c>
      <c r="O531" s="17" t="s">
        <v>4917</v>
      </c>
      <c r="P531" s="7" t="s">
        <v>4916</v>
      </c>
      <c r="Q531" s="7" t="s">
        <v>3344</v>
      </c>
      <c r="AC531" s="3" t="str">
        <f ca="1">HYPERLINK("#"&amp;일위대가목록표!J2&amp;"!A"&amp;ROW(일위대가목록표!A528),"대가525 →")</f>
        <v>대가525 →</v>
      </c>
    </row>
    <row r="532" spans="1:29" ht="30.6" customHeight="1" x14ac:dyDescent="0.3">
      <c r="A532" s="10"/>
      <c r="B532" s="10" t="s">
        <v>1306</v>
      </c>
      <c r="C532" s="41" t="s">
        <v>1278</v>
      </c>
      <c r="D532" s="43">
        <v>0</v>
      </c>
      <c r="E532" s="22" t="s">
        <v>1010</v>
      </c>
      <c r="F532" s="45">
        <f t="shared" si="40"/>
        <v>54234</v>
      </c>
      <c r="G532" s="48">
        <f t="shared" si="41"/>
        <v>0</v>
      </c>
      <c r="H532" s="50">
        <f>일위대가목록표!F529</f>
        <v>54234</v>
      </c>
      <c r="I532" s="13">
        <f t="shared" si="42"/>
        <v>0</v>
      </c>
      <c r="J532" s="52">
        <f>일위대가목록표!G529</f>
        <v>0</v>
      </c>
      <c r="K532" s="13">
        <f t="shared" si="43"/>
        <v>0</v>
      </c>
      <c r="L532" s="54">
        <f>일위대가목록표!H529</f>
        <v>0</v>
      </c>
      <c r="M532" s="33">
        <f t="shared" si="44"/>
        <v>0</v>
      </c>
      <c r="N532" s="22" t="s">
        <v>4921</v>
      </c>
      <c r="O532" s="17" t="s">
        <v>4920</v>
      </c>
      <c r="P532" s="7" t="s">
        <v>4919</v>
      </c>
      <c r="Q532" s="7" t="s">
        <v>3344</v>
      </c>
      <c r="AC532" s="3" t="str">
        <f ca="1">HYPERLINK("#"&amp;일위대가목록표!J2&amp;"!A"&amp;ROW(일위대가목록표!A529),"대가526 →")</f>
        <v>대가526 →</v>
      </c>
    </row>
    <row r="533" spans="1:29" ht="30.6" customHeight="1" x14ac:dyDescent="0.3">
      <c r="A533" s="10"/>
      <c r="B533" s="10" t="s">
        <v>1306</v>
      </c>
      <c r="C533" s="41" t="s">
        <v>1281</v>
      </c>
      <c r="D533" s="43">
        <v>0</v>
      </c>
      <c r="E533" s="22" t="s">
        <v>1010</v>
      </c>
      <c r="F533" s="45">
        <f t="shared" si="40"/>
        <v>70535</v>
      </c>
      <c r="G533" s="48">
        <f t="shared" si="41"/>
        <v>0</v>
      </c>
      <c r="H533" s="50">
        <f>일위대가목록표!F530</f>
        <v>70535</v>
      </c>
      <c r="I533" s="13">
        <f t="shared" si="42"/>
        <v>0</v>
      </c>
      <c r="J533" s="52">
        <f>일위대가목록표!G530</f>
        <v>0</v>
      </c>
      <c r="K533" s="13">
        <f t="shared" si="43"/>
        <v>0</v>
      </c>
      <c r="L533" s="54">
        <f>일위대가목록표!H530</f>
        <v>0</v>
      </c>
      <c r="M533" s="33">
        <f t="shared" si="44"/>
        <v>0</v>
      </c>
      <c r="N533" s="22" t="s">
        <v>4924</v>
      </c>
      <c r="O533" s="17" t="s">
        <v>4923</v>
      </c>
      <c r="P533" s="7" t="s">
        <v>4922</v>
      </c>
      <c r="Q533" s="7" t="s">
        <v>3344</v>
      </c>
      <c r="AC533" s="3" t="str">
        <f ca="1">HYPERLINK("#"&amp;일위대가목록표!J2&amp;"!A"&amp;ROW(일위대가목록표!A530),"대가527 →")</f>
        <v>대가527 →</v>
      </c>
    </row>
    <row r="534" spans="1:29" ht="30.6" customHeight="1" x14ac:dyDescent="0.3">
      <c r="A534" s="10"/>
      <c r="B534" s="10" t="s">
        <v>1317</v>
      </c>
      <c r="C534" s="41" t="s">
        <v>1318</v>
      </c>
      <c r="D534" s="43">
        <v>0</v>
      </c>
      <c r="E534" s="22" t="s">
        <v>1010</v>
      </c>
      <c r="F534" s="45">
        <f t="shared" si="40"/>
        <v>117735</v>
      </c>
      <c r="G534" s="48">
        <f t="shared" si="41"/>
        <v>0</v>
      </c>
      <c r="H534" s="50">
        <f>일위대가목록표!F531</f>
        <v>42735</v>
      </c>
      <c r="I534" s="13">
        <f t="shared" si="42"/>
        <v>0</v>
      </c>
      <c r="J534" s="52">
        <f>일위대가목록표!G531</f>
        <v>75000</v>
      </c>
      <c r="K534" s="13">
        <f t="shared" si="43"/>
        <v>0</v>
      </c>
      <c r="L534" s="54">
        <f>일위대가목록표!H531</f>
        <v>0</v>
      </c>
      <c r="M534" s="33">
        <f t="shared" si="44"/>
        <v>0</v>
      </c>
      <c r="N534" s="22" t="s">
        <v>4927</v>
      </c>
      <c r="O534" s="17" t="s">
        <v>4926</v>
      </c>
      <c r="P534" s="7" t="s">
        <v>4925</v>
      </c>
      <c r="Q534" s="7" t="s">
        <v>3344</v>
      </c>
      <c r="AC534" s="3" t="str">
        <f ca="1">HYPERLINK("#"&amp;일위대가목록표!J2&amp;"!A"&amp;ROW(일위대가목록표!A531),"대가528 →")</f>
        <v>대가528 →</v>
      </c>
    </row>
    <row r="535" spans="1:29" ht="30.6" customHeight="1" x14ac:dyDescent="0.3">
      <c r="A535" s="10"/>
      <c r="B535" s="10" t="s">
        <v>1317</v>
      </c>
      <c r="C535" s="41" t="s">
        <v>1321</v>
      </c>
      <c r="D535" s="43">
        <v>0</v>
      </c>
      <c r="E535" s="22" t="s">
        <v>1010</v>
      </c>
      <c r="F535" s="45">
        <f t="shared" si="40"/>
        <v>246102</v>
      </c>
      <c r="G535" s="48">
        <f t="shared" si="41"/>
        <v>0</v>
      </c>
      <c r="H535" s="50">
        <f>일위대가목록표!F532</f>
        <v>126102</v>
      </c>
      <c r="I535" s="13">
        <f t="shared" si="42"/>
        <v>0</v>
      </c>
      <c r="J535" s="52">
        <f>일위대가목록표!G532</f>
        <v>120000</v>
      </c>
      <c r="K535" s="13">
        <f t="shared" si="43"/>
        <v>0</v>
      </c>
      <c r="L535" s="54">
        <f>일위대가목록표!H532</f>
        <v>0</v>
      </c>
      <c r="M535" s="33">
        <f t="shared" si="44"/>
        <v>0</v>
      </c>
      <c r="N535" s="22" t="s">
        <v>4930</v>
      </c>
      <c r="O535" s="17" t="s">
        <v>4929</v>
      </c>
      <c r="P535" s="7" t="s">
        <v>4928</v>
      </c>
      <c r="Q535" s="7" t="s">
        <v>3344</v>
      </c>
      <c r="AC535" s="3" t="str">
        <f ca="1">HYPERLINK("#"&amp;일위대가목록표!J2&amp;"!A"&amp;ROW(일위대가목록표!A532),"대가529 →")</f>
        <v>대가529 →</v>
      </c>
    </row>
    <row r="536" spans="1:29" ht="30.6" customHeight="1" x14ac:dyDescent="0.3">
      <c r="A536" s="10"/>
      <c r="B536" s="10" t="s">
        <v>1317</v>
      </c>
      <c r="C536" s="41" t="s">
        <v>1324</v>
      </c>
      <c r="D536" s="43">
        <v>0</v>
      </c>
      <c r="E536" s="22" t="s">
        <v>1010</v>
      </c>
      <c r="F536" s="45">
        <f t="shared" si="40"/>
        <v>327711</v>
      </c>
      <c r="G536" s="48">
        <f t="shared" si="41"/>
        <v>0</v>
      </c>
      <c r="H536" s="50">
        <f>일위대가목록표!F533</f>
        <v>187711</v>
      </c>
      <c r="I536" s="13">
        <f t="shared" si="42"/>
        <v>0</v>
      </c>
      <c r="J536" s="52">
        <f>일위대가목록표!G533</f>
        <v>140000</v>
      </c>
      <c r="K536" s="13">
        <f t="shared" si="43"/>
        <v>0</v>
      </c>
      <c r="L536" s="54">
        <f>일위대가목록표!H533</f>
        <v>0</v>
      </c>
      <c r="M536" s="33">
        <f t="shared" si="44"/>
        <v>0</v>
      </c>
      <c r="N536" s="22" t="s">
        <v>4933</v>
      </c>
      <c r="O536" s="17" t="s">
        <v>4932</v>
      </c>
      <c r="P536" s="7" t="s">
        <v>4931</v>
      </c>
      <c r="Q536" s="7" t="s">
        <v>3344</v>
      </c>
      <c r="AC536" s="3" t="str">
        <f ca="1">HYPERLINK("#"&amp;일위대가목록표!J2&amp;"!A"&amp;ROW(일위대가목록표!A533),"대가530 →")</f>
        <v>대가530 →</v>
      </c>
    </row>
    <row r="537" spans="1:29" ht="30.6" customHeight="1" x14ac:dyDescent="0.3">
      <c r="A537" s="10"/>
      <c r="B537" s="10" t="s">
        <v>1317</v>
      </c>
      <c r="C537" s="41" t="s">
        <v>1327</v>
      </c>
      <c r="D537" s="43">
        <v>0</v>
      </c>
      <c r="E537" s="22" t="s">
        <v>1010</v>
      </c>
      <c r="F537" s="45">
        <f t="shared" si="40"/>
        <v>569974</v>
      </c>
      <c r="G537" s="48">
        <f t="shared" si="41"/>
        <v>0</v>
      </c>
      <c r="H537" s="50">
        <f>일위대가목록표!F534</f>
        <v>319974</v>
      </c>
      <c r="I537" s="13">
        <f t="shared" si="42"/>
        <v>0</v>
      </c>
      <c r="J537" s="52">
        <f>일위대가목록표!G534</f>
        <v>250000</v>
      </c>
      <c r="K537" s="13">
        <f t="shared" si="43"/>
        <v>0</v>
      </c>
      <c r="L537" s="54">
        <f>일위대가목록표!H534</f>
        <v>0</v>
      </c>
      <c r="M537" s="33">
        <f t="shared" si="44"/>
        <v>0</v>
      </c>
      <c r="N537" s="22" t="s">
        <v>4936</v>
      </c>
      <c r="O537" s="17" t="s">
        <v>4935</v>
      </c>
      <c r="P537" s="7" t="s">
        <v>4934</v>
      </c>
      <c r="Q537" s="7" t="s">
        <v>3344</v>
      </c>
      <c r="AC537" s="3" t="str">
        <f ca="1">HYPERLINK("#"&amp;일위대가목록표!J2&amp;"!A"&amp;ROW(일위대가목록표!A534),"대가531 →")</f>
        <v>대가531 →</v>
      </c>
    </row>
    <row r="538" spans="1:29" ht="30.6" customHeight="1" x14ac:dyDescent="0.3">
      <c r="A538" s="10"/>
      <c r="B538" s="10" t="s">
        <v>1317</v>
      </c>
      <c r="C538" s="41" t="s">
        <v>1330</v>
      </c>
      <c r="D538" s="43">
        <v>0</v>
      </c>
      <c r="E538" s="22" t="s">
        <v>1010</v>
      </c>
      <c r="F538" s="45">
        <f t="shared" si="40"/>
        <v>732247</v>
      </c>
      <c r="G538" s="48">
        <f t="shared" si="41"/>
        <v>0</v>
      </c>
      <c r="H538" s="50">
        <f>일위대가목록표!F535</f>
        <v>441247</v>
      </c>
      <c r="I538" s="13">
        <f t="shared" si="42"/>
        <v>0</v>
      </c>
      <c r="J538" s="52">
        <f>일위대가목록표!G535</f>
        <v>291000</v>
      </c>
      <c r="K538" s="13">
        <f t="shared" si="43"/>
        <v>0</v>
      </c>
      <c r="L538" s="54">
        <f>일위대가목록표!H535</f>
        <v>0</v>
      </c>
      <c r="M538" s="33">
        <f t="shared" si="44"/>
        <v>0</v>
      </c>
      <c r="N538" s="22" t="s">
        <v>4939</v>
      </c>
      <c r="O538" s="17" t="s">
        <v>4938</v>
      </c>
      <c r="P538" s="7" t="s">
        <v>4937</v>
      </c>
      <c r="Q538" s="7" t="s">
        <v>3344</v>
      </c>
      <c r="AC538" s="3" t="str">
        <f ca="1">HYPERLINK("#"&amp;일위대가목록표!J2&amp;"!A"&amp;ROW(일위대가목록표!A535),"대가532 →")</f>
        <v>대가532 →</v>
      </c>
    </row>
    <row r="539" spans="1:29" ht="30.6" customHeight="1" x14ac:dyDescent="0.3">
      <c r="A539" s="10"/>
      <c r="B539" s="10" t="s">
        <v>1317</v>
      </c>
      <c r="C539" s="41" t="s">
        <v>1333</v>
      </c>
      <c r="D539" s="43">
        <v>0</v>
      </c>
      <c r="E539" s="22" t="s">
        <v>1010</v>
      </c>
      <c r="F539" s="45">
        <f t="shared" si="40"/>
        <v>1121239</v>
      </c>
      <c r="G539" s="48">
        <f t="shared" si="41"/>
        <v>0</v>
      </c>
      <c r="H539" s="50">
        <f>일위대가목록표!F536</f>
        <v>566239</v>
      </c>
      <c r="I539" s="13">
        <f t="shared" si="42"/>
        <v>0</v>
      </c>
      <c r="J539" s="52">
        <f>일위대가목록표!G536</f>
        <v>555000</v>
      </c>
      <c r="K539" s="13">
        <f t="shared" si="43"/>
        <v>0</v>
      </c>
      <c r="L539" s="54">
        <f>일위대가목록표!H536</f>
        <v>0</v>
      </c>
      <c r="M539" s="33">
        <f t="shared" si="44"/>
        <v>0</v>
      </c>
      <c r="N539" s="22" t="s">
        <v>4942</v>
      </c>
      <c r="O539" s="17" t="s">
        <v>4941</v>
      </c>
      <c r="P539" s="7" t="s">
        <v>4940</v>
      </c>
      <c r="Q539" s="7" t="s">
        <v>3344</v>
      </c>
      <c r="AC539" s="3" t="str">
        <f ca="1">HYPERLINK("#"&amp;일위대가목록표!J2&amp;"!A"&amp;ROW(일위대가목록표!A536),"대가533 →")</f>
        <v>대가533 →</v>
      </c>
    </row>
    <row r="540" spans="1:29" ht="30.6" customHeight="1" x14ac:dyDescent="0.3">
      <c r="A540" s="10"/>
      <c r="B540" s="10" t="s">
        <v>1336</v>
      </c>
      <c r="C540" s="41" t="s">
        <v>1318</v>
      </c>
      <c r="D540" s="43">
        <v>0</v>
      </c>
      <c r="E540" s="22" t="s">
        <v>1010</v>
      </c>
      <c r="F540" s="45">
        <f t="shared" si="40"/>
        <v>42735</v>
      </c>
      <c r="G540" s="48">
        <f t="shared" si="41"/>
        <v>0</v>
      </c>
      <c r="H540" s="50">
        <f>일위대가목록표!F537</f>
        <v>42735</v>
      </c>
      <c r="I540" s="13">
        <f t="shared" si="42"/>
        <v>0</v>
      </c>
      <c r="J540" s="52">
        <f>일위대가목록표!G537</f>
        <v>0</v>
      </c>
      <c r="K540" s="13">
        <f t="shared" si="43"/>
        <v>0</v>
      </c>
      <c r="L540" s="54">
        <f>일위대가목록표!H537</f>
        <v>0</v>
      </c>
      <c r="M540" s="33">
        <f t="shared" si="44"/>
        <v>0</v>
      </c>
      <c r="N540" s="22" t="s">
        <v>4945</v>
      </c>
      <c r="O540" s="17" t="s">
        <v>4944</v>
      </c>
      <c r="P540" s="7" t="s">
        <v>4943</v>
      </c>
      <c r="Q540" s="7" t="s">
        <v>3344</v>
      </c>
      <c r="AC540" s="3" t="str">
        <f ca="1">HYPERLINK("#"&amp;일위대가목록표!J2&amp;"!A"&amp;ROW(일위대가목록표!A537),"대가534 →")</f>
        <v>대가534 →</v>
      </c>
    </row>
    <row r="541" spans="1:29" ht="30.6" customHeight="1" x14ac:dyDescent="0.3">
      <c r="A541" s="10"/>
      <c r="B541" s="10" t="s">
        <v>1336</v>
      </c>
      <c r="C541" s="41" t="s">
        <v>1321</v>
      </c>
      <c r="D541" s="43">
        <v>0</v>
      </c>
      <c r="E541" s="22" t="s">
        <v>1010</v>
      </c>
      <c r="F541" s="45">
        <f t="shared" si="40"/>
        <v>126102</v>
      </c>
      <c r="G541" s="48">
        <f t="shared" si="41"/>
        <v>0</v>
      </c>
      <c r="H541" s="50">
        <f>일위대가목록표!F538</f>
        <v>126102</v>
      </c>
      <c r="I541" s="13">
        <f t="shared" si="42"/>
        <v>0</v>
      </c>
      <c r="J541" s="52">
        <f>일위대가목록표!G538</f>
        <v>0</v>
      </c>
      <c r="K541" s="13">
        <f t="shared" si="43"/>
        <v>0</v>
      </c>
      <c r="L541" s="54">
        <f>일위대가목록표!H538</f>
        <v>0</v>
      </c>
      <c r="M541" s="33">
        <f t="shared" si="44"/>
        <v>0</v>
      </c>
      <c r="N541" s="22" t="s">
        <v>4948</v>
      </c>
      <c r="O541" s="17" t="s">
        <v>4947</v>
      </c>
      <c r="P541" s="7" t="s">
        <v>4946</v>
      </c>
      <c r="Q541" s="7" t="s">
        <v>3344</v>
      </c>
      <c r="AC541" s="3" t="str">
        <f ca="1">HYPERLINK("#"&amp;일위대가목록표!J2&amp;"!A"&amp;ROW(일위대가목록표!A538),"대가535 →")</f>
        <v>대가535 →</v>
      </c>
    </row>
    <row r="542" spans="1:29" ht="30.6" customHeight="1" x14ac:dyDescent="0.3">
      <c r="A542" s="10"/>
      <c r="B542" s="10" t="s">
        <v>1336</v>
      </c>
      <c r="C542" s="41" t="s">
        <v>1324</v>
      </c>
      <c r="D542" s="43">
        <v>0</v>
      </c>
      <c r="E542" s="22" t="s">
        <v>1010</v>
      </c>
      <c r="F542" s="45">
        <f t="shared" si="40"/>
        <v>187711</v>
      </c>
      <c r="G542" s="48">
        <f t="shared" si="41"/>
        <v>0</v>
      </c>
      <c r="H542" s="50">
        <f>일위대가목록표!F539</f>
        <v>187711</v>
      </c>
      <c r="I542" s="13">
        <f t="shared" si="42"/>
        <v>0</v>
      </c>
      <c r="J542" s="52">
        <f>일위대가목록표!G539</f>
        <v>0</v>
      </c>
      <c r="K542" s="13">
        <f t="shared" si="43"/>
        <v>0</v>
      </c>
      <c r="L542" s="54">
        <f>일위대가목록표!H539</f>
        <v>0</v>
      </c>
      <c r="M542" s="33">
        <f t="shared" si="44"/>
        <v>0</v>
      </c>
      <c r="N542" s="22" t="s">
        <v>4951</v>
      </c>
      <c r="O542" s="17" t="s">
        <v>4950</v>
      </c>
      <c r="P542" s="7" t="s">
        <v>4949</v>
      </c>
      <c r="Q542" s="7" t="s">
        <v>3344</v>
      </c>
      <c r="AC542" s="3" t="str">
        <f ca="1">HYPERLINK("#"&amp;일위대가목록표!J2&amp;"!A"&amp;ROW(일위대가목록표!A539),"대가536 →")</f>
        <v>대가536 →</v>
      </c>
    </row>
    <row r="543" spans="1:29" ht="30.6" customHeight="1" x14ac:dyDescent="0.3">
      <c r="A543" s="10"/>
      <c r="B543" s="10" t="s">
        <v>1336</v>
      </c>
      <c r="C543" s="41" t="s">
        <v>1327</v>
      </c>
      <c r="D543" s="43">
        <v>0</v>
      </c>
      <c r="E543" s="22" t="s">
        <v>1010</v>
      </c>
      <c r="F543" s="45">
        <f t="shared" si="40"/>
        <v>319974</v>
      </c>
      <c r="G543" s="48">
        <f t="shared" si="41"/>
        <v>0</v>
      </c>
      <c r="H543" s="50">
        <f>일위대가목록표!F540</f>
        <v>319974</v>
      </c>
      <c r="I543" s="13">
        <f t="shared" si="42"/>
        <v>0</v>
      </c>
      <c r="J543" s="52">
        <f>일위대가목록표!G540</f>
        <v>0</v>
      </c>
      <c r="K543" s="13">
        <f t="shared" si="43"/>
        <v>0</v>
      </c>
      <c r="L543" s="54">
        <f>일위대가목록표!H540</f>
        <v>0</v>
      </c>
      <c r="M543" s="33">
        <f t="shared" si="44"/>
        <v>0</v>
      </c>
      <c r="N543" s="22" t="s">
        <v>4954</v>
      </c>
      <c r="O543" s="17" t="s">
        <v>4953</v>
      </c>
      <c r="P543" s="7" t="s">
        <v>4952</v>
      </c>
      <c r="Q543" s="7" t="s">
        <v>3344</v>
      </c>
      <c r="AC543" s="3" t="str">
        <f ca="1">HYPERLINK("#"&amp;일위대가목록표!J2&amp;"!A"&amp;ROW(일위대가목록표!A540),"대가537 →")</f>
        <v>대가537 →</v>
      </c>
    </row>
    <row r="544" spans="1:29" ht="30.6" customHeight="1" x14ac:dyDescent="0.3">
      <c r="A544" s="10"/>
      <c r="B544" s="10" t="s">
        <v>1336</v>
      </c>
      <c r="C544" s="41" t="s">
        <v>1330</v>
      </c>
      <c r="D544" s="43">
        <v>0</v>
      </c>
      <c r="E544" s="22" t="s">
        <v>1010</v>
      </c>
      <c r="F544" s="45">
        <f t="shared" si="40"/>
        <v>441247</v>
      </c>
      <c r="G544" s="48">
        <f t="shared" si="41"/>
        <v>0</v>
      </c>
      <c r="H544" s="50">
        <f>일위대가목록표!F541</f>
        <v>441247</v>
      </c>
      <c r="I544" s="13">
        <f t="shared" si="42"/>
        <v>0</v>
      </c>
      <c r="J544" s="52">
        <f>일위대가목록표!G541</f>
        <v>0</v>
      </c>
      <c r="K544" s="13">
        <f t="shared" si="43"/>
        <v>0</v>
      </c>
      <c r="L544" s="54">
        <f>일위대가목록표!H541</f>
        <v>0</v>
      </c>
      <c r="M544" s="33">
        <f t="shared" si="44"/>
        <v>0</v>
      </c>
      <c r="N544" s="22" t="s">
        <v>4957</v>
      </c>
      <c r="O544" s="17" t="s">
        <v>4956</v>
      </c>
      <c r="P544" s="7" t="s">
        <v>4955</v>
      </c>
      <c r="Q544" s="7" t="s">
        <v>3344</v>
      </c>
      <c r="AC544" s="3" t="str">
        <f ca="1">HYPERLINK("#"&amp;일위대가목록표!J2&amp;"!A"&amp;ROW(일위대가목록표!A541),"대가538 →")</f>
        <v>대가538 →</v>
      </c>
    </row>
    <row r="545" spans="1:29" ht="30.6" customHeight="1" x14ac:dyDescent="0.3">
      <c r="A545" s="10"/>
      <c r="B545" s="10" t="s">
        <v>1336</v>
      </c>
      <c r="C545" s="41" t="s">
        <v>1333</v>
      </c>
      <c r="D545" s="43">
        <v>0</v>
      </c>
      <c r="E545" s="22" t="s">
        <v>1010</v>
      </c>
      <c r="F545" s="45">
        <f t="shared" si="40"/>
        <v>566239</v>
      </c>
      <c r="G545" s="48">
        <f t="shared" si="41"/>
        <v>0</v>
      </c>
      <c r="H545" s="50">
        <f>일위대가목록표!F542</f>
        <v>566239</v>
      </c>
      <c r="I545" s="13">
        <f t="shared" si="42"/>
        <v>0</v>
      </c>
      <c r="J545" s="52">
        <f>일위대가목록표!G542</f>
        <v>0</v>
      </c>
      <c r="K545" s="13">
        <f t="shared" si="43"/>
        <v>0</v>
      </c>
      <c r="L545" s="54">
        <f>일위대가목록표!H542</f>
        <v>0</v>
      </c>
      <c r="M545" s="33">
        <f t="shared" si="44"/>
        <v>0</v>
      </c>
      <c r="N545" s="22" t="s">
        <v>4960</v>
      </c>
      <c r="O545" s="17" t="s">
        <v>4959</v>
      </c>
      <c r="P545" s="7" t="s">
        <v>4958</v>
      </c>
      <c r="Q545" s="7" t="s">
        <v>3344</v>
      </c>
      <c r="AC545" s="3" t="str">
        <f ca="1">HYPERLINK("#"&amp;일위대가목록표!J2&amp;"!A"&amp;ROW(일위대가목록표!A542),"대가539 →")</f>
        <v>대가539 →</v>
      </c>
    </row>
    <row r="546" spans="1:29" ht="30.6" customHeight="1" x14ac:dyDescent="0.3">
      <c r="A546" s="10"/>
      <c r="B546" s="10" t="s">
        <v>1349</v>
      </c>
      <c r="C546" s="41" t="s">
        <v>1318</v>
      </c>
      <c r="D546" s="43">
        <v>0</v>
      </c>
      <c r="E546" s="22" t="s">
        <v>1010</v>
      </c>
      <c r="F546" s="45">
        <f t="shared" si="40"/>
        <v>28490</v>
      </c>
      <c r="G546" s="48">
        <f t="shared" si="41"/>
        <v>0</v>
      </c>
      <c r="H546" s="50">
        <f>일위대가목록표!F543</f>
        <v>28490</v>
      </c>
      <c r="I546" s="13">
        <f t="shared" si="42"/>
        <v>0</v>
      </c>
      <c r="J546" s="52">
        <f>일위대가목록표!G543</f>
        <v>0</v>
      </c>
      <c r="K546" s="13">
        <f t="shared" si="43"/>
        <v>0</v>
      </c>
      <c r="L546" s="54">
        <f>일위대가목록표!H543</f>
        <v>0</v>
      </c>
      <c r="M546" s="33">
        <f t="shared" si="44"/>
        <v>0</v>
      </c>
      <c r="N546" s="22" t="s">
        <v>4963</v>
      </c>
      <c r="O546" s="17" t="s">
        <v>4962</v>
      </c>
      <c r="P546" s="7" t="s">
        <v>4961</v>
      </c>
      <c r="Q546" s="7" t="s">
        <v>3344</v>
      </c>
      <c r="AC546" s="3" t="str">
        <f ca="1">HYPERLINK("#"&amp;일위대가목록표!J2&amp;"!A"&amp;ROW(일위대가목록표!A543),"대가540 →")</f>
        <v>대가540 →</v>
      </c>
    </row>
    <row r="547" spans="1:29" ht="30.6" customHeight="1" x14ac:dyDescent="0.3">
      <c r="A547" s="10"/>
      <c r="B547" s="10" t="s">
        <v>1349</v>
      </c>
      <c r="C547" s="41" t="s">
        <v>1321</v>
      </c>
      <c r="D547" s="43">
        <v>0</v>
      </c>
      <c r="E547" s="22" t="s">
        <v>1010</v>
      </c>
      <c r="F547" s="45">
        <f t="shared" si="40"/>
        <v>84068</v>
      </c>
      <c r="G547" s="48">
        <f t="shared" si="41"/>
        <v>0</v>
      </c>
      <c r="H547" s="50">
        <f>일위대가목록표!F544</f>
        <v>84068</v>
      </c>
      <c r="I547" s="13">
        <f t="shared" si="42"/>
        <v>0</v>
      </c>
      <c r="J547" s="52">
        <f>일위대가목록표!G544</f>
        <v>0</v>
      </c>
      <c r="K547" s="13">
        <f t="shared" si="43"/>
        <v>0</v>
      </c>
      <c r="L547" s="54">
        <f>일위대가목록표!H544</f>
        <v>0</v>
      </c>
      <c r="M547" s="33">
        <f t="shared" si="44"/>
        <v>0</v>
      </c>
      <c r="N547" s="22" t="s">
        <v>4966</v>
      </c>
      <c r="O547" s="17" t="s">
        <v>4965</v>
      </c>
      <c r="P547" s="7" t="s">
        <v>4964</v>
      </c>
      <c r="Q547" s="7" t="s">
        <v>3344</v>
      </c>
      <c r="AC547" s="3" t="str">
        <f ca="1">HYPERLINK("#"&amp;일위대가목록표!J2&amp;"!A"&amp;ROW(일위대가목록표!A544),"대가541 →")</f>
        <v>대가541 →</v>
      </c>
    </row>
    <row r="548" spans="1:29" ht="30.6" customHeight="1" x14ac:dyDescent="0.3">
      <c r="A548" s="10"/>
      <c r="B548" s="10" t="s">
        <v>1349</v>
      </c>
      <c r="C548" s="41" t="s">
        <v>1324</v>
      </c>
      <c r="D548" s="43">
        <v>0</v>
      </c>
      <c r="E548" s="22" t="s">
        <v>1010</v>
      </c>
      <c r="F548" s="45">
        <f t="shared" si="40"/>
        <v>125141</v>
      </c>
      <c r="G548" s="48">
        <f t="shared" si="41"/>
        <v>0</v>
      </c>
      <c r="H548" s="50">
        <f>일위대가목록표!F545</f>
        <v>125141</v>
      </c>
      <c r="I548" s="13">
        <f t="shared" si="42"/>
        <v>0</v>
      </c>
      <c r="J548" s="52">
        <f>일위대가목록표!G545</f>
        <v>0</v>
      </c>
      <c r="K548" s="13">
        <f t="shared" si="43"/>
        <v>0</v>
      </c>
      <c r="L548" s="54">
        <f>일위대가목록표!H545</f>
        <v>0</v>
      </c>
      <c r="M548" s="33">
        <f t="shared" si="44"/>
        <v>0</v>
      </c>
      <c r="N548" s="22" t="s">
        <v>4969</v>
      </c>
      <c r="O548" s="17" t="s">
        <v>4968</v>
      </c>
      <c r="P548" s="7" t="s">
        <v>4967</v>
      </c>
      <c r="Q548" s="7" t="s">
        <v>3344</v>
      </c>
      <c r="AC548" s="3" t="str">
        <f ca="1">HYPERLINK("#"&amp;일위대가목록표!J2&amp;"!A"&amp;ROW(일위대가목록표!A545),"대가542 →")</f>
        <v>대가542 →</v>
      </c>
    </row>
    <row r="549" spans="1:29" ht="30.6" customHeight="1" x14ac:dyDescent="0.3">
      <c r="A549" s="10"/>
      <c r="B549" s="10" t="s">
        <v>1349</v>
      </c>
      <c r="C549" s="41" t="s">
        <v>1327</v>
      </c>
      <c r="D549" s="43">
        <v>0</v>
      </c>
      <c r="E549" s="22" t="s">
        <v>1010</v>
      </c>
      <c r="F549" s="45">
        <f t="shared" si="40"/>
        <v>213316</v>
      </c>
      <c r="G549" s="48">
        <f t="shared" si="41"/>
        <v>0</v>
      </c>
      <c r="H549" s="50">
        <f>일위대가목록표!F546</f>
        <v>213316</v>
      </c>
      <c r="I549" s="13">
        <f t="shared" si="42"/>
        <v>0</v>
      </c>
      <c r="J549" s="52">
        <f>일위대가목록표!G546</f>
        <v>0</v>
      </c>
      <c r="K549" s="13">
        <f t="shared" si="43"/>
        <v>0</v>
      </c>
      <c r="L549" s="54">
        <f>일위대가목록표!H546</f>
        <v>0</v>
      </c>
      <c r="M549" s="33">
        <f t="shared" si="44"/>
        <v>0</v>
      </c>
      <c r="N549" s="22" t="s">
        <v>4972</v>
      </c>
      <c r="O549" s="17" t="s">
        <v>4971</v>
      </c>
      <c r="P549" s="7" t="s">
        <v>4970</v>
      </c>
      <c r="Q549" s="7" t="s">
        <v>3344</v>
      </c>
      <c r="AC549" s="3" t="str">
        <f ca="1">HYPERLINK("#"&amp;일위대가목록표!J2&amp;"!A"&amp;ROW(일위대가목록표!A546),"대가543 →")</f>
        <v>대가543 →</v>
      </c>
    </row>
    <row r="550" spans="1:29" ht="30.6" customHeight="1" x14ac:dyDescent="0.3">
      <c r="A550" s="10"/>
      <c r="B550" s="10" t="s">
        <v>1349</v>
      </c>
      <c r="C550" s="41" t="s">
        <v>1330</v>
      </c>
      <c r="D550" s="43">
        <v>0</v>
      </c>
      <c r="E550" s="22" t="s">
        <v>1010</v>
      </c>
      <c r="F550" s="45">
        <f t="shared" si="40"/>
        <v>294165</v>
      </c>
      <c r="G550" s="48">
        <f t="shared" si="41"/>
        <v>0</v>
      </c>
      <c r="H550" s="50">
        <f>일위대가목록표!F547</f>
        <v>294165</v>
      </c>
      <c r="I550" s="13">
        <f t="shared" si="42"/>
        <v>0</v>
      </c>
      <c r="J550" s="52">
        <f>일위대가목록표!G547</f>
        <v>0</v>
      </c>
      <c r="K550" s="13">
        <f t="shared" si="43"/>
        <v>0</v>
      </c>
      <c r="L550" s="54">
        <f>일위대가목록표!H547</f>
        <v>0</v>
      </c>
      <c r="M550" s="33">
        <f t="shared" si="44"/>
        <v>0</v>
      </c>
      <c r="N550" s="22" t="s">
        <v>4975</v>
      </c>
      <c r="O550" s="17" t="s">
        <v>4974</v>
      </c>
      <c r="P550" s="7" t="s">
        <v>4973</v>
      </c>
      <c r="Q550" s="7" t="s">
        <v>3344</v>
      </c>
      <c r="AC550" s="3" t="str">
        <f ca="1">HYPERLINK("#"&amp;일위대가목록표!J2&amp;"!A"&amp;ROW(일위대가목록표!A547),"대가544 →")</f>
        <v>대가544 →</v>
      </c>
    </row>
    <row r="551" spans="1:29" ht="30.6" customHeight="1" x14ac:dyDescent="0.3">
      <c r="A551" s="10"/>
      <c r="B551" s="10" t="s">
        <v>1349</v>
      </c>
      <c r="C551" s="41" t="s">
        <v>1333</v>
      </c>
      <c r="D551" s="43">
        <v>0</v>
      </c>
      <c r="E551" s="22" t="s">
        <v>1010</v>
      </c>
      <c r="F551" s="45">
        <f t="shared" si="40"/>
        <v>377493</v>
      </c>
      <c r="G551" s="48">
        <f t="shared" si="41"/>
        <v>0</v>
      </c>
      <c r="H551" s="50">
        <f>일위대가목록표!F548</f>
        <v>377493</v>
      </c>
      <c r="I551" s="13">
        <f t="shared" si="42"/>
        <v>0</v>
      </c>
      <c r="J551" s="52">
        <f>일위대가목록표!G548</f>
        <v>0</v>
      </c>
      <c r="K551" s="13">
        <f t="shared" si="43"/>
        <v>0</v>
      </c>
      <c r="L551" s="54">
        <f>일위대가목록표!H548</f>
        <v>0</v>
      </c>
      <c r="M551" s="33">
        <f t="shared" si="44"/>
        <v>0</v>
      </c>
      <c r="N551" s="22" t="s">
        <v>4978</v>
      </c>
      <c r="O551" s="17" t="s">
        <v>4977</v>
      </c>
      <c r="P551" s="7" t="s">
        <v>4976</v>
      </c>
      <c r="Q551" s="7" t="s">
        <v>3344</v>
      </c>
      <c r="AC551" s="3" t="str">
        <f ca="1">HYPERLINK("#"&amp;일위대가목록표!J2&amp;"!A"&amp;ROW(일위대가목록표!A548),"대가545 →")</f>
        <v>대가545 →</v>
      </c>
    </row>
    <row r="552" spans="1:29" ht="30.6" customHeight="1" x14ac:dyDescent="0.3">
      <c r="A552" s="10"/>
      <c r="B552" s="10" t="s">
        <v>1362</v>
      </c>
      <c r="C552" s="41" t="s">
        <v>1318</v>
      </c>
      <c r="D552" s="43">
        <v>0</v>
      </c>
      <c r="E552" s="22" t="s">
        <v>1010</v>
      </c>
      <c r="F552" s="45">
        <f t="shared" si="40"/>
        <v>14245</v>
      </c>
      <c r="G552" s="48">
        <f t="shared" si="41"/>
        <v>0</v>
      </c>
      <c r="H552" s="50">
        <f>일위대가목록표!F549</f>
        <v>14245</v>
      </c>
      <c r="I552" s="13">
        <f t="shared" si="42"/>
        <v>0</v>
      </c>
      <c r="J552" s="52">
        <f>일위대가목록표!G549</f>
        <v>0</v>
      </c>
      <c r="K552" s="13">
        <f t="shared" si="43"/>
        <v>0</v>
      </c>
      <c r="L552" s="54">
        <f>일위대가목록표!H549</f>
        <v>0</v>
      </c>
      <c r="M552" s="33">
        <f t="shared" si="44"/>
        <v>0</v>
      </c>
      <c r="N552" s="22" t="s">
        <v>4981</v>
      </c>
      <c r="O552" s="17" t="s">
        <v>4980</v>
      </c>
      <c r="P552" s="7" t="s">
        <v>4979</v>
      </c>
      <c r="Q552" s="7" t="s">
        <v>3344</v>
      </c>
      <c r="AC552" s="3" t="str">
        <f ca="1">HYPERLINK("#"&amp;일위대가목록표!J2&amp;"!A"&amp;ROW(일위대가목록표!A549),"대가546 →")</f>
        <v>대가546 →</v>
      </c>
    </row>
    <row r="553" spans="1:29" ht="30.6" customHeight="1" x14ac:dyDescent="0.3">
      <c r="A553" s="10"/>
      <c r="B553" s="10" t="s">
        <v>1362</v>
      </c>
      <c r="C553" s="41" t="s">
        <v>1321</v>
      </c>
      <c r="D553" s="43">
        <v>0</v>
      </c>
      <c r="E553" s="22" t="s">
        <v>1010</v>
      </c>
      <c r="F553" s="45">
        <f t="shared" si="40"/>
        <v>42034</v>
      </c>
      <c r="G553" s="48">
        <f t="shared" si="41"/>
        <v>0</v>
      </c>
      <c r="H553" s="50">
        <f>일위대가목록표!F550</f>
        <v>42034</v>
      </c>
      <c r="I553" s="13">
        <f t="shared" si="42"/>
        <v>0</v>
      </c>
      <c r="J553" s="52">
        <f>일위대가목록표!G550</f>
        <v>0</v>
      </c>
      <c r="K553" s="13">
        <f t="shared" si="43"/>
        <v>0</v>
      </c>
      <c r="L553" s="54">
        <f>일위대가목록표!H550</f>
        <v>0</v>
      </c>
      <c r="M553" s="33">
        <f t="shared" si="44"/>
        <v>0</v>
      </c>
      <c r="N553" s="22" t="s">
        <v>4984</v>
      </c>
      <c r="O553" s="17" t="s">
        <v>4983</v>
      </c>
      <c r="P553" s="7" t="s">
        <v>4982</v>
      </c>
      <c r="Q553" s="7" t="s">
        <v>3344</v>
      </c>
      <c r="AC553" s="3" t="str">
        <f ca="1">HYPERLINK("#"&amp;일위대가목록표!J2&amp;"!A"&amp;ROW(일위대가목록표!A550),"대가547 →")</f>
        <v>대가547 →</v>
      </c>
    </row>
    <row r="554" spans="1:29" ht="30.6" customHeight="1" x14ac:dyDescent="0.3">
      <c r="A554" s="10"/>
      <c r="B554" s="10" t="s">
        <v>1362</v>
      </c>
      <c r="C554" s="41" t="s">
        <v>1324</v>
      </c>
      <c r="D554" s="43">
        <v>0</v>
      </c>
      <c r="E554" s="22" t="s">
        <v>1010</v>
      </c>
      <c r="F554" s="45">
        <f t="shared" si="40"/>
        <v>62570</v>
      </c>
      <c r="G554" s="48">
        <f t="shared" si="41"/>
        <v>0</v>
      </c>
      <c r="H554" s="50">
        <f>일위대가목록표!F551</f>
        <v>62570</v>
      </c>
      <c r="I554" s="13">
        <f t="shared" si="42"/>
        <v>0</v>
      </c>
      <c r="J554" s="52">
        <f>일위대가목록표!G551</f>
        <v>0</v>
      </c>
      <c r="K554" s="13">
        <f t="shared" si="43"/>
        <v>0</v>
      </c>
      <c r="L554" s="54">
        <f>일위대가목록표!H551</f>
        <v>0</v>
      </c>
      <c r="M554" s="33">
        <f t="shared" si="44"/>
        <v>0</v>
      </c>
      <c r="N554" s="22" t="s">
        <v>4987</v>
      </c>
      <c r="O554" s="17" t="s">
        <v>4986</v>
      </c>
      <c r="P554" s="7" t="s">
        <v>4985</v>
      </c>
      <c r="Q554" s="7" t="s">
        <v>3344</v>
      </c>
      <c r="AC554" s="3" t="str">
        <f ca="1">HYPERLINK("#"&amp;일위대가목록표!J2&amp;"!A"&amp;ROW(일위대가목록표!A551),"대가548 →")</f>
        <v>대가548 →</v>
      </c>
    </row>
    <row r="555" spans="1:29" ht="30.6" customHeight="1" x14ac:dyDescent="0.3">
      <c r="A555" s="10"/>
      <c r="B555" s="10" t="s">
        <v>1362</v>
      </c>
      <c r="C555" s="41" t="s">
        <v>1327</v>
      </c>
      <c r="D555" s="43">
        <v>0</v>
      </c>
      <c r="E555" s="22" t="s">
        <v>1010</v>
      </c>
      <c r="F555" s="45">
        <f t="shared" si="40"/>
        <v>106658</v>
      </c>
      <c r="G555" s="48">
        <f t="shared" si="41"/>
        <v>0</v>
      </c>
      <c r="H555" s="50">
        <f>일위대가목록표!F552</f>
        <v>106658</v>
      </c>
      <c r="I555" s="13">
        <f t="shared" si="42"/>
        <v>0</v>
      </c>
      <c r="J555" s="52">
        <f>일위대가목록표!G552</f>
        <v>0</v>
      </c>
      <c r="K555" s="13">
        <f t="shared" si="43"/>
        <v>0</v>
      </c>
      <c r="L555" s="54">
        <f>일위대가목록표!H552</f>
        <v>0</v>
      </c>
      <c r="M555" s="33">
        <f t="shared" si="44"/>
        <v>0</v>
      </c>
      <c r="N555" s="22" t="s">
        <v>4990</v>
      </c>
      <c r="O555" s="17" t="s">
        <v>4989</v>
      </c>
      <c r="P555" s="7" t="s">
        <v>4988</v>
      </c>
      <c r="Q555" s="7" t="s">
        <v>3344</v>
      </c>
      <c r="AC555" s="3" t="str">
        <f ca="1">HYPERLINK("#"&amp;일위대가목록표!J2&amp;"!A"&amp;ROW(일위대가목록표!A552),"대가549 →")</f>
        <v>대가549 →</v>
      </c>
    </row>
    <row r="556" spans="1:29" ht="30.6" customHeight="1" x14ac:dyDescent="0.3">
      <c r="A556" s="10"/>
      <c r="B556" s="10" t="s">
        <v>1362</v>
      </c>
      <c r="C556" s="41" t="s">
        <v>1330</v>
      </c>
      <c r="D556" s="43">
        <v>0</v>
      </c>
      <c r="E556" s="22" t="s">
        <v>1010</v>
      </c>
      <c r="F556" s="45">
        <f t="shared" si="40"/>
        <v>147082</v>
      </c>
      <c r="G556" s="48">
        <f t="shared" si="41"/>
        <v>0</v>
      </c>
      <c r="H556" s="50">
        <f>일위대가목록표!F553</f>
        <v>147082</v>
      </c>
      <c r="I556" s="13">
        <f t="shared" si="42"/>
        <v>0</v>
      </c>
      <c r="J556" s="52">
        <f>일위대가목록표!G553</f>
        <v>0</v>
      </c>
      <c r="K556" s="13">
        <f t="shared" si="43"/>
        <v>0</v>
      </c>
      <c r="L556" s="54">
        <f>일위대가목록표!H553</f>
        <v>0</v>
      </c>
      <c r="M556" s="33">
        <f t="shared" si="44"/>
        <v>0</v>
      </c>
      <c r="N556" s="22" t="s">
        <v>4993</v>
      </c>
      <c r="O556" s="17" t="s">
        <v>4992</v>
      </c>
      <c r="P556" s="7" t="s">
        <v>4991</v>
      </c>
      <c r="Q556" s="7" t="s">
        <v>3344</v>
      </c>
      <c r="AC556" s="3" t="str">
        <f ca="1">HYPERLINK("#"&amp;일위대가목록표!J2&amp;"!A"&amp;ROW(일위대가목록표!A553),"대가550 →")</f>
        <v>대가550 →</v>
      </c>
    </row>
    <row r="557" spans="1:29" ht="30.6" customHeight="1" x14ac:dyDescent="0.3">
      <c r="A557" s="10"/>
      <c r="B557" s="10" t="s">
        <v>1362</v>
      </c>
      <c r="C557" s="41" t="s">
        <v>1333</v>
      </c>
      <c r="D557" s="43">
        <v>0</v>
      </c>
      <c r="E557" s="22" t="s">
        <v>1010</v>
      </c>
      <c r="F557" s="45">
        <f t="shared" si="40"/>
        <v>188746</v>
      </c>
      <c r="G557" s="48">
        <f t="shared" si="41"/>
        <v>0</v>
      </c>
      <c r="H557" s="50">
        <f>일위대가목록표!F554</f>
        <v>188746</v>
      </c>
      <c r="I557" s="13">
        <f t="shared" si="42"/>
        <v>0</v>
      </c>
      <c r="J557" s="52">
        <f>일위대가목록표!G554</f>
        <v>0</v>
      </c>
      <c r="K557" s="13">
        <f t="shared" si="43"/>
        <v>0</v>
      </c>
      <c r="L557" s="54">
        <f>일위대가목록표!H554</f>
        <v>0</v>
      </c>
      <c r="M557" s="33">
        <f t="shared" si="44"/>
        <v>0</v>
      </c>
      <c r="N557" s="22" t="s">
        <v>4996</v>
      </c>
      <c r="O557" s="17" t="s">
        <v>4995</v>
      </c>
      <c r="P557" s="7" t="s">
        <v>4994</v>
      </c>
      <c r="Q557" s="7" t="s">
        <v>3344</v>
      </c>
      <c r="AC557" s="3" t="str">
        <f ca="1">HYPERLINK("#"&amp;일위대가목록표!J2&amp;"!A"&amp;ROW(일위대가목록표!A554),"대가551 →")</f>
        <v>대가551 →</v>
      </c>
    </row>
    <row r="558" spans="1:29" ht="30.6" customHeight="1" x14ac:dyDescent="0.3">
      <c r="A558" s="10"/>
      <c r="B558" s="10" t="s">
        <v>1375</v>
      </c>
      <c r="C558" s="41" t="s">
        <v>1376</v>
      </c>
      <c r="D558" s="43">
        <v>0</v>
      </c>
      <c r="E558" s="22" t="s">
        <v>1010</v>
      </c>
      <c r="F558" s="45">
        <f t="shared" si="40"/>
        <v>201775</v>
      </c>
      <c r="G558" s="48">
        <f t="shared" si="41"/>
        <v>0</v>
      </c>
      <c r="H558" s="50">
        <f>일위대가목록표!F555</f>
        <v>100753</v>
      </c>
      <c r="I558" s="13">
        <f t="shared" si="42"/>
        <v>0</v>
      </c>
      <c r="J558" s="52">
        <f>일위대가목록표!G555</f>
        <v>98000</v>
      </c>
      <c r="K558" s="13">
        <f t="shared" si="43"/>
        <v>0</v>
      </c>
      <c r="L558" s="54">
        <f>일위대가목록표!H555</f>
        <v>3022</v>
      </c>
      <c r="M558" s="33">
        <f t="shared" si="44"/>
        <v>0</v>
      </c>
      <c r="N558" s="22" t="s">
        <v>4999</v>
      </c>
      <c r="O558" s="17" t="s">
        <v>4998</v>
      </c>
      <c r="P558" s="7" t="s">
        <v>4997</v>
      </c>
      <c r="Q558" s="7" t="s">
        <v>3344</v>
      </c>
      <c r="AC558" s="3" t="str">
        <f ca="1">HYPERLINK("#"&amp;일위대가목록표!J2&amp;"!A"&amp;ROW(일위대가목록표!A555),"대가552 →")</f>
        <v>대가552 →</v>
      </c>
    </row>
    <row r="559" spans="1:29" ht="30.6" customHeight="1" x14ac:dyDescent="0.3">
      <c r="A559" s="10"/>
      <c r="B559" s="10" t="s">
        <v>1375</v>
      </c>
      <c r="C559" s="41" t="s">
        <v>1379</v>
      </c>
      <c r="D559" s="43">
        <v>0</v>
      </c>
      <c r="E559" s="22" t="s">
        <v>1010</v>
      </c>
      <c r="F559" s="45">
        <f t="shared" si="40"/>
        <v>246968</v>
      </c>
      <c r="G559" s="48">
        <f t="shared" si="41"/>
        <v>0</v>
      </c>
      <c r="H559" s="50">
        <f>일위대가목록표!F556</f>
        <v>145668</v>
      </c>
      <c r="I559" s="13">
        <f t="shared" si="42"/>
        <v>0</v>
      </c>
      <c r="J559" s="52">
        <f>일위대가목록표!G556</f>
        <v>101300</v>
      </c>
      <c r="K559" s="13">
        <f t="shared" si="43"/>
        <v>0</v>
      </c>
      <c r="L559" s="54">
        <f>일위대가목록표!H556</f>
        <v>0</v>
      </c>
      <c r="M559" s="33">
        <f t="shared" si="44"/>
        <v>0</v>
      </c>
      <c r="N559" s="22" t="s">
        <v>5002</v>
      </c>
      <c r="O559" s="17" t="s">
        <v>5001</v>
      </c>
      <c r="P559" s="7" t="s">
        <v>5000</v>
      </c>
      <c r="Q559" s="7" t="s">
        <v>3344</v>
      </c>
      <c r="AC559" s="3" t="str">
        <f ca="1">HYPERLINK("#"&amp;일위대가목록표!J2&amp;"!A"&amp;ROW(일위대가목록표!A556),"대가553 →")</f>
        <v>대가553 →</v>
      </c>
    </row>
    <row r="560" spans="1:29" ht="30.6" customHeight="1" x14ac:dyDescent="0.3">
      <c r="A560" s="10"/>
      <c r="B560" s="10" t="s">
        <v>1375</v>
      </c>
      <c r="C560" s="41" t="s">
        <v>1382</v>
      </c>
      <c r="D560" s="43">
        <v>0</v>
      </c>
      <c r="E560" s="22" t="s">
        <v>1010</v>
      </c>
      <c r="F560" s="45">
        <f t="shared" si="40"/>
        <v>347819</v>
      </c>
      <c r="G560" s="48">
        <f t="shared" si="41"/>
        <v>0</v>
      </c>
      <c r="H560" s="50">
        <f>일위대가목록표!F557</f>
        <v>189819</v>
      </c>
      <c r="I560" s="13">
        <f t="shared" si="42"/>
        <v>0</v>
      </c>
      <c r="J560" s="52">
        <f>일위대가목록표!G557</f>
        <v>158000</v>
      </c>
      <c r="K560" s="13">
        <f t="shared" si="43"/>
        <v>0</v>
      </c>
      <c r="L560" s="54">
        <f>일위대가목록표!H557</f>
        <v>0</v>
      </c>
      <c r="M560" s="33">
        <f t="shared" si="44"/>
        <v>0</v>
      </c>
      <c r="N560" s="22" t="s">
        <v>5005</v>
      </c>
      <c r="O560" s="17" t="s">
        <v>5004</v>
      </c>
      <c r="P560" s="7" t="s">
        <v>5003</v>
      </c>
      <c r="Q560" s="7" t="s">
        <v>3344</v>
      </c>
      <c r="AC560" s="3" t="str">
        <f ca="1">HYPERLINK("#"&amp;일위대가목록표!J2&amp;"!A"&amp;ROW(일위대가목록표!A557),"대가554 →")</f>
        <v>대가554 →</v>
      </c>
    </row>
    <row r="561" spans="1:29" ht="30.6" customHeight="1" x14ac:dyDescent="0.3">
      <c r="A561" s="10"/>
      <c r="B561" s="10" t="s">
        <v>1375</v>
      </c>
      <c r="C561" s="41" t="s">
        <v>1385</v>
      </c>
      <c r="D561" s="43">
        <v>0</v>
      </c>
      <c r="E561" s="22" t="s">
        <v>1010</v>
      </c>
      <c r="F561" s="45">
        <f t="shared" si="40"/>
        <v>505673</v>
      </c>
      <c r="G561" s="48">
        <f t="shared" si="41"/>
        <v>0</v>
      </c>
      <c r="H561" s="50">
        <f>일위대가목록표!F558</f>
        <v>246873</v>
      </c>
      <c r="I561" s="13">
        <f t="shared" si="42"/>
        <v>0</v>
      </c>
      <c r="J561" s="52">
        <f>일위대가목록표!G558</f>
        <v>258800</v>
      </c>
      <c r="K561" s="13">
        <f t="shared" si="43"/>
        <v>0</v>
      </c>
      <c r="L561" s="54">
        <f>일위대가목록표!H558</f>
        <v>0</v>
      </c>
      <c r="M561" s="33">
        <f t="shared" si="44"/>
        <v>0</v>
      </c>
      <c r="N561" s="22" t="s">
        <v>5008</v>
      </c>
      <c r="O561" s="17" t="s">
        <v>5007</v>
      </c>
      <c r="P561" s="7" t="s">
        <v>5006</v>
      </c>
      <c r="Q561" s="7" t="s">
        <v>3344</v>
      </c>
      <c r="AC561" s="3" t="str">
        <f ca="1">HYPERLINK("#"&amp;일위대가목록표!J2&amp;"!A"&amp;ROW(일위대가목록표!A558),"대가555 →")</f>
        <v>대가555 →</v>
      </c>
    </row>
    <row r="562" spans="1:29" ht="30.6" customHeight="1" x14ac:dyDescent="0.3">
      <c r="A562" s="10"/>
      <c r="B562" s="10" t="s">
        <v>1388</v>
      </c>
      <c r="C562" s="41" t="s">
        <v>1376</v>
      </c>
      <c r="D562" s="43">
        <v>0</v>
      </c>
      <c r="E562" s="22" t="s">
        <v>1010</v>
      </c>
      <c r="F562" s="45">
        <f t="shared" si="40"/>
        <v>103775</v>
      </c>
      <c r="G562" s="48">
        <f t="shared" si="41"/>
        <v>0</v>
      </c>
      <c r="H562" s="50">
        <f>일위대가목록표!F559</f>
        <v>100753</v>
      </c>
      <c r="I562" s="13">
        <f t="shared" si="42"/>
        <v>0</v>
      </c>
      <c r="J562" s="52">
        <f>일위대가목록표!G559</f>
        <v>0</v>
      </c>
      <c r="K562" s="13">
        <f t="shared" si="43"/>
        <v>0</v>
      </c>
      <c r="L562" s="54">
        <f>일위대가목록표!H559</f>
        <v>3022</v>
      </c>
      <c r="M562" s="33">
        <f t="shared" si="44"/>
        <v>0</v>
      </c>
      <c r="N562" s="22" t="s">
        <v>5011</v>
      </c>
      <c r="O562" s="17" t="s">
        <v>5010</v>
      </c>
      <c r="P562" s="7" t="s">
        <v>5009</v>
      </c>
      <c r="Q562" s="7" t="s">
        <v>3344</v>
      </c>
      <c r="AC562" s="3" t="str">
        <f ca="1">HYPERLINK("#"&amp;일위대가목록표!J2&amp;"!A"&amp;ROW(일위대가목록표!A559),"대가556 →")</f>
        <v>대가556 →</v>
      </c>
    </row>
    <row r="563" spans="1:29" ht="30.6" customHeight="1" x14ac:dyDescent="0.3">
      <c r="A563" s="10"/>
      <c r="B563" s="10" t="s">
        <v>1388</v>
      </c>
      <c r="C563" s="41" t="s">
        <v>1379</v>
      </c>
      <c r="D563" s="43">
        <v>0</v>
      </c>
      <c r="E563" s="22" t="s">
        <v>1010</v>
      </c>
      <c r="F563" s="45">
        <f t="shared" si="40"/>
        <v>145668</v>
      </c>
      <c r="G563" s="48">
        <f t="shared" si="41"/>
        <v>0</v>
      </c>
      <c r="H563" s="50">
        <f>일위대가목록표!F560</f>
        <v>145668</v>
      </c>
      <c r="I563" s="13">
        <f t="shared" si="42"/>
        <v>0</v>
      </c>
      <c r="J563" s="52">
        <f>일위대가목록표!G560</f>
        <v>0</v>
      </c>
      <c r="K563" s="13">
        <f t="shared" si="43"/>
        <v>0</v>
      </c>
      <c r="L563" s="54">
        <f>일위대가목록표!H560</f>
        <v>0</v>
      </c>
      <c r="M563" s="33">
        <f t="shared" si="44"/>
        <v>0</v>
      </c>
      <c r="N563" s="22" t="s">
        <v>5014</v>
      </c>
      <c r="O563" s="17" t="s">
        <v>5013</v>
      </c>
      <c r="P563" s="7" t="s">
        <v>5012</v>
      </c>
      <c r="Q563" s="7" t="s">
        <v>3344</v>
      </c>
      <c r="AC563" s="3" t="str">
        <f ca="1">HYPERLINK("#"&amp;일위대가목록표!J2&amp;"!A"&amp;ROW(일위대가목록표!A560),"대가557 →")</f>
        <v>대가557 →</v>
      </c>
    </row>
    <row r="564" spans="1:29" ht="30.6" customHeight="1" x14ac:dyDescent="0.3">
      <c r="A564" s="10"/>
      <c r="B564" s="10" t="s">
        <v>1388</v>
      </c>
      <c r="C564" s="41" t="s">
        <v>1382</v>
      </c>
      <c r="D564" s="43">
        <v>0</v>
      </c>
      <c r="E564" s="22" t="s">
        <v>1010</v>
      </c>
      <c r="F564" s="45">
        <f t="shared" si="40"/>
        <v>189819</v>
      </c>
      <c r="G564" s="48">
        <f t="shared" si="41"/>
        <v>0</v>
      </c>
      <c r="H564" s="50">
        <f>일위대가목록표!F561</f>
        <v>189819</v>
      </c>
      <c r="I564" s="13">
        <f t="shared" si="42"/>
        <v>0</v>
      </c>
      <c r="J564" s="52">
        <f>일위대가목록표!G561</f>
        <v>0</v>
      </c>
      <c r="K564" s="13">
        <f t="shared" si="43"/>
        <v>0</v>
      </c>
      <c r="L564" s="54">
        <f>일위대가목록표!H561</f>
        <v>0</v>
      </c>
      <c r="M564" s="33">
        <f t="shared" si="44"/>
        <v>0</v>
      </c>
      <c r="N564" s="22" t="s">
        <v>5017</v>
      </c>
      <c r="O564" s="17" t="s">
        <v>5016</v>
      </c>
      <c r="P564" s="7" t="s">
        <v>5015</v>
      </c>
      <c r="Q564" s="7" t="s">
        <v>3344</v>
      </c>
      <c r="AC564" s="3" t="str">
        <f ca="1">HYPERLINK("#"&amp;일위대가목록표!J2&amp;"!A"&amp;ROW(일위대가목록표!A561),"대가558 →")</f>
        <v>대가558 →</v>
      </c>
    </row>
    <row r="565" spans="1:29" ht="30.6" customHeight="1" x14ac:dyDescent="0.3">
      <c r="A565" s="10"/>
      <c r="B565" s="10" t="s">
        <v>1388</v>
      </c>
      <c r="C565" s="41" t="s">
        <v>1385</v>
      </c>
      <c r="D565" s="43">
        <v>0</v>
      </c>
      <c r="E565" s="22" t="s">
        <v>1010</v>
      </c>
      <c r="F565" s="45">
        <f t="shared" si="40"/>
        <v>246873</v>
      </c>
      <c r="G565" s="48">
        <f t="shared" si="41"/>
        <v>0</v>
      </c>
      <c r="H565" s="50">
        <f>일위대가목록표!F562</f>
        <v>246873</v>
      </c>
      <c r="I565" s="13">
        <f t="shared" si="42"/>
        <v>0</v>
      </c>
      <c r="J565" s="52">
        <f>일위대가목록표!G562</f>
        <v>0</v>
      </c>
      <c r="K565" s="13">
        <f t="shared" si="43"/>
        <v>0</v>
      </c>
      <c r="L565" s="54">
        <f>일위대가목록표!H562</f>
        <v>0</v>
      </c>
      <c r="M565" s="33">
        <f t="shared" si="44"/>
        <v>0</v>
      </c>
      <c r="N565" s="22" t="s">
        <v>5020</v>
      </c>
      <c r="O565" s="17" t="s">
        <v>5019</v>
      </c>
      <c r="P565" s="7" t="s">
        <v>5018</v>
      </c>
      <c r="Q565" s="7" t="s">
        <v>3344</v>
      </c>
      <c r="AC565" s="3" t="str">
        <f ca="1">HYPERLINK("#"&amp;일위대가목록표!J2&amp;"!A"&amp;ROW(일위대가목록표!A562),"대가559 →")</f>
        <v>대가559 →</v>
      </c>
    </row>
    <row r="566" spans="1:29" ht="30.6" customHeight="1" x14ac:dyDescent="0.3">
      <c r="A566" s="10"/>
      <c r="B566" s="10" t="s">
        <v>1397</v>
      </c>
      <c r="C566" s="41" t="s">
        <v>1376</v>
      </c>
      <c r="D566" s="43">
        <v>0</v>
      </c>
      <c r="E566" s="22" t="s">
        <v>1010</v>
      </c>
      <c r="F566" s="45">
        <f t="shared" si="40"/>
        <v>74126</v>
      </c>
      <c r="G566" s="48">
        <f t="shared" si="41"/>
        <v>0</v>
      </c>
      <c r="H566" s="50">
        <f>일위대가목록표!F563</f>
        <v>71967</v>
      </c>
      <c r="I566" s="13">
        <f t="shared" si="42"/>
        <v>0</v>
      </c>
      <c r="J566" s="52">
        <f>일위대가목록표!G563</f>
        <v>0</v>
      </c>
      <c r="K566" s="13">
        <f t="shared" si="43"/>
        <v>0</v>
      </c>
      <c r="L566" s="54">
        <f>일위대가목록표!H563</f>
        <v>2159</v>
      </c>
      <c r="M566" s="33">
        <f t="shared" si="44"/>
        <v>0</v>
      </c>
      <c r="N566" s="22" t="s">
        <v>5023</v>
      </c>
      <c r="O566" s="17" t="s">
        <v>5022</v>
      </c>
      <c r="P566" s="7" t="s">
        <v>5021</v>
      </c>
      <c r="Q566" s="7" t="s">
        <v>3344</v>
      </c>
      <c r="AC566" s="3" t="str">
        <f ca="1">HYPERLINK("#"&amp;일위대가목록표!J2&amp;"!A"&amp;ROW(일위대가목록표!A563),"대가560 →")</f>
        <v>대가560 →</v>
      </c>
    </row>
    <row r="567" spans="1:29" ht="30.6" customHeight="1" x14ac:dyDescent="0.3">
      <c r="A567" s="10"/>
      <c r="B567" s="10" t="s">
        <v>1397</v>
      </c>
      <c r="C567" s="41" t="s">
        <v>1379</v>
      </c>
      <c r="D567" s="43">
        <v>0</v>
      </c>
      <c r="E567" s="22" t="s">
        <v>1010</v>
      </c>
      <c r="F567" s="45">
        <f t="shared" si="40"/>
        <v>104049</v>
      </c>
      <c r="G567" s="48">
        <f t="shared" si="41"/>
        <v>0</v>
      </c>
      <c r="H567" s="50">
        <f>일위대가목록표!F564</f>
        <v>104049</v>
      </c>
      <c r="I567" s="13">
        <f t="shared" si="42"/>
        <v>0</v>
      </c>
      <c r="J567" s="52">
        <f>일위대가목록표!G564</f>
        <v>0</v>
      </c>
      <c r="K567" s="13">
        <f t="shared" si="43"/>
        <v>0</v>
      </c>
      <c r="L567" s="54">
        <f>일위대가목록표!H564</f>
        <v>0</v>
      </c>
      <c r="M567" s="33">
        <f t="shared" si="44"/>
        <v>0</v>
      </c>
      <c r="N567" s="22" t="s">
        <v>5026</v>
      </c>
      <c r="O567" s="17" t="s">
        <v>5025</v>
      </c>
      <c r="P567" s="7" t="s">
        <v>5024</v>
      </c>
      <c r="Q567" s="7" t="s">
        <v>3344</v>
      </c>
      <c r="AC567" s="3" t="str">
        <f ca="1">HYPERLINK("#"&amp;일위대가목록표!J2&amp;"!A"&amp;ROW(일위대가목록표!A564),"대가561 →")</f>
        <v>대가561 →</v>
      </c>
    </row>
    <row r="568" spans="1:29" ht="30.6" customHeight="1" x14ac:dyDescent="0.3">
      <c r="A568" s="10"/>
      <c r="B568" s="10" t="s">
        <v>1397</v>
      </c>
      <c r="C568" s="41" t="s">
        <v>1382</v>
      </c>
      <c r="D568" s="43">
        <v>0</v>
      </c>
      <c r="E568" s="22" t="s">
        <v>1010</v>
      </c>
      <c r="F568" s="45">
        <f t="shared" si="40"/>
        <v>135585</v>
      </c>
      <c r="G568" s="48">
        <f t="shared" si="41"/>
        <v>0</v>
      </c>
      <c r="H568" s="50">
        <f>일위대가목록표!F565</f>
        <v>135585</v>
      </c>
      <c r="I568" s="13">
        <f t="shared" si="42"/>
        <v>0</v>
      </c>
      <c r="J568" s="52">
        <f>일위대가목록표!G565</f>
        <v>0</v>
      </c>
      <c r="K568" s="13">
        <f t="shared" si="43"/>
        <v>0</v>
      </c>
      <c r="L568" s="54">
        <f>일위대가목록표!H565</f>
        <v>0</v>
      </c>
      <c r="M568" s="33">
        <f t="shared" si="44"/>
        <v>0</v>
      </c>
      <c r="N568" s="22" t="s">
        <v>5029</v>
      </c>
      <c r="O568" s="17" t="s">
        <v>5028</v>
      </c>
      <c r="P568" s="7" t="s">
        <v>5027</v>
      </c>
      <c r="Q568" s="7" t="s">
        <v>3344</v>
      </c>
      <c r="AC568" s="3" t="str">
        <f ca="1">HYPERLINK("#"&amp;일위대가목록표!J2&amp;"!A"&amp;ROW(일위대가목록표!A565),"대가562 →")</f>
        <v>대가562 →</v>
      </c>
    </row>
    <row r="569" spans="1:29" ht="30.6" customHeight="1" x14ac:dyDescent="0.3">
      <c r="A569" s="10"/>
      <c r="B569" s="10" t="s">
        <v>1397</v>
      </c>
      <c r="C569" s="41" t="s">
        <v>1385</v>
      </c>
      <c r="D569" s="43">
        <v>0</v>
      </c>
      <c r="E569" s="22" t="s">
        <v>1010</v>
      </c>
      <c r="F569" s="45">
        <f t="shared" si="40"/>
        <v>176338</v>
      </c>
      <c r="G569" s="48">
        <f t="shared" si="41"/>
        <v>0</v>
      </c>
      <c r="H569" s="50">
        <f>일위대가목록표!F566</f>
        <v>176338</v>
      </c>
      <c r="I569" s="13">
        <f t="shared" si="42"/>
        <v>0</v>
      </c>
      <c r="J569" s="52">
        <f>일위대가목록표!G566</f>
        <v>0</v>
      </c>
      <c r="K569" s="13">
        <f t="shared" si="43"/>
        <v>0</v>
      </c>
      <c r="L569" s="54">
        <f>일위대가목록표!H566</f>
        <v>0</v>
      </c>
      <c r="M569" s="33">
        <f t="shared" si="44"/>
        <v>0</v>
      </c>
      <c r="N569" s="22" t="s">
        <v>5032</v>
      </c>
      <c r="O569" s="17" t="s">
        <v>5031</v>
      </c>
      <c r="P569" s="7" t="s">
        <v>5030</v>
      </c>
      <c r="Q569" s="7" t="s">
        <v>3344</v>
      </c>
      <c r="AC569" s="3" t="str">
        <f ca="1">HYPERLINK("#"&amp;일위대가목록표!J2&amp;"!A"&amp;ROW(일위대가목록표!A566),"대가563 →")</f>
        <v>대가563 →</v>
      </c>
    </row>
    <row r="570" spans="1:29" ht="30.6" customHeight="1" x14ac:dyDescent="0.3">
      <c r="A570" s="10"/>
      <c r="B570" s="10" t="s">
        <v>1406</v>
      </c>
      <c r="C570" s="41" t="s">
        <v>1376</v>
      </c>
      <c r="D570" s="43">
        <v>0</v>
      </c>
      <c r="E570" s="22" t="s">
        <v>1010</v>
      </c>
      <c r="F570" s="45">
        <f t="shared" si="40"/>
        <v>29649</v>
      </c>
      <c r="G570" s="48">
        <f t="shared" si="41"/>
        <v>0</v>
      </c>
      <c r="H570" s="50">
        <f>일위대가목록표!F567</f>
        <v>28786</v>
      </c>
      <c r="I570" s="13">
        <f t="shared" si="42"/>
        <v>0</v>
      </c>
      <c r="J570" s="52">
        <f>일위대가목록표!G567</f>
        <v>0</v>
      </c>
      <c r="K570" s="13">
        <f t="shared" si="43"/>
        <v>0</v>
      </c>
      <c r="L570" s="54">
        <f>일위대가목록표!H567</f>
        <v>863</v>
      </c>
      <c r="M570" s="33">
        <f t="shared" si="44"/>
        <v>0</v>
      </c>
      <c r="N570" s="22" t="s">
        <v>5035</v>
      </c>
      <c r="O570" s="17" t="s">
        <v>5034</v>
      </c>
      <c r="P570" s="7" t="s">
        <v>5033</v>
      </c>
      <c r="Q570" s="7" t="s">
        <v>3344</v>
      </c>
      <c r="AC570" s="3" t="str">
        <f ca="1">HYPERLINK("#"&amp;일위대가목록표!J2&amp;"!A"&amp;ROW(일위대가목록표!A567),"대가564 →")</f>
        <v>대가564 →</v>
      </c>
    </row>
    <row r="571" spans="1:29" ht="30.6" customHeight="1" x14ac:dyDescent="0.3">
      <c r="A571" s="10"/>
      <c r="B571" s="10" t="s">
        <v>1406</v>
      </c>
      <c r="C571" s="41" t="s">
        <v>1379</v>
      </c>
      <c r="D571" s="43">
        <v>0</v>
      </c>
      <c r="E571" s="22" t="s">
        <v>1010</v>
      </c>
      <c r="F571" s="45">
        <f t="shared" si="40"/>
        <v>41619</v>
      </c>
      <c r="G571" s="48">
        <f t="shared" si="41"/>
        <v>0</v>
      </c>
      <c r="H571" s="50">
        <f>일위대가목록표!F568</f>
        <v>41619</v>
      </c>
      <c r="I571" s="13">
        <f t="shared" si="42"/>
        <v>0</v>
      </c>
      <c r="J571" s="52">
        <f>일위대가목록표!G568</f>
        <v>0</v>
      </c>
      <c r="K571" s="13">
        <f t="shared" si="43"/>
        <v>0</v>
      </c>
      <c r="L571" s="54">
        <f>일위대가목록표!H568</f>
        <v>0</v>
      </c>
      <c r="M571" s="33">
        <f t="shared" si="44"/>
        <v>0</v>
      </c>
      <c r="N571" s="22" t="s">
        <v>5038</v>
      </c>
      <c r="O571" s="17" t="s">
        <v>5037</v>
      </c>
      <c r="P571" s="7" t="s">
        <v>5036</v>
      </c>
      <c r="Q571" s="7" t="s">
        <v>3344</v>
      </c>
      <c r="AC571" s="3" t="str">
        <f ca="1">HYPERLINK("#"&amp;일위대가목록표!J2&amp;"!A"&amp;ROW(일위대가목록표!A568),"대가565 →")</f>
        <v>대가565 →</v>
      </c>
    </row>
    <row r="572" spans="1:29" ht="30.6" customHeight="1" x14ac:dyDescent="0.3">
      <c r="A572" s="10"/>
      <c r="B572" s="10" t="s">
        <v>1406</v>
      </c>
      <c r="C572" s="41" t="s">
        <v>1382</v>
      </c>
      <c r="D572" s="43">
        <v>0</v>
      </c>
      <c r="E572" s="22" t="s">
        <v>1010</v>
      </c>
      <c r="F572" s="45">
        <f t="shared" si="40"/>
        <v>54234</v>
      </c>
      <c r="G572" s="48">
        <f t="shared" si="41"/>
        <v>0</v>
      </c>
      <c r="H572" s="50">
        <f>일위대가목록표!F569</f>
        <v>54234</v>
      </c>
      <c r="I572" s="13">
        <f t="shared" si="42"/>
        <v>0</v>
      </c>
      <c r="J572" s="52">
        <f>일위대가목록표!G569</f>
        <v>0</v>
      </c>
      <c r="K572" s="13">
        <f t="shared" si="43"/>
        <v>0</v>
      </c>
      <c r="L572" s="54">
        <f>일위대가목록표!H569</f>
        <v>0</v>
      </c>
      <c r="M572" s="33">
        <f t="shared" si="44"/>
        <v>0</v>
      </c>
      <c r="N572" s="22" t="s">
        <v>5041</v>
      </c>
      <c r="O572" s="17" t="s">
        <v>5040</v>
      </c>
      <c r="P572" s="7" t="s">
        <v>5039</v>
      </c>
      <c r="Q572" s="7" t="s">
        <v>3344</v>
      </c>
      <c r="AC572" s="3" t="str">
        <f ca="1">HYPERLINK("#"&amp;일위대가목록표!J2&amp;"!A"&amp;ROW(일위대가목록표!A569),"대가566 →")</f>
        <v>대가566 →</v>
      </c>
    </row>
    <row r="573" spans="1:29" ht="30.6" customHeight="1" x14ac:dyDescent="0.3">
      <c r="A573" s="10"/>
      <c r="B573" s="10" t="s">
        <v>1406</v>
      </c>
      <c r="C573" s="41" t="s">
        <v>1385</v>
      </c>
      <c r="D573" s="43">
        <v>0</v>
      </c>
      <c r="E573" s="22" t="s">
        <v>1010</v>
      </c>
      <c r="F573" s="45">
        <f t="shared" si="40"/>
        <v>70535</v>
      </c>
      <c r="G573" s="48">
        <f t="shared" si="41"/>
        <v>0</v>
      </c>
      <c r="H573" s="50">
        <f>일위대가목록표!F570</f>
        <v>70535</v>
      </c>
      <c r="I573" s="13">
        <f t="shared" si="42"/>
        <v>0</v>
      </c>
      <c r="J573" s="52">
        <f>일위대가목록표!G570</f>
        <v>0</v>
      </c>
      <c r="K573" s="13">
        <f t="shared" si="43"/>
        <v>0</v>
      </c>
      <c r="L573" s="54">
        <f>일위대가목록표!H570</f>
        <v>0</v>
      </c>
      <c r="M573" s="33">
        <f t="shared" si="44"/>
        <v>0</v>
      </c>
      <c r="N573" s="22" t="s">
        <v>5044</v>
      </c>
      <c r="O573" s="17" t="s">
        <v>5043</v>
      </c>
      <c r="P573" s="7" t="s">
        <v>5042</v>
      </c>
      <c r="Q573" s="7" t="s">
        <v>3344</v>
      </c>
      <c r="AC573" s="3" t="str">
        <f ca="1">HYPERLINK("#"&amp;일위대가목록표!J2&amp;"!A"&amp;ROW(일위대가목록표!A570),"대가567 →")</f>
        <v>대가567 →</v>
      </c>
    </row>
    <row r="574" spans="1:29" ht="30.6" customHeight="1" x14ac:dyDescent="0.3">
      <c r="A574" s="10"/>
      <c r="B574" s="10" t="s">
        <v>1415</v>
      </c>
      <c r="C574" s="41" t="s">
        <v>1416</v>
      </c>
      <c r="D574" s="43">
        <v>0</v>
      </c>
      <c r="E574" s="22" t="s">
        <v>1010</v>
      </c>
      <c r="F574" s="45">
        <f t="shared" si="40"/>
        <v>407000</v>
      </c>
      <c r="G574" s="48">
        <f t="shared" si="41"/>
        <v>0</v>
      </c>
      <c r="H574" s="50">
        <f>일위대가목록표!F571</f>
        <v>150000</v>
      </c>
      <c r="I574" s="13">
        <f t="shared" si="42"/>
        <v>0</v>
      </c>
      <c r="J574" s="52">
        <f>일위대가목록표!G571</f>
        <v>257000</v>
      </c>
      <c r="K574" s="13">
        <f t="shared" si="43"/>
        <v>0</v>
      </c>
      <c r="L574" s="54">
        <f>일위대가목록표!H571</f>
        <v>0</v>
      </c>
      <c r="M574" s="33">
        <f t="shared" si="44"/>
        <v>0</v>
      </c>
      <c r="N574" s="22" t="s">
        <v>5047</v>
      </c>
      <c r="O574" s="17" t="s">
        <v>5046</v>
      </c>
      <c r="P574" s="7" t="s">
        <v>5045</v>
      </c>
      <c r="Q574" s="7" t="s">
        <v>3344</v>
      </c>
      <c r="AC574" s="3" t="str">
        <f ca="1">HYPERLINK("#"&amp;일위대가목록표!J2&amp;"!A"&amp;ROW(일위대가목록표!A571),"대가568 →")</f>
        <v>대가568 →</v>
      </c>
    </row>
    <row r="575" spans="1:29" ht="30.6" customHeight="1" x14ac:dyDescent="0.3">
      <c r="A575" s="10"/>
      <c r="B575" s="10" t="s">
        <v>1415</v>
      </c>
      <c r="C575" s="41" t="s">
        <v>1419</v>
      </c>
      <c r="D575" s="43">
        <v>0</v>
      </c>
      <c r="E575" s="22" t="s">
        <v>1010</v>
      </c>
      <c r="F575" s="45">
        <f t="shared" si="40"/>
        <v>471000</v>
      </c>
      <c r="G575" s="48">
        <f t="shared" si="41"/>
        <v>0</v>
      </c>
      <c r="H575" s="50">
        <f>일위대가목록표!F572</f>
        <v>150000</v>
      </c>
      <c r="I575" s="13">
        <f t="shared" si="42"/>
        <v>0</v>
      </c>
      <c r="J575" s="52">
        <f>일위대가목록표!G572</f>
        <v>321000</v>
      </c>
      <c r="K575" s="13">
        <f t="shared" si="43"/>
        <v>0</v>
      </c>
      <c r="L575" s="54">
        <f>일위대가목록표!H572</f>
        <v>0</v>
      </c>
      <c r="M575" s="33">
        <f t="shared" si="44"/>
        <v>0</v>
      </c>
      <c r="N575" s="22" t="s">
        <v>5050</v>
      </c>
      <c r="O575" s="17" t="s">
        <v>5049</v>
      </c>
      <c r="P575" s="7" t="s">
        <v>5048</v>
      </c>
      <c r="Q575" s="7" t="s">
        <v>3344</v>
      </c>
      <c r="AC575" s="3" t="str">
        <f ca="1">HYPERLINK("#"&amp;일위대가목록표!J2&amp;"!A"&amp;ROW(일위대가목록표!A572),"대가569 →")</f>
        <v>대가569 →</v>
      </c>
    </row>
    <row r="576" spans="1:29" ht="30.6" customHeight="1" x14ac:dyDescent="0.3">
      <c r="A576" s="10"/>
      <c r="B576" s="10" t="s">
        <v>1422</v>
      </c>
      <c r="C576" s="41" t="s">
        <v>1416</v>
      </c>
      <c r="D576" s="43">
        <v>0</v>
      </c>
      <c r="E576" s="22" t="s">
        <v>1010</v>
      </c>
      <c r="F576" s="45">
        <f t="shared" si="40"/>
        <v>150000</v>
      </c>
      <c r="G576" s="48">
        <f t="shared" si="41"/>
        <v>0</v>
      </c>
      <c r="H576" s="50">
        <f>일위대가목록표!F573</f>
        <v>150000</v>
      </c>
      <c r="I576" s="13">
        <f t="shared" si="42"/>
        <v>0</v>
      </c>
      <c r="J576" s="52">
        <f>일위대가목록표!G573</f>
        <v>0</v>
      </c>
      <c r="K576" s="13">
        <f t="shared" si="43"/>
        <v>0</v>
      </c>
      <c r="L576" s="54">
        <f>일위대가목록표!H573</f>
        <v>0</v>
      </c>
      <c r="M576" s="33">
        <f t="shared" si="44"/>
        <v>0</v>
      </c>
      <c r="N576" s="22" t="s">
        <v>5053</v>
      </c>
      <c r="O576" s="17" t="s">
        <v>5052</v>
      </c>
      <c r="P576" s="7" t="s">
        <v>5051</v>
      </c>
      <c r="Q576" s="7" t="s">
        <v>3344</v>
      </c>
      <c r="AC576" s="3" t="str">
        <f ca="1">HYPERLINK("#"&amp;일위대가목록표!J2&amp;"!A"&amp;ROW(일위대가목록표!A573),"대가570 →")</f>
        <v>대가570 →</v>
      </c>
    </row>
    <row r="577" spans="1:29" ht="30.6" customHeight="1" x14ac:dyDescent="0.3">
      <c r="A577" s="10"/>
      <c r="B577" s="10" t="s">
        <v>1422</v>
      </c>
      <c r="C577" s="41" t="s">
        <v>1419</v>
      </c>
      <c r="D577" s="43">
        <v>0</v>
      </c>
      <c r="E577" s="22" t="s">
        <v>1010</v>
      </c>
      <c r="F577" s="45">
        <f t="shared" si="40"/>
        <v>150000</v>
      </c>
      <c r="G577" s="48">
        <f t="shared" si="41"/>
        <v>0</v>
      </c>
      <c r="H577" s="50">
        <f>일위대가목록표!F574</f>
        <v>150000</v>
      </c>
      <c r="I577" s="13">
        <f t="shared" si="42"/>
        <v>0</v>
      </c>
      <c r="J577" s="52">
        <f>일위대가목록표!G574</f>
        <v>0</v>
      </c>
      <c r="K577" s="13">
        <f t="shared" si="43"/>
        <v>0</v>
      </c>
      <c r="L577" s="54">
        <f>일위대가목록표!H574</f>
        <v>0</v>
      </c>
      <c r="M577" s="33">
        <f t="shared" si="44"/>
        <v>0</v>
      </c>
      <c r="N577" s="22" t="s">
        <v>5056</v>
      </c>
      <c r="O577" s="17" t="s">
        <v>5055</v>
      </c>
      <c r="P577" s="7" t="s">
        <v>5054</v>
      </c>
      <c r="Q577" s="7" t="s">
        <v>3344</v>
      </c>
      <c r="AC577" s="3" t="str">
        <f ca="1">HYPERLINK("#"&amp;일위대가목록표!J2&amp;"!A"&amp;ROW(일위대가목록표!A574),"대가571 →")</f>
        <v>대가571 →</v>
      </c>
    </row>
    <row r="578" spans="1:29" ht="30.6" customHeight="1" x14ac:dyDescent="0.3">
      <c r="A578" s="10"/>
      <c r="B578" s="10" t="s">
        <v>1427</v>
      </c>
      <c r="C578" s="41" t="s">
        <v>1416</v>
      </c>
      <c r="D578" s="43">
        <v>0</v>
      </c>
      <c r="E578" s="22" t="s">
        <v>1010</v>
      </c>
      <c r="F578" s="45">
        <f t="shared" si="40"/>
        <v>150000</v>
      </c>
      <c r="G578" s="48">
        <f t="shared" si="41"/>
        <v>0</v>
      </c>
      <c r="H578" s="50">
        <f>일위대가목록표!F575</f>
        <v>150000</v>
      </c>
      <c r="I578" s="13">
        <f t="shared" si="42"/>
        <v>0</v>
      </c>
      <c r="J578" s="52">
        <f>일위대가목록표!G575</f>
        <v>0</v>
      </c>
      <c r="K578" s="13">
        <f t="shared" si="43"/>
        <v>0</v>
      </c>
      <c r="L578" s="54">
        <f>일위대가목록표!H575</f>
        <v>0</v>
      </c>
      <c r="M578" s="33">
        <f t="shared" si="44"/>
        <v>0</v>
      </c>
      <c r="N578" s="22" t="s">
        <v>5059</v>
      </c>
      <c r="O578" s="17" t="s">
        <v>5058</v>
      </c>
      <c r="P578" s="7" t="s">
        <v>5057</v>
      </c>
      <c r="Q578" s="7" t="s">
        <v>3344</v>
      </c>
      <c r="AC578" s="3" t="str">
        <f ca="1">HYPERLINK("#"&amp;일위대가목록표!J2&amp;"!A"&amp;ROW(일위대가목록표!A575),"대가572 →")</f>
        <v>대가572 →</v>
      </c>
    </row>
    <row r="579" spans="1:29" ht="30.6" customHeight="1" x14ac:dyDescent="0.3">
      <c r="A579" s="10"/>
      <c r="B579" s="10" t="s">
        <v>1427</v>
      </c>
      <c r="C579" s="41" t="s">
        <v>1419</v>
      </c>
      <c r="D579" s="43">
        <v>0</v>
      </c>
      <c r="E579" s="22" t="s">
        <v>1010</v>
      </c>
      <c r="F579" s="45">
        <f t="shared" si="40"/>
        <v>150000</v>
      </c>
      <c r="G579" s="48">
        <f t="shared" si="41"/>
        <v>0</v>
      </c>
      <c r="H579" s="50">
        <f>일위대가목록표!F576</f>
        <v>150000</v>
      </c>
      <c r="I579" s="13">
        <f t="shared" si="42"/>
        <v>0</v>
      </c>
      <c r="J579" s="52">
        <f>일위대가목록표!G576</f>
        <v>0</v>
      </c>
      <c r="K579" s="13">
        <f t="shared" si="43"/>
        <v>0</v>
      </c>
      <c r="L579" s="54">
        <f>일위대가목록표!H576</f>
        <v>0</v>
      </c>
      <c r="M579" s="33">
        <f t="shared" si="44"/>
        <v>0</v>
      </c>
      <c r="N579" s="22" t="s">
        <v>5062</v>
      </c>
      <c r="O579" s="17" t="s">
        <v>5061</v>
      </c>
      <c r="P579" s="7" t="s">
        <v>5060</v>
      </c>
      <c r="Q579" s="7" t="s">
        <v>3344</v>
      </c>
      <c r="AC579" s="3" t="str">
        <f ca="1">HYPERLINK("#"&amp;일위대가목록표!J2&amp;"!A"&amp;ROW(일위대가목록표!A576),"대가573 →")</f>
        <v>대가573 →</v>
      </c>
    </row>
    <row r="580" spans="1:29" ht="30.6" customHeight="1" x14ac:dyDescent="0.3">
      <c r="A580" s="10"/>
      <c r="B580" s="10" t="s">
        <v>1432</v>
      </c>
      <c r="C580" s="41" t="s">
        <v>1416</v>
      </c>
      <c r="D580" s="43">
        <v>0</v>
      </c>
      <c r="E580" s="22" t="s">
        <v>1010</v>
      </c>
      <c r="F580" s="45">
        <f t="shared" si="40"/>
        <v>75000</v>
      </c>
      <c r="G580" s="48">
        <f t="shared" si="41"/>
        <v>0</v>
      </c>
      <c r="H580" s="50">
        <f>일위대가목록표!F577</f>
        <v>75000</v>
      </c>
      <c r="I580" s="13">
        <f t="shared" si="42"/>
        <v>0</v>
      </c>
      <c r="J580" s="52">
        <f>일위대가목록표!G577</f>
        <v>0</v>
      </c>
      <c r="K580" s="13">
        <f t="shared" si="43"/>
        <v>0</v>
      </c>
      <c r="L580" s="54">
        <f>일위대가목록표!H577</f>
        <v>0</v>
      </c>
      <c r="M580" s="33">
        <f t="shared" si="44"/>
        <v>0</v>
      </c>
      <c r="N580" s="22" t="s">
        <v>5065</v>
      </c>
      <c r="O580" s="17" t="s">
        <v>5064</v>
      </c>
      <c r="P580" s="7" t="s">
        <v>5063</v>
      </c>
      <c r="Q580" s="7" t="s">
        <v>3344</v>
      </c>
      <c r="AC580" s="3" t="str">
        <f ca="1">HYPERLINK("#"&amp;일위대가목록표!J2&amp;"!A"&amp;ROW(일위대가목록표!A577),"대가574 →")</f>
        <v>대가574 →</v>
      </c>
    </row>
    <row r="581" spans="1:29" ht="30.6" customHeight="1" x14ac:dyDescent="0.3">
      <c r="A581" s="10"/>
      <c r="B581" s="10" t="s">
        <v>1432</v>
      </c>
      <c r="C581" s="41" t="s">
        <v>1419</v>
      </c>
      <c r="D581" s="43">
        <v>0</v>
      </c>
      <c r="E581" s="22" t="s">
        <v>1010</v>
      </c>
      <c r="F581" s="45">
        <f t="shared" si="40"/>
        <v>75000</v>
      </c>
      <c r="G581" s="48">
        <f t="shared" si="41"/>
        <v>0</v>
      </c>
      <c r="H581" s="50">
        <f>일위대가목록표!F578</f>
        <v>75000</v>
      </c>
      <c r="I581" s="13">
        <f t="shared" si="42"/>
        <v>0</v>
      </c>
      <c r="J581" s="52">
        <f>일위대가목록표!G578</f>
        <v>0</v>
      </c>
      <c r="K581" s="13">
        <f t="shared" si="43"/>
        <v>0</v>
      </c>
      <c r="L581" s="54">
        <f>일위대가목록표!H578</f>
        <v>0</v>
      </c>
      <c r="M581" s="33">
        <f t="shared" si="44"/>
        <v>0</v>
      </c>
      <c r="N581" s="22" t="s">
        <v>5068</v>
      </c>
      <c r="O581" s="17" t="s">
        <v>5067</v>
      </c>
      <c r="P581" s="7" t="s">
        <v>5066</v>
      </c>
      <c r="Q581" s="7" t="s">
        <v>3344</v>
      </c>
      <c r="AC581" s="3" t="str">
        <f ca="1">HYPERLINK("#"&amp;일위대가목록표!J2&amp;"!A"&amp;ROW(일위대가목록표!A578),"대가575 →")</f>
        <v>대가575 →</v>
      </c>
    </row>
    <row r="582" spans="1:29" ht="30.6" customHeight="1" x14ac:dyDescent="0.3">
      <c r="A582" s="10"/>
      <c r="B582" s="10" t="s">
        <v>1437</v>
      </c>
      <c r="C582" s="41" t="s">
        <v>1438</v>
      </c>
      <c r="D582" s="43">
        <v>1</v>
      </c>
      <c r="E582" s="22" t="s">
        <v>515</v>
      </c>
      <c r="F582" s="45">
        <f t="shared" si="40"/>
        <v>23661</v>
      </c>
      <c r="G582" s="48">
        <f t="shared" si="41"/>
        <v>23661</v>
      </c>
      <c r="H582" s="50">
        <f>일위대가목록표!F579</f>
        <v>23198</v>
      </c>
      <c r="I582" s="13">
        <f t="shared" si="42"/>
        <v>23198</v>
      </c>
      <c r="J582" s="52">
        <f>일위대가목록표!G579</f>
        <v>0</v>
      </c>
      <c r="K582" s="13">
        <f t="shared" si="43"/>
        <v>0</v>
      </c>
      <c r="L582" s="54">
        <f>일위대가목록표!H579</f>
        <v>463</v>
      </c>
      <c r="M582" s="33">
        <f t="shared" si="44"/>
        <v>463</v>
      </c>
      <c r="N582" s="22" t="s">
        <v>5071</v>
      </c>
      <c r="O582" s="17" t="s">
        <v>5070</v>
      </c>
      <c r="P582" s="7" t="s">
        <v>5069</v>
      </c>
      <c r="Q582" s="7" t="s">
        <v>3344</v>
      </c>
      <c r="AC582" s="3" t="str">
        <f ca="1">HYPERLINK("#"&amp;일위대가목록표!J2&amp;"!A"&amp;ROW(일위대가목록표!A579),"대가576 →")</f>
        <v>대가576 →</v>
      </c>
    </row>
    <row r="583" spans="1:29" ht="30.6" customHeight="1" x14ac:dyDescent="0.3">
      <c r="A583" s="10"/>
      <c r="B583" s="10" t="s">
        <v>1437</v>
      </c>
      <c r="C583" s="41" t="s">
        <v>1441</v>
      </c>
      <c r="D583" s="43">
        <v>1</v>
      </c>
      <c r="E583" s="22" t="s">
        <v>515</v>
      </c>
      <c r="F583" s="45">
        <f t="shared" ref="F583:F646" si="45">J583+H583+L583</f>
        <v>23661</v>
      </c>
      <c r="G583" s="48">
        <f t="shared" ref="G583:G646" si="46">K583+I583+M583</f>
        <v>23661</v>
      </c>
      <c r="H583" s="50">
        <f>일위대가목록표!F580</f>
        <v>23198</v>
      </c>
      <c r="I583" s="13">
        <f t="shared" ref="I583:I646" si="47">ROUNDDOWN(H583*D583,0)</f>
        <v>23198</v>
      </c>
      <c r="J583" s="52">
        <f>일위대가목록표!G580</f>
        <v>0</v>
      </c>
      <c r="K583" s="13">
        <f t="shared" ref="K583:K646" si="48">ROUNDDOWN(J583*D583,0)</f>
        <v>0</v>
      </c>
      <c r="L583" s="54">
        <f>일위대가목록표!H580</f>
        <v>463</v>
      </c>
      <c r="M583" s="33">
        <f t="shared" ref="M583:M646" si="49">ROUNDDOWN(L583*D583,0)</f>
        <v>463</v>
      </c>
      <c r="N583" s="22" t="s">
        <v>5074</v>
      </c>
      <c r="O583" s="17" t="s">
        <v>5073</v>
      </c>
      <c r="P583" s="7" t="s">
        <v>5072</v>
      </c>
      <c r="Q583" s="7" t="s">
        <v>3344</v>
      </c>
      <c r="AC583" s="3" t="str">
        <f ca="1">HYPERLINK("#"&amp;일위대가목록표!J2&amp;"!A"&amp;ROW(일위대가목록표!A580),"대가577 →")</f>
        <v>대가577 →</v>
      </c>
    </row>
    <row r="584" spans="1:29" ht="30.6" customHeight="1" x14ac:dyDescent="0.3">
      <c r="A584" s="10"/>
      <c r="B584" s="10" t="s">
        <v>1437</v>
      </c>
      <c r="C584" s="41" t="s">
        <v>1444</v>
      </c>
      <c r="D584" s="43">
        <v>0</v>
      </c>
      <c r="E584" s="22" t="s">
        <v>515</v>
      </c>
      <c r="F584" s="45">
        <f t="shared" si="45"/>
        <v>36075</v>
      </c>
      <c r="G584" s="48">
        <f t="shared" si="46"/>
        <v>0</v>
      </c>
      <c r="H584" s="50">
        <f>일위대가목록표!F581</f>
        <v>35368</v>
      </c>
      <c r="I584" s="13">
        <f t="shared" si="47"/>
        <v>0</v>
      </c>
      <c r="J584" s="52">
        <f>일위대가목록표!G581</f>
        <v>0</v>
      </c>
      <c r="K584" s="13">
        <f t="shared" si="48"/>
        <v>0</v>
      </c>
      <c r="L584" s="54">
        <f>일위대가목록표!H581</f>
        <v>707</v>
      </c>
      <c r="M584" s="33">
        <f t="shared" si="49"/>
        <v>0</v>
      </c>
      <c r="N584" s="22" t="s">
        <v>5077</v>
      </c>
      <c r="O584" s="17" t="s">
        <v>5076</v>
      </c>
      <c r="P584" s="7" t="s">
        <v>5075</v>
      </c>
      <c r="Q584" s="7" t="s">
        <v>3344</v>
      </c>
      <c r="AC584" s="3" t="str">
        <f ca="1">HYPERLINK("#"&amp;일위대가목록표!J2&amp;"!A"&amp;ROW(일위대가목록표!A581),"대가578 →")</f>
        <v>대가578 →</v>
      </c>
    </row>
    <row r="585" spans="1:29" ht="30.6" customHeight="1" x14ac:dyDescent="0.3">
      <c r="A585" s="10"/>
      <c r="B585" s="10" t="s">
        <v>1437</v>
      </c>
      <c r="C585" s="41" t="s">
        <v>1447</v>
      </c>
      <c r="D585" s="43">
        <v>0</v>
      </c>
      <c r="E585" s="22" t="s">
        <v>515</v>
      </c>
      <c r="F585" s="45">
        <f t="shared" si="45"/>
        <v>55986</v>
      </c>
      <c r="G585" s="48">
        <f t="shared" si="46"/>
        <v>0</v>
      </c>
      <c r="H585" s="50">
        <f>일위대가목록표!F582</f>
        <v>54889</v>
      </c>
      <c r="I585" s="13">
        <f t="shared" si="47"/>
        <v>0</v>
      </c>
      <c r="J585" s="52">
        <f>일위대가목록표!G582</f>
        <v>0</v>
      </c>
      <c r="K585" s="13">
        <f t="shared" si="48"/>
        <v>0</v>
      </c>
      <c r="L585" s="54">
        <f>일위대가목록표!H582</f>
        <v>1097</v>
      </c>
      <c r="M585" s="33">
        <f t="shared" si="49"/>
        <v>0</v>
      </c>
      <c r="N585" s="22" t="s">
        <v>5080</v>
      </c>
      <c r="O585" s="17" t="s">
        <v>5079</v>
      </c>
      <c r="P585" s="7" t="s">
        <v>5078</v>
      </c>
      <c r="Q585" s="7" t="s">
        <v>3344</v>
      </c>
      <c r="AC585" s="3" t="str">
        <f ca="1">HYPERLINK("#"&amp;일위대가목록표!J2&amp;"!A"&amp;ROW(일위대가목록표!A582),"대가579 →")</f>
        <v>대가579 →</v>
      </c>
    </row>
    <row r="586" spans="1:29" ht="30.6" customHeight="1" x14ac:dyDescent="0.3">
      <c r="A586" s="10"/>
      <c r="B586" s="10" t="s">
        <v>1437</v>
      </c>
      <c r="C586" s="41" t="s">
        <v>1450</v>
      </c>
      <c r="D586" s="43">
        <v>0</v>
      </c>
      <c r="E586" s="22" t="s">
        <v>515</v>
      </c>
      <c r="F586" s="45">
        <f t="shared" si="45"/>
        <v>69693</v>
      </c>
      <c r="G586" s="48">
        <f t="shared" si="46"/>
        <v>0</v>
      </c>
      <c r="H586" s="50">
        <f>일위대가목록표!F583</f>
        <v>68327</v>
      </c>
      <c r="I586" s="13">
        <f t="shared" si="47"/>
        <v>0</v>
      </c>
      <c r="J586" s="52">
        <f>일위대가목록표!G583</f>
        <v>0</v>
      </c>
      <c r="K586" s="13">
        <f t="shared" si="48"/>
        <v>0</v>
      </c>
      <c r="L586" s="54">
        <f>일위대가목록표!H583</f>
        <v>1366</v>
      </c>
      <c r="M586" s="33">
        <f t="shared" si="49"/>
        <v>0</v>
      </c>
      <c r="N586" s="22" t="s">
        <v>5083</v>
      </c>
      <c r="O586" s="17" t="s">
        <v>5082</v>
      </c>
      <c r="P586" s="7" t="s">
        <v>5081</v>
      </c>
      <c r="Q586" s="7" t="s">
        <v>3344</v>
      </c>
      <c r="AC586" s="3" t="str">
        <f ca="1">HYPERLINK("#"&amp;일위대가목록표!J2&amp;"!A"&amp;ROW(일위대가목록표!A583),"대가580 →")</f>
        <v>대가580 →</v>
      </c>
    </row>
    <row r="587" spans="1:29" ht="30.6" customHeight="1" x14ac:dyDescent="0.3">
      <c r="A587" s="10"/>
      <c r="B587" s="10" t="s">
        <v>1437</v>
      </c>
      <c r="C587" s="41" t="s">
        <v>1453</v>
      </c>
      <c r="D587" s="43">
        <v>0</v>
      </c>
      <c r="E587" s="22" t="s">
        <v>515</v>
      </c>
      <c r="F587" s="45">
        <f t="shared" si="45"/>
        <v>69693</v>
      </c>
      <c r="G587" s="48">
        <f t="shared" si="46"/>
        <v>0</v>
      </c>
      <c r="H587" s="50">
        <f>일위대가목록표!F584</f>
        <v>68327</v>
      </c>
      <c r="I587" s="13">
        <f t="shared" si="47"/>
        <v>0</v>
      </c>
      <c r="J587" s="52">
        <f>일위대가목록표!G584</f>
        <v>0</v>
      </c>
      <c r="K587" s="13">
        <f t="shared" si="48"/>
        <v>0</v>
      </c>
      <c r="L587" s="54">
        <f>일위대가목록표!H584</f>
        <v>1366</v>
      </c>
      <c r="M587" s="33">
        <f t="shared" si="49"/>
        <v>0</v>
      </c>
      <c r="N587" s="22" t="s">
        <v>5086</v>
      </c>
      <c r="O587" s="17" t="s">
        <v>5085</v>
      </c>
      <c r="P587" s="7" t="s">
        <v>5084</v>
      </c>
      <c r="Q587" s="7" t="s">
        <v>3344</v>
      </c>
      <c r="AC587" s="3" t="str">
        <f ca="1">HYPERLINK("#"&amp;일위대가목록표!J2&amp;"!A"&amp;ROW(일위대가목록표!A584),"대가581 →")</f>
        <v>대가581 →</v>
      </c>
    </row>
    <row r="588" spans="1:29" ht="30.6" customHeight="1" x14ac:dyDescent="0.3">
      <c r="A588" s="10"/>
      <c r="B588" s="10" t="s">
        <v>1456</v>
      </c>
      <c r="C588" s="41" t="s">
        <v>1457</v>
      </c>
      <c r="D588" s="43">
        <v>1</v>
      </c>
      <c r="E588" s="22" t="s">
        <v>515</v>
      </c>
      <c r="F588" s="45">
        <f t="shared" si="45"/>
        <v>16901</v>
      </c>
      <c r="G588" s="48">
        <f t="shared" si="46"/>
        <v>16901</v>
      </c>
      <c r="H588" s="50">
        <f>일위대가목록표!F585</f>
        <v>16570</v>
      </c>
      <c r="I588" s="13">
        <f t="shared" si="47"/>
        <v>16570</v>
      </c>
      <c r="J588" s="52">
        <f>일위대가목록표!G585</f>
        <v>0</v>
      </c>
      <c r="K588" s="13">
        <f t="shared" si="48"/>
        <v>0</v>
      </c>
      <c r="L588" s="54">
        <f>일위대가목록표!H585</f>
        <v>331</v>
      </c>
      <c r="M588" s="33">
        <f t="shared" si="49"/>
        <v>331</v>
      </c>
      <c r="N588" s="22" t="s">
        <v>5089</v>
      </c>
      <c r="O588" s="17" t="s">
        <v>5088</v>
      </c>
      <c r="P588" s="7" t="s">
        <v>5087</v>
      </c>
      <c r="Q588" s="7" t="s">
        <v>3344</v>
      </c>
      <c r="AC588" s="3" t="str">
        <f ca="1">HYPERLINK("#"&amp;일위대가목록표!J2&amp;"!A"&amp;ROW(일위대가목록표!A585),"대가582 →")</f>
        <v>대가582 →</v>
      </c>
    </row>
    <row r="589" spans="1:29" ht="30.6" customHeight="1" x14ac:dyDescent="0.3">
      <c r="A589" s="10"/>
      <c r="B589" s="10" t="s">
        <v>1456</v>
      </c>
      <c r="C589" s="41" t="s">
        <v>1460</v>
      </c>
      <c r="D589" s="43">
        <v>1</v>
      </c>
      <c r="E589" s="22" t="s">
        <v>515</v>
      </c>
      <c r="F589" s="45">
        <f t="shared" si="45"/>
        <v>25768</v>
      </c>
      <c r="G589" s="48">
        <f t="shared" si="46"/>
        <v>25768</v>
      </c>
      <c r="H589" s="50">
        <f>일위대가목록표!F586</f>
        <v>25263</v>
      </c>
      <c r="I589" s="13">
        <f t="shared" si="47"/>
        <v>25263</v>
      </c>
      <c r="J589" s="52">
        <f>일위대가목록표!G586</f>
        <v>0</v>
      </c>
      <c r="K589" s="13">
        <f t="shared" si="48"/>
        <v>0</v>
      </c>
      <c r="L589" s="54">
        <f>일위대가목록표!H586</f>
        <v>505</v>
      </c>
      <c r="M589" s="33">
        <f t="shared" si="49"/>
        <v>505</v>
      </c>
      <c r="N589" s="22" t="s">
        <v>5092</v>
      </c>
      <c r="O589" s="17" t="s">
        <v>5091</v>
      </c>
      <c r="P589" s="7" t="s">
        <v>5090</v>
      </c>
      <c r="Q589" s="7" t="s">
        <v>3344</v>
      </c>
      <c r="AC589" s="3" t="str">
        <f ca="1">HYPERLINK("#"&amp;일위대가목록표!J2&amp;"!A"&amp;ROW(일위대가목록표!A586),"대가583 →")</f>
        <v>대가583 →</v>
      </c>
    </row>
    <row r="590" spans="1:29" ht="30.6" customHeight="1" x14ac:dyDescent="0.3">
      <c r="A590" s="10"/>
      <c r="B590" s="10" t="s">
        <v>1456</v>
      </c>
      <c r="C590" s="41" t="s">
        <v>1463</v>
      </c>
      <c r="D590" s="43">
        <v>0</v>
      </c>
      <c r="E590" s="22" t="s">
        <v>515</v>
      </c>
      <c r="F590" s="45">
        <f t="shared" si="45"/>
        <v>32879</v>
      </c>
      <c r="G590" s="48">
        <f t="shared" si="46"/>
        <v>0</v>
      </c>
      <c r="H590" s="50">
        <f>일위대가목록표!F587</f>
        <v>32235</v>
      </c>
      <c r="I590" s="13">
        <f t="shared" si="47"/>
        <v>0</v>
      </c>
      <c r="J590" s="52">
        <f>일위대가목록표!G587</f>
        <v>0</v>
      </c>
      <c r="K590" s="13">
        <f t="shared" si="48"/>
        <v>0</v>
      </c>
      <c r="L590" s="54">
        <f>일위대가목록표!H587</f>
        <v>644</v>
      </c>
      <c r="M590" s="33">
        <f t="shared" si="49"/>
        <v>0</v>
      </c>
      <c r="N590" s="22" t="s">
        <v>5095</v>
      </c>
      <c r="O590" s="17" t="s">
        <v>5094</v>
      </c>
      <c r="P590" s="7" t="s">
        <v>5093</v>
      </c>
      <c r="Q590" s="7" t="s">
        <v>3344</v>
      </c>
      <c r="AC590" s="3" t="str">
        <f ca="1">HYPERLINK("#"&amp;일위대가목록표!J2&amp;"!A"&amp;ROW(일위대가목록표!A587),"대가584 →")</f>
        <v>대가584 →</v>
      </c>
    </row>
    <row r="591" spans="1:29" ht="30.6" customHeight="1" x14ac:dyDescent="0.3">
      <c r="A591" s="10"/>
      <c r="B591" s="10" t="s">
        <v>1456</v>
      </c>
      <c r="C591" s="41" t="s">
        <v>1466</v>
      </c>
      <c r="D591" s="43">
        <v>0</v>
      </c>
      <c r="E591" s="22" t="s">
        <v>515</v>
      </c>
      <c r="F591" s="45">
        <f t="shared" si="45"/>
        <v>39991</v>
      </c>
      <c r="G591" s="48">
        <f t="shared" si="46"/>
        <v>0</v>
      </c>
      <c r="H591" s="50">
        <f>일위대가목록표!F588</f>
        <v>39207</v>
      </c>
      <c r="I591" s="13">
        <f t="shared" si="47"/>
        <v>0</v>
      </c>
      <c r="J591" s="52">
        <f>일위대가목록표!G588</f>
        <v>0</v>
      </c>
      <c r="K591" s="13">
        <f t="shared" si="48"/>
        <v>0</v>
      </c>
      <c r="L591" s="54">
        <f>일위대가목록표!H588</f>
        <v>784</v>
      </c>
      <c r="M591" s="33">
        <f t="shared" si="49"/>
        <v>0</v>
      </c>
      <c r="N591" s="22" t="s">
        <v>5098</v>
      </c>
      <c r="O591" s="17" t="s">
        <v>5097</v>
      </c>
      <c r="P591" s="7" t="s">
        <v>5096</v>
      </c>
      <c r="Q591" s="7" t="s">
        <v>3344</v>
      </c>
      <c r="AC591" s="3" t="str">
        <f ca="1">HYPERLINK("#"&amp;일위대가목록표!J2&amp;"!A"&amp;ROW(일위대가목록표!A588),"대가585 →")</f>
        <v>대가585 →</v>
      </c>
    </row>
    <row r="592" spans="1:29" ht="30.6" customHeight="1" x14ac:dyDescent="0.3">
      <c r="A592" s="10"/>
      <c r="B592" s="10" t="s">
        <v>1456</v>
      </c>
      <c r="C592" s="41" t="s">
        <v>1469</v>
      </c>
      <c r="D592" s="43">
        <v>0</v>
      </c>
      <c r="E592" s="22" t="s">
        <v>515</v>
      </c>
      <c r="F592" s="45">
        <f t="shared" si="45"/>
        <v>49781</v>
      </c>
      <c r="G592" s="48">
        <f t="shared" si="46"/>
        <v>0</v>
      </c>
      <c r="H592" s="50">
        <f>일위대가목록표!F589</f>
        <v>48805</v>
      </c>
      <c r="I592" s="13">
        <f t="shared" si="47"/>
        <v>0</v>
      </c>
      <c r="J592" s="52">
        <f>일위대가목록표!G589</f>
        <v>0</v>
      </c>
      <c r="K592" s="13">
        <f t="shared" si="48"/>
        <v>0</v>
      </c>
      <c r="L592" s="54">
        <f>일위대가목록표!H589</f>
        <v>976</v>
      </c>
      <c r="M592" s="33">
        <f t="shared" si="49"/>
        <v>0</v>
      </c>
      <c r="N592" s="22" t="s">
        <v>5101</v>
      </c>
      <c r="O592" s="17" t="s">
        <v>5100</v>
      </c>
      <c r="P592" s="7" t="s">
        <v>5099</v>
      </c>
      <c r="Q592" s="7" t="s">
        <v>3344</v>
      </c>
      <c r="AC592" s="3" t="str">
        <f ca="1">HYPERLINK("#"&amp;일위대가목록표!J2&amp;"!A"&amp;ROW(일위대가목록표!A589),"대가586 →")</f>
        <v>대가586 →</v>
      </c>
    </row>
    <row r="593" spans="1:29" ht="30.6" customHeight="1" x14ac:dyDescent="0.3">
      <c r="A593" s="10"/>
      <c r="B593" s="10" t="s">
        <v>1456</v>
      </c>
      <c r="C593" s="41" t="s">
        <v>1472</v>
      </c>
      <c r="D593" s="43">
        <v>0</v>
      </c>
      <c r="E593" s="22" t="s">
        <v>515</v>
      </c>
      <c r="F593" s="45">
        <f t="shared" si="45"/>
        <v>49781</v>
      </c>
      <c r="G593" s="48">
        <f t="shared" si="46"/>
        <v>0</v>
      </c>
      <c r="H593" s="50">
        <f>일위대가목록표!F590</f>
        <v>48805</v>
      </c>
      <c r="I593" s="13">
        <f t="shared" si="47"/>
        <v>0</v>
      </c>
      <c r="J593" s="52">
        <f>일위대가목록표!G590</f>
        <v>0</v>
      </c>
      <c r="K593" s="13">
        <f t="shared" si="48"/>
        <v>0</v>
      </c>
      <c r="L593" s="54">
        <f>일위대가목록표!H590</f>
        <v>976</v>
      </c>
      <c r="M593" s="33">
        <f t="shared" si="49"/>
        <v>0</v>
      </c>
      <c r="N593" s="22" t="s">
        <v>5104</v>
      </c>
      <c r="O593" s="17" t="s">
        <v>5103</v>
      </c>
      <c r="P593" s="7" t="s">
        <v>5102</v>
      </c>
      <c r="Q593" s="7" t="s">
        <v>3344</v>
      </c>
      <c r="AC593" s="3" t="str">
        <f ca="1">HYPERLINK("#"&amp;일위대가목록표!J2&amp;"!A"&amp;ROW(일위대가목록표!A590),"대가587 →")</f>
        <v>대가587 →</v>
      </c>
    </row>
    <row r="594" spans="1:29" ht="30.6" customHeight="1" x14ac:dyDescent="0.3">
      <c r="A594" s="10"/>
      <c r="B594" s="10" t="s">
        <v>1475</v>
      </c>
      <c r="C594" s="41" t="s">
        <v>1438</v>
      </c>
      <c r="D594" s="43">
        <v>1</v>
      </c>
      <c r="E594" s="22" t="s">
        <v>515</v>
      </c>
      <c r="F594" s="45">
        <f t="shared" si="45"/>
        <v>6760</v>
      </c>
      <c r="G594" s="48">
        <f t="shared" si="46"/>
        <v>6760</v>
      </c>
      <c r="H594" s="50">
        <f>일위대가목록표!F591</f>
        <v>6628</v>
      </c>
      <c r="I594" s="13">
        <f t="shared" si="47"/>
        <v>6628</v>
      </c>
      <c r="J594" s="52">
        <f>일위대가목록표!G591</f>
        <v>0</v>
      </c>
      <c r="K594" s="13">
        <f t="shared" si="48"/>
        <v>0</v>
      </c>
      <c r="L594" s="54">
        <f>일위대가목록표!H591</f>
        <v>132</v>
      </c>
      <c r="M594" s="33">
        <f t="shared" si="49"/>
        <v>132</v>
      </c>
      <c r="N594" s="22" t="s">
        <v>5107</v>
      </c>
      <c r="O594" s="17" t="s">
        <v>5106</v>
      </c>
      <c r="P594" s="7" t="s">
        <v>5105</v>
      </c>
      <c r="Q594" s="7" t="s">
        <v>3344</v>
      </c>
      <c r="AC594" s="3" t="str">
        <f ca="1">HYPERLINK("#"&amp;일위대가목록표!J2&amp;"!A"&amp;ROW(일위대가목록표!A591),"대가588 →")</f>
        <v>대가588 →</v>
      </c>
    </row>
    <row r="595" spans="1:29" ht="30.6" customHeight="1" x14ac:dyDescent="0.3">
      <c r="A595" s="10"/>
      <c r="B595" s="10" t="s">
        <v>1475</v>
      </c>
      <c r="C595" s="41" t="s">
        <v>1441</v>
      </c>
      <c r="D595" s="43">
        <v>1</v>
      </c>
      <c r="E595" s="22" t="s">
        <v>515</v>
      </c>
      <c r="F595" s="45">
        <f t="shared" si="45"/>
        <v>10307</v>
      </c>
      <c r="G595" s="48">
        <f t="shared" si="46"/>
        <v>10307</v>
      </c>
      <c r="H595" s="50">
        <f>일위대가목록표!F592</f>
        <v>10105</v>
      </c>
      <c r="I595" s="13">
        <f t="shared" si="47"/>
        <v>10105</v>
      </c>
      <c r="J595" s="52">
        <f>일위대가목록표!G592</f>
        <v>0</v>
      </c>
      <c r="K595" s="13">
        <f t="shared" si="48"/>
        <v>0</v>
      </c>
      <c r="L595" s="54">
        <f>일위대가목록표!H592</f>
        <v>202</v>
      </c>
      <c r="M595" s="33">
        <f t="shared" si="49"/>
        <v>202</v>
      </c>
      <c r="N595" s="22" t="s">
        <v>5110</v>
      </c>
      <c r="O595" s="17" t="s">
        <v>5109</v>
      </c>
      <c r="P595" s="7" t="s">
        <v>5108</v>
      </c>
      <c r="Q595" s="7" t="s">
        <v>3344</v>
      </c>
      <c r="AC595" s="3" t="str">
        <f ca="1">HYPERLINK("#"&amp;일위대가목록표!J2&amp;"!A"&amp;ROW(일위대가목록표!A592),"대가589 →")</f>
        <v>대가589 →</v>
      </c>
    </row>
    <row r="596" spans="1:29" ht="30.6" customHeight="1" x14ac:dyDescent="0.3">
      <c r="A596" s="10"/>
      <c r="B596" s="10" t="s">
        <v>1475</v>
      </c>
      <c r="C596" s="41" t="s">
        <v>1444</v>
      </c>
      <c r="D596" s="43">
        <v>0</v>
      </c>
      <c r="E596" s="22" t="s">
        <v>515</v>
      </c>
      <c r="F596" s="45">
        <f t="shared" si="45"/>
        <v>13151</v>
      </c>
      <c r="G596" s="48">
        <f t="shared" si="46"/>
        <v>0</v>
      </c>
      <c r="H596" s="50">
        <f>일위대가목록표!F593</f>
        <v>12894</v>
      </c>
      <c r="I596" s="13">
        <f t="shared" si="47"/>
        <v>0</v>
      </c>
      <c r="J596" s="52">
        <f>일위대가목록표!G593</f>
        <v>0</v>
      </c>
      <c r="K596" s="13">
        <f t="shared" si="48"/>
        <v>0</v>
      </c>
      <c r="L596" s="54">
        <f>일위대가목록표!H593</f>
        <v>257</v>
      </c>
      <c r="M596" s="33">
        <f t="shared" si="49"/>
        <v>0</v>
      </c>
      <c r="N596" s="22" t="s">
        <v>5113</v>
      </c>
      <c r="O596" s="17" t="s">
        <v>5112</v>
      </c>
      <c r="P596" s="7" t="s">
        <v>5111</v>
      </c>
      <c r="Q596" s="7" t="s">
        <v>3344</v>
      </c>
      <c r="AC596" s="3" t="str">
        <f ca="1">HYPERLINK("#"&amp;일위대가목록표!J2&amp;"!A"&amp;ROW(일위대가목록표!A593),"대가590 →")</f>
        <v>대가590 →</v>
      </c>
    </row>
    <row r="597" spans="1:29" ht="30.6" customHeight="1" x14ac:dyDescent="0.3">
      <c r="A597" s="10"/>
      <c r="B597" s="10" t="s">
        <v>1475</v>
      </c>
      <c r="C597" s="41" t="s">
        <v>1447</v>
      </c>
      <c r="D597" s="43">
        <v>0</v>
      </c>
      <c r="E597" s="22" t="s">
        <v>515</v>
      </c>
      <c r="F597" s="45">
        <f t="shared" si="45"/>
        <v>15995</v>
      </c>
      <c r="G597" s="48">
        <f t="shared" si="46"/>
        <v>0</v>
      </c>
      <c r="H597" s="50">
        <f>일위대가목록표!F594</f>
        <v>15682</v>
      </c>
      <c r="I597" s="13">
        <f t="shared" si="47"/>
        <v>0</v>
      </c>
      <c r="J597" s="52">
        <f>일위대가목록표!G594</f>
        <v>0</v>
      </c>
      <c r="K597" s="13">
        <f t="shared" si="48"/>
        <v>0</v>
      </c>
      <c r="L597" s="54">
        <f>일위대가목록표!H594</f>
        <v>313</v>
      </c>
      <c r="M597" s="33">
        <f t="shared" si="49"/>
        <v>0</v>
      </c>
      <c r="N597" s="22" t="s">
        <v>5116</v>
      </c>
      <c r="O597" s="17" t="s">
        <v>5115</v>
      </c>
      <c r="P597" s="7" t="s">
        <v>5114</v>
      </c>
      <c r="Q597" s="7" t="s">
        <v>3344</v>
      </c>
      <c r="AC597" s="3" t="str">
        <f ca="1">HYPERLINK("#"&amp;일위대가목록표!J2&amp;"!A"&amp;ROW(일위대가목록표!A594),"대가591 →")</f>
        <v>대가591 →</v>
      </c>
    </row>
    <row r="598" spans="1:29" ht="30.6" customHeight="1" x14ac:dyDescent="0.3">
      <c r="A598" s="10"/>
      <c r="B598" s="10" t="s">
        <v>1475</v>
      </c>
      <c r="C598" s="41" t="s">
        <v>1450</v>
      </c>
      <c r="D598" s="43">
        <v>0</v>
      </c>
      <c r="E598" s="22" t="s">
        <v>515</v>
      </c>
      <c r="F598" s="45">
        <f t="shared" si="45"/>
        <v>19912</v>
      </c>
      <c r="G598" s="48">
        <f t="shared" si="46"/>
        <v>0</v>
      </c>
      <c r="H598" s="50">
        <f>일위대가목록표!F595</f>
        <v>19522</v>
      </c>
      <c r="I598" s="13">
        <f t="shared" si="47"/>
        <v>0</v>
      </c>
      <c r="J598" s="52">
        <f>일위대가목록표!G595</f>
        <v>0</v>
      </c>
      <c r="K598" s="13">
        <f t="shared" si="48"/>
        <v>0</v>
      </c>
      <c r="L598" s="54">
        <f>일위대가목록표!H595</f>
        <v>390</v>
      </c>
      <c r="M598" s="33">
        <f t="shared" si="49"/>
        <v>0</v>
      </c>
      <c r="N598" s="22" t="s">
        <v>5119</v>
      </c>
      <c r="O598" s="17" t="s">
        <v>5118</v>
      </c>
      <c r="P598" s="7" t="s">
        <v>5117</v>
      </c>
      <c r="Q598" s="7" t="s">
        <v>3344</v>
      </c>
      <c r="AC598" s="3" t="str">
        <f ca="1">HYPERLINK("#"&amp;일위대가목록표!J2&amp;"!A"&amp;ROW(일위대가목록표!A595),"대가592 →")</f>
        <v>대가592 →</v>
      </c>
    </row>
    <row r="599" spans="1:29" ht="30.6" customHeight="1" x14ac:dyDescent="0.3">
      <c r="A599" s="10"/>
      <c r="B599" s="10" t="s">
        <v>1475</v>
      </c>
      <c r="C599" s="41" t="s">
        <v>1453</v>
      </c>
      <c r="D599" s="43">
        <v>0</v>
      </c>
      <c r="E599" s="22" t="s">
        <v>515</v>
      </c>
      <c r="F599" s="45">
        <f t="shared" si="45"/>
        <v>19912</v>
      </c>
      <c r="G599" s="48">
        <f t="shared" si="46"/>
        <v>0</v>
      </c>
      <c r="H599" s="50">
        <f>일위대가목록표!F596</f>
        <v>19522</v>
      </c>
      <c r="I599" s="13">
        <f t="shared" si="47"/>
        <v>0</v>
      </c>
      <c r="J599" s="52">
        <f>일위대가목록표!G596</f>
        <v>0</v>
      </c>
      <c r="K599" s="13">
        <f t="shared" si="48"/>
        <v>0</v>
      </c>
      <c r="L599" s="54">
        <f>일위대가목록표!H596</f>
        <v>390</v>
      </c>
      <c r="M599" s="33">
        <f t="shared" si="49"/>
        <v>0</v>
      </c>
      <c r="N599" s="22" t="s">
        <v>5122</v>
      </c>
      <c r="O599" s="17" t="s">
        <v>5121</v>
      </c>
      <c r="P599" s="7" t="s">
        <v>5120</v>
      </c>
      <c r="Q599" s="7" t="s">
        <v>3344</v>
      </c>
      <c r="AC599" s="3" t="str">
        <f ca="1">HYPERLINK("#"&amp;일위대가목록표!J2&amp;"!A"&amp;ROW(일위대가목록표!A596),"대가593 →")</f>
        <v>대가593 →</v>
      </c>
    </row>
    <row r="600" spans="1:29" ht="30.6" customHeight="1" x14ac:dyDescent="0.3">
      <c r="A600" s="10"/>
      <c r="B600" s="10" t="s">
        <v>1488</v>
      </c>
      <c r="C600" s="41" t="s">
        <v>1489</v>
      </c>
      <c r="D600" s="43">
        <v>8</v>
      </c>
      <c r="E600" s="22" t="s">
        <v>1490</v>
      </c>
      <c r="F600" s="45">
        <f t="shared" si="45"/>
        <v>47162</v>
      </c>
      <c r="G600" s="48">
        <f t="shared" si="46"/>
        <v>377296</v>
      </c>
      <c r="H600" s="50">
        <f>일위대가목록표!F597</f>
        <v>23571</v>
      </c>
      <c r="I600" s="13">
        <f t="shared" si="47"/>
        <v>188568</v>
      </c>
      <c r="J600" s="52">
        <f>일위대가목록표!G597</f>
        <v>23120</v>
      </c>
      <c r="K600" s="13">
        <f t="shared" si="48"/>
        <v>184960</v>
      </c>
      <c r="L600" s="54">
        <f>일위대가목록표!H597</f>
        <v>471</v>
      </c>
      <c r="M600" s="33">
        <f t="shared" si="49"/>
        <v>3768</v>
      </c>
      <c r="N600" s="22" t="s">
        <v>5125</v>
      </c>
      <c r="O600" s="17" t="s">
        <v>5124</v>
      </c>
      <c r="P600" s="7" t="s">
        <v>5123</v>
      </c>
      <c r="Q600" s="7" t="s">
        <v>3344</v>
      </c>
      <c r="AC600" s="3" t="str">
        <f ca="1">HYPERLINK("#"&amp;일위대가목록표!J2&amp;"!A"&amp;ROW(일위대가목록표!A597),"대가594 →")</f>
        <v>대가594 →</v>
      </c>
    </row>
    <row r="601" spans="1:29" ht="30.6" customHeight="1" x14ac:dyDescent="0.3">
      <c r="A601" s="10"/>
      <c r="B601" s="10" t="s">
        <v>1488</v>
      </c>
      <c r="C601" s="41" t="s">
        <v>1493</v>
      </c>
      <c r="D601" s="43">
        <v>0</v>
      </c>
      <c r="E601" s="22" t="s">
        <v>1490</v>
      </c>
      <c r="F601" s="45">
        <f t="shared" si="45"/>
        <v>68970</v>
      </c>
      <c r="G601" s="48">
        <f t="shared" si="46"/>
        <v>0</v>
      </c>
      <c r="H601" s="50">
        <f>일위대가목록표!F598</f>
        <v>33000</v>
      </c>
      <c r="I601" s="13">
        <f t="shared" si="47"/>
        <v>0</v>
      </c>
      <c r="J601" s="52">
        <f>일위대가목록표!G598</f>
        <v>35310</v>
      </c>
      <c r="K601" s="13">
        <f t="shared" si="48"/>
        <v>0</v>
      </c>
      <c r="L601" s="54">
        <f>일위대가목록표!H598</f>
        <v>660</v>
      </c>
      <c r="M601" s="33">
        <f t="shared" si="49"/>
        <v>0</v>
      </c>
      <c r="N601" s="22" t="s">
        <v>5128</v>
      </c>
      <c r="O601" s="17" t="s">
        <v>5127</v>
      </c>
      <c r="P601" s="7" t="s">
        <v>5126</v>
      </c>
      <c r="Q601" s="7" t="s">
        <v>3344</v>
      </c>
      <c r="AC601" s="3" t="str">
        <f ca="1">HYPERLINK("#"&amp;일위대가목록표!J2&amp;"!A"&amp;ROW(일위대가목록표!A598),"대가595 →")</f>
        <v>대가595 →</v>
      </c>
    </row>
    <row r="602" spans="1:29" ht="30.6" customHeight="1" x14ac:dyDescent="0.3">
      <c r="A602" s="10"/>
      <c r="B602" s="10" t="s">
        <v>1488</v>
      </c>
      <c r="C602" s="41" t="s">
        <v>1496</v>
      </c>
      <c r="D602" s="43">
        <v>0</v>
      </c>
      <c r="E602" s="22" t="s">
        <v>1490</v>
      </c>
      <c r="F602" s="45">
        <f t="shared" si="45"/>
        <v>92449</v>
      </c>
      <c r="G602" s="48">
        <f t="shared" si="46"/>
        <v>0</v>
      </c>
      <c r="H602" s="50">
        <f>일위대가목록표!F599</f>
        <v>45833</v>
      </c>
      <c r="I602" s="13">
        <f t="shared" si="47"/>
        <v>0</v>
      </c>
      <c r="J602" s="52">
        <f>일위대가목록표!G599</f>
        <v>45700</v>
      </c>
      <c r="K602" s="13">
        <f t="shared" si="48"/>
        <v>0</v>
      </c>
      <c r="L602" s="54">
        <f>일위대가목록표!H599</f>
        <v>916</v>
      </c>
      <c r="M602" s="33">
        <f t="shared" si="49"/>
        <v>0</v>
      </c>
      <c r="N602" s="22" t="s">
        <v>5131</v>
      </c>
      <c r="O602" s="17" t="s">
        <v>5130</v>
      </c>
      <c r="P602" s="7" t="s">
        <v>5129</v>
      </c>
      <c r="Q602" s="7" t="s">
        <v>3344</v>
      </c>
      <c r="AC602" s="3" t="str">
        <f ca="1">HYPERLINK("#"&amp;일위대가목록표!J2&amp;"!A"&amp;ROW(일위대가목록표!A599),"대가596 →")</f>
        <v>대가596 →</v>
      </c>
    </row>
    <row r="603" spans="1:29" ht="30.6" customHeight="1" x14ac:dyDescent="0.3">
      <c r="A603" s="10"/>
      <c r="B603" s="10" t="s">
        <v>1488</v>
      </c>
      <c r="C603" s="41" t="s">
        <v>1499</v>
      </c>
      <c r="D603" s="43">
        <v>0</v>
      </c>
      <c r="E603" s="22" t="s">
        <v>1490</v>
      </c>
      <c r="F603" s="45">
        <f t="shared" si="45"/>
        <v>147565</v>
      </c>
      <c r="G603" s="48">
        <f t="shared" si="46"/>
        <v>0</v>
      </c>
      <c r="H603" s="50">
        <f>일위대가목록표!F600</f>
        <v>68750</v>
      </c>
      <c r="I603" s="13">
        <f t="shared" si="47"/>
        <v>0</v>
      </c>
      <c r="J603" s="52">
        <f>일위대가목록표!G600</f>
        <v>77440</v>
      </c>
      <c r="K603" s="13">
        <f t="shared" si="48"/>
        <v>0</v>
      </c>
      <c r="L603" s="54">
        <f>일위대가목록표!H600</f>
        <v>1375</v>
      </c>
      <c r="M603" s="33">
        <f t="shared" si="49"/>
        <v>0</v>
      </c>
      <c r="N603" s="22" t="s">
        <v>5134</v>
      </c>
      <c r="O603" s="17" t="s">
        <v>5133</v>
      </c>
      <c r="P603" s="7" t="s">
        <v>5132</v>
      </c>
      <c r="Q603" s="7" t="s">
        <v>3344</v>
      </c>
      <c r="AC603" s="3" t="str">
        <f ca="1">HYPERLINK("#"&amp;일위대가목록표!J2&amp;"!A"&amp;ROW(일위대가목록표!A600),"대가597 →")</f>
        <v>대가597 →</v>
      </c>
    </row>
    <row r="604" spans="1:29" ht="30.6" customHeight="1" x14ac:dyDescent="0.3">
      <c r="A604" s="10"/>
      <c r="B604" s="10" t="s">
        <v>1488</v>
      </c>
      <c r="C604" s="41" t="s">
        <v>1502</v>
      </c>
      <c r="D604" s="43">
        <v>0</v>
      </c>
      <c r="E604" s="22" t="s">
        <v>1490</v>
      </c>
      <c r="F604" s="45">
        <f t="shared" si="45"/>
        <v>157619</v>
      </c>
      <c r="G604" s="48">
        <f t="shared" si="46"/>
        <v>0</v>
      </c>
      <c r="H604" s="50">
        <f>일위대가목록표!F601</f>
        <v>95303</v>
      </c>
      <c r="I604" s="13">
        <f t="shared" si="47"/>
        <v>0</v>
      </c>
      <c r="J604" s="52">
        <f>일위대가목록표!G601</f>
        <v>60410</v>
      </c>
      <c r="K604" s="13">
        <f t="shared" si="48"/>
        <v>0</v>
      </c>
      <c r="L604" s="54">
        <f>일위대가목록표!H601</f>
        <v>1906</v>
      </c>
      <c r="M604" s="33">
        <f t="shared" si="49"/>
        <v>0</v>
      </c>
      <c r="N604" s="22" t="s">
        <v>5137</v>
      </c>
      <c r="O604" s="17" t="s">
        <v>5136</v>
      </c>
      <c r="P604" s="7" t="s">
        <v>5135</v>
      </c>
      <c r="Q604" s="7" t="s">
        <v>3344</v>
      </c>
      <c r="AC604" s="3" t="str">
        <f ca="1">HYPERLINK("#"&amp;일위대가목록표!J2&amp;"!A"&amp;ROW(일위대가목록표!A601),"대가598 →")</f>
        <v>대가598 →</v>
      </c>
    </row>
    <row r="605" spans="1:29" ht="30.6" customHeight="1" x14ac:dyDescent="0.3">
      <c r="A605" s="10"/>
      <c r="B605" s="10" t="s">
        <v>1488</v>
      </c>
      <c r="C605" s="41" t="s">
        <v>1505</v>
      </c>
      <c r="D605" s="43">
        <v>0</v>
      </c>
      <c r="E605" s="22" t="s">
        <v>1490</v>
      </c>
      <c r="F605" s="45">
        <f t="shared" si="45"/>
        <v>194072</v>
      </c>
      <c r="G605" s="48">
        <f t="shared" si="46"/>
        <v>0</v>
      </c>
      <c r="H605" s="50">
        <f>일위대가목록표!F602</f>
        <v>131042</v>
      </c>
      <c r="I605" s="13">
        <f t="shared" si="47"/>
        <v>0</v>
      </c>
      <c r="J605" s="52">
        <f>일위대가목록표!G602</f>
        <v>60410</v>
      </c>
      <c r="K605" s="13">
        <f t="shared" si="48"/>
        <v>0</v>
      </c>
      <c r="L605" s="54">
        <f>일위대가목록표!H602</f>
        <v>2620</v>
      </c>
      <c r="M605" s="33">
        <f t="shared" si="49"/>
        <v>0</v>
      </c>
      <c r="N605" s="22" t="s">
        <v>5140</v>
      </c>
      <c r="O605" s="17" t="s">
        <v>5139</v>
      </c>
      <c r="P605" s="7" t="s">
        <v>5138</v>
      </c>
      <c r="Q605" s="7" t="s">
        <v>3344</v>
      </c>
      <c r="AC605" s="3" t="str">
        <f ca="1">HYPERLINK("#"&amp;일위대가목록표!J2&amp;"!A"&amp;ROW(일위대가목록표!A602),"대가599 →")</f>
        <v>대가599 →</v>
      </c>
    </row>
    <row r="606" spans="1:29" ht="30.6" customHeight="1" x14ac:dyDescent="0.3">
      <c r="A606" s="10"/>
      <c r="B606" s="10" t="s">
        <v>1488</v>
      </c>
      <c r="C606" s="41" t="s">
        <v>1508</v>
      </c>
      <c r="D606" s="43">
        <v>0</v>
      </c>
      <c r="E606" s="22" t="s">
        <v>1490</v>
      </c>
      <c r="F606" s="45">
        <f t="shared" si="45"/>
        <v>306492</v>
      </c>
      <c r="G606" s="48">
        <f t="shared" si="46"/>
        <v>0</v>
      </c>
      <c r="H606" s="50">
        <f>일위대가목록표!F603</f>
        <v>131042</v>
      </c>
      <c r="I606" s="13">
        <f t="shared" si="47"/>
        <v>0</v>
      </c>
      <c r="J606" s="52">
        <f>일위대가목록표!G603</f>
        <v>172830</v>
      </c>
      <c r="K606" s="13">
        <f t="shared" si="48"/>
        <v>0</v>
      </c>
      <c r="L606" s="54">
        <f>일위대가목록표!H603</f>
        <v>2620</v>
      </c>
      <c r="M606" s="33">
        <f t="shared" si="49"/>
        <v>0</v>
      </c>
      <c r="N606" s="22" t="s">
        <v>5143</v>
      </c>
      <c r="O606" s="17" t="s">
        <v>5142</v>
      </c>
      <c r="P606" s="7" t="s">
        <v>5141</v>
      </c>
      <c r="Q606" s="7" t="s">
        <v>3344</v>
      </c>
      <c r="AC606" s="3" t="str">
        <f ca="1">HYPERLINK("#"&amp;일위대가목록표!J2&amp;"!A"&amp;ROW(일위대가목록표!A603),"대가600 →")</f>
        <v>대가600 →</v>
      </c>
    </row>
    <row r="607" spans="1:29" ht="30.6" customHeight="1" x14ac:dyDescent="0.3">
      <c r="A607" s="10"/>
      <c r="B607" s="10" t="s">
        <v>1511</v>
      </c>
      <c r="C607" s="41" t="s">
        <v>1512</v>
      </c>
      <c r="D607" s="43">
        <v>3</v>
      </c>
      <c r="E607" s="22" t="s">
        <v>515</v>
      </c>
      <c r="F607" s="45">
        <f t="shared" si="45"/>
        <v>31227</v>
      </c>
      <c r="G607" s="48">
        <f t="shared" si="46"/>
        <v>93681</v>
      </c>
      <c r="H607" s="50">
        <f>일위대가목록표!F604</f>
        <v>27971</v>
      </c>
      <c r="I607" s="13">
        <f t="shared" si="47"/>
        <v>83913</v>
      </c>
      <c r="J607" s="52">
        <f>일위대가목록표!G604</f>
        <v>2138</v>
      </c>
      <c r="K607" s="13">
        <f t="shared" si="48"/>
        <v>6414</v>
      </c>
      <c r="L607" s="54">
        <f>일위대가목록표!H604</f>
        <v>1118</v>
      </c>
      <c r="M607" s="33">
        <f t="shared" si="49"/>
        <v>3354</v>
      </c>
      <c r="N607" s="22" t="s">
        <v>5146</v>
      </c>
      <c r="O607" s="17" t="s">
        <v>5145</v>
      </c>
      <c r="P607" s="7" t="s">
        <v>5144</v>
      </c>
      <c r="Q607" s="7" t="s">
        <v>3344</v>
      </c>
      <c r="AC607" s="3" t="str">
        <f ca="1">HYPERLINK("#"&amp;일위대가목록표!J2&amp;"!A"&amp;ROW(일위대가목록표!A604),"대가601 →")</f>
        <v>대가601 →</v>
      </c>
    </row>
    <row r="608" spans="1:29" ht="30.6" customHeight="1" x14ac:dyDescent="0.3">
      <c r="A608" s="10"/>
      <c r="B608" s="10" t="s">
        <v>1511</v>
      </c>
      <c r="C608" s="41" t="s">
        <v>1515</v>
      </c>
      <c r="D608" s="43">
        <v>0</v>
      </c>
      <c r="E608" s="22" t="s">
        <v>515</v>
      </c>
      <c r="F608" s="45">
        <f t="shared" si="45"/>
        <v>39116</v>
      </c>
      <c r="G608" s="48">
        <f t="shared" si="46"/>
        <v>0</v>
      </c>
      <c r="H608" s="50">
        <f>일위대가목록표!F605</f>
        <v>33621</v>
      </c>
      <c r="I608" s="13">
        <f t="shared" si="47"/>
        <v>0</v>
      </c>
      <c r="J608" s="52">
        <f>일위대가목록표!G605</f>
        <v>4151</v>
      </c>
      <c r="K608" s="13">
        <f t="shared" si="48"/>
        <v>0</v>
      </c>
      <c r="L608" s="54">
        <f>일위대가목록표!H605</f>
        <v>1344</v>
      </c>
      <c r="M608" s="33">
        <f t="shared" si="49"/>
        <v>0</v>
      </c>
      <c r="N608" s="22" t="s">
        <v>5149</v>
      </c>
      <c r="O608" s="17" t="s">
        <v>5148</v>
      </c>
      <c r="P608" s="7" t="s">
        <v>5147</v>
      </c>
      <c r="Q608" s="7" t="s">
        <v>3344</v>
      </c>
      <c r="AC608" s="3" t="str">
        <f ca="1">HYPERLINK("#"&amp;일위대가목록표!J2&amp;"!A"&amp;ROW(일위대가목록표!A605),"대가602 →")</f>
        <v>대가602 →</v>
      </c>
    </row>
    <row r="609" spans="1:29" ht="30.6" customHeight="1" x14ac:dyDescent="0.3">
      <c r="A609" s="10"/>
      <c r="B609" s="10" t="s">
        <v>1511</v>
      </c>
      <c r="C609" s="41" t="s">
        <v>1518</v>
      </c>
      <c r="D609" s="43">
        <v>1</v>
      </c>
      <c r="E609" s="22" t="s">
        <v>515</v>
      </c>
      <c r="F609" s="45">
        <f t="shared" si="45"/>
        <v>44905</v>
      </c>
      <c r="G609" s="48">
        <f t="shared" si="46"/>
        <v>44905</v>
      </c>
      <c r="H609" s="50">
        <f>일위대가목록표!F606</f>
        <v>38142</v>
      </c>
      <c r="I609" s="13">
        <f t="shared" si="47"/>
        <v>38142</v>
      </c>
      <c r="J609" s="52">
        <f>일위대가목록표!G606</f>
        <v>5238</v>
      </c>
      <c r="K609" s="13">
        <f t="shared" si="48"/>
        <v>5238</v>
      </c>
      <c r="L609" s="54">
        <f>일위대가목록표!H606</f>
        <v>1525</v>
      </c>
      <c r="M609" s="33">
        <f t="shared" si="49"/>
        <v>1525</v>
      </c>
      <c r="N609" s="22" t="s">
        <v>5152</v>
      </c>
      <c r="O609" s="17" t="s">
        <v>5151</v>
      </c>
      <c r="P609" s="7" t="s">
        <v>5150</v>
      </c>
      <c r="Q609" s="7" t="s">
        <v>3344</v>
      </c>
      <c r="AC609" s="3" t="str">
        <f ca="1">HYPERLINK("#"&amp;일위대가목록표!J2&amp;"!A"&amp;ROW(일위대가목록표!A606),"대가603 →")</f>
        <v>대가603 →</v>
      </c>
    </row>
    <row r="610" spans="1:29" ht="30.6" customHeight="1" x14ac:dyDescent="0.3">
      <c r="A610" s="10"/>
      <c r="B610" s="10" t="s">
        <v>1511</v>
      </c>
      <c r="C610" s="41" t="s">
        <v>1521</v>
      </c>
      <c r="D610" s="43">
        <v>1</v>
      </c>
      <c r="E610" s="22" t="s">
        <v>515</v>
      </c>
      <c r="F610" s="45">
        <f t="shared" si="45"/>
        <v>57110</v>
      </c>
      <c r="G610" s="48">
        <f t="shared" si="46"/>
        <v>57110</v>
      </c>
      <c r="H610" s="50">
        <f>일위대가목록표!F607</f>
        <v>47183</v>
      </c>
      <c r="I610" s="13">
        <f t="shared" si="47"/>
        <v>47183</v>
      </c>
      <c r="J610" s="52">
        <f>일위대가목록표!G607</f>
        <v>8040</v>
      </c>
      <c r="K610" s="13">
        <f t="shared" si="48"/>
        <v>8040</v>
      </c>
      <c r="L610" s="54">
        <f>일위대가목록표!H607</f>
        <v>1887</v>
      </c>
      <c r="M610" s="33">
        <f t="shared" si="49"/>
        <v>1887</v>
      </c>
      <c r="N610" s="22" t="s">
        <v>5155</v>
      </c>
      <c r="O610" s="17" t="s">
        <v>5154</v>
      </c>
      <c r="P610" s="7" t="s">
        <v>5153</v>
      </c>
      <c r="Q610" s="7" t="s">
        <v>3344</v>
      </c>
      <c r="AC610" s="3" t="str">
        <f ca="1">HYPERLINK("#"&amp;일위대가목록표!J2&amp;"!A"&amp;ROW(일위대가목록표!A607),"대가604 →")</f>
        <v>대가604 →</v>
      </c>
    </row>
    <row r="611" spans="1:29" ht="30.6" customHeight="1" x14ac:dyDescent="0.3">
      <c r="A611" s="10"/>
      <c r="B611" s="10" t="s">
        <v>1511</v>
      </c>
      <c r="C611" s="41" t="s">
        <v>1524</v>
      </c>
      <c r="D611" s="43">
        <v>1</v>
      </c>
      <c r="E611" s="22" t="s">
        <v>515</v>
      </c>
      <c r="F611" s="45">
        <f t="shared" si="45"/>
        <v>83022</v>
      </c>
      <c r="G611" s="48">
        <f t="shared" si="46"/>
        <v>83022</v>
      </c>
      <c r="H611" s="50">
        <f>일위대가목록표!F608</f>
        <v>65265</v>
      </c>
      <c r="I611" s="13">
        <f t="shared" si="47"/>
        <v>65265</v>
      </c>
      <c r="J611" s="52">
        <f>일위대가목록표!G608</f>
        <v>15147</v>
      </c>
      <c r="K611" s="13">
        <f t="shared" si="48"/>
        <v>15147</v>
      </c>
      <c r="L611" s="54">
        <f>일위대가목록표!H608</f>
        <v>2610</v>
      </c>
      <c r="M611" s="33">
        <f t="shared" si="49"/>
        <v>2610</v>
      </c>
      <c r="N611" s="22" t="s">
        <v>5158</v>
      </c>
      <c r="O611" s="17" t="s">
        <v>5157</v>
      </c>
      <c r="P611" s="7" t="s">
        <v>5156</v>
      </c>
      <c r="Q611" s="7" t="s">
        <v>3344</v>
      </c>
      <c r="AC611" s="3" t="str">
        <f ca="1">HYPERLINK("#"&amp;일위대가목록표!J2&amp;"!A"&amp;ROW(일위대가목록표!A608),"대가605 →")</f>
        <v>대가605 →</v>
      </c>
    </row>
    <row r="612" spans="1:29" ht="30.6" customHeight="1" x14ac:dyDescent="0.3">
      <c r="A612" s="10"/>
      <c r="B612" s="10" t="s">
        <v>1511</v>
      </c>
      <c r="C612" s="41" t="s">
        <v>1527</v>
      </c>
      <c r="D612" s="43">
        <v>0</v>
      </c>
      <c r="E612" s="22" t="s">
        <v>515</v>
      </c>
      <c r="F612" s="45">
        <f t="shared" si="45"/>
        <v>112148</v>
      </c>
      <c r="G612" s="48">
        <f t="shared" si="46"/>
        <v>0</v>
      </c>
      <c r="H612" s="50">
        <f>일위대가목록표!F609</f>
        <v>83348</v>
      </c>
      <c r="I612" s="13">
        <f t="shared" si="47"/>
        <v>0</v>
      </c>
      <c r="J612" s="52">
        <f>일위대가목록표!G609</f>
        <v>25467</v>
      </c>
      <c r="K612" s="13">
        <f t="shared" si="48"/>
        <v>0</v>
      </c>
      <c r="L612" s="54">
        <f>일위대가목록표!H609</f>
        <v>3333</v>
      </c>
      <c r="M612" s="33">
        <f t="shared" si="49"/>
        <v>0</v>
      </c>
      <c r="N612" s="22" t="s">
        <v>5161</v>
      </c>
      <c r="O612" s="17" t="s">
        <v>5160</v>
      </c>
      <c r="P612" s="7" t="s">
        <v>5159</v>
      </c>
      <c r="Q612" s="7" t="s">
        <v>3344</v>
      </c>
      <c r="AC612" s="3" t="str">
        <f ca="1">HYPERLINK("#"&amp;일위대가목록표!J2&amp;"!A"&amp;ROW(일위대가목록표!A609),"대가606 →")</f>
        <v>대가606 →</v>
      </c>
    </row>
    <row r="613" spans="1:29" ht="30.6" customHeight="1" x14ac:dyDescent="0.3">
      <c r="A613" s="10"/>
      <c r="B613" s="10" t="s">
        <v>1511</v>
      </c>
      <c r="C613" s="41" t="s">
        <v>1530</v>
      </c>
      <c r="D613" s="43">
        <v>0</v>
      </c>
      <c r="E613" s="22" t="s">
        <v>515</v>
      </c>
      <c r="F613" s="45">
        <f t="shared" si="45"/>
        <v>141899</v>
      </c>
      <c r="G613" s="48">
        <f t="shared" si="46"/>
        <v>0</v>
      </c>
      <c r="H613" s="50">
        <f>일위대가목록표!F610</f>
        <v>101430</v>
      </c>
      <c r="I613" s="13">
        <f t="shared" si="47"/>
        <v>0</v>
      </c>
      <c r="J613" s="52">
        <f>일위대가목록표!G610</f>
        <v>36412</v>
      </c>
      <c r="K613" s="13">
        <f t="shared" si="48"/>
        <v>0</v>
      </c>
      <c r="L613" s="54">
        <f>일위대가목록표!H610</f>
        <v>4057</v>
      </c>
      <c r="M613" s="33">
        <f t="shared" si="49"/>
        <v>0</v>
      </c>
      <c r="N613" s="22" t="s">
        <v>5164</v>
      </c>
      <c r="O613" s="17" t="s">
        <v>5163</v>
      </c>
      <c r="P613" s="7" t="s">
        <v>5162</v>
      </c>
      <c r="Q613" s="7" t="s">
        <v>3344</v>
      </c>
      <c r="AC613" s="3" t="str">
        <f ca="1">HYPERLINK("#"&amp;일위대가목록표!J2&amp;"!A"&amp;ROW(일위대가목록표!A610),"대가607 →")</f>
        <v>대가607 →</v>
      </c>
    </row>
    <row r="614" spans="1:29" ht="30.6" customHeight="1" x14ac:dyDescent="0.3">
      <c r="A614" s="10"/>
      <c r="B614" s="10" t="s">
        <v>1533</v>
      </c>
      <c r="C614" s="41" t="s">
        <v>1534</v>
      </c>
      <c r="D614" s="43">
        <v>0</v>
      </c>
      <c r="E614" s="22" t="s">
        <v>515</v>
      </c>
      <c r="F614" s="45">
        <f t="shared" si="45"/>
        <v>12641</v>
      </c>
      <c r="G614" s="48">
        <f t="shared" si="46"/>
        <v>0</v>
      </c>
      <c r="H614" s="50">
        <f>일위대가목록표!F611</f>
        <v>12394</v>
      </c>
      <c r="I614" s="13">
        <f t="shared" si="47"/>
        <v>0</v>
      </c>
      <c r="J614" s="52">
        <f>일위대가목록표!G611</f>
        <v>0</v>
      </c>
      <c r="K614" s="13">
        <f t="shared" si="48"/>
        <v>0</v>
      </c>
      <c r="L614" s="54">
        <f>일위대가목록표!H611</f>
        <v>247</v>
      </c>
      <c r="M614" s="33">
        <f t="shared" si="49"/>
        <v>0</v>
      </c>
      <c r="N614" s="22" t="s">
        <v>5167</v>
      </c>
      <c r="O614" s="17" t="s">
        <v>5166</v>
      </c>
      <c r="P614" s="7" t="s">
        <v>5165</v>
      </c>
      <c r="Q614" s="7" t="s">
        <v>3344</v>
      </c>
      <c r="AC614" s="3" t="str">
        <f ca="1">HYPERLINK("#"&amp;일위대가목록표!J2&amp;"!A"&amp;ROW(일위대가목록표!A611),"대가608 →")</f>
        <v>대가608 →</v>
      </c>
    </row>
    <row r="615" spans="1:29" ht="30.6" customHeight="1" x14ac:dyDescent="0.3">
      <c r="A615" s="10"/>
      <c r="B615" s="10" t="s">
        <v>1533</v>
      </c>
      <c r="C615" s="41" t="s">
        <v>1537</v>
      </c>
      <c r="D615" s="43">
        <v>1</v>
      </c>
      <c r="E615" s="22" t="s">
        <v>515</v>
      </c>
      <c r="F615" s="45">
        <f t="shared" si="45"/>
        <v>18710</v>
      </c>
      <c r="G615" s="48">
        <f t="shared" si="46"/>
        <v>18710</v>
      </c>
      <c r="H615" s="50">
        <f>일위대가목록표!F612</f>
        <v>18344</v>
      </c>
      <c r="I615" s="13">
        <f t="shared" si="47"/>
        <v>18344</v>
      </c>
      <c r="J615" s="52">
        <f>일위대가목록표!G612</f>
        <v>0</v>
      </c>
      <c r="K615" s="13">
        <f t="shared" si="48"/>
        <v>0</v>
      </c>
      <c r="L615" s="54">
        <f>일위대가목록표!H612</f>
        <v>366</v>
      </c>
      <c r="M615" s="33">
        <f t="shared" si="49"/>
        <v>366</v>
      </c>
      <c r="N615" s="22" t="s">
        <v>5170</v>
      </c>
      <c r="O615" s="17" t="s">
        <v>5169</v>
      </c>
      <c r="P615" s="7" t="s">
        <v>5168</v>
      </c>
      <c r="Q615" s="7" t="s">
        <v>3344</v>
      </c>
      <c r="AC615" s="3" t="str">
        <f ca="1">HYPERLINK("#"&amp;일위대가목록표!J2&amp;"!A"&amp;ROW(일위대가목록표!A612),"대가609 →")</f>
        <v>대가609 →</v>
      </c>
    </row>
    <row r="616" spans="1:29" ht="30.6" customHeight="1" x14ac:dyDescent="0.3">
      <c r="A616" s="10"/>
      <c r="B616" s="10" t="s">
        <v>1533</v>
      </c>
      <c r="C616" s="41" t="s">
        <v>1540</v>
      </c>
      <c r="D616" s="43">
        <v>1</v>
      </c>
      <c r="E616" s="22" t="s">
        <v>515</v>
      </c>
      <c r="F616" s="45">
        <f t="shared" si="45"/>
        <v>40119</v>
      </c>
      <c r="G616" s="48">
        <f t="shared" si="46"/>
        <v>40119</v>
      </c>
      <c r="H616" s="50">
        <f>일위대가목록표!F613</f>
        <v>39333</v>
      </c>
      <c r="I616" s="13">
        <f t="shared" si="47"/>
        <v>39333</v>
      </c>
      <c r="J616" s="52">
        <f>일위대가목록표!G613</f>
        <v>0</v>
      </c>
      <c r="K616" s="13">
        <f t="shared" si="48"/>
        <v>0</v>
      </c>
      <c r="L616" s="54">
        <f>일위대가목록표!H613</f>
        <v>786</v>
      </c>
      <c r="M616" s="33">
        <f t="shared" si="49"/>
        <v>786</v>
      </c>
      <c r="N616" s="22" t="s">
        <v>5173</v>
      </c>
      <c r="O616" s="17" t="s">
        <v>5172</v>
      </c>
      <c r="P616" s="7" t="s">
        <v>5171</v>
      </c>
      <c r="Q616" s="7" t="s">
        <v>3344</v>
      </c>
      <c r="AC616" s="3" t="str">
        <f ca="1">HYPERLINK("#"&amp;일위대가목록표!J2&amp;"!A"&amp;ROW(일위대가목록표!A613),"대가610 →")</f>
        <v>대가610 →</v>
      </c>
    </row>
    <row r="617" spans="1:29" ht="30.6" customHeight="1" x14ac:dyDescent="0.3">
      <c r="A617" s="10"/>
      <c r="B617" s="10" t="s">
        <v>1533</v>
      </c>
      <c r="C617" s="41" t="s">
        <v>1543</v>
      </c>
      <c r="D617" s="43">
        <v>0</v>
      </c>
      <c r="E617" s="22" t="s">
        <v>515</v>
      </c>
      <c r="F617" s="45">
        <f t="shared" si="45"/>
        <v>50219</v>
      </c>
      <c r="G617" s="48">
        <f t="shared" si="46"/>
        <v>0</v>
      </c>
      <c r="H617" s="50">
        <f>일위대가목록표!F614</f>
        <v>49235</v>
      </c>
      <c r="I617" s="13">
        <f t="shared" si="47"/>
        <v>0</v>
      </c>
      <c r="J617" s="52">
        <f>일위대가목록표!G614</f>
        <v>0</v>
      </c>
      <c r="K617" s="13">
        <f t="shared" si="48"/>
        <v>0</v>
      </c>
      <c r="L617" s="54">
        <f>일위대가목록표!H614</f>
        <v>984</v>
      </c>
      <c r="M617" s="33">
        <f t="shared" si="49"/>
        <v>0</v>
      </c>
      <c r="N617" s="22" t="s">
        <v>5176</v>
      </c>
      <c r="O617" s="17" t="s">
        <v>5175</v>
      </c>
      <c r="P617" s="7" t="s">
        <v>5174</v>
      </c>
      <c r="Q617" s="7" t="s">
        <v>3344</v>
      </c>
      <c r="AC617" s="3" t="str">
        <f ca="1">HYPERLINK("#"&amp;일위대가목록표!J2&amp;"!A"&amp;ROW(일위대가목록표!A614),"대가611 →")</f>
        <v>대가611 →</v>
      </c>
    </row>
    <row r="618" spans="1:29" ht="30.6" customHeight="1" x14ac:dyDescent="0.3">
      <c r="A618" s="10"/>
      <c r="B618" s="10" t="s">
        <v>1533</v>
      </c>
      <c r="C618" s="41" t="s">
        <v>1546</v>
      </c>
      <c r="D618" s="43">
        <v>0</v>
      </c>
      <c r="E618" s="22" t="s">
        <v>515</v>
      </c>
      <c r="F618" s="45">
        <f t="shared" si="45"/>
        <v>72539</v>
      </c>
      <c r="G618" s="48">
        <f t="shared" si="46"/>
        <v>0</v>
      </c>
      <c r="H618" s="50">
        <f>일위대가목록표!F615</f>
        <v>71117</v>
      </c>
      <c r="I618" s="13">
        <f t="shared" si="47"/>
        <v>0</v>
      </c>
      <c r="J618" s="52">
        <f>일위대가목록표!G615</f>
        <v>0</v>
      </c>
      <c r="K618" s="13">
        <f t="shared" si="48"/>
        <v>0</v>
      </c>
      <c r="L618" s="54">
        <f>일위대가목록표!H615</f>
        <v>1422</v>
      </c>
      <c r="M618" s="33">
        <f t="shared" si="49"/>
        <v>0</v>
      </c>
      <c r="N618" s="22" t="s">
        <v>5179</v>
      </c>
      <c r="O618" s="17" t="s">
        <v>5178</v>
      </c>
      <c r="P618" s="7" t="s">
        <v>5177</v>
      </c>
      <c r="Q618" s="7" t="s">
        <v>3344</v>
      </c>
      <c r="AC618" s="3" t="str">
        <f ca="1">HYPERLINK("#"&amp;일위대가목록표!J2&amp;"!A"&amp;ROW(일위대가목록표!A615),"대가612 →")</f>
        <v>대가612 →</v>
      </c>
    </row>
    <row r="619" spans="1:29" ht="30.6" customHeight="1" x14ac:dyDescent="0.3">
      <c r="A619" s="10"/>
      <c r="B619" s="10" t="s">
        <v>1549</v>
      </c>
      <c r="C619" s="41" t="s">
        <v>1550</v>
      </c>
      <c r="D619" s="43">
        <v>0</v>
      </c>
      <c r="E619" s="22" t="s">
        <v>515</v>
      </c>
      <c r="F619" s="45">
        <f t="shared" si="45"/>
        <v>32210</v>
      </c>
      <c r="G619" s="48">
        <f t="shared" si="46"/>
        <v>0</v>
      </c>
      <c r="H619" s="50">
        <f>일위대가목록표!F616</f>
        <v>18344</v>
      </c>
      <c r="I619" s="13">
        <f t="shared" si="47"/>
        <v>0</v>
      </c>
      <c r="J619" s="52">
        <f>일위대가목록표!G616</f>
        <v>13500</v>
      </c>
      <c r="K619" s="13">
        <f t="shared" si="48"/>
        <v>0</v>
      </c>
      <c r="L619" s="54">
        <f>일위대가목록표!H616</f>
        <v>366</v>
      </c>
      <c r="M619" s="33">
        <f t="shared" si="49"/>
        <v>0</v>
      </c>
      <c r="N619" s="22" t="s">
        <v>5182</v>
      </c>
      <c r="O619" s="17" t="s">
        <v>5181</v>
      </c>
      <c r="P619" s="7" t="s">
        <v>5180</v>
      </c>
      <c r="Q619" s="7" t="s">
        <v>3344</v>
      </c>
      <c r="AC619" s="3" t="str">
        <f ca="1">HYPERLINK("#"&amp;일위대가목록표!J2&amp;"!A"&amp;ROW(일위대가목록표!A616),"대가613 →")</f>
        <v>대가613 →</v>
      </c>
    </row>
    <row r="620" spans="1:29" ht="30.6" customHeight="1" x14ac:dyDescent="0.3">
      <c r="A620" s="10"/>
      <c r="B620" s="10" t="s">
        <v>1549</v>
      </c>
      <c r="C620" s="41" t="s">
        <v>1553</v>
      </c>
      <c r="D620" s="43">
        <v>0</v>
      </c>
      <c r="E620" s="22" t="s">
        <v>515</v>
      </c>
      <c r="F620" s="45">
        <f t="shared" si="45"/>
        <v>33210</v>
      </c>
      <c r="G620" s="48">
        <f t="shared" si="46"/>
        <v>0</v>
      </c>
      <c r="H620" s="50">
        <f>일위대가목록표!F617</f>
        <v>18344</v>
      </c>
      <c r="I620" s="13">
        <f t="shared" si="47"/>
        <v>0</v>
      </c>
      <c r="J620" s="52">
        <f>일위대가목록표!G617</f>
        <v>14500</v>
      </c>
      <c r="K620" s="13">
        <f t="shared" si="48"/>
        <v>0</v>
      </c>
      <c r="L620" s="54">
        <f>일위대가목록표!H617</f>
        <v>366</v>
      </c>
      <c r="M620" s="33">
        <f t="shared" si="49"/>
        <v>0</v>
      </c>
      <c r="N620" s="22" t="s">
        <v>5185</v>
      </c>
      <c r="O620" s="17" t="s">
        <v>5184</v>
      </c>
      <c r="P620" s="7" t="s">
        <v>5183</v>
      </c>
      <c r="Q620" s="7" t="s">
        <v>3344</v>
      </c>
      <c r="AC620" s="3" t="str">
        <f ca="1">HYPERLINK("#"&amp;일위대가목록표!J2&amp;"!A"&amp;ROW(일위대가목록표!A617),"대가614 →")</f>
        <v>대가614 →</v>
      </c>
    </row>
    <row r="621" spans="1:29" ht="30.6" customHeight="1" x14ac:dyDescent="0.3">
      <c r="A621" s="10"/>
      <c r="B621" s="10" t="s">
        <v>1549</v>
      </c>
      <c r="C621" s="41" t="s">
        <v>1556</v>
      </c>
      <c r="D621" s="43">
        <v>0</v>
      </c>
      <c r="E621" s="22" t="s">
        <v>515</v>
      </c>
      <c r="F621" s="45">
        <f t="shared" si="45"/>
        <v>35710</v>
      </c>
      <c r="G621" s="48">
        <f t="shared" si="46"/>
        <v>0</v>
      </c>
      <c r="H621" s="50">
        <f>일위대가목록표!F618</f>
        <v>18344</v>
      </c>
      <c r="I621" s="13">
        <f t="shared" si="47"/>
        <v>0</v>
      </c>
      <c r="J621" s="52">
        <f>일위대가목록표!G618</f>
        <v>17000</v>
      </c>
      <c r="K621" s="13">
        <f t="shared" si="48"/>
        <v>0</v>
      </c>
      <c r="L621" s="54">
        <f>일위대가목록표!H618</f>
        <v>366</v>
      </c>
      <c r="M621" s="33">
        <f t="shared" si="49"/>
        <v>0</v>
      </c>
      <c r="N621" s="22" t="s">
        <v>5188</v>
      </c>
      <c r="O621" s="17" t="s">
        <v>5187</v>
      </c>
      <c r="P621" s="7" t="s">
        <v>5186</v>
      </c>
      <c r="Q621" s="7" t="s">
        <v>3344</v>
      </c>
      <c r="AC621" s="3" t="str">
        <f ca="1">HYPERLINK("#"&amp;일위대가목록표!J2&amp;"!A"&amp;ROW(일위대가목록표!A618),"대가615 →")</f>
        <v>대가615 →</v>
      </c>
    </row>
    <row r="622" spans="1:29" ht="30.6" customHeight="1" x14ac:dyDescent="0.3">
      <c r="A622" s="10"/>
      <c r="B622" s="10" t="s">
        <v>1549</v>
      </c>
      <c r="C622" s="41" t="s">
        <v>1559</v>
      </c>
      <c r="D622" s="43">
        <v>0</v>
      </c>
      <c r="E622" s="22" t="s">
        <v>515</v>
      </c>
      <c r="F622" s="45">
        <f t="shared" si="45"/>
        <v>36710</v>
      </c>
      <c r="G622" s="48">
        <f t="shared" si="46"/>
        <v>0</v>
      </c>
      <c r="H622" s="50">
        <f>일위대가목록표!F619</f>
        <v>18344</v>
      </c>
      <c r="I622" s="13">
        <f t="shared" si="47"/>
        <v>0</v>
      </c>
      <c r="J622" s="52">
        <f>일위대가목록표!G619</f>
        <v>18000</v>
      </c>
      <c r="K622" s="13">
        <f t="shared" si="48"/>
        <v>0</v>
      </c>
      <c r="L622" s="54">
        <f>일위대가목록표!H619</f>
        <v>366</v>
      </c>
      <c r="M622" s="33">
        <f t="shared" si="49"/>
        <v>0</v>
      </c>
      <c r="N622" s="22" t="s">
        <v>5191</v>
      </c>
      <c r="O622" s="17" t="s">
        <v>5190</v>
      </c>
      <c r="P622" s="7" t="s">
        <v>5189</v>
      </c>
      <c r="Q622" s="7" t="s">
        <v>3344</v>
      </c>
      <c r="AC622" s="3" t="str">
        <f ca="1">HYPERLINK("#"&amp;일위대가목록표!J2&amp;"!A"&amp;ROW(일위대가목록표!A619),"대가616 →")</f>
        <v>대가616 →</v>
      </c>
    </row>
    <row r="623" spans="1:29" ht="30.6" customHeight="1" x14ac:dyDescent="0.3">
      <c r="A623" s="10"/>
      <c r="B623" s="10" t="s">
        <v>1549</v>
      </c>
      <c r="C623" s="41" t="s">
        <v>1562</v>
      </c>
      <c r="D623" s="43">
        <v>0</v>
      </c>
      <c r="E623" s="22" t="s">
        <v>515</v>
      </c>
      <c r="F623" s="45">
        <f t="shared" si="45"/>
        <v>45710</v>
      </c>
      <c r="G623" s="48">
        <f t="shared" si="46"/>
        <v>0</v>
      </c>
      <c r="H623" s="50">
        <f>일위대가목록표!F620</f>
        <v>18344</v>
      </c>
      <c r="I623" s="13">
        <f t="shared" si="47"/>
        <v>0</v>
      </c>
      <c r="J623" s="52">
        <f>일위대가목록표!G620</f>
        <v>27000</v>
      </c>
      <c r="K623" s="13">
        <f t="shared" si="48"/>
        <v>0</v>
      </c>
      <c r="L623" s="54">
        <f>일위대가목록표!H620</f>
        <v>366</v>
      </c>
      <c r="M623" s="33">
        <f t="shared" si="49"/>
        <v>0</v>
      </c>
      <c r="N623" s="22" t="s">
        <v>5194</v>
      </c>
      <c r="O623" s="17" t="s">
        <v>5193</v>
      </c>
      <c r="P623" s="7" t="s">
        <v>5192</v>
      </c>
      <c r="Q623" s="7" t="s">
        <v>3344</v>
      </c>
      <c r="AC623" s="3" t="str">
        <f ca="1">HYPERLINK("#"&amp;일위대가목록표!J2&amp;"!A"&amp;ROW(일위대가목록표!A620),"대가617 →")</f>
        <v>대가617 →</v>
      </c>
    </row>
    <row r="624" spans="1:29" ht="30.6" customHeight="1" x14ac:dyDescent="0.3">
      <c r="A624" s="10"/>
      <c r="B624" s="10" t="s">
        <v>1549</v>
      </c>
      <c r="C624" s="41" t="s">
        <v>1543</v>
      </c>
      <c r="D624" s="43">
        <v>0</v>
      </c>
      <c r="E624" s="22" t="s">
        <v>515</v>
      </c>
      <c r="F624" s="45">
        <f t="shared" si="45"/>
        <v>97219</v>
      </c>
      <c r="G624" s="48">
        <f t="shared" si="46"/>
        <v>0</v>
      </c>
      <c r="H624" s="50">
        <f>일위대가목록표!F621</f>
        <v>49235</v>
      </c>
      <c r="I624" s="13">
        <f t="shared" si="47"/>
        <v>0</v>
      </c>
      <c r="J624" s="52">
        <f>일위대가목록표!G621</f>
        <v>47000</v>
      </c>
      <c r="K624" s="13">
        <f t="shared" si="48"/>
        <v>0</v>
      </c>
      <c r="L624" s="54">
        <f>일위대가목록표!H621</f>
        <v>984</v>
      </c>
      <c r="M624" s="33">
        <f t="shared" si="49"/>
        <v>0</v>
      </c>
      <c r="N624" s="22" t="s">
        <v>5197</v>
      </c>
      <c r="O624" s="17" t="s">
        <v>5196</v>
      </c>
      <c r="P624" s="7" t="s">
        <v>5195</v>
      </c>
      <c r="Q624" s="7" t="s">
        <v>3344</v>
      </c>
      <c r="AC624" s="3" t="str">
        <f ca="1">HYPERLINK("#"&amp;일위대가목록표!J2&amp;"!A"&amp;ROW(일위대가목록표!A621),"대가618 →")</f>
        <v>대가618 →</v>
      </c>
    </row>
    <row r="625" spans="1:29" ht="30.6" customHeight="1" x14ac:dyDescent="0.3">
      <c r="A625" s="10"/>
      <c r="B625" s="10" t="s">
        <v>1549</v>
      </c>
      <c r="C625" s="41" t="s">
        <v>1546</v>
      </c>
      <c r="D625" s="43">
        <v>0</v>
      </c>
      <c r="E625" s="22" t="s">
        <v>515</v>
      </c>
      <c r="F625" s="45">
        <f t="shared" si="45"/>
        <v>126539</v>
      </c>
      <c r="G625" s="48">
        <f t="shared" si="46"/>
        <v>0</v>
      </c>
      <c r="H625" s="50">
        <f>일위대가목록표!F622</f>
        <v>71117</v>
      </c>
      <c r="I625" s="13">
        <f t="shared" si="47"/>
        <v>0</v>
      </c>
      <c r="J625" s="52">
        <f>일위대가목록표!G622</f>
        <v>54000</v>
      </c>
      <c r="K625" s="13">
        <f t="shared" si="48"/>
        <v>0</v>
      </c>
      <c r="L625" s="54">
        <f>일위대가목록표!H622</f>
        <v>1422</v>
      </c>
      <c r="M625" s="33">
        <f t="shared" si="49"/>
        <v>0</v>
      </c>
      <c r="N625" s="22" t="s">
        <v>5200</v>
      </c>
      <c r="O625" s="17" t="s">
        <v>5199</v>
      </c>
      <c r="P625" s="7" t="s">
        <v>5198</v>
      </c>
      <c r="Q625" s="7" t="s">
        <v>3344</v>
      </c>
      <c r="AC625" s="3" t="str">
        <f ca="1">HYPERLINK("#"&amp;일위대가목록표!J2&amp;"!A"&amp;ROW(일위대가목록표!A622),"대가619 →")</f>
        <v>대가619 →</v>
      </c>
    </row>
    <row r="626" spans="1:29" ht="30.6" customHeight="1" x14ac:dyDescent="0.3">
      <c r="A626" s="10"/>
      <c r="B626" s="10" t="s">
        <v>1549</v>
      </c>
      <c r="C626" s="41" t="s">
        <v>1569</v>
      </c>
      <c r="D626" s="43">
        <v>0</v>
      </c>
      <c r="E626" s="22" t="s">
        <v>515</v>
      </c>
      <c r="F626" s="45">
        <f t="shared" si="45"/>
        <v>188528</v>
      </c>
      <c r="G626" s="48">
        <f t="shared" si="46"/>
        <v>0</v>
      </c>
      <c r="H626" s="50">
        <f>일위대가목록표!F623</f>
        <v>110322</v>
      </c>
      <c r="I626" s="13">
        <f t="shared" si="47"/>
        <v>0</v>
      </c>
      <c r="J626" s="52">
        <f>일위대가목록표!G623</f>
        <v>76000</v>
      </c>
      <c r="K626" s="13">
        <f t="shared" si="48"/>
        <v>0</v>
      </c>
      <c r="L626" s="54">
        <f>일위대가목록표!H623</f>
        <v>2206</v>
      </c>
      <c r="M626" s="33">
        <f t="shared" si="49"/>
        <v>0</v>
      </c>
      <c r="N626" s="22" t="s">
        <v>5203</v>
      </c>
      <c r="O626" s="17" t="s">
        <v>5202</v>
      </c>
      <c r="P626" s="7" t="s">
        <v>5201</v>
      </c>
      <c r="Q626" s="7" t="s">
        <v>3344</v>
      </c>
      <c r="AC626" s="3" t="str">
        <f ca="1">HYPERLINK("#"&amp;일위대가목록표!J2&amp;"!A"&amp;ROW(일위대가목록표!A623),"대가620 →")</f>
        <v>대가620 →</v>
      </c>
    </row>
    <row r="627" spans="1:29" ht="30.6" customHeight="1" x14ac:dyDescent="0.3">
      <c r="A627" s="10"/>
      <c r="B627" s="10" t="s">
        <v>1549</v>
      </c>
      <c r="C627" s="41" t="s">
        <v>1572</v>
      </c>
      <c r="D627" s="43">
        <v>0</v>
      </c>
      <c r="E627" s="22" t="s">
        <v>515</v>
      </c>
      <c r="F627" s="45">
        <f t="shared" si="45"/>
        <v>293090</v>
      </c>
      <c r="G627" s="48">
        <f t="shared" si="46"/>
        <v>0</v>
      </c>
      <c r="H627" s="50">
        <f>일위대가목록표!F624</f>
        <v>149108</v>
      </c>
      <c r="I627" s="13">
        <f t="shared" si="47"/>
        <v>0</v>
      </c>
      <c r="J627" s="52">
        <f>일위대가목록표!G624</f>
        <v>141000</v>
      </c>
      <c r="K627" s="13">
        <f t="shared" si="48"/>
        <v>0</v>
      </c>
      <c r="L627" s="54">
        <f>일위대가목록표!H624</f>
        <v>2982</v>
      </c>
      <c r="M627" s="33">
        <f t="shared" si="49"/>
        <v>0</v>
      </c>
      <c r="N627" s="22" t="s">
        <v>5206</v>
      </c>
      <c r="O627" s="17" t="s">
        <v>5205</v>
      </c>
      <c r="P627" s="7" t="s">
        <v>5204</v>
      </c>
      <c r="Q627" s="7" t="s">
        <v>3344</v>
      </c>
      <c r="AC627" s="3" t="str">
        <f ca="1">HYPERLINK("#"&amp;일위대가목록표!J2&amp;"!A"&amp;ROW(일위대가목록표!A624),"대가621 →")</f>
        <v>대가621 →</v>
      </c>
    </row>
    <row r="628" spans="1:29" ht="30.6" customHeight="1" x14ac:dyDescent="0.3">
      <c r="A628" s="10"/>
      <c r="B628" s="10" t="s">
        <v>1575</v>
      </c>
      <c r="C628" s="41" t="s">
        <v>1534</v>
      </c>
      <c r="D628" s="43">
        <v>0</v>
      </c>
      <c r="E628" s="22" t="s">
        <v>1010</v>
      </c>
      <c r="F628" s="45">
        <f t="shared" si="45"/>
        <v>12641</v>
      </c>
      <c r="G628" s="48">
        <f t="shared" si="46"/>
        <v>0</v>
      </c>
      <c r="H628" s="50">
        <f>일위대가목록표!F625</f>
        <v>12394</v>
      </c>
      <c r="I628" s="13">
        <f t="shared" si="47"/>
        <v>0</v>
      </c>
      <c r="J628" s="52">
        <f>일위대가목록표!G625</f>
        <v>0</v>
      </c>
      <c r="K628" s="13">
        <f t="shared" si="48"/>
        <v>0</v>
      </c>
      <c r="L628" s="54">
        <f>일위대가목록표!H625</f>
        <v>247</v>
      </c>
      <c r="M628" s="33">
        <f t="shared" si="49"/>
        <v>0</v>
      </c>
      <c r="N628" s="22" t="s">
        <v>5209</v>
      </c>
      <c r="O628" s="17" t="s">
        <v>5208</v>
      </c>
      <c r="P628" s="7" t="s">
        <v>5207</v>
      </c>
      <c r="Q628" s="7" t="s">
        <v>3344</v>
      </c>
      <c r="AC628" s="3" t="str">
        <f ca="1">HYPERLINK("#"&amp;일위대가목록표!J2&amp;"!A"&amp;ROW(일위대가목록표!A625),"대가622 →")</f>
        <v>대가622 →</v>
      </c>
    </row>
    <row r="629" spans="1:29" ht="30.6" customHeight="1" x14ac:dyDescent="0.3">
      <c r="A629" s="10"/>
      <c r="B629" s="10" t="s">
        <v>1575</v>
      </c>
      <c r="C629" s="41" t="s">
        <v>1578</v>
      </c>
      <c r="D629" s="43">
        <v>0</v>
      </c>
      <c r="E629" s="22" t="s">
        <v>1010</v>
      </c>
      <c r="F629" s="45">
        <f t="shared" si="45"/>
        <v>18710</v>
      </c>
      <c r="G629" s="48">
        <f t="shared" si="46"/>
        <v>0</v>
      </c>
      <c r="H629" s="50">
        <f>일위대가목록표!F626</f>
        <v>18344</v>
      </c>
      <c r="I629" s="13">
        <f t="shared" si="47"/>
        <v>0</v>
      </c>
      <c r="J629" s="52">
        <f>일위대가목록표!G626</f>
        <v>0</v>
      </c>
      <c r="K629" s="13">
        <f t="shared" si="48"/>
        <v>0</v>
      </c>
      <c r="L629" s="54">
        <f>일위대가목록표!H626</f>
        <v>366</v>
      </c>
      <c r="M629" s="33">
        <f t="shared" si="49"/>
        <v>0</v>
      </c>
      <c r="N629" s="22" t="s">
        <v>5212</v>
      </c>
      <c r="O629" s="17" t="s">
        <v>5211</v>
      </c>
      <c r="P629" s="7" t="s">
        <v>5210</v>
      </c>
      <c r="Q629" s="7" t="s">
        <v>3344</v>
      </c>
      <c r="AC629" s="3" t="str">
        <f ca="1">HYPERLINK("#"&amp;일위대가목록표!J2&amp;"!A"&amp;ROW(일위대가목록표!A626),"대가623 →")</f>
        <v>대가623 →</v>
      </c>
    </row>
    <row r="630" spans="1:29" ht="30.6" customHeight="1" x14ac:dyDescent="0.3">
      <c r="A630" s="10"/>
      <c r="B630" s="10" t="s">
        <v>1575</v>
      </c>
      <c r="C630" s="41" t="s">
        <v>1543</v>
      </c>
      <c r="D630" s="43">
        <v>0</v>
      </c>
      <c r="E630" s="22" t="s">
        <v>1010</v>
      </c>
      <c r="F630" s="45">
        <f t="shared" si="45"/>
        <v>50219</v>
      </c>
      <c r="G630" s="48">
        <f t="shared" si="46"/>
        <v>0</v>
      </c>
      <c r="H630" s="50">
        <f>일위대가목록표!F627</f>
        <v>49235</v>
      </c>
      <c r="I630" s="13">
        <f t="shared" si="47"/>
        <v>0</v>
      </c>
      <c r="J630" s="52">
        <f>일위대가목록표!G627</f>
        <v>0</v>
      </c>
      <c r="K630" s="13">
        <f t="shared" si="48"/>
        <v>0</v>
      </c>
      <c r="L630" s="54">
        <f>일위대가목록표!H627</f>
        <v>984</v>
      </c>
      <c r="M630" s="33">
        <f t="shared" si="49"/>
        <v>0</v>
      </c>
      <c r="N630" s="22" t="s">
        <v>5215</v>
      </c>
      <c r="O630" s="17" t="s">
        <v>5214</v>
      </c>
      <c r="P630" s="7" t="s">
        <v>5213</v>
      </c>
      <c r="Q630" s="7" t="s">
        <v>3344</v>
      </c>
      <c r="AC630" s="3" t="str">
        <f ca="1">HYPERLINK("#"&amp;일위대가목록표!J2&amp;"!A"&amp;ROW(일위대가목록표!A627),"대가624 →")</f>
        <v>대가624 →</v>
      </c>
    </row>
    <row r="631" spans="1:29" ht="30.6" customHeight="1" x14ac:dyDescent="0.3">
      <c r="A631" s="10"/>
      <c r="B631" s="10" t="s">
        <v>1583</v>
      </c>
      <c r="C631" s="41" t="s">
        <v>1584</v>
      </c>
      <c r="D631" s="43">
        <v>0</v>
      </c>
      <c r="E631" s="22" t="s">
        <v>1010</v>
      </c>
      <c r="F631" s="45">
        <f t="shared" si="45"/>
        <v>20211</v>
      </c>
      <c r="G631" s="48">
        <f t="shared" si="46"/>
        <v>0</v>
      </c>
      <c r="H631" s="50">
        <f>일위대가목록표!F628</f>
        <v>20211</v>
      </c>
      <c r="I631" s="13">
        <f t="shared" si="47"/>
        <v>0</v>
      </c>
      <c r="J631" s="52">
        <f>일위대가목록표!G628</f>
        <v>0</v>
      </c>
      <c r="K631" s="13">
        <f t="shared" si="48"/>
        <v>0</v>
      </c>
      <c r="L631" s="54">
        <f>일위대가목록표!H628</f>
        <v>0</v>
      </c>
      <c r="M631" s="33">
        <f t="shared" si="49"/>
        <v>0</v>
      </c>
      <c r="N631" s="22" t="s">
        <v>5218</v>
      </c>
      <c r="O631" s="17" t="s">
        <v>5217</v>
      </c>
      <c r="P631" s="7" t="s">
        <v>5216</v>
      </c>
      <c r="Q631" s="7" t="s">
        <v>3344</v>
      </c>
      <c r="AC631" s="3" t="str">
        <f ca="1">HYPERLINK("#"&amp;일위대가목록표!J2&amp;"!A"&amp;ROW(일위대가목록표!A628),"대가625 →")</f>
        <v>대가625 →</v>
      </c>
    </row>
    <row r="632" spans="1:29" ht="30.6" customHeight="1" x14ac:dyDescent="0.3">
      <c r="A632" s="10"/>
      <c r="B632" s="10" t="s">
        <v>1587</v>
      </c>
      <c r="C632" s="41"/>
      <c r="D632" s="43">
        <v>0</v>
      </c>
      <c r="E632" s="22" t="s">
        <v>1588</v>
      </c>
      <c r="F632" s="45">
        <f t="shared" si="45"/>
        <v>4206678</v>
      </c>
      <c r="G632" s="48">
        <f t="shared" si="46"/>
        <v>0</v>
      </c>
      <c r="H632" s="50">
        <f>일위대가목록표!F629</f>
        <v>4206678</v>
      </c>
      <c r="I632" s="13">
        <f t="shared" si="47"/>
        <v>0</v>
      </c>
      <c r="J632" s="52">
        <f>일위대가목록표!G629</f>
        <v>0</v>
      </c>
      <c r="K632" s="13">
        <f t="shared" si="48"/>
        <v>0</v>
      </c>
      <c r="L632" s="54">
        <f>일위대가목록표!H629</f>
        <v>0</v>
      </c>
      <c r="M632" s="33">
        <f t="shared" si="49"/>
        <v>0</v>
      </c>
      <c r="N632" s="22" t="s">
        <v>5221</v>
      </c>
      <c r="O632" s="17" t="s">
        <v>5220</v>
      </c>
      <c r="P632" s="7" t="s">
        <v>5219</v>
      </c>
      <c r="Q632" s="7" t="s">
        <v>3344</v>
      </c>
      <c r="AC632" s="3" t="str">
        <f ca="1">HYPERLINK("#"&amp;일위대가목록표!J2&amp;"!A"&amp;ROW(일위대가목록표!A629),"대가626 →")</f>
        <v>대가626 →</v>
      </c>
    </row>
    <row r="633" spans="1:29" ht="30.6" customHeight="1" x14ac:dyDescent="0.3">
      <c r="A633" s="10"/>
      <c r="B633" s="10" t="s">
        <v>1591</v>
      </c>
      <c r="C633" s="41" t="s">
        <v>1592</v>
      </c>
      <c r="D633" s="43">
        <v>0</v>
      </c>
      <c r="E633" s="22" t="s">
        <v>1593</v>
      </c>
      <c r="F633" s="45">
        <f t="shared" si="45"/>
        <v>1342591</v>
      </c>
      <c r="G633" s="48">
        <f t="shared" si="46"/>
        <v>0</v>
      </c>
      <c r="H633" s="50">
        <f>일위대가목록표!F630</f>
        <v>1243140</v>
      </c>
      <c r="I633" s="13">
        <f t="shared" si="47"/>
        <v>0</v>
      </c>
      <c r="J633" s="52">
        <f>일위대가목록표!G630</f>
        <v>37294</v>
      </c>
      <c r="K633" s="13">
        <f t="shared" si="48"/>
        <v>0</v>
      </c>
      <c r="L633" s="54">
        <f>일위대가목록표!H630</f>
        <v>62157</v>
      </c>
      <c r="M633" s="33">
        <f t="shared" si="49"/>
        <v>0</v>
      </c>
      <c r="N633" s="22" t="s">
        <v>5224</v>
      </c>
      <c r="O633" s="17" t="s">
        <v>5223</v>
      </c>
      <c r="P633" s="7" t="s">
        <v>5222</v>
      </c>
      <c r="Q633" s="7" t="s">
        <v>3344</v>
      </c>
      <c r="AC633" s="3" t="str">
        <f ca="1">HYPERLINK("#"&amp;일위대가목록표!J2&amp;"!A"&amp;ROW(일위대가목록표!A630),"대가627 →")</f>
        <v>대가627 →</v>
      </c>
    </row>
    <row r="634" spans="1:29" ht="30.6" customHeight="1" x14ac:dyDescent="0.3">
      <c r="A634" s="10"/>
      <c r="B634" s="10" t="s">
        <v>1596</v>
      </c>
      <c r="C634" s="41" t="s">
        <v>1597</v>
      </c>
      <c r="D634" s="43">
        <v>0</v>
      </c>
      <c r="E634" s="22" t="s">
        <v>1598</v>
      </c>
      <c r="F634" s="45">
        <f t="shared" si="45"/>
        <v>312198</v>
      </c>
      <c r="G634" s="48">
        <f t="shared" si="46"/>
        <v>0</v>
      </c>
      <c r="H634" s="50">
        <f>일위대가목록표!F631</f>
        <v>155368</v>
      </c>
      <c r="I634" s="13">
        <f t="shared" si="47"/>
        <v>0</v>
      </c>
      <c r="J634" s="52">
        <f>일위대가목록표!G631</f>
        <v>156665</v>
      </c>
      <c r="K634" s="13">
        <f t="shared" si="48"/>
        <v>0</v>
      </c>
      <c r="L634" s="54">
        <f>일위대가목록표!H631</f>
        <v>165</v>
      </c>
      <c r="M634" s="33">
        <f t="shared" si="49"/>
        <v>0</v>
      </c>
      <c r="N634" s="22" t="s">
        <v>5227</v>
      </c>
      <c r="O634" s="17" t="s">
        <v>5226</v>
      </c>
      <c r="P634" s="7" t="s">
        <v>5225</v>
      </c>
      <c r="Q634" s="7" t="s">
        <v>3344</v>
      </c>
      <c r="AC634" s="3" t="str">
        <f ca="1">HYPERLINK("#"&amp;일위대가목록표!J2&amp;"!A"&amp;ROW(일위대가목록표!A631),"대가628 →")</f>
        <v>대가628 →</v>
      </c>
    </row>
    <row r="635" spans="1:29" ht="30.6" customHeight="1" x14ac:dyDescent="0.3">
      <c r="A635" s="10"/>
      <c r="B635" s="10" t="s">
        <v>1601</v>
      </c>
      <c r="C635" s="41" t="s">
        <v>1602</v>
      </c>
      <c r="D635" s="43">
        <v>5</v>
      </c>
      <c r="E635" s="22" t="s">
        <v>1603</v>
      </c>
      <c r="F635" s="45">
        <f t="shared" si="45"/>
        <v>83748</v>
      </c>
      <c r="G635" s="48">
        <f t="shared" si="46"/>
        <v>418740</v>
      </c>
      <c r="H635" s="50">
        <f>일위대가목록표!F632</f>
        <v>83748</v>
      </c>
      <c r="I635" s="13">
        <f t="shared" si="47"/>
        <v>418740</v>
      </c>
      <c r="J635" s="52">
        <f>일위대가목록표!G632</f>
        <v>0</v>
      </c>
      <c r="K635" s="13">
        <f t="shared" si="48"/>
        <v>0</v>
      </c>
      <c r="L635" s="54">
        <f>일위대가목록표!H632</f>
        <v>0</v>
      </c>
      <c r="M635" s="33">
        <f t="shared" si="49"/>
        <v>0</v>
      </c>
      <c r="N635" s="22" t="s">
        <v>5230</v>
      </c>
      <c r="O635" s="17" t="s">
        <v>5229</v>
      </c>
      <c r="P635" s="7" t="s">
        <v>5228</v>
      </c>
      <c r="Q635" s="7" t="s">
        <v>3344</v>
      </c>
      <c r="AC635" s="3" t="str">
        <f ca="1">HYPERLINK("#"&amp;일위대가목록표!J2&amp;"!A"&amp;ROW(일위대가목록표!A632),"대가629 →")</f>
        <v>대가629 →</v>
      </c>
    </row>
    <row r="636" spans="1:29" ht="30.6" customHeight="1" x14ac:dyDescent="0.3">
      <c r="A636" s="10"/>
      <c r="B636" s="10" t="s">
        <v>1601</v>
      </c>
      <c r="C636" s="41" t="s">
        <v>1602</v>
      </c>
      <c r="D636" s="43">
        <v>5</v>
      </c>
      <c r="E636" s="22" t="s">
        <v>1603</v>
      </c>
      <c r="F636" s="45">
        <f t="shared" si="45"/>
        <v>83748</v>
      </c>
      <c r="G636" s="48">
        <f t="shared" si="46"/>
        <v>418740</v>
      </c>
      <c r="H636" s="50">
        <f>일위대가목록표!F633</f>
        <v>83748</v>
      </c>
      <c r="I636" s="13">
        <f t="shared" si="47"/>
        <v>418740</v>
      </c>
      <c r="J636" s="52">
        <f>일위대가목록표!G633</f>
        <v>0</v>
      </c>
      <c r="K636" s="13">
        <f t="shared" si="48"/>
        <v>0</v>
      </c>
      <c r="L636" s="54">
        <f>일위대가목록표!H633</f>
        <v>0</v>
      </c>
      <c r="M636" s="33">
        <f t="shared" si="49"/>
        <v>0</v>
      </c>
      <c r="N636" s="22" t="s">
        <v>5233</v>
      </c>
      <c r="O636" s="17" t="s">
        <v>5232</v>
      </c>
      <c r="P636" s="7" t="s">
        <v>5231</v>
      </c>
      <c r="Q636" s="7" t="s">
        <v>3344</v>
      </c>
      <c r="AC636" s="3" t="str">
        <f ca="1">HYPERLINK("#"&amp;일위대가목록표!J2&amp;"!A"&amp;ROW(일위대가목록표!A633),"대가630 →")</f>
        <v>대가630 →</v>
      </c>
    </row>
    <row r="637" spans="1:29" ht="30.6" customHeight="1" x14ac:dyDescent="0.3">
      <c r="A637" s="10"/>
      <c r="B637" s="10" t="s">
        <v>1608</v>
      </c>
      <c r="C637" s="41" t="s">
        <v>1609</v>
      </c>
      <c r="D637" s="43">
        <v>0</v>
      </c>
      <c r="E637" s="22" t="s">
        <v>515</v>
      </c>
      <c r="F637" s="45">
        <f t="shared" si="45"/>
        <v>146011</v>
      </c>
      <c r="G637" s="48">
        <f t="shared" si="46"/>
        <v>0</v>
      </c>
      <c r="H637" s="50">
        <f>일위대가목록표!F634</f>
        <v>145129</v>
      </c>
      <c r="I637" s="13">
        <f t="shared" si="47"/>
        <v>0</v>
      </c>
      <c r="J637" s="52">
        <f>일위대가목록표!G634</f>
        <v>0</v>
      </c>
      <c r="K637" s="13">
        <f t="shared" si="48"/>
        <v>0</v>
      </c>
      <c r="L637" s="54">
        <f>일위대가목록표!H634</f>
        <v>882</v>
      </c>
      <c r="M637" s="33">
        <f t="shared" si="49"/>
        <v>0</v>
      </c>
      <c r="N637" s="22" t="s">
        <v>5236</v>
      </c>
      <c r="O637" s="17" t="s">
        <v>5235</v>
      </c>
      <c r="P637" s="7" t="s">
        <v>5234</v>
      </c>
      <c r="Q637" s="7" t="s">
        <v>3344</v>
      </c>
      <c r="AC637" s="3" t="str">
        <f ca="1">HYPERLINK("#"&amp;일위대가목록표!J2&amp;"!A"&amp;ROW(일위대가목록표!A634),"대가631 →")</f>
        <v>대가631 →</v>
      </c>
    </row>
    <row r="638" spans="1:29" ht="30.6" customHeight="1" x14ac:dyDescent="0.3">
      <c r="A638" s="10"/>
      <c r="B638" s="10" t="s">
        <v>1608</v>
      </c>
      <c r="C638" s="41" t="s">
        <v>1612</v>
      </c>
      <c r="D638" s="43">
        <v>0</v>
      </c>
      <c r="E638" s="22" t="s">
        <v>515</v>
      </c>
      <c r="F638" s="45">
        <f t="shared" si="45"/>
        <v>186207</v>
      </c>
      <c r="G638" s="48">
        <f t="shared" si="46"/>
        <v>0</v>
      </c>
      <c r="H638" s="50">
        <f>일위대가목록표!F635</f>
        <v>184961</v>
      </c>
      <c r="I638" s="13">
        <f t="shared" si="47"/>
        <v>0</v>
      </c>
      <c r="J638" s="52">
        <f>일위대가목록표!G635</f>
        <v>0</v>
      </c>
      <c r="K638" s="13">
        <f t="shared" si="48"/>
        <v>0</v>
      </c>
      <c r="L638" s="54">
        <f>일위대가목록표!H635</f>
        <v>1246</v>
      </c>
      <c r="M638" s="33">
        <f t="shared" si="49"/>
        <v>0</v>
      </c>
      <c r="N638" s="22" t="s">
        <v>5239</v>
      </c>
      <c r="O638" s="17" t="s">
        <v>5238</v>
      </c>
      <c r="P638" s="7" t="s">
        <v>5237</v>
      </c>
      <c r="Q638" s="7" t="s">
        <v>3344</v>
      </c>
      <c r="AC638" s="3" t="str">
        <f ca="1">HYPERLINK("#"&amp;일위대가목록표!J2&amp;"!A"&amp;ROW(일위대가목록표!A635),"대가632 →")</f>
        <v>대가632 →</v>
      </c>
    </row>
    <row r="639" spans="1:29" ht="30.6" customHeight="1" x14ac:dyDescent="0.3">
      <c r="A639" s="10"/>
      <c r="B639" s="10" t="s">
        <v>1608</v>
      </c>
      <c r="C639" s="41" t="s">
        <v>1615</v>
      </c>
      <c r="D639" s="43">
        <v>0</v>
      </c>
      <c r="E639" s="22" t="s">
        <v>515</v>
      </c>
      <c r="F639" s="45">
        <f t="shared" si="45"/>
        <v>226397</v>
      </c>
      <c r="G639" s="48">
        <f t="shared" si="46"/>
        <v>0</v>
      </c>
      <c r="H639" s="50">
        <f>일위대가목록표!F636</f>
        <v>224793</v>
      </c>
      <c r="I639" s="13">
        <f t="shared" si="47"/>
        <v>0</v>
      </c>
      <c r="J639" s="52">
        <f>일위대가목록표!G636</f>
        <v>0</v>
      </c>
      <c r="K639" s="13">
        <f t="shared" si="48"/>
        <v>0</v>
      </c>
      <c r="L639" s="54">
        <f>일위대가목록표!H636</f>
        <v>1604</v>
      </c>
      <c r="M639" s="33">
        <f t="shared" si="49"/>
        <v>0</v>
      </c>
      <c r="N639" s="22" t="s">
        <v>5242</v>
      </c>
      <c r="O639" s="17" t="s">
        <v>5241</v>
      </c>
      <c r="P639" s="7" t="s">
        <v>5240</v>
      </c>
      <c r="Q639" s="7" t="s">
        <v>3344</v>
      </c>
      <c r="AC639" s="3" t="str">
        <f ca="1">HYPERLINK("#"&amp;일위대가목록표!J2&amp;"!A"&amp;ROW(일위대가목록표!A636),"대가633 →")</f>
        <v>대가633 →</v>
      </c>
    </row>
    <row r="640" spans="1:29" ht="30.6" customHeight="1" x14ac:dyDescent="0.3">
      <c r="A640" s="10"/>
      <c r="B640" s="10" t="s">
        <v>1608</v>
      </c>
      <c r="C640" s="41" t="s">
        <v>1618</v>
      </c>
      <c r="D640" s="43">
        <v>0</v>
      </c>
      <c r="E640" s="22" t="s">
        <v>515</v>
      </c>
      <c r="F640" s="45">
        <f t="shared" si="45"/>
        <v>105422</v>
      </c>
      <c r="G640" s="48">
        <f t="shared" si="46"/>
        <v>0</v>
      </c>
      <c r="H640" s="50">
        <f>일위대가목록표!F637</f>
        <v>104903</v>
      </c>
      <c r="I640" s="13">
        <f t="shared" si="47"/>
        <v>0</v>
      </c>
      <c r="J640" s="52">
        <f>일위대가목록표!G637</f>
        <v>0</v>
      </c>
      <c r="K640" s="13">
        <f t="shared" si="48"/>
        <v>0</v>
      </c>
      <c r="L640" s="54">
        <f>일위대가목록표!H637</f>
        <v>519</v>
      </c>
      <c r="M640" s="33">
        <f t="shared" si="49"/>
        <v>0</v>
      </c>
      <c r="N640" s="22" t="s">
        <v>5245</v>
      </c>
      <c r="O640" s="17" t="s">
        <v>5244</v>
      </c>
      <c r="P640" s="7" t="s">
        <v>5243</v>
      </c>
      <c r="Q640" s="7" t="s">
        <v>3344</v>
      </c>
      <c r="AC640" s="3" t="str">
        <f ca="1">HYPERLINK("#"&amp;일위대가목록표!J2&amp;"!A"&amp;ROW(일위대가목록표!A637),"대가634 →")</f>
        <v>대가634 →</v>
      </c>
    </row>
    <row r="641" spans="1:29" ht="30.6" customHeight="1" x14ac:dyDescent="0.3">
      <c r="A641" s="10"/>
      <c r="B641" s="10" t="s">
        <v>1621</v>
      </c>
      <c r="C641" s="41" t="s">
        <v>1622</v>
      </c>
      <c r="D641" s="43">
        <v>1</v>
      </c>
      <c r="E641" s="22" t="s">
        <v>14</v>
      </c>
      <c r="F641" s="45">
        <f t="shared" si="45"/>
        <v>280412</v>
      </c>
      <c r="G641" s="48">
        <f t="shared" si="46"/>
        <v>280412</v>
      </c>
      <c r="H641" s="50">
        <f>일위대가목록표!F638</f>
        <v>280412</v>
      </c>
      <c r="I641" s="13">
        <f t="shared" si="47"/>
        <v>280412</v>
      </c>
      <c r="J641" s="52">
        <f>일위대가목록표!G638</f>
        <v>0</v>
      </c>
      <c r="K641" s="13">
        <f t="shared" si="48"/>
        <v>0</v>
      </c>
      <c r="L641" s="54">
        <f>일위대가목록표!H638</f>
        <v>0</v>
      </c>
      <c r="M641" s="33">
        <f t="shared" si="49"/>
        <v>0</v>
      </c>
      <c r="N641" s="22" t="s">
        <v>5248</v>
      </c>
      <c r="O641" s="17" t="s">
        <v>5247</v>
      </c>
      <c r="P641" s="7" t="s">
        <v>5246</v>
      </c>
      <c r="Q641" s="7" t="s">
        <v>3344</v>
      </c>
      <c r="AC641" s="3" t="str">
        <f ca="1">HYPERLINK("#"&amp;일위대가목록표!J2&amp;"!A"&amp;ROW(일위대가목록표!A638),"대가635 →")</f>
        <v>대가635 →</v>
      </c>
    </row>
    <row r="642" spans="1:29" ht="30.6" customHeight="1" x14ac:dyDescent="0.3">
      <c r="A642" s="10"/>
      <c r="B642" s="10" t="s">
        <v>1621</v>
      </c>
      <c r="C642" s="41" t="s">
        <v>1002</v>
      </c>
      <c r="D642" s="43">
        <v>1</v>
      </c>
      <c r="E642" s="22" t="s">
        <v>14</v>
      </c>
      <c r="F642" s="45">
        <f t="shared" si="45"/>
        <v>280412</v>
      </c>
      <c r="G642" s="48">
        <f t="shared" si="46"/>
        <v>280412</v>
      </c>
      <c r="H642" s="50">
        <f>일위대가목록표!F639</f>
        <v>280412</v>
      </c>
      <c r="I642" s="13">
        <f t="shared" si="47"/>
        <v>280412</v>
      </c>
      <c r="J642" s="52">
        <f>일위대가목록표!G639</f>
        <v>0</v>
      </c>
      <c r="K642" s="13">
        <f t="shared" si="48"/>
        <v>0</v>
      </c>
      <c r="L642" s="54">
        <f>일위대가목록표!H639</f>
        <v>0</v>
      </c>
      <c r="M642" s="33">
        <f t="shared" si="49"/>
        <v>0</v>
      </c>
      <c r="N642" s="22" t="s">
        <v>5251</v>
      </c>
      <c r="O642" s="17" t="s">
        <v>5250</v>
      </c>
      <c r="P642" s="7" t="s">
        <v>5249</v>
      </c>
      <c r="Q642" s="7" t="s">
        <v>3344</v>
      </c>
      <c r="AC642" s="3" t="str">
        <f ca="1">HYPERLINK("#"&amp;일위대가목록표!J2&amp;"!A"&amp;ROW(일위대가목록표!A639),"대가636 →")</f>
        <v>대가636 →</v>
      </c>
    </row>
    <row r="643" spans="1:29" ht="30.6" customHeight="1" x14ac:dyDescent="0.3">
      <c r="A643" s="10"/>
      <c r="B643" s="10" t="s">
        <v>1621</v>
      </c>
      <c r="C643" s="41" t="s">
        <v>1005</v>
      </c>
      <c r="D643" s="43">
        <v>0</v>
      </c>
      <c r="E643" s="22" t="s">
        <v>14</v>
      </c>
      <c r="F643" s="45">
        <f t="shared" si="45"/>
        <v>280412</v>
      </c>
      <c r="G643" s="48">
        <f t="shared" si="46"/>
        <v>0</v>
      </c>
      <c r="H643" s="50">
        <f>일위대가목록표!F640</f>
        <v>280412</v>
      </c>
      <c r="I643" s="13">
        <f t="shared" si="47"/>
        <v>0</v>
      </c>
      <c r="J643" s="52">
        <f>일위대가목록표!G640</f>
        <v>0</v>
      </c>
      <c r="K643" s="13">
        <f t="shared" si="48"/>
        <v>0</v>
      </c>
      <c r="L643" s="54">
        <f>일위대가목록표!H640</f>
        <v>0</v>
      </c>
      <c r="M643" s="33">
        <f t="shared" si="49"/>
        <v>0</v>
      </c>
      <c r="N643" s="22" t="s">
        <v>5254</v>
      </c>
      <c r="O643" s="17" t="s">
        <v>5253</v>
      </c>
      <c r="P643" s="7" t="s">
        <v>5252</v>
      </c>
      <c r="Q643" s="7" t="s">
        <v>3344</v>
      </c>
      <c r="AC643" s="3" t="str">
        <f ca="1">HYPERLINK("#"&amp;일위대가목록표!J2&amp;"!A"&amp;ROW(일위대가목록표!A640),"대가637 →")</f>
        <v>대가637 →</v>
      </c>
    </row>
    <row r="644" spans="1:29" ht="30.6" customHeight="1" x14ac:dyDescent="0.3">
      <c r="A644" s="10"/>
      <c r="B644" s="10" t="s">
        <v>1621</v>
      </c>
      <c r="C644" s="41" t="s">
        <v>1629</v>
      </c>
      <c r="D644" s="43">
        <v>0</v>
      </c>
      <c r="E644" s="22" t="s">
        <v>14</v>
      </c>
      <c r="F644" s="45">
        <f t="shared" si="45"/>
        <v>336495</v>
      </c>
      <c r="G644" s="48">
        <f t="shared" si="46"/>
        <v>0</v>
      </c>
      <c r="H644" s="50">
        <f>일위대가목록표!F641</f>
        <v>336495</v>
      </c>
      <c r="I644" s="13">
        <f t="shared" si="47"/>
        <v>0</v>
      </c>
      <c r="J644" s="52">
        <f>일위대가목록표!G641</f>
        <v>0</v>
      </c>
      <c r="K644" s="13">
        <f t="shared" si="48"/>
        <v>0</v>
      </c>
      <c r="L644" s="54">
        <f>일위대가목록표!H641</f>
        <v>0</v>
      </c>
      <c r="M644" s="33">
        <f t="shared" si="49"/>
        <v>0</v>
      </c>
      <c r="N644" s="22" t="s">
        <v>5257</v>
      </c>
      <c r="O644" s="17" t="s">
        <v>5256</v>
      </c>
      <c r="P644" s="7" t="s">
        <v>5255</v>
      </c>
      <c r="Q644" s="7" t="s">
        <v>3344</v>
      </c>
      <c r="AC644" s="3" t="str">
        <f ca="1">HYPERLINK("#"&amp;일위대가목록표!J2&amp;"!A"&amp;ROW(일위대가목록표!A641),"대가638 →")</f>
        <v>대가638 →</v>
      </c>
    </row>
    <row r="645" spans="1:29" ht="30.6" customHeight="1" x14ac:dyDescent="0.3">
      <c r="A645" s="10"/>
      <c r="B645" s="10" t="s">
        <v>1621</v>
      </c>
      <c r="C645" s="41" t="s">
        <v>1632</v>
      </c>
      <c r="D645" s="43">
        <v>0</v>
      </c>
      <c r="E645" s="22" t="s">
        <v>14</v>
      </c>
      <c r="F645" s="45">
        <f t="shared" si="45"/>
        <v>392578</v>
      </c>
      <c r="G645" s="48">
        <f t="shared" si="46"/>
        <v>0</v>
      </c>
      <c r="H645" s="50">
        <f>일위대가목록표!F642</f>
        <v>392578</v>
      </c>
      <c r="I645" s="13">
        <f t="shared" si="47"/>
        <v>0</v>
      </c>
      <c r="J645" s="52">
        <f>일위대가목록표!G642</f>
        <v>0</v>
      </c>
      <c r="K645" s="13">
        <f t="shared" si="48"/>
        <v>0</v>
      </c>
      <c r="L645" s="54">
        <f>일위대가목록표!H642</f>
        <v>0</v>
      </c>
      <c r="M645" s="33">
        <f t="shared" si="49"/>
        <v>0</v>
      </c>
      <c r="N645" s="22" t="s">
        <v>5260</v>
      </c>
      <c r="O645" s="17" t="s">
        <v>5259</v>
      </c>
      <c r="P645" s="7" t="s">
        <v>5258</v>
      </c>
      <c r="Q645" s="7" t="s">
        <v>3344</v>
      </c>
      <c r="AC645" s="3" t="str">
        <f ca="1">HYPERLINK("#"&amp;일위대가목록표!J2&amp;"!A"&amp;ROW(일위대가목록표!A642),"대가639 →")</f>
        <v>대가639 →</v>
      </c>
    </row>
    <row r="646" spans="1:29" ht="30.6" customHeight="1" x14ac:dyDescent="0.3">
      <c r="A646" s="10"/>
      <c r="B646" s="10" t="s">
        <v>1621</v>
      </c>
      <c r="C646" s="41" t="s">
        <v>1635</v>
      </c>
      <c r="D646" s="43">
        <v>0</v>
      </c>
      <c r="E646" s="22" t="s">
        <v>14</v>
      </c>
      <c r="F646" s="45">
        <f t="shared" si="45"/>
        <v>504744</v>
      </c>
      <c r="G646" s="48">
        <f t="shared" si="46"/>
        <v>0</v>
      </c>
      <c r="H646" s="50">
        <f>일위대가목록표!F643</f>
        <v>504744</v>
      </c>
      <c r="I646" s="13">
        <f t="shared" si="47"/>
        <v>0</v>
      </c>
      <c r="J646" s="52">
        <f>일위대가목록표!G643</f>
        <v>0</v>
      </c>
      <c r="K646" s="13">
        <f t="shared" si="48"/>
        <v>0</v>
      </c>
      <c r="L646" s="54">
        <f>일위대가목록표!H643</f>
        <v>0</v>
      </c>
      <c r="M646" s="33">
        <f t="shared" si="49"/>
        <v>0</v>
      </c>
      <c r="N646" s="22" t="s">
        <v>5263</v>
      </c>
      <c r="O646" s="17" t="s">
        <v>5262</v>
      </c>
      <c r="P646" s="7" t="s">
        <v>5261</v>
      </c>
      <c r="Q646" s="7" t="s">
        <v>3344</v>
      </c>
      <c r="AC646" s="3" t="str">
        <f ca="1">HYPERLINK("#"&amp;일위대가목록표!J2&amp;"!A"&amp;ROW(일위대가목록표!A643),"대가640 →")</f>
        <v>대가640 →</v>
      </c>
    </row>
    <row r="647" spans="1:29" ht="30.6" customHeight="1" x14ac:dyDescent="0.3">
      <c r="A647" s="10"/>
      <c r="B647" s="10" t="s">
        <v>1621</v>
      </c>
      <c r="C647" s="41" t="s">
        <v>1638</v>
      </c>
      <c r="D647" s="43">
        <v>0</v>
      </c>
      <c r="E647" s="22" t="s">
        <v>14</v>
      </c>
      <c r="F647" s="45">
        <f t="shared" ref="F647:F663" si="50">J647+H647+L647</f>
        <v>616910</v>
      </c>
      <c r="G647" s="48">
        <f t="shared" ref="G647:G663" si="51">K647+I647+M647</f>
        <v>0</v>
      </c>
      <c r="H647" s="50">
        <f>일위대가목록표!F644</f>
        <v>616910</v>
      </c>
      <c r="I647" s="13">
        <f t="shared" ref="I647:I663" si="52">ROUNDDOWN(H647*D647,0)</f>
        <v>0</v>
      </c>
      <c r="J647" s="52">
        <f>일위대가목록표!G644</f>
        <v>0</v>
      </c>
      <c r="K647" s="13">
        <f t="shared" ref="K647:K663" si="53">ROUNDDOWN(J647*D647,0)</f>
        <v>0</v>
      </c>
      <c r="L647" s="54">
        <f>일위대가목록표!H644</f>
        <v>0</v>
      </c>
      <c r="M647" s="33">
        <f t="shared" ref="M647:M663" si="54">ROUNDDOWN(L647*D647,0)</f>
        <v>0</v>
      </c>
      <c r="N647" s="22" t="s">
        <v>5266</v>
      </c>
      <c r="O647" s="17" t="s">
        <v>5265</v>
      </c>
      <c r="P647" s="7" t="s">
        <v>5264</v>
      </c>
      <c r="Q647" s="7" t="s">
        <v>3344</v>
      </c>
      <c r="AC647" s="3" t="str">
        <f ca="1">HYPERLINK("#"&amp;일위대가목록표!J2&amp;"!A"&amp;ROW(일위대가목록표!A644),"대가641 →")</f>
        <v>대가641 →</v>
      </c>
    </row>
    <row r="648" spans="1:29" ht="30.6" customHeight="1" x14ac:dyDescent="0.3">
      <c r="A648" s="10"/>
      <c r="B648" s="10" t="s">
        <v>1621</v>
      </c>
      <c r="C648" s="41" t="s">
        <v>1641</v>
      </c>
      <c r="D648" s="43">
        <v>0</v>
      </c>
      <c r="E648" s="22" t="s">
        <v>14</v>
      </c>
      <c r="F648" s="45">
        <f t="shared" si="50"/>
        <v>785158</v>
      </c>
      <c r="G648" s="48">
        <f t="shared" si="51"/>
        <v>0</v>
      </c>
      <c r="H648" s="50">
        <f>일위대가목록표!F645</f>
        <v>785158</v>
      </c>
      <c r="I648" s="13">
        <f t="shared" si="52"/>
        <v>0</v>
      </c>
      <c r="J648" s="52">
        <f>일위대가목록표!G645</f>
        <v>0</v>
      </c>
      <c r="K648" s="13">
        <f t="shared" si="53"/>
        <v>0</v>
      </c>
      <c r="L648" s="54">
        <f>일위대가목록표!H645</f>
        <v>0</v>
      </c>
      <c r="M648" s="33">
        <f t="shared" si="54"/>
        <v>0</v>
      </c>
      <c r="N648" s="22" t="s">
        <v>5269</v>
      </c>
      <c r="O648" s="17" t="s">
        <v>5268</v>
      </c>
      <c r="P648" s="7" t="s">
        <v>5267</v>
      </c>
      <c r="Q648" s="7" t="s">
        <v>3344</v>
      </c>
      <c r="AC648" s="3" t="str">
        <f ca="1">HYPERLINK("#"&amp;일위대가목록표!J2&amp;"!A"&amp;ROW(일위대가목록표!A645),"대가642 →")</f>
        <v>대가642 →</v>
      </c>
    </row>
    <row r="649" spans="1:29" ht="30.6" customHeight="1" x14ac:dyDescent="0.3">
      <c r="A649" s="10"/>
      <c r="B649" s="10" t="s">
        <v>1621</v>
      </c>
      <c r="C649" s="41" t="s">
        <v>1644</v>
      </c>
      <c r="D649" s="43">
        <v>0</v>
      </c>
      <c r="E649" s="22" t="s">
        <v>14</v>
      </c>
      <c r="F649" s="45">
        <f t="shared" si="50"/>
        <v>785158</v>
      </c>
      <c r="G649" s="48">
        <f t="shared" si="51"/>
        <v>0</v>
      </c>
      <c r="H649" s="50">
        <f>일위대가목록표!F646</f>
        <v>785158</v>
      </c>
      <c r="I649" s="13">
        <f t="shared" si="52"/>
        <v>0</v>
      </c>
      <c r="J649" s="52">
        <f>일위대가목록표!G646</f>
        <v>0</v>
      </c>
      <c r="K649" s="13">
        <f t="shared" si="53"/>
        <v>0</v>
      </c>
      <c r="L649" s="54">
        <f>일위대가목록표!H646</f>
        <v>0</v>
      </c>
      <c r="M649" s="33">
        <f t="shared" si="54"/>
        <v>0</v>
      </c>
      <c r="N649" s="22" t="s">
        <v>5272</v>
      </c>
      <c r="O649" s="17" t="s">
        <v>5271</v>
      </c>
      <c r="P649" s="7" t="s">
        <v>5270</v>
      </c>
      <c r="Q649" s="7" t="s">
        <v>3344</v>
      </c>
      <c r="AC649" s="3" t="str">
        <f ca="1">HYPERLINK("#"&amp;일위대가목록표!J2&amp;"!A"&amp;ROW(일위대가목록표!A646),"대가643 →")</f>
        <v>대가643 →</v>
      </c>
    </row>
    <row r="650" spans="1:29" ht="30.6" customHeight="1" x14ac:dyDescent="0.3">
      <c r="A650" s="10"/>
      <c r="B650" s="10" t="s">
        <v>1621</v>
      </c>
      <c r="C650" s="41" t="s">
        <v>1647</v>
      </c>
      <c r="D650" s="43">
        <v>0</v>
      </c>
      <c r="E650" s="22" t="s">
        <v>14</v>
      </c>
      <c r="F650" s="45">
        <f t="shared" si="50"/>
        <v>1116558</v>
      </c>
      <c r="G650" s="48">
        <f t="shared" si="51"/>
        <v>0</v>
      </c>
      <c r="H650" s="50">
        <f>일위대가목록표!F647</f>
        <v>1116558</v>
      </c>
      <c r="I650" s="13">
        <f t="shared" si="52"/>
        <v>0</v>
      </c>
      <c r="J650" s="52">
        <f>일위대가목록표!G647</f>
        <v>0</v>
      </c>
      <c r="K650" s="13">
        <f t="shared" si="53"/>
        <v>0</v>
      </c>
      <c r="L650" s="54">
        <f>일위대가목록표!H647</f>
        <v>0</v>
      </c>
      <c r="M650" s="33">
        <f t="shared" si="54"/>
        <v>0</v>
      </c>
      <c r="N650" s="22" t="s">
        <v>5275</v>
      </c>
      <c r="O650" s="17" t="s">
        <v>5274</v>
      </c>
      <c r="P650" s="7" t="s">
        <v>5273</v>
      </c>
      <c r="Q650" s="7" t="s">
        <v>3344</v>
      </c>
      <c r="AC650" s="3" t="str">
        <f ca="1">HYPERLINK("#"&amp;일위대가목록표!J2&amp;"!A"&amp;ROW(일위대가목록표!A647),"대가644 →")</f>
        <v>대가644 →</v>
      </c>
    </row>
    <row r="651" spans="1:29" ht="30.6" customHeight="1" x14ac:dyDescent="0.3">
      <c r="A651" s="10"/>
      <c r="B651" s="10" t="s">
        <v>1621</v>
      </c>
      <c r="C651" s="41" t="s">
        <v>1650</v>
      </c>
      <c r="D651" s="43">
        <v>0</v>
      </c>
      <c r="E651" s="22" t="s">
        <v>14</v>
      </c>
      <c r="F651" s="45">
        <f t="shared" si="50"/>
        <v>1453056</v>
      </c>
      <c r="G651" s="48">
        <f t="shared" si="51"/>
        <v>0</v>
      </c>
      <c r="H651" s="50">
        <f>일위대가목록표!F648</f>
        <v>1453056</v>
      </c>
      <c r="I651" s="13">
        <f t="shared" si="52"/>
        <v>0</v>
      </c>
      <c r="J651" s="52">
        <f>일위대가목록표!G648</f>
        <v>0</v>
      </c>
      <c r="K651" s="13">
        <f t="shared" si="53"/>
        <v>0</v>
      </c>
      <c r="L651" s="54">
        <f>일위대가목록표!H648</f>
        <v>0</v>
      </c>
      <c r="M651" s="33">
        <f t="shared" si="54"/>
        <v>0</v>
      </c>
      <c r="N651" s="22" t="s">
        <v>5278</v>
      </c>
      <c r="O651" s="17" t="s">
        <v>5277</v>
      </c>
      <c r="P651" s="7" t="s">
        <v>5276</v>
      </c>
      <c r="Q651" s="7" t="s">
        <v>3344</v>
      </c>
      <c r="AC651" s="3" t="str">
        <f ca="1">HYPERLINK("#"&amp;일위대가목록표!J2&amp;"!A"&amp;ROW(일위대가목록표!A648),"대가645 →")</f>
        <v>대가645 →</v>
      </c>
    </row>
    <row r="652" spans="1:29" ht="30.6" customHeight="1" x14ac:dyDescent="0.3">
      <c r="A652" s="10"/>
      <c r="B652" s="10" t="s">
        <v>1621</v>
      </c>
      <c r="C652" s="41" t="s">
        <v>1653</v>
      </c>
      <c r="D652" s="43">
        <v>0</v>
      </c>
      <c r="E652" s="22" t="s">
        <v>14</v>
      </c>
      <c r="F652" s="45">
        <f t="shared" si="50"/>
        <v>1677387</v>
      </c>
      <c r="G652" s="48">
        <f t="shared" si="51"/>
        <v>0</v>
      </c>
      <c r="H652" s="50">
        <f>일위대가목록표!F649</f>
        <v>1677387</v>
      </c>
      <c r="I652" s="13">
        <f t="shared" si="52"/>
        <v>0</v>
      </c>
      <c r="J652" s="52">
        <f>일위대가목록표!G649</f>
        <v>0</v>
      </c>
      <c r="K652" s="13">
        <f t="shared" si="53"/>
        <v>0</v>
      </c>
      <c r="L652" s="54">
        <f>일위대가목록표!H649</f>
        <v>0</v>
      </c>
      <c r="M652" s="33">
        <f t="shared" si="54"/>
        <v>0</v>
      </c>
      <c r="N652" s="22" t="s">
        <v>5281</v>
      </c>
      <c r="O652" s="17" t="s">
        <v>5280</v>
      </c>
      <c r="P652" s="7" t="s">
        <v>5279</v>
      </c>
      <c r="Q652" s="7" t="s">
        <v>3344</v>
      </c>
      <c r="AC652" s="3" t="str">
        <f ca="1">HYPERLINK("#"&amp;일위대가목록표!J2&amp;"!A"&amp;ROW(일위대가목록표!A649),"대가646 →")</f>
        <v>대가646 →</v>
      </c>
    </row>
    <row r="653" spans="1:29" ht="30.6" customHeight="1" x14ac:dyDescent="0.3">
      <c r="A653" s="10"/>
      <c r="B653" s="10" t="s">
        <v>1621</v>
      </c>
      <c r="C653" s="41" t="s">
        <v>1656</v>
      </c>
      <c r="D653" s="43">
        <v>0</v>
      </c>
      <c r="E653" s="22" t="s">
        <v>14</v>
      </c>
      <c r="F653" s="45">
        <f t="shared" si="50"/>
        <v>1901719</v>
      </c>
      <c r="G653" s="48">
        <f t="shared" si="51"/>
        <v>0</v>
      </c>
      <c r="H653" s="50">
        <f>일위대가목록표!F650</f>
        <v>1901719</v>
      </c>
      <c r="I653" s="13">
        <f t="shared" si="52"/>
        <v>0</v>
      </c>
      <c r="J653" s="52">
        <f>일위대가목록표!G650</f>
        <v>0</v>
      </c>
      <c r="K653" s="13">
        <f t="shared" si="53"/>
        <v>0</v>
      </c>
      <c r="L653" s="54">
        <f>일위대가목록표!H650</f>
        <v>0</v>
      </c>
      <c r="M653" s="33">
        <f t="shared" si="54"/>
        <v>0</v>
      </c>
      <c r="N653" s="22" t="s">
        <v>5284</v>
      </c>
      <c r="O653" s="17" t="s">
        <v>5283</v>
      </c>
      <c r="P653" s="7" t="s">
        <v>5282</v>
      </c>
      <c r="Q653" s="7" t="s">
        <v>3344</v>
      </c>
      <c r="AC653" s="3" t="str">
        <f ca="1">HYPERLINK("#"&amp;일위대가목록표!J2&amp;"!A"&amp;ROW(일위대가목록표!A650),"대가647 →")</f>
        <v>대가647 →</v>
      </c>
    </row>
    <row r="654" spans="1:29" ht="30.6" customHeight="1" x14ac:dyDescent="0.3">
      <c r="A654" s="10"/>
      <c r="B654" s="10" t="s">
        <v>1621</v>
      </c>
      <c r="C654" s="41" t="s">
        <v>1659</v>
      </c>
      <c r="D654" s="43">
        <v>0</v>
      </c>
      <c r="E654" s="22" t="s">
        <v>14</v>
      </c>
      <c r="F654" s="45">
        <f t="shared" si="50"/>
        <v>2717834</v>
      </c>
      <c r="G654" s="48">
        <f t="shared" si="51"/>
        <v>0</v>
      </c>
      <c r="H654" s="50">
        <f>일위대가목록표!F651</f>
        <v>2717834</v>
      </c>
      <c r="I654" s="13">
        <f t="shared" si="52"/>
        <v>0</v>
      </c>
      <c r="J654" s="52">
        <f>일위대가목록표!G651</f>
        <v>0</v>
      </c>
      <c r="K654" s="13">
        <f t="shared" si="53"/>
        <v>0</v>
      </c>
      <c r="L654" s="54">
        <f>일위대가목록표!H651</f>
        <v>0</v>
      </c>
      <c r="M654" s="33">
        <f t="shared" si="54"/>
        <v>0</v>
      </c>
      <c r="N654" s="22" t="s">
        <v>5287</v>
      </c>
      <c r="O654" s="17" t="s">
        <v>5286</v>
      </c>
      <c r="P654" s="7" t="s">
        <v>5285</v>
      </c>
      <c r="Q654" s="7" t="s">
        <v>3344</v>
      </c>
      <c r="AC654" s="3" t="str">
        <f ca="1">HYPERLINK("#"&amp;일위대가목록표!J2&amp;"!A"&amp;ROW(일위대가목록표!A651),"대가648 →")</f>
        <v>대가648 →</v>
      </c>
    </row>
    <row r="655" spans="1:29" ht="30.6" customHeight="1" x14ac:dyDescent="0.3">
      <c r="A655" s="10"/>
      <c r="B655" s="10" t="s">
        <v>1621</v>
      </c>
      <c r="C655" s="41" t="s">
        <v>1662</v>
      </c>
      <c r="D655" s="43">
        <v>0</v>
      </c>
      <c r="E655" s="22" t="s">
        <v>14</v>
      </c>
      <c r="F655" s="45">
        <f t="shared" si="50"/>
        <v>3528851</v>
      </c>
      <c r="G655" s="48">
        <f t="shared" si="51"/>
        <v>0</v>
      </c>
      <c r="H655" s="50">
        <f>일위대가목록표!F652</f>
        <v>3528851</v>
      </c>
      <c r="I655" s="13">
        <f t="shared" si="52"/>
        <v>0</v>
      </c>
      <c r="J655" s="52">
        <f>일위대가목록표!G652</f>
        <v>0</v>
      </c>
      <c r="K655" s="13">
        <f t="shared" si="53"/>
        <v>0</v>
      </c>
      <c r="L655" s="54">
        <f>일위대가목록표!H652</f>
        <v>0</v>
      </c>
      <c r="M655" s="33">
        <f t="shared" si="54"/>
        <v>0</v>
      </c>
      <c r="N655" s="22" t="s">
        <v>5290</v>
      </c>
      <c r="O655" s="17" t="s">
        <v>5289</v>
      </c>
      <c r="P655" s="7" t="s">
        <v>5288</v>
      </c>
      <c r="Q655" s="7" t="s">
        <v>3344</v>
      </c>
      <c r="AC655" s="3" t="str">
        <f ca="1">HYPERLINK("#"&amp;일위대가목록표!J2&amp;"!A"&amp;ROW(일위대가목록표!A652),"대가649 →")</f>
        <v>대가649 →</v>
      </c>
    </row>
    <row r="656" spans="1:29" ht="30.6" customHeight="1" x14ac:dyDescent="0.3">
      <c r="A656" s="10"/>
      <c r="B656" s="10" t="s">
        <v>1665</v>
      </c>
      <c r="C656" s="41"/>
      <c r="D656" s="43">
        <v>2</v>
      </c>
      <c r="E656" s="22" t="s">
        <v>515</v>
      </c>
      <c r="F656" s="45">
        <f t="shared" si="50"/>
        <v>276026</v>
      </c>
      <c r="G656" s="48">
        <f t="shared" si="51"/>
        <v>552052</v>
      </c>
      <c r="H656" s="50">
        <f>일위대가목록표!F653</f>
        <v>276026</v>
      </c>
      <c r="I656" s="13">
        <f t="shared" si="52"/>
        <v>552052</v>
      </c>
      <c r="J656" s="52">
        <f>일위대가목록표!G653</f>
        <v>0</v>
      </c>
      <c r="K656" s="13">
        <f t="shared" si="53"/>
        <v>0</v>
      </c>
      <c r="L656" s="54">
        <f>일위대가목록표!H653</f>
        <v>0</v>
      </c>
      <c r="M656" s="33">
        <f t="shared" si="54"/>
        <v>0</v>
      </c>
      <c r="N656" s="22" t="s">
        <v>5293</v>
      </c>
      <c r="O656" s="17" t="s">
        <v>5292</v>
      </c>
      <c r="P656" s="7" t="s">
        <v>5291</v>
      </c>
      <c r="Q656" s="7" t="s">
        <v>3344</v>
      </c>
      <c r="AC656" s="3" t="str">
        <f ca="1">HYPERLINK("#"&amp;일위대가목록표!J2&amp;"!A"&amp;ROW(일위대가목록표!A653),"대가650 →")</f>
        <v>대가650 →</v>
      </c>
    </row>
    <row r="657" spans="1:29" ht="30.6" customHeight="1" x14ac:dyDescent="0.3">
      <c r="A657" s="10"/>
      <c r="B657" s="10" t="s">
        <v>1668</v>
      </c>
      <c r="C657" s="41"/>
      <c r="D657" s="43">
        <v>10</v>
      </c>
      <c r="E657" s="22" t="s">
        <v>515</v>
      </c>
      <c r="F657" s="45">
        <f t="shared" si="50"/>
        <v>319449</v>
      </c>
      <c r="G657" s="48">
        <f t="shared" si="51"/>
        <v>3194490</v>
      </c>
      <c r="H657" s="50">
        <f>일위대가목록표!F654</f>
        <v>319449</v>
      </c>
      <c r="I657" s="13">
        <f t="shared" si="52"/>
        <v>3194490</v>
      </c>
      <c r="J657" s="52">
        <f>일위대가목록표!G654</f>
        <v>0</v>
      </c>
      <c r="K657" s="13">
        <f t="shared" si="53"/>
        <v>0</v>
      </c>
      <c r="L657" s="54">
        <f>일위대가목록표!H654</f>
        <v>0</v>
      </c>
      <c r="M657" s="33">
        <f t="shared" si="54"/>
        <v>0</v>
      </c>
      <c r="N657" s="22" t="s">
        <v>5296</v>
      </c>
      <c r="O657" s="17" t="s">
        <v>5295</v>
      </c>
      <c r="P657" s="7" t="s">
        <v>5294</v>
      </c>
      <c r="Q657" s="7" t="s">
        <v>3344</v>
      </c>
      <c r="AC657" s="3" t="str">
        <f ca="1">HYPERLINK("#"&amp;일위대가목록표!J2&amp;"!A"&amp;ROW(일위대가목록표!A654),"대가651 →")</f>
        <v>대가651 →</v>
      </c>
    </row>
    <row r="658" spans="1:29" ht="30.6" customHeight="1" x14ac:dyDescent="0.3">
      <c r="A658" s="10"/>
      <c r="B658" s="10" t="s">
        <v>1671</v>
      </c>
      <c r="C658" s="41"/>
      <c r="D658" s="43">
        <v>11</v>
      </c>
      <c r="E658" s="22" t="s">
        <v>515</v>
      </c>
      <c r="F658" s="45">
        <f t="shared" si="50"/>
        <v>159724</v>
      </c>
      <c r="G658" s="48">
        <f t="shared" si="51"/>
        <v>1756964</v>
      </c>
      <c r="H658" s="50">
        <f>일위대가목록표!F655</f>
        <v>159724</v>
      </c>
      <c r="I658" s="13">
        <f t="shared" si="52"/>
        <v>1756964</v>
      </c>
      <c r="J658" s="52">
        <f>일위대가목록표!G655</f>
        <v>0</v>
      </c>
      <c r="K658" s="13">
        <f t="shared" si="53"/>
        <v>0</v>
      </c>
      <c r="L658" s="54">
        <f>일위대가목록표!H655</f>
        <v>0</v>
      </c>
      <c r="M658" s="33">
        <f t="shared" si="54"/>
        <v>0</v>
      </c>
      <c r="N658" s="22" t="s">
        <v>5299</v>
      </c>
      <c r="O658" s="17" t="s">
        <v>5298</v>
      </c>
      <c r="P658" s="7" t="s">
        <v>5297</v>
      </c>
      <c r="Q658" s="7" t="s">
        <v>3344</v>
      </c>
      <c r="AC658" s="3" t="str">
        <f ca="1">HYPERLINK("#"&amp;일위대가목록표!J2&amp;"!A"&amp;ROW(일위대가목록표!A655),"대가652 →")</f>
        <v>대가652 →</v>
      </c>
    </row>
    <row r="659" spans="1:29" ht="30.6" customHeight="1" x14ac:dyDescent="0.3">
      <c r="A659" s="10"/>
      <c r="B659" s="10" t="s">
        <v>1674</v>
      </c>
      <c r="C659" s="41" t="s">
        <v>1675</v>
      </c>
      <c r="D659" s="43">
        <v>100</v>
      </c>
      <c r="E659" s="22" t="s">
        <v>1676</v>
      </c>
      <c r="F659" s="45">
        <f t="shared" si="50"/>
        <v>776</v>
      </c>
      <c r="G659" s="48">
        <f t="shared" si="51"/>
        <v>77600</v>
      </c>
      <c r="H659" s="50">
        <f>일위대가목록표!F656</f>
        <v>776</v>
      </c>
      <c r="I659" s="13">
        <f t="shared" si="52"/>
        <v>77600</v>
      </c>
      <c r="J659" s="52">
        <f>일위대가목록표!G656</f>
        <v>0</v>
      </c>
      <c r="K659" s="13">
        <f t="shared" si="53"/>
        <v>0</v>
      </c>
      <c r="L659" s="54">
        <f>일위대가목록표!H656</f>
        <v>0</v>
      </c>
      <c r="M659" s="33">
        <f t="shared" si="54"/>
        <v>0</v>
      </c>
      <c r="N659" s="22" t="s">
        <v>5302</v>
      </c>
      <c r="O659" s="17" t="s">
        <v>5301</v>
      </c>
      <c r="P659" s="7" t="s">
        <v>5300</v>
      </c>
      <c r="Q659" s="7" t="s">
        <v>3344</v>
      </c>
      <c r="AC659" s="3" t="str">
        <f ca="1">HYPERLINK("#"&amp;일위대가목록표!J2&amp;"!A"&amp;ROW(일위대가목록표!A656),"대가653 →")</f>
        <v>대가653 →</v>
      </c>
    </row>
    <row r="660" spans="1:29" ht="30.6" customHeight="1" x14ac:dyDescent="0.3">
      <c r="A660" s="10"/>
      <c r="B660" s="10" t="s">
        <v>1674</v>
      </c>
      <c r="C660" s="41" t="s">
        <v>1679</v>
      </c>
      <c r="D660" s="43">
        <v>133</v>
      </c>
      <c r="E660" s="22" t="s">
        <v>1676</v>
      </c>
      <c r="F660" s="45">
        <f t="shared" si="50"/>
        <v>1086</v>
      </c>
      <c r="G660" s="48">
        <f t="shared" si="51"/>
        <v>144438</v>
      </c>
      <c r="H660" s="50">
        <f>일위대가목록표!F657</f>
        <v>1086</v>
      </c>
      <c r="I660" s="13">
        <f t="shared" si="52"/>
        <v>144438</v>
      </c>
      <c r="J660" s="52">
        <f>일위대가목록표!G657</f>
        <v>0</v>
      </c>
      <c r="K660" s="13">
        <f t="shared" si="53"/>
        <v>0</v>
      </c>
      <c r="L660" s="54">
        <f>일위대가목록표!H657</f>
        <v>0</v>
      </c>
      <c r="M660" s="33">
        <f t="shared" si="54"/>
        <v>0</v>
      </c>
      <c r="N660" s="22" t="s">
        <v>5305</v>
      </c>
      <c r="O660" s="17" t="s">
        <v>5304</v>
      </c>
      <c r="P660" s="7" t="s">
        <v>5303</v>
      </c>
      <c r="Q660" s="7" t="s">
        <v>3344</v>
      </c>
      <c r="AC660" s="3" t="str">
        <f ca="1">HYPERLINK("#"&amp;일위대가목록표!J2&amp;"!A"&amp;ROW(일위대가목록표!A657),"대가654 →")</f>
        <v>대가654 →</v>
      </c>
    </row>
    <row r="661" spans="1:29" ht="30.6" customHeight="1" x14ac:dyDescent="0.3">
      <c r="A661" s="10"/>
      <c r="B661" s="10" t="s">
        <v>1984</v>
      </c>
      <c r="C661" s="41"/>
      <c r="D661" s="43">
        <v>0</v>
      </c>
      <c r="E661" s="22" t="s">
        <v>1603</v>
      </c>
      <c r="F661" s="45">
        <f t="shared" si="50"/>
        <v>178008</v>
      </c>
      <c r="G661" s="48">
        <f t="shared" si="51"/>
        <v>0</v>
      </c>
      <c r="H661" s="50">
        <f>단가산출근거목록표!F4</f>
        <v>75948</v>
      </c>
      <c r="I661" s="13">
        <f t="shared" si="52"/>
        <v>0</v>
      </c>
      <c r="J661" s="52">
        <f>단가산출근거목록표!G4</f>
        <v>48933</v>
      </c>
      <c r="K661" s="13">
        <f t="shared" si="53"/>
        <v>0</v>
      </c>
      <c r="L661" s="54">
        <f>단가산출근거목록표!H4</f>
        <v>53127</v>
      </c>
      <c r="M661" s="33">
        <f t="shared" si="54"/>
        <v>0</v>
      </c>
      <c r="N661" s="22" t="s">
        <v>5308</v>
      </c>
      <c r="O661" s="17" t="s">
        <v>5307</v>
      </c>
      <c r="P661" s="7" t="s">
        <v>5306</v>
      </c>
      <c r="Q661" s="7" t="s">
        <v>3344</v>
      </c>
      <c r="AC661" s="3" t="str">
        <f ca="1">HYPERLINK("#"&amp;단가산출근거목록표!J2&amp;"!A"&amp;ROW(단가산출근거목록표!A4),"산근1 →")</f>
        <v>산근1 →</v>
      </c>
    </row>
    <row r="662" spans="1:29" ht="30.6" customHeight="1" x14ac:dyDescent="0.3">
      <c r="A662" s="10"/>
      <c r="B662" s="10" t="s">
        <v>2030</v>
      </c>
      <c r="C662" s="41" t="s">
        <v>2031</v>
      </c>
      <c r="D662" s="43">
        <v>0</v>
      </c>
      <c r="E662" s="22" t="s">
        <v>2015</v>
      </c>
      <c r="F662" s="45">
        <f t="shared" si="50"/>
        <v>99961</v>
      </c>
      <c r="G662" s="48">
        <f t="shared" si="51"/>
        <v>0</v>
      </c>
      <c r="H662" s="50">
        <f>중기목록표!F8</f>
        <v>59020</v>
      </c>
      <c r="I662" s="13">
        <f t="shared" si="52"/>
        <v>0</v>
      </c>
      <c r="J662" s="52">
        <f>중기목록표!G8</f>
        <v>9597</v>
      </c>
      <c r="K662" s="13">
        <f t="shared" si="53"/>
        <v>0</v>
      </c>
      <c r="L662" s="54">
        <f>중기목록표!H8</f>
        <v>31344</v>
      </c>
      <c r="M662" s="33">
        <f t="shared" si="54"/>
        <v>0</v>
      </c>
      <c r="N662" s="22" t="s">
        <v>2032</v>
      </c>
      <c r="O662" s="17" t="s">
        <v>5310</v>
      </c>
      <c r="P662" s="7" t="s">
        <v>5309</v>
      </c>
      <c r="Q662" s="7" t="s">
        <v>3344</v>
      </c>
      <c r="AC662" s="3" t="str">
        <f ca="1">HYPERLINK("#"&amp;중기목록표!J2&amp;"!A"&amp;ROW(중기목록표!A8),"중기5 →")</f>
        <v>중기5 →</v>
      </c>
    </row>
    <row r="663" spans="1:29" ht="30.6" customHeight="1" x14ac:dyDescent="0.3">
      <c r="A663" s="10"/>
      <c r="B663" s="10" t="s">
        <v>2013</v>
      </c>
      <c r="C663" s="41" t="s">
        <v>2014</v>
      </c>
      <c r="D663" s="43">
        <v>0</v>
      </c>
      <c r="E663" s="22" t="s">
        <v>2015</v>
      </c>
      <c r="F663" s="45">
        <f t="shared" si="50"/>
        <v>98479</v>
      </c>
      <c r="G663" s="48">
        <f t="shared" si="51"/>
        <v>0</v>
      </c>
      <c r="H663" s="50">
        <f>중기목록표!F4</f>
        <v>59020</v>
      </c>
      <c r="I663" s="13">
        <f t="shared" si="52"/>
        <v>0</v>
      </c>
      <c r="J663" s="52">
        <f>중기목록표!G4</f>
        <v>21945</v>
      </c>
      <c r="K663" s="13">
        <f t="shared" si="53"/>
        <v>0</v>
      </c>
      <c r="L663" s="54">
        <f>중기목록표!H4</f>
        <v>17514</v>
      </c>
      <c r="M663" s="33">
        <f t="shared" si="54"/>
        <v>0</v>
      </c>
      <c r="N663" s="22" t="s">
        <v>2016</v>
      </c>
      <c r="O663" s="17" t="s">
        <v>5312</v>
      </c>
      <c r="P663" s="7" t="s">
        <v>5311</v>
      </c>
      <c r="Q663" s="7" t="s">
        <v>3344</v>
      </c>
      <c r="AC663" s="3" t="str">
        <f ca="1">HYPERLINK("#"&amp;중기목록표!J2&amp;"!A"&amp;ROW(중기목록표!A4),"중기1 →")</f>
        <v>중기1 →</v>
      </c>
    </row>
    <row r="664" spans="1:29" ht="30.6" customHeight="1" x14ac:dyDescent="0.3">
      <c r="A664" s="10" t="s">
        <v>5314</v>
      </c>
      <c r="B664" s="10" t="s">
        <v>5315</v>
      </c>
      <c r="C664" s="41"/>
      <c r="D664" s="42"/>
      <c r="E664" s="22"/>
      <c r="F664" s="12">
        <v>0</v>
      </c>
      <c r="G664" s="47">
        <f>SUMIF(Q665:Q993,P664,G665:G993)</f>
        <v>5366000</v>
      </c>
      <c r="H664" s="13">
        <v>0</v>
      </c>
      <c r="I664" s="48">
        <f>SUMIF(Q665:Q993,P664,I665:I993)</f>
        <v>0</v>
      </c>
      <c r="J664" s="13">
        <v>0</v>
      </c>
      <c r="K664" s="53">
        <f>SUMIF(Q665:Q993,P664,K665:K993)</f>
        <v>5366000</v>
      </c>
      <c r="L664" s="33">
        <v>0</v>
      </c>
      <c r="M664" s="53">
        <f>SUMIF(Q665:Q993,P664,M665:M993)</f>
        <v>0</v>
      </c>
      <c r="N664" s="22"/>
      <c r="O664" s="17" t="str">
        <f>"_x0007_`COD|E2_x0005_`QTY1|1_x0005_`EXI|0_x0005_`ITT|0_x0005_`END|"&amp;ROW(M994)&amp;"_x0005_`"</f>
        <v>_x0007_`COD|E2_x0005_`QTY1|1_x0005_`EXI|0_x0005_`ITT|0_x0005_`END|994_x0005_`</v>
      </c>
      <c r="P664" s="7" t="s">
        <v>3344</v>
      </c>
      <c r="Q664" s="7" t="s">
        <v>3340</v>
      </c>
    </row>
    <row r="665" spans="1:29" ht="30.6" customHeight="1" x14ac:dyDescent="0.3">
      <c r="A665" s="10"/>
      <c r="B665" s="10" t="s">
        <v>12</v>
      </c>
      <c r="C665" s="41" t="s">
        <v>2161</v>
      </c>
      <c r="D665" s="43">
        <v>0</v>
      </c>
      <c r="E665" s="22" t="s">
        <v>14</v>
      </c>
      <c r="F665" s="45">
        <f t="shared" ref="F665:F728" si="55">J665+H665+L665</f>
        <v>8000000</v>
      </c>
      <c r="G665" s="48">
        <f t="shared" ref="G665:G728" si="56">K665+I665+M665</f>
        <v>0</v>
      </c>
      <c r="H665" s="51">
        <v>0</v>
      </c>
      <c r="I665" s="33">
        <f t="shared" ref="I665:I728" si="57">ROUNDDOWN(H665*D665,0)</f>
        <v>0</v>
      </c>
      <c r="J665" s="52">
        <f>재료비목록표!E43</f>
        <v>8000000</v>
      </c>
      <c r="K665" s="13">
        <f t="shared" ref="K665:K728" si="58">ROUNDDOWN(J665*D665,0)</f>
        <v>0</v>
      </c>
      <c r="L665" s="55">
        <v>0</v>
      </c>
      <c r="M665" s="33">
        <f t="shared" ref="M665:M728" si="59">ROUNDDOWN(L665*D665,0)</f>
        <v>0</v>
      </c>
      <c r="N665" s="22" t="s">
        <v>5318</v>
      </c>
      <c r="O665" s="17" t="s">
        <v>5317</v>
      </c>
      <c r="P665" s="7" t="s">
        <v>5316</v>
      </c>
      <c r="Q665" s="7" t="s">
        <v>3344</v>
      </c>
      <c r="AC665" s="3" t="str">
        <f ca="1">HYPERLINK("#"&amp;재료비목록표!G2&amp;"!A"&amp;ROW(재료비목록표!A43),"자재40 →")</f>
        <v>자재40 →</v>
      </c>
    </row>
    <row r="666" spans="1:29" ht="30.6" customHeight="1" x14ac:dyDescent="0.3">
      <c r="A666" s="10"/>
      <c r="B666" s="10" t="s">
        <v>12</v>
      </c>
      <c r="C666" s="41" t="s">
        <v>17</v>
      </c>
      <c r="D666" s="43">
        <v>0</v>
      </c>
      <c r="E666" s="22" t="s">
        <v>14</v>
      </c>
      <c r="F666" s="45">
        <f t="shared" si="55"/>
        <v>9500000</v>
      </c>
      <c r="G666" s="48">
        <f t="shared" si="56"/>
        <v>0</v>
      </c>
      <c r="H666" s="51">
        <v>0</v>
      </c>
      <c r="I666" s="33">
        <f t="shared" si="57"/>
        <v>0</v>
      </c>
      <c r="J666" s="52">
        <f>재료비목록표!E45</f>
        <v>9500000</v>
      </c>
      <c r="K666" s="13">
        <f t="shared" si="58"/>
        <v>0</v>
      </c>
      <c r="L666" s="55">
        <v>0</v>
      </c>
      <c r="M666" s="33">
        <f t="shared" si="59"/>
        <v>0</v>
      </c>
      <c r="N666" s="22" t="s">
        <v>5321</v>
      </c>
      <c r="O666" s="17" t="s">
        <v>5320</v>
      </c>
      <c r="P666" s="7" t="s">
        <v>5319</v>
      </c>
      <c r="Q666" s="7" t="s">
        <v>3344</v>
      </c>
      <c r="AC666" s="3" t="str">
        <f ca="1">HYPERLINK("#"&amp;재료비목록표!G2&amp;"!A"&amp;ROW(재료비목록표!A45),"자재42 →")</f>
        <v>자재42 →</v>
      </c>
    </row>
    <row r="667" spans="1:29" ht="30.6" customHeight="1" x14ac:dyDescent="0.3">
      <c r="A667" s="10"/>
      <c r="B667" s="10" t="s">
        <v>12</v>
      </c>
      <c r="C667" s="41" t="s">
        <v>2175</v>
      </c>
      <c r="D667" s="43">
        <v>0</v>
      </c>
      <c r="E667" s="22" t="s">
        <v>14</v>
      </c>
      <c r="F667" s="45">
        <f t="shared" si="55"/>
        <v>11000000</v>
      </c>
      <c r="G667" s="48">
        <f t="shared" si="56"/>
        <v>0</v>
      </c>
      <c r="H667" s="51">
        <v>0</v>
      </c>
      <c r="I667" s="33">
        <f t="shared" si="57"/>
        <v>0</v>
      </c>
      <c r="J667" s="52">
        <f>재료비목록표!E48</f>
        <v>11000000</v>
      </c>
      <c r="K667" s="13">
        <f t="shared" si="58"/>
        <v>0</v>
      </c>
      <c r="L667" s="55">
        <v>0</v>
      </c>
      <c r="M667" s="33">
        <f t="shared" si="59"/>
        <v>0</v>
      </c>
      <c r="N667" s="22" t="s">
        <v>5324</v>
      </c>
      <c r="O667" s="17" t="s">
        <v>5323</v>
      </c>
      <c r="P667" s="7" t="s">
        <v>5322</v>
      </c>
      <c r="Q667" s="7" t="s">
        <v>3344</v>
      </c>
      <c r="AC667" s="3" t="str">
        <f ca="1">HYPERLINK("#"&amp;재료비목록표!G2&amp;"!A"&amp;ROW(재료비목록표!A48),"자재45 →")</f>
        <v>자재45 →</v>
      </c>
    </row>
    <row r="668" spans="1:29" ht="30.6" customHeight="1" x14ac:dyDescent="0.3">
      <c r="A668" s="10"/>
      <c r="B668" s="10" t="s">
        <v>12</v>
      </c>
      <c r="C668" s="41" t="s">
        <v>2181</v>
      </c>
      <c r="D668" s="43">
        <v>0</v>
      </c>
      <c r="E668" s="22" t="s">
        <v>14</v>
      </c>
      <c r="F668" s="45">
        <f t="shared" si="55"/>
        <v>12500000</v>
      </c>
      <c r="G668" s="48">
        <f t="shared" si="56"/>
        <v>0</v>
      </c>
      <c r="H668" s="51">
        <v>0</v>
      </c>
      <c r="I668" s="33">
        <f t="shared" si="57"/>
        <v>0</v>
      </c>
      <c r="J668" s="52">
        <f>재료비목록표!E50</f>
        <v>12500000</v>
      </c>
      <c r="K668" s="13">
        <f t="shared" si="58"/>
        <v>0</v>
      </c>
      <c r="L668" s="55">
        <v>0</v>
      </c>
      <c r="M668" s="33">
        <f t="shared" si="59"/>
        <v>0</v>
      </c>
      <c r="N668" s="22" t="s">
        <v>5327</v>
      </c>
      <c r="O668" s="17" t="s">
        <v>5326</v>
      </c>
      <c r="P668" s="7" t="s">
        <v>5325</v>
      </c>
      <c r="Q668" s="7" t="s">
        <v>3344</v>
      </c>
      <c r="AC668" s="3" t="str">
        <f ca="1">HYPERLINK("#"&amp;재료비목록표!G2&amp;"!A"&amp;ROW(재료비목록표!A50),"자재47 →")</f>
        <v>자재47 →</v>
      </c>
    </row>
    <row r="669" spans="1:29" ht="30.6" customHeight="1" x14ac:dyDescent="0.3">
      <c r="A669" s="10"/>
      <c r="B669" s="10" t="s">
        <v>12</v>
      </c>
      <c r="C669" s="41" t="s">
        <v>2147</v>
      </c>
      <c r="D669" s="43">
        <v>0</v>
      </c>
      <c r="E669" s="22" t="s">
        <v>14</v>
      </c>
      <c r="F669" s="45">
        <f t="shared" si="55"/>
        <v>14000000</v>
      </c>
      <c r="G669" s="48">
        <f t="shared" si="56"/>
        <v>0</v>
      </c>
      <c r="H669" s="51">
        <v>0</v>
      </c>
      <c r="I669" s="33">
        <f t="shared" si="57"/>
        <v>0</v>
      </c>
      <c r="J669" s="52">
        <f>재료비목록표!E38</f>
        <v>14000000</v>
      </c>
      <c r="K669" s="13">
        <f t="shared" si="58"/>
        <v>0</v>
      </c>
      <c r="L669" s="55">
        <v>0</v>
      </c>
      <c r="M669" s="33">
        <f t="shared" si="59"/>
        <v>0</v>
      </c>
      <c r="N669" s="22" t="s">
        <v>5330</v>
      </c>
      <c r="O669" s="17" t="s">
        <v>5329</v>
      </c>
      <c r="P669" s="7" t="s">
        <v>5328</v>
      </c>
      <c r="Q669" s="7" t="s">
        <v>3344</v>
      </c>
      <c r="AC669" s="3" t="str">
        <f ca="1">HYPERLINK("#"&amp;재료비목록표!G2&amp;"!A"&amp;ROW(재료비목록표!A38),"자재35 →")</f>
        <v>자재35 →</v>
      </c>
    </row>
    <row r="670" spans="1:29" ht="30.6" customHeight="1" x14ac:dyDescent="0.3">
      <c r="A670" s="10"/>
      <c r="B670" s="10" t="s">
        <v>12</v>
      </c>
      <c r="C670" s="41" t="s">
        <v>2152</v>
      </c>
      <c r="D670" s="43">
        <v>0</v>
      </c>
      <c r="E670" s="22" t="s">
        <v>14</v>
      </c>
      <c r="F670" s="45">
        <f t="shared" si="55"/>
        <v>16000000</v>
      </c>
      <c r="G670" s="48">
        <f t="shared" si="56"/>
        <v>0</v>
      </c>
      <c r="H670" s="51">
        <v>0</v>
      </c>
      <c r="I670" s="33">
        <f t="shared" si="57"/>
        <v>0</v>
      </c>
      <c r="J670" s="52">
        <f>재료비목록표!E40</f>
        <v>16000000</v>
      </c>
      <c r="K670" s="13">
        <f t="shared" si="58"/>
        <v>0</v>
      </c>
      <c r="L670" s="55">
        <v>0</v>
      </c>
      <c r="M670" s="33">
        <f t="shared" si="59"/>
        <v>0</v>
      </c>
      <c r="N670" s="22" t="s">
        <v>5333</v>
      </c>
      <c r="O670" s="17" t="s">
        <v>5332</v>
      </c>
      <c r="P670" s="7" t="s">
        <v>5331</v>
      </c>
      <c r="Q670" s="7" t="s">
        <v>3344</v>
      </c>
      <c r="AC670" s="3" t="str">
        <f ca="1">HYPERLINK("#"&amp;재료비목록표!G2&amp;"!A"&amp;ROW(재료비목록표!A40),"자재37 →")</f>
        <v>자재37 →</v>
      </c>
    </row>
    <row r="671" spans="1:29" ht="30.6" customHeight="1" x14ac:dyDescent="0.3">
      <c r="A671" s="10"/>
      <c r="B671" s="10" t="s">
        <v>12</v>
      </c>
      <c r="C671" s="41" t="s">
        <v>2155</v>
      </c>
      <c r="D671" s="43">
        <v>0</v>
      </c>
      <c r="E671" s="22" t="s">
        <v>14</v>
      </c>
      <c r="F671" s="45">
        <f t="shared" si="55"/>
        <v>18500000</v>
      </c>
      <c r="G671" s="48">
        <f t="shared" si="56"/>
        <v>0</v>
      </c>
      <c r="H671" s="51">
        <v>0</v>
      </c>
      <c r="I671" s="33">
        <f t="shared" si="57"/>
        <v>0</v>
      </c>
      <c r="J671" s="52">
        <f>재료비목록표!E41</f>
        <v>18500000</v>
      </c>
      <c r="K671" s="13">
        <f t="shared" si="58"/>
        <v>0</v>
      </c>
      <c r="L671" s="55">
        <v>0</v>
      </c>
      <c r="M671" s="33">
        <f t="shared" si="59"/>
        <v>0</v>
      </c>
      <c r="N671" s="22" t="s">
        <v>5336</v>
      </c>
      <c r="O671" s="17" t="s">
        <v>5335</v>
      </c>
      <c r="P671" s="7" t="s">
        <v>5334</v>
      </c>
      <c r="Q671" s="7" t="s">
        <v>3344</v>
      </c>
      <c r="AC671" s="3" t="str">
        <f ca="1">HYPERLINK("#"&amp;재료비목록표!G2&amp;"!A"&amp;ROW(재료비목록표!A41),"자재38 →")</f>
        <v>자재38 →</v>
      </c>
    </row>
    <row r="672" spans="1:29" ht="30.6" customHeight="1" x14ac:dyDescent="0.3">
      <c r="A672" s="10"/>
      <c r="B672" s="10" t="s">
        <v>12</v>
      </c>
      <c r="C672" s="41" t="s">
        <v>2158</v>
      </c>
      <c r="D672" s="43">
        <v>0</v>
      </c>
      <c r="E672" s="22" t="s">
        <v>14</v>
      </c>
      <c r="F672" s="45">
        <f t="shared" si="55"/>
        <v>21000000</v>
      </c>
      <c r="G672" s="48">
        <f t="shared" si="56"/>
        <v>0</v>
      </c>
      <c r="H672" s="51">
        <v>0</v>
      </c>
      <c r="I672" s="33">
        <f t="shared" si="57"/>
        <v>0</v>
      </c>
      <c r="J672" s="52">
        <f>재료비목록표!E42</f>
        <v>21000000</v>
      </c>
      <c r="K672" s="13">
        <f t="shared" si="58"/>
        <v>0</v>
      </c>
      <c r="L672" s="55">
        <v>0</v>
      </c>
      <c r="M672" s="33">
        <f t="shared" si="59"/>
        <v>0</v>
      </c>
      <c r="N672" s="22" t="s">
        <v>5339</v>
      </c>
      <c r="O672" s="17" t="s">
        <v>5338</v>
      </c>
      <c r="P672" s="7" t="s">
        <v>5337</v>
      </c>
      <c r="Q672" s="7" t="s">
        <v>3344</v>
      </c>
      <c r="AC672" s="3" t="str">
        <f ca="1">HYPERLINK("#"&amp;재료비목록표!G2&amp;"!A"&amp;ROW(재료비목록표!A42),"자재39 →")</f>
        <v>자재39 →</v>
      </c>
    </row>
    <row r="673" spans="1:29" ht="30.6" customHeight="1" x14ac:dyDescent="0.3">
      <c r="A673" s="10"/>
      <c r="B673" s="10" t="s">
        <v>12</v>
      </c>
      <c r="C673" s="41" t="s">
        <v>2164</v>
      </c>
      <c r="D673" s="43">
        <v>0</v>
      </c>
      <c r="E673" s="22" t="s">
        <v>14</v>
      </c>
      <c r="F673" s="45">
        <f t="shared" si="55"/>
        <v>21177000</v>
      </c>
      <c r="G673" s="48">
        <f t="shared" si="56"/>
        <v>0</v>
      </c>
      <c r="H673" s="51">
        <v>0</v>
      </c>
      <c r="I673" s="33">
        <f t="shared" si="57"/>
        <v>0</v>
      </c>
      <c r="J673" s="52">
        <f>재료비목록표!E44</f>
        <v>21177000</v>
      </c>
      <c r="K673" s="13">
        <f t="shared" si="58"/>
        <v>0</v>
      </c>
      <c r="L673" s="55">
        <v>0</v>
      </c>
      <c r="M673" s="33">
        <f t="shared" si="59"/>
        <v>0</v>
      </c>
      <c r="N673" s="22" t="s">
        <v>5342</v>
      </c>
      <c r="O673" s="17" t="s">
        <v>5341</v>
      </c>
      <c r="P673" s="7" t="s">
        <v>5340</v>
      </c>
      <c r="Q673" s="7" t="s">
        <v>3344</v>
      </c>
      <c r="AC673" s="3" t="str">
        <f ca="1">HYPERLINK("#"&amp;재료비목록표!G2&amp;"!A"&amp;ROW(재료비목록표!A44),"자재41 →")</f>
        <v>자재41 →</v>
      </c>
    </row>
    <row r="674" spans="1:29" ht="30.6" customHeight="1" x14ac:dyDescent="0.3">
      <c r="A674" s="10"/>
      <c r="B674" s="10" t="s">
        <v>12</v>
      </c>
      <c r="C674" s="41" t="s">
        <v>2169</v>
      </c>
      <c r="D674" s="43">
        <v>0</v>
      </c>
      <c r="E674" s="22" t="s">
        <v>14</v>
      </c>
      <c r="F674" s="45">
        <f t="shared" si="55"/>
        <v>26000000</v>
      </c>
      <c r="G674" s="48">
        <f t="shared" si="56"/>
        <v>0</v>
      </c>
      <c r="H674" s="51">
        <v>0</v>
      </c>
      <c r="I674" s="33">
        <f t="shared" si="57"/>
        <v>0</v>
      </c>
      <c r="J674" s="52">
        <f>재료비목록표!E46</f>
        <v>26000000</v>
      </c>
      <c r="K674" s="13">
        <f t="shared" si="58"/>
        <v>0</v>
      </c>
      <c r="L674" s="55">
        <v>0</v>
      </c>
      <c r="M674" s="33">
        <f t="shared" si="59"/>
        <v>0</v>
      </c>
      <c r="N674" s="22" t="s">
        <v>5345</v>
      </c>
      <c r="O674" s="17" t="s">
        <v>5344</v>
      </c>
      <c r="P674" s="7" t="s">
        <v>5343</v>
      </c>
      <c r="Q674" s="7" t="s">
        <v>3344</v>
      </c>
      <c r="AC674" s="3" t="str">
        <f ca="1">HYPERLINK("#"&amp;재료비목록표!G2&amp;"!A"&amp;ROW(재료비목록표!A46),"자재43 →")</f>
        <v>자재43 →</v>
      </c>
    </row>
    <row r="675" spans="1:29" ht="30.6" customHeight="1" x14ac:dyDescent="0.3">
      <c r="A675" s="10"/>
      <c r="B675" s="10" t="s">
        <v>12</v>
      </c>
      <c r="C675" s="41" t="s">
        <v>2172</v>
      </c>
      <c r="D675" s="43">
        <v>0</v>
      </c>
      <c r="E675" s="22" t="s">
        <v>14</v>
      </c>
      <c r="F675" s="45">
        <f t="shared" si="55"/>
        <v>32000000</v>
      </c>
      <c r="G675" s="48">
        <f t="shared" si="56"/>
        <v>0</v>
      </c>
      <c r="H675" s="51">
        <v>0</v>
      </c>
      <c r="I675" s="33">
        <f t="shared" si="57"/>
        <v>0</v>
      </c>
      <c r="J675" s="52">
        <f>재료비목록표!E47</f>
        <v>32000000</v>
      </c>
      <c r="K675" s="13">
        <f t="shared" si="58"/>
        <v>0</v>
      </c>
      <c r="L675" s="55">
        <v>0</v>
      </c>
      <c r="M675" s="33">
        <f t="shared" si="59"/>
        <v>0</v>
      </c>
      <c r="N675" s="22" t="s">
        <v>5348</v>
      </c>
      <c r="O675" s="17" t="s">
        <v>5347</v>
      </c>
      <c r="P675" s="7" t="s">
        <v>5346</v>
      </c>
      <c r="Q675" s="7" t="s">
        <v>3344</v>
      </c>
      <c r="AC675" s="3" t="str">
        <f ca="1">HYPERLINK("#"&amp;재료비목록표!G2&amp;"!A"&amp;ROW(재료비목록표!A47),"자재44 →")</f>
        <v>자재44 →</v>
      </c>
    </row>
    <row r="676" spans="1:29" ht="30.6" customHeight="1" x14ac:dyDescent="0.3">
      <c r="A676" s="10"/>
      <c r="B676" s="10" t="s">
        <v>12</v>
      </c>
      <c r="C676" s="41" t="s">
        <v>2178</v>
      </c>
      <c r="D676" s="43">
        <v>0</v>
      </c>
      <c r="E676" s="22" t="s">
        <v>14</v>
      </c>
      <c r="F676" s="45">
        <f t="shared" si="55"/>
        <v>39000000</v>
      </c>
      <c r="G676" s="48">
        <f t="shared" si="56"/>
        <v>0</v>
      </c>
      <c r="H676" s="51">
        <v>0</v>
      </c>
      <c r="I676" s="33">
        <f t="shared" si="57"/>
        <v>0</v>
      </c>
      <c r="J676" s="52">
        <f>재료비목록표!E49</f>
        <v>39000000</v>
      </c>
      <c r="K676" s="13">
        <f t="shared" si="58"/>
        <v>0</v>
      </c>
      <c r="L676" s="55">
        <v>0</v>
      </c>
      <c r="M676" s="33">
        <f t="shared" si="59"/>
        <v>0</v>
      </c>
      <c r="N676" s="22" t="s">
        <v>5351</v>
      </c>
      <c r="O676" s="17" t="s">
        <v>5350</v>
      </c>
      <c r="P676" s="7" t="s">
        <v>5349</v>
      </c>
      <c r="Q676" s="7" t="s">
        <v>3344</v>
      </c>
      <c r="AC676" s="3" t="str">
        <f ca="1">HYPERLINK("#"&amp;재료비목록표!G2&amp;"!A"&amp;ROW(재료비목록표!A49),"자재46 →")</f>
        <v>자재46 →</v>
      </c>
    </row>
    <row r="677" spans="1:29" ht="30.6" customHeight="1" x14ac:dyDescent="0.3">
      <c r="A677" s="10"/>
      <c r="B677" s="10" t="s">
        <v>12</v>
      </c>
      <c r="C677" s="41" t="s">
        <v>47</v>
      </c>
      <c r="D677" s="43">
        <v>0</v>
      </c>
      <c r="E677" s="22" t="s">
        <v>14</v>
      </c>
      <c r="F677" s="45">
        <f t="shared" si="55"/>
        <v>99500000</v>
      </c>
      <c r="G677" s="48">
        <f t="shared" si="56"/>
        <v>0</v>
      </c>
      <c r="H677" s="51">
        <v>0</v>
      </c>
      <c r="I677" s="33">
        <f t="shared" si="57"/>
        <v>0</v>
      </c>
      <c r="J677" s="52">
        <f>재료비목록표!E39</f>
        <v>99500000</v>
      </c>
      <c r="K677" s="13">
        <f t="shared" si="58"/>
        <v>0</v>
      </c>
      <c r="L677" s="55">
        <v>0</v>
      </c>
      <c r="M677" s="33">
        <f t="shared" si="59"/>
        <v>0</v>
      </c>
      <c r="N677" s="22" t="s">
        <v>5354</v>
      </c>
      <c r="O677" s="17" t="s">
        <v>5353</v>
      </c>
      <c r="P677" s="7" t="s">
        <v>5352</v>
      </c>
      <c r="Q677" s="7" t="s">
        <v>3344</v>
      </c>
      <c r="AC677" s="3" t="str">
        <f ca="1">HYPERLINK("#"&amp;재료비목록표!G2&amp;"!A"&amp;ROW(재료비목록표!A39),"자재36 →")</f>
        <v>자재36 →</v>
      </c>
    </row>
    <row r="678" spans="1:29" ht="30.6" customHeight="1" x14ac:dyDescent="0.3">
      <c r="A678" s="10"/>
      <c r="B678" s="10" t="s">
        <v>123</v>
      </c>
      <c r="C678" s="41" t="s">
        <v>2161</v>
      </c>
      <c r="D678" s="43">
        <v>0</v>
      </c>
      <c r="E678" s="22" t="s">
        <v>14</v>
      </c>
      <c r="F678" s="45">
        <f t="shared" si="55"/>
        <v>1900000</v>
      </c>
      <c r="G678" s="48">
        <f t="shared" si="56"/>
        <v>0</v>
      </c>
      <c r="H678" s="51">
        <v>0</v>
      </c>
      <c r="I678" s="33">
        <f t="shared" si="57"/>
        <v>0</v>
      </c>
      <c r="J678" s="52">
        <f>재료비목록표!E56</f>
        <v>1900000</v>
      </c>
      <c r="K678" s="13">
        <f t="shared" si="58"/>
        <v>0</v>
      </c>
      <c r="L678" s="55">
        <v>0</v>
      </c>
      <c r="M678" s="33">
        <f t="shared" si="59"/>
        <v>0</v>
      </c>
      <c r="N678" s="22" t="s">
        <v>5357</v>
      </c>
      <c r="O678" s="17" t="s">
        <v>5356</v>
      </c>
      <c r="P678" s="7" t="s">
        <v>5355</v>
      </c>
      <c r="Q678" s="7" t="s">
        <v>3344</v>
      </c>
      <c r="AC678" s="3" t="str">
        <f ca="1">HYPERLINK("#"&amp;재료비목록표!G2&amp;"!A"&amp;ROW(재료비목록표!A56),"자재53 →")</f>
        <v>자재53 →</v>
      </c>
    </row>
    <row r="679" spans="1:29" ht="30.6" customHeight="1" x14ac:dyDescent="0.3">
      <c r="A679" s="10"/>
      <c r="B679" s="10" t="s">
        <v>123</v>
      </c>
      <c r="C679" s="41" t="s">
        <v>17</v>
      </c>
      <c r="D679" s="43">
        <v>0</v>
      </c>
      <c r="E679" s="22" t="s">
        <v>14</v>
      </c>
      <c r="F679" s="45">
        <f t="shared" si="55"/>
        <v>2800000</v>
      </c>
      <c r="G679" s="48">
        <f t="shared" si="56"/>
        <v>0</v>
      </c>
      <c r="H679" s="51">
        <v>0</v>
      </c>
      <c r="I679" s="33">
        <f t="shared" si="57"/>
        <v>0</v>
      </c>
      <c r="J679" s="52">
        <f>재료비목록표!E58</f>
        <v>2800000</v>
      </c>
      <c r="K679" s="13">
        <f t="shared" si="58"/>
        <v>0</v>
      </c>
      <c r="L679" s="55">
        <v>0</v>
      </c>
      <c r="M679" s="33">
        <f t="shared" si="59"/>
        <v>0</v>
      </c>
      <c r="N679" s="22" t="s">
        <v>5360</v>
      </c>
      <c r="O679" s="17" t="s">
        <v>5359</v>
      </c>
      <c r="P679" s="7" t="s">
        <v>5358</v>
      </c>
      <c r="Q679" s="7" t="s">
        <v>3344</v>
      </c>
      <c r="AC679" s="3" t="str">
        <f ca="1">HYPERLINK("#"&amp;재료비목록표!G2&amp;"!A"&amp;ROW(재료비목록표!A58),"자재55 →")</f>
        <v>자재55 →</v>
      </c>
    </row>
    <row r="680" spans="1:29" ht="30.6" customHeight="1" x14ac:dyDescent="0.3">
      <c r="A680" s="10"/>
      <c r="B680" s="10" t="s">
        <v>123</v>
      </c>
      <c r="C680" s="41" t="s">
        <v>2204</v>
      </c>
      <c r="D680" s="43">
        <v>0</v>
      </c>
      <c r="E680" s="22" t="s">
        <v>14</v>
      </c>
      <c r="F680" s="45">
        <f t="shared" si="55"/>
        <v>4700000</v>
      </c>
      <c r="G680" s="48">
        <f t="shared" si="56"/>
        <v>0</v>
      </c>
      <c r="H680" s="51">
        <v>0</v>
      </c>
      <c r="I680" s="33">
        <f t="shared" si="57"/>
        <v>0</v>
      </c>
      <c r="J680" s="52">
        <f>재료비목록표!E61</f>
        <v>4700000</v>
      </c>
      <c r="K680" s="13">
        <f t="shared" si="58"/>
        <v>0</v>
      </c>
      <c r="L680" s="55">
        <v>0</v>
      </c>
      <c r="M680" s="33">
        <f t="shared" si="59"/>
        <v>0</v>
      </c>
      <c r="N680" s="22" t="s">
        <v>5363</v>
      </c>
      <c r="O680" s="17" t="s">
        <v>5362</v>
      </c>
      <c r="P680" s="7" t="s">
        <v>5361</v>
      </c>
      <c r="Q680" s="7" t="s">
        <v>3344</v>
      </c>
      <c r="AC680" s="3" t="str">
        <f ca="1">HYPERLINK("#"&amp;재료비목록표!G2&amp;"!A"&amp;ROW(재료비목록표!A61),"자재58 →")</f>
        <v>자재58 →</v>
      </c>
    </row>
    <row r="681" spans="1:29" ht="30.6" customHeight="1" x14ac:dyDescent="0.3">
      <c r="A681" s="10"/>
      <c r="B681" s="10" t="s">
        <v>123</v>
      </c>
      <c r="C681" s="41" t="s">
        <v>2181</v>
      </c>
      <c r="D681" s="43">
        <v>0</v>
      </c>
      <c r="E681" s="22" t="s">
        <v>14</v>
      </c>
      <c r="F681" s="45">
        <f t="shared" si="55"/>
        <v>6700000</v>
      </c>
      <c r="G681" s="48">
        <f t="shared" si="56"/>
        <v>0</v>
      </c>
      <c r="H681" s="51">
        <v>0</v>
      </c>
      <c r="I681" s="33">
        <f t="shared" si="57"/>
        <v>0</v>
      </c>
      <c r="J681" s="52">
        <f>재료비목록표!E63</f>
        <v>6700000</v>
      </c>
      <c r="K681" s="13">
        <f t="shared" si="58"/>
        <v>0</v>
      </c>
      <c r="L681" s="55">
        <v>0</v>
      </c>
      <c r="M681" s="33">
        <f t="shared" si="59"/>
        <v>0</v>
      </c>
      <c r="N681" s="22" t="s">
        <v>5366</v>
      </c>
      <c r="O681" s="17" t="s">
        <v>5365</v>
      </c>
      <c r="P681" s="7" t="s">
        <v>5364</v>
      </c>
      <c r="Q681" s="7" t="s">
        <v>3344</v>
      </c>
      <c r="AC681" s="3" t="str">
        <f ca="1">HYPERLINK("#"&amp;재료비목록표!G2&amp;"!A"&amp;ROW(재료비목록표!A63),"자재60 →")</f>
        <v>자재60 →</v>
      </c>
    </row>
    <row r="682" spans="1:29" ht="30.6" customHeight="1" x14ac:dyDescent="0.3">
      <c r="A682" s="10"/>
      <c r="B682" s="10" t="s">
        <v>123</v>
      </c>
      <c r="C682" s="41" t="s">
        <v>2147</v>
      </c>
      <c r="D682" s="43">
        <v>0</v>
      </c>
      <c r="E682" s="22" t="s">
        <v>14</v>
      </c>
      <c r="F682" s="45">
        <f t="shared" si="55"/>
        <v>7500000</v>
      </c>
      <c r="G682" s="48">
        <f t="shared" si="56"/>
        <v>0</v>
      </c>
      <c r="H682" s="51">
        <v>0</v>
      </c>
      <c r="I682" s="33">
        <f t="shared" si="57"/>
        <v>0</v>
      </c>
      <c r="J682" s="52">
        <f>재료비목록표!E51</f>
        <v>7500000</v>
      </c>
      <c r="K682" s="13">
        <f t="shared" si="58"/>
        <v>0</v>
      </c>
      <c r="L682" s="55">
        <v>0</v>
      </c>
      <c r="M682" s="33">
        <f t="shared" si="59"/>
        <v>0</v>
      </c>
      <c r="N682" s="22" t="s">
        <v>5369</v>
      </c>
      <c r="O682" s="17" t="s">
        <v>5368</v>
      </c>
      <c r="P682" s="7" t="s">
        <v>5367</v>
      </c>
      <c r="Q682" s="7" t="s">
        <v>3344</v>
      </c>
      <c r="AC682" s="3" t="str">
        <f ca="1">HYPERLINK("#"&amp;재료비목록표!G2&amp;"!A"&amp;ROW(재료비목록표!A51),"자재48 →")</f>
        <v>자재48 →</v>
      </c>
    </row>
    <row r="683" spans="1:29" ht="30.6" customHeight="1" x14ac:dyDescent="0.3">
      <c r="A683" s="10"/>
      <c r="B683" s="10" t="s">
        <v>123</v>
      </c>
      <c r="C683" s="41" t="s">
        <v>2152</v>
      </c>
      <c r="D683" s="43">
        <v>0</v>
      </c>
      <c r="E683" s="22" t="s">
        <v>14</v>
      </c>
      <c r="F683" s="45">
        <f t="shared" si="55"/>
        <v>9600000</v>
      </c>
      <c r="G683" s="48">
        <f t="shared" si="56"/>
        <v>0</v>
      </c>
      <c r="H683" s="51">
        <v>0</v>
      </c>
      <c r="I683" s="33">
        <f t="shared" si="57"/>
        <v>0</v>
      </c>
      <c r="J683" s="52">
        <f>재료비목록표!E53</f>
        <v>9600000</v>
      </c>
      <c r="K683" s="13">
        <f t="shared" si="58"/>
        <v>0</v>
      </c>
      <c r="L683" s="55">
        <v>0</v>
      </c>
      <c r="M683" s="33">
        <f t="shared" si="59"/>
        <v>0</v>
      </c>
      <c r="N683" s="22" t="s">
        <v>5372</v>
      </c>
      <c r="O683" s="17" t="s">
        <v>5371</v>
      </c>
      <c r="P683" s="7" t="s">
        <v>5370</v>
      </c>
      <c r="Q683" s="7" t="s">
        <v>3344</v>
      </c>
      <c r="AC683" s="3" t="str">
        <f ca="1">HYPERLINK("#"&amp;재료비목록표!G2&amp;"!A"&amp;ROW(재료비목록표!A53),"자재50 →")</f>
        <v>자재50 →</v>
      </c>
    </row>
    <row r="684" spans="1:29" ht="30.6" customHeight="1" x14ac:dyDescent="0.3">
      <c r="A684" s="10"/>
      <c r="B684" s="10" t="s">
        <v>123</v>
      </c>
      <c r="C684" s="41" t="s">
        <v>2155</v>
      </c>
      <c r="D684" s="43">
        <v>0</v>
      </c>
      <c r="E684" s="22" t="s">
        <v>14</v>
      </c>
      <c r="F684" s="45">
        <f t="shared" si="55"/>
        <v>12000000</v>
      </c>
      <c r="G684" s="48">
        <f t="shared" si="56"/>
        <v>0</v>
      </c>
      <c r="H684" s="51">
        <v>0</v>
      </c>
      <c r="I684" s="33">
        <f t="shared" si="57"/>
        <v>0</v>
      </c>
      <c r="J684" s="52">
        <f>재료비목록표!E54</f>
        <v>12000000</v>
      </c>
      <c r="K684" s="13">
        <f t="shared" si="58"/>
        <v>0</v>
      </c>
      <c r="L684" s="55">
        <v>0</v>
      </c>
      <c r="M684" s="33">
        <f t="shared" si="59"/>
        <v>0</v>
      </c>
      <c r="N684" s="22" t="s">
        <v>5375</v>
      </c>
      <c r="O684" s="17" t="s">
        <v>5374</v>
      </c>
      <c r="P684" s="7" t="s">
        <v>5373</v>
      </c>
      <c r="Q684" s="7" t="s">
        <v>3344</v>
      </c>
      <c r="AC684" s="3" t="str">
        <f ca="1">HYPERLINK("#"&amp;재료비목록표!G2&amp;"!A"&amp;ROW(재료비목록표!A54),"자재51 →")</f>
        <v>자재51 →</v>
      </c>
    </row>
    <row r="685" spans="1:29" ht="30.6" customHeight="1" x14ac:dyDescent="0.3">
      <c r="A685" s="10"/>
      <c r="B685" s="10" t="s">
        <v>123</v>
      </c>
      <c r="C685" s="41" t="s">
        <v>2158</v>
      </c>
      <c r="D685" s="43">
        <v>0</v>
      </c>
      <c r="E685" s="22" t="s">
        <v>14</v>
      </c>
      <c r="F685" s="45">
        <f t="shared" si="55"/>
        <v>12500000</v>
      </c>
      <c r="G685" s="48">
        <f t="shared" si="56"/>
        <v>0</v>
      </c>
      <c r="H685" s="51">
        <v>0</v>
      </c>
      <c r="I685" s="33">
        <f t="shared" si="57"/>
        <v>0</v>
      </c>
      <c r="J685" s="52">
        <f>재료비목록표!E55</f>
        <v>12500000</v>
      </c>
      <c r="K685" s="13">
        <f t="shared" si="58"/>
        <v>0</v>
      </c>
      <c r="L685" s="55">
        <v>0</v>
      </c>
      <c r="M685" s="33">
        <f t="shared" si="59"/>
        <v>0</v>
      </c>
      <c r="N685" s="22" t="s">
        <v>5378</v>
      </c>
      <c r="O685" s="17" t="s">
        <v>5377</v>
      </c>
      <c r="P685" s="7" t="s">
        <v>5376</v>
      </c>
      <c r="Q685" s="7" t="s">
        <v>3344</v>
      </c>
      <c r="AC685" s="3" t="str">
        <f ca="1">HYPERLINK("#"&amp;재료비목록표!G2&amp;"!A"&amp;ROW(재료비목록표!A55),"자재52 →")</f>
        <v>자재52 →</v>
      </c>
    </row>
    <row r="686" spans="1:29" ht="30.6" customHeight="1" x14ac:dyDescent="0.3">
      <c r="A686" s="10"/>
      <c r="B686" s="10" t="s">
        <v>123</v>
      </c>
      <c r="C686" s="41" t="s">
        <v>2164</v>
      </c>
      <c r="D686" s="43">
        <v>0</v>
      </c>
      <c r="E686" s="22" t="s">
        <v>14</v>
      </c>
      <c r="F686" s="45">
        <f t="shared" si="55"/>
        <v>13500000</v>
      </c>
      <c r="G686" s="48">
        <f t="shared" si="56"/>
        <v>0</v>
      </c>
      <c r="H686" s="51">
        <v>0</v>
      </c>
      <c r="I686" s="33">
        <f t="shared" si="57"/>
        <v>0</v>
      </c>
      <c r="J686" s="52">
        <f>재료비목록표!E57</f>
        <v>13500000</v>
      </c>
      <c r="K686" s="13">
        <f t="shared" si="58"/>
        <v>0</v>
      </c>
      <c r="L686" s="55">
        <v>0</v>
      </c>
      <c r="M686" s="33">
        <f t="shared" si="59"/>
        <v>0</v>
      </c>
      <c r="N686" s="22" t="s">
        <v>5381</v>
      </c>
      <c r="O686" s="17" t="s">
        <v>5380</v>
      </c>
      <c r="P686" s="7" t="s">
        <v>5379</v>
      </c>
      <c r="Q686" s="7" t="s">
        <v>3344</v>
      </c>
      <c r="AC686" s="3" t="str">
        <f ca="1">HYPERLINK("#"&amp;재료비목록표!G2&amp;"!A"&amp;ROW(재료비목록표!A57),"자재54 →")</f>
        <v>자재54 →</v>
      </c>
    </row>
    <row r="687" spans="1:29" ht="30.6" customHeight="1" x14ac:dyDescent="0.3">
      <c r="A687" s="10"/>
      <c r="B687" s="10" t="s">
        <v>123</v>
      </c>
      <c r="C687" s="41" t="s">
        <v>2169</v>
      </c>
      <c r="D687" s="43">
        <v>0</v>
      </c>
      <c r="E687" s="22" t="s">
        <v>14</v>
      </c>
      <c r="F687" s="45">
        <f t="shared" si="55"/>
        <v>15000000</v>
      </c>
      <c r="G687" s="48">
        <f t="shared" si="56"/>
        <v>0</v>
      </c>
      <c r="H687" s="51">
        <v>0</v>
      </c>
      <c r="I687" s="33">
        <f t="shared" si="57"/>
        <v>0</v>
      </c>
      <c r="J687" s="52">
        <f>재료비목록표!E59</f>
        <v>15000000</v>
      </c>
      <c r="K687" s="13">
        <f t="shared" si="58"/>
        <v>0</v>
      </c>
      <c r="L687" s="55">
        <v>0</v>
      </c>
      <c r="M687" s="33">
        <f t="shared" si="59"/>
        <v>0</v>
      </c>
      <c r="N687" s="22" t="s">
        <v>5384</v>
      </c>
      <c r="O687" s="17" t="s">
        <v>5383</v>
      </c>
      <c r="P687" s="7" t="s">
        <v>5382</v>
      </c>
      <c r="Q687" s="7" t="s">
        <v>3344</v>
      </c>
      <c r="AC687" s="3" t="str">
        <f ca="1">HYPERLINK("#"&amp;재료비목록표!G2&amp;"!A"&amp;ROW(재료비목록표!A59),"자재56 →")</f>
        <v>자재56 →</v>
      </c>
    </row>
    <row r="688" spans="1:29" ht="30.6" customHeight="1" x14ac:dyDescent="0.3">
      <c r="A688" s="10"/>
      <c r="B688" s="10" t="s">
        <v>123</v>
      </c>
      <c r="C688" s="41" t="s">
        <v>2172</v>
      </c>
      <c r="D688" s="43">
        <v>0</v>
      </c>
      <c r="E688" s="22" t="s">
        <v>14</v>
      </c>
      <c r="F688" s="45">
        <f t="shared" si="55"/>
        <v>17000000</v>
      </c>
      <c r="G688" s="48">
        <f t="shared" si="56"/>
        <v>0</v>
      </c>
      <c r="H688" s="51">
        <v>0</v>
      </c>
      <c r="I688" s="33">
        <f t="shared" si="57"/>
        <v>0</v>
      </c>
      <c r="J688" s="52">
        <f>재료비목록표!E60</f>
        <v>17000000</v>
      </c>
      <c r="K688" s="13">
        <f t="shared" si="58"/>
        <v>0</v>
      </c>
      <c r="L688" s="55">
        <v>0</v>
      </c>
      <c r="M688" s="33">
        <f t="shared" si="59"/>
        <v>0</v>
      </c>
      <c r="N688" s="22" t="s">
        <v>5387</v>
      </c>
      <c r="O688" s="17" t="s">
        <v>5386</v>
      </c>
      <c r="P688" s="7" t="s">
        <v>5385</v>
      </c>
      <c r="Q688" s="7" t="s">
        <v>3344</v>
      </c>
      <c r="AC688" s="3" t="str">
        <f ca="1">HYPERLINK("#"&amp;재료비목록표!G2&amp;"!A"&amp;ROW(재료비목록표!A60),"자재57 →")</f>
        <v>자재57 →</v>
      </c>
    </row>
    <row r="689" spans="1:29" ht="30.6" customHeight="1" x14ac:dyDescent="0.3">
      <c r="A689" s="10"/>
      <c r="B689" s="10" t="s">
        <v>123</v>
      </c>
      <c r="C689" s="41" t="s">
        <v>2178</v>
      </c>
      <c r="D689" s="43">
        <v>0</v>
      </c>
      <c r="E689" s="22" t="s">
        <v>14</v>
      </c>
      <c r="F689" s="45">
        <f t="shared" si="55"/>
        <v>17700000</v>
      </c>
      <c r="G689" s="48">
        <f t="shared" si="56"/>
        <v>0</v>
      </c>
      <c r="H689" s="51">
        <v>0</v>
      </c>
      <c r="I689" s="33">
        <f t="shared" si="57"/>
        <v>0</v>
      </c>
      <c r="J689" s="52">
        <f>재료비목록표!E62</f>
        <v>17700000</v>
      </c>
      <c r="K689" s="13">
        <f t="shared" si="58"/>
        <v>0</v>
      </c>
      <c r="L689" s="55">
        <v>0</v>
      </c>
      <c r="M689" s="33">
        <f t="shared" si="59"/>
        <v>0</v>
      </c>
      <c r="N689" s="22" t="s">
        <v>5390</v>
      </c>
      <c r="O689" s="17" t="s">
        <v>5389</v>
      </c>
      <c r="P689" s="7" t="s">
        <v>5388</v>
      </c>
      <c r="Q689" s="7" t="s">
        <v>3344</v>
      </c>
      <c r="AC689" s="3" t="str">
        <f ca="1">HYPERLINK("#"&amp;재료비목록표!G2&amp;"!A"&amp;ROW(재료비목록표!A62),"자재59 →")</f>
        <v>자재59 →</v>
      </c>
    </row>
    <row r="690" spans="1:29" ht="30.6" customHeight="1" x14ac:dyDescent="0.3">
      <c r="A690" s="10"/>
      <c r="B690" s="10" t="s">
        <v>123</v>
      </c>
      <c r="C690" s="41" t="s">
        <v>47</v>
      </c>
      <c r="D690" s="43">
        <v>0</v>
      </c>
      <c r="E690" s="22" t="s">
        <v>14</v>
      </c>
      <c r="F690" s="45">
        <f t="shared" si="55"/>
        <v>62000000</v>
      </c>
      <c r="G690" s="48">
        <f t="shared" si="56"/>
        <v>0</v>
      </c>
      <c r="H690" s="51">
        <v>0</v>
      </c>
      <c r="I690" s="33">
        <f t="shared" si="57"/>
        <v>0</v>
      </c>
      <c r="J690" s="52">
        <f>재료비목록표!E52</f>
        <v>62000000</v>
      </c>
      <c r="K690" s="13">
        <f t="shared" si="58"/>
        <v>0</v>
      </c>
      <c r="L690" s="55">
        <v>0</v>
      </c>
      <c r="M690" s="33">
        <f t="shared" si="59"/>
        <v>0</v>
      </c>
      <c r="N690" s="22" t="s">
        <v>5393</v>
      </c>
      <c r="O690" s="17" t="s">
        <v>5392</v>
      </c>
      <c r="P690" s="7" t="s">
        <v>5391</v>
      </c>
      <c r="Q690" s="7" t="s">
        <v>3344</v>
      </c>
      <c r="AC690" s="3" t="str">
        <f ca="1">HYPERLINK("#"&amp;재료비목록표!G2&amp;"!A"&amp;ROW(재료비목록표!A52),"자재49 →")</f>
        <v>자재49 →</v>
      </c>
    </row>
    <row r="691" spans="1:29" ht="30.6" customHeight="1" x14ac:dyDescent="0.3">
      <c r="A691" s="10"/>
      <c r="B691" s="10" t="s">
        <v>223</v>
      </c>
      <c r="C691" s="41" t="s">
        <v>2491</v>
      </c>
      <c r="D691" s="43">
        <v>1</v>
      </c>
      <c r="E691" s="22" t="s">
        <v>14</v>
      </c>
      <c r="F691" s="45">
        <f t="shared" si="55"/>
        <v>2618000</v>
      </c>
      <c r="G691" s="48">
        <f t="shared" si="56"/>
        <v>2618000</v>
      </c>
      <c r="H691" s="51">
        <v>0</v>
      </c>
      <c r="I691" s="33">
        <f t="shared" si="57"/>
        <v>0</v>
      </c>
      <c r="J691" s="52">
        <f>재료비목록표!E153</f>
        <v>2618000</v>
      </c>
      <c r="K691" s="13">
        <f t="shared" si="58"/>
        <v>2618000</v>
      </c>
      <c r="L691" s="55">
        <v>0</v>
      </c>
      <c r="M691" s="33">
        <f t="shared" si="59"/>
        <v>0</v>
      </c>
      <c r="N691" s="22" t="s">
        <v>5396</v>
      </c>
      <c r="O691" s="17" t="s">
        <v>5395</v>
      </c>
      <c r="P691" s="7" t="s">
        <v>5394</v>
      </c>
      <c r="Q691" s="7" t="s">
        <v>3344</v>
      </c>
      <c r="AC691" s="3" t="str">
        <f ca="1">HYPERLINK("#"&amp;재료비목록표!G2&amp;"!A"&amp;ROW(재료비목록표!A153),"자재150 →")</f>
        <v>자재150 →</v>
      </c>
    </row>
    <row r="692" spans="1:29" ht="30.6" customHeight="1" x14ac:dyDescent="0.3">
      <c r="A692" s="10"/>
      <c r="B692" s="10" t="s">
        <v>223</v>
      </c>
      <c r="C692" s="41" t="s">
        <v>2500</v>
      </c>
      <c r="D692" s="43">
        <v>0</v>
      </c>
      <c r="E692" s="22" t="s">
        <v>14</v>
      </c>
      <c r="F692" s="45">
        <f t="shared" si="55"/>
        <v>4558000</v>
      </c>
      <c r="G692" s="48">
        <f t="shared" si="56"/>
        <v>0</v>
      </c>
      <c r="H692" s="51">
        <v>0</v>
      </c>
      <c r="I692" s="33">
        <f t="shared" si="57"/>
        <v>0</v>
      </c>
      <c r="J692" s="52">
        <f>재료비목록표!E156</f>
        <v>4558000</v>
      </c>
      <c r="K692" s="13">
        <f t="shared" si="58"/>
        <v>0</v>
      </c>
      <c r="L692" s="55">
        <v>0</v>
      </c>
      <c r="M692" s="33">
        <f t="shared" si="59"/>
        <v>0</v>
      </c>
      <c r="N692" s="22" t="s">
        <v>5399</v>
      </c>
      <c r="O692" s="17" t="s">
        <v>5398</v>
      </c>
      <c r="P692" s="7" t="s">
        <v>5397</v>
      </c>
      <c r="Q692" s="7" t="s">
        <v>3344</v>
      </c>
      <c r="AC692" s="3" t="str">
        <f ca="1">HYPERLINK("#"&amp;재료비목록표!G2&amp;"!A"&amp;ROW(재료비목록표!A156),"자재153 →")</f>
        <v>자재153 →</v>
      </c>
    </row>
    <row r="693" spans="1:29" ht="30.6" customHeight="1" x14ac:dyDescent="0.3">
      <c r="A693" s="10"/>
      <c r="B693" s="10" t="s">
        <v>223</v>
      </c>
      <c r="C693" s="41" t="s">
        <v>2506</v>
      </c>
      <c r="D693" s="43">
        <v>0</v>
      </c>
      <c r="E693" s="22" t="s">
        <v>14</v>
      </c>
      <c r="F693" s="45">
        <f t="shared" si="55"/>
        <v>4761000</v>
      </c>
      <c r="G693" s="48">
        <f t="shared" si="56"/>
        <v>0</v>
      </c>
      <c r="H693" s="51">
        <v>0</v>
      </c>
      <c r="I693" s="33">
        <f t="shared" si="57"/>
        <v>0</v>
      </c>
      <c r="J693" s="52">
        <f>재료비목록표!E158</f>
        <v>4761000</v>
      </c>
      <c r="K693" s="13">
        <f t="shared" si="58"/>
        <v>0</v>
      </c>
      <c r="L693" s="55">
        <v>0</v>
      </c>
      <c r="M693" s="33">
        <f t="shared" si="59"/>
        <v>0</v>
      </c>
      <c r="N693" s="22" t="s">
        <v>5402</v>
      </c>
      <c r="O693" s="17" t="s">
        <v>5401</v>
      </c>
      <c r="P693" s="7" t="s">
        <v>5400</v>
      </c>
      <c r="Q693" s="7" t="s">
        <v>3344</v>
      </c>
      <c r="AC693" s="3" t="str">
        <f ca="1">HYPERLINK("#"&amp;재료비목록표!G2&amp;"!A"&amp;ROW(재료비목록표!A158),"자재155 →")</f>
        <v>자재155 →</v>
      </c>
    </row>
    <row r="694" spans="1:29" ht="30.6" customHeight="1" x14ac:dyDescent="0.3">
      <c r="A694" s="10"/>
      <c r="B694" s="10" t="s">
        <v>223</v>
      </c>
      <c r="C694" s="41" t="s">
        <v>2470</v>
      </c>
      <c r="D694" s="43">
        <v>0</v>
      </c>
      <c r="E694" s="22" t="s">
        <v>14</v>
      </c>
      <c r="F694" s="45">
        <f t="shared" si="55"/>
        <v>6043000</v>
      </c>
      <c r="G694" s="48">
        <f t="shared" si="56"/>
        <v>0</v>
      </c>
      <c r="H694" s="51">
        <v>0</v>
      </c>
      <c r="I694" s="33">
        <f t="shared" si="57"/>
        <v>0</v>
      </c>
      <c r="J694" s="52">
        <f>재료비목록표!E146</f>
        <v>6043000</v>
      </c>
      <c r="K694" s="13">
        <f t="shared" si="58"/>
        <v>0</v>
      </c>
      <c r="L694" s="55">
        <v>0</v>
      </c>
      <c r="M694" s="33">
        <f t="shared" si="59"/>
        <v>0</v>
      </c>
      <c r="N694" s="22" t="s">
        <v>5405</v>
      </c>
      <c r="O694" s="17" t="s">
        <v>5404</v>
      </c>
      <c r="P694" s="7" t="s">
        <v>5403</v>
      </c>
      <c r="Q694" s="7" t="s">
        <v>3344</v>
      </c>
      <c r="AC694" s="3" t="str">
        <f ca="1">HYPERLINK("#"&amp;재료비목록표!G2&amp;"!A"&amp;ROW(재료비목록표!A146),"자재143 →")</f>
        <v>자재143 →</v>
      </c>
    </row>
    <row r="695" spans="1:29" ht="30.6" customHeight="1" x14ac:dyDescent="0.3">
      <c r="A695" s="10"/>
      <c r="B695" s="10" t="s">
        <v>223</v>
      </c>
      <c r="C695" s="41" t="s">
        <v>2476</v>
      </c>
      <c r="D695" s="43">
        <v>0</v>
      </c>
      <c r="E695" s="22" t="s">
        <v>14</v>
      </c>
      <c r="F695" s="45">
        <f t="shared" si="55"/>
        <v>6962000</v>
      </c>
      <c r="G695" s="48">
        <f t="shared" si="56"/>
        <v>0</v>
      </c>
      <c r="H695" s="51">
        <v>0</v>
      </c>
      <c r="I695" s="33">
        <f t="shared" si="57"/>
        <v>0</v>
      </c>
      <c r="J695" s="52">
        <f>재료비목록표!E148</f>
        <v>6962000</v>
      </c>
      <c r="K695" s="13">
        <f t="shared" si="58"/>
        <v>0</v>
      </c>
      <c r="L695" s="55">
        <v>0</v>
      </c>
      <c r="M695" s="33">
        <f t="shared" si="59"/>
        <v>0</v>
      </c>
      <c r="N695" s="22" t="s">
        <v>5408</v>
      </c>
      <c r="O695" s="17" t="s">
        <v>5407</v>
      </c>
      <c r="P695" s="7" t="s">
        <v>5406</v>
      </c>
      <c r="Q695" s="7" t="s">
        <v>3344</v>
      </c>
      <c r="AC695" s="3" t="str">
        <f ca="1">HYPERLINK("#"&amp;재료비목록표!G2&amp;"!A"&amp;ROW(재료비목록표!A148),"자재145 →")</f>
        <v>자재145 →</v>
      </c>
    </row>
    <row r="696" spans="1:29" ht="30.6" customHeight="1" x14ac:dyDescent="0.3">
      <c r="A696" s="10"/>
      <c r="B696" s="10" t="s">
        <v>223</v>
      </c>
      <c r="C696" s="41" t="s">
        <v>2479</v>
      </c>
      <c r="D696" s="43">
        <v>0</v>
      </c>
      <c r="E696" s="22" t="s">
        <v>14</v>
      </c>
      <c r="F696" s="45">
        <f t="shared" si="55"/>
        <v>7976000</v>
      </c>
      <c r="G696" s="48">
        <f t="shared" si="56"/>
        <v>0</v>
      </c>
      <c r="H696" s="51">
        <v>0</v>
      </c>
      <c r="I696" s="33">
        <f t="shared" si="57"/>
        <v>0</v>
      </c>
      <c r="J696" s="52">
        <f>재료비목록표!E149</f>
        <v>7976000</v>
      </c>
      <c r="K696" s="13">
        <f t="shared" si="58"/>
        <v>0</v>
      </c>
      <c r="L696" s="55">
        <v>0</v>
      </c>
      <c r="M696" s="33">
        <f t="shared" si="59"/>
        <v>0</v>
      </c>
      <c r="N696" s="22" t="s">
        <v>5411</v>
      </c>
      <c r="O696" s="17" t="s">
        <v>5410</v>
      </c>
      <c r="P696" s="7" t="s">
        <v>5409</v>
      </c>
      <c r="Q696" s="7" t="s">
        <v>3344</v>
      </c>
      <c r="AC696" s="3" t="str">
        <f ca="1">HYPERLINK("#"&amp;재료비목록표!G2&amp;"!A"&amp;ROW(재료비목록표!A149),"자재146 →")</f>
        <v>자재146 →</v>
      </c>
    </row>
    <row r="697" spans="1:29" ht="30.6" customHeight="1" x14ac:dyDescent="0.3">
      <c r="A697" s="10"/>
      <c r="B697" s="10" t="s">
        <v>223</v>
      </c>
      <c r="C697" s="41" t="s">
        <v>2482</v>
      </c>
      <c r="D697" s="43">
        <v>0</v>
      </c>
      <c r="E697" s="22" t="s">
        <v>14</v>
      </c>
      <c r="F697" s="45">
        <f t="shared" si="55"/>
        <v>8129000</v>
      </c>
      <c r="G697" s="48">
        <f t="shared" si="56"/>
        <v>0</v>
      </c>
      <c r="H697" s="51">
        <v>0</v>
      </c>
      <c r="I697" s="33">
        <f t="shared" si="57"/>
        <v>0</v>
      </c>
      <c r="J697" s="52">
        <f>재료비목록표!E150</f>
        <v>8129000</v>
      </c>
      <c r="K697" s="13">
        <f t="shared" si="58"/>
        <v>0</v>
      </c>
      <c r="L697" s="55">
        <v>0</v>
      </c>
      <c r="M697" s="33">
        <f t="shared" si="59"/>
        <v>0</v>
      </c>
      <c r="N697" s="22" t="s">
        <v>5414</v>
      </c>
      <c r="O697" s="17" t="s">
        <v>5413</v>
      </c>
      <c r="P697" s="7" t="s">
        <v>5412</v>
      </c>
      <c r="Q697" s="7" t="s">
        <v>3344</v>
      </c>
      <c r="AC697" s="3" t="str">
        <f ca="1">HYPERLINK("#"&amp;재료비목록표!G2&amp;"!A"&amp;ROW(재료비목록표!A150),"자재147 →")</f>
        <v>자재147 →</v>
      </c>
    </row>
    <row r="698" spans="1:29" ht="30.6" customHeight="1" x14ac:dyDescent="0.3">
      <c r="A698" s="10"/>
      <c r="B698" s="10" t="s">
        <v>223</v>
      </c>
      <c r="C698" s="41" t="s">
        <v>2488</v>
      </c>
      <c r="D698" s="43">
        <v>0</v>
      </c>
      <c r="E698" s="22" t="s">
        <v>14</v>
      </c>
      <c r="F698" s="45">
        <f t="shared" si="55"/>
        <v>8367000</v>
      </c>
      <c r="G698" s="48">
        <f t="shared" si="56"/>
        <v>0</v>
      </c>
      <c r="H698" s="51">
        <v>0</v>
      </c>
      <c r="I698" s="33">
        <f t="shared" si="57"/>
        <v>0</v>
      </c>
      <c r="J698" s="52">
        <f>재료비목록표!E152</f>
        <v>8367000</v>
      </c>
      <c r="K698" s="13">
        <f t="shared" si="58"/>
        <v>0</v>
      </c>
      <c r="L698" s="55">
        <v>0</v>
      </c>
      <c r="M698" s="33">
        <f t="shared" si="59"/>
        <v>0</v>
      </c>
      <c r="N698" s="22" t="s">
        <v>5417</v>
      </c>
      <c r="O698" s="17" t="s">
        <v>5416</v>
      </c>
      <c r="P698" s="7" t="s">
        <v>5415</v>
      </c>
      <c r="Q698" s="7" t="s">
        <v>3344</v>
      </c>
      <c r="AC698" s="3" t="str">
        <f ca="1">HYPERLINK("#"&amp;재료비목록표!G2&amp;"!A"&amp;ROW(재료비목록표!A152),"자재149 →")</f>
        <v>자재149 →</v>
      </c>
    </row>
    <row r="699" spans="1:29" ht="30.6" customHeight="1" x14ac:dyDescent="0.3">
      <c r="A699" s="10"/>
      <c r="B699" s="10" t="s">
        <v>223</v>
      </c>
      <c r="C699" s="41" t="s">
        <v>2494</v>
      </c>
      <c r="D699" s="43">
        <v>0</v>
      </c>
      <c r="E699" s="22" t="s">
        <v>14</v>
      </c>
      <c r="F699" s="45">
        <f t="shared" si="55"/>
        <v>8605000</v>
      </c>
      <c r="G699" s="48">
        <f t="shared" si="56"/>
        <v>0</v>
      </c>
      <c r="H699" s="51">
        <v>0</v>
      </c>
      <c r="I699" s="33">
        <f t="shared" si="57"/>
        <v>0</v>
      </c>
      <c r="J699" s="52">
        <f>재료비목록표!E154</f>
        <v>8605000</v>
      </c>
      <c r="K699" s="13">
        <f t="shared" si="58"/>
        <v>0</v>
      </c>
      <c r="L699" s="55">
        <v>0</v>
      </c>
      <c r="M699" s="33">
        <f t="shared" si="59"/>
        <v>0</v>
      </c>
      <c r="N699" s="22" t="s">
        <v>5420</v>
      </c>
      <c r="O699" s="17" t="s">
        <v>5419</v>
      </c>
      <c r="P699" s="7" t="s">
        <v>5418</v>
      </c>
      <c r="Q699" s="7" t="s">
        <v>3344</v>
      </c>
      <c r="AC699" s="3" t="str">
        <f ca="1">HYPERLINK("#"&amp;재료비목록표!G2&amp;"!A"&amp;ROW(재료비목록표!A154),"자재151 →")</f>
        <v>자재151 →</v>
      </c>
    </row>
    <row r="700" spans="1:29" ht="30.6" customHeight="1" x14ac:dyDescent="0.3">
      <c r="A700" s="10"/>
      <c r="B700" s="10" t="s">
        <v>223</v>
      </c>
      <c r="C700" s="41" t="s">
        <v>2497</v>
      </c>
      <c r="D700" s="43">
        <v>0</v>
      </c>
      <c r="E700" s="22" t="s">
        <v>14</v>
      </c>
      <c r="F700" s="45">
        <f t="shared" si="55"/>
        <v>11997000</v>
      </c>
      <c r="G700" s="48">
        <f t="shared" si="56"/>
        <v>0</v>
      </c>
      <c r="H700" s="51">
        <v>0</v>
      </c>
      <c r="I700" s="33">
        <f t="shared" si="57"/>
        <v>0</v>
      </c>
      <c r="J700" s="52">
        <f>재료비목록표!E155</f>
        <v>11997000</v>
      </c>
      <c r="K700" s="13">
        <f t="shared" si="58"/>
        <v>0</v>
      </c>
      <c r="L700" s="55">
        <v>0</v>
      </c>
      <c r="M700" s="33">
        <f t="shared" si="59"/>
        <v>0</v>
      </c>
      <c r="N700" s="22" t="s">
        <v>5423</v>
      </c>
      <c r="O700" s="17" t="s">
        <v>5422</v>
      </c>
      <c r="P700" s="7" t="s">
        <v>5421</v>
      </c>
      <c r="Q700" s="7" t="s">
        <v>3344</v>
      </c>
      <c r="AC700" s="3" t="str">
        <f ca="1">HYPERLINK("#"&amp;재료비목록표!G2&amp;"!A"&amp;ROW(재료비목록표!A155),"자재152 →")</f>
        <v>자재152 →</v>
      </c>
    </row>
    <row r="701" spans="1:29" ht="30.6" customHeight="1" x14ac:dyDescent="0.3">
      <c r="A701" s="10"/>
      <c r="B701" s="10" t="s">
        <v>223</v>
      </c>
      <c r="C701" s="41" t="s">
        <v>2503</v>
      </c>
      <c r="D701" s="43">
        <v>0</v>
      </c>
      <c r="E701" s="22" t="s">
        <v>14</v>
      </c>
      <c r="F701" s="45">
        <f t="shared" si="55"/>
        <v>13437000</v>
      </c>
      <c r="G701" s="48">
        <f t="shared" si="56"/>
        <v>0</v>
      </c>
      <c r="H701" s="51">
        <v>0</v>
      </c>
      <c r="I701" s="33">
        <f t="shared" si="57"/>
        <v>0</v>
      </c>
      <c r="J701" s="52">
        <f>재료비목록표!E157</f>
        <v>13437000</v>
      </c>
      <c r="K701" s="13">
        <f t="shared" si="58"/>
        <v>0</v>
      </c>
      <c r="L701" s="55">
        <v>0</v>
      </c>
      <c r="M701" s="33">
        <f t="shared" si="59"/>
        <v>0</v>
      </c>
      <c r="N701" s="22" t="s">
        <v>5426</v>
      </c>
      <c r="O701" s="17" t="s">
        <v>5425</v>
      </c>
      <c r="P701" s="7" t="s">
        <v>5424</v>
      </c>
      <c r="Q701" s="7" t="s">
        <v>3344</v>
      </c>
      <c r="AC701" s="3" t="str">
        <f ca="1">HYPERLINK("#"&amp;재료비목록표!G2&amp;"!A"&amp;ROW(재료비목록표!A157),"자재154 →")</f>
        <v>자재154 →</v>
      </c>
    </row>
    <row r="702" spans="1:29" ht="30.6" customHeight="1" x14ac:dyDescent="0.3">
      <c r="A702" s="10"/>
      <c r="B702" s="10" t="s">
        <v>223</v>
      </c>
      <c r="C702" s="41" t="s">
        <v>2473</v>
      </c>
      <c r="D702" s="43">
        <v>0</v>
      </c>
      <c r="E702" s="22" t="s">
        <v>14</v>
      </c>
      <c r="F702" s="45">
        <f t="shared" si="55"/>
        <v>31423000</v>
      </c>
      <c r="G702" s="48">
        <f t="shared" si="56"/>
        <v>0</v>
      </c>
      <c r="H702" s="51">
        <v>0</v>
      </c>
      <c r="I702" s="33">
        <f t="shared" si="57"/>
        <v>0</v>
      </c>
      <c r="J702" s="52">
        <f>재료비목록표!E147</f>
        <v>31423000</v>
      </c>
      <c r="K702" s="13">
        <f t="shared" si="58"/>
        <v>0</v>
      </c>
      <c r="L702" s="55">
        <v>0</v>
      </c>
      <c r="M702" s="33">
        <f t="shared" si="59"/>
        <v>0</v>
      </c>
      <c r="N702" s="22" t="s">
        <v>5429</v>
      </c>
      <c r="O702" s="17" t="s">
        <v>5428</v>
      </c>
      <c r="P702" s="7" t="s">
        <v>5427</v>
      </c>
      <c r="Q702" s="7" t="s">
        <v>3344</v>
      </c>
      <c r="AC702" s="3" t="str">
        <f ca="1">HYPERLINK("#"&amp;재료비목록표!G2&amp;"!A"&amp;ROW(재료비목록표!A147),"자재144 →")</f>
        <v>자재144 →</v>
      </c>
    </row>
    <row r="703" spans="1:29" ht="30.6" customHeight="1" x14ac:dyDescent="0.3">
      <c r="A703" s="10"/>
      <c r="B703" s="10" t="s">
        <v>336</v>
      </c>
      <c r="C703" s="41" t="s">
        <v>2522</v>
      </c>
      <c r="D703" s="43">
        <v>0</v>
      </c>
      <c r="E703" s="22" t="s">
        <v>14</v>
      </c>
      <c r="F703" s="45">
        <f t="shared" si="55"/>
        <v>1181000</v>
      </c>
      <c r="G703" s="48">
        <f t="shared" si="56"/>
        <v>0</v>
      </c>
      <c r="H703" s="51">
        <v>0</v>
      </c>
      <c r="I703" s="33">
        <f t="shared" si="57"/>
        <v>0</v>
      </c>
      <c r="J703" s="52">
        <f>재료비목록표!E164</f>
        <v>1181000</v>
      </c>
      <c r="K703" s="13">
        <f t="shared" si="58"/>
        <v>0</v>
      </c>
      <c r="L703" s="55">
        <v>0</v>
      </c>
      <c r="M703" s="33">
        <f t="shared" si="59"/>
        <v>0</v>
      </c>
      <c r="N703" s="22" t="s">
        <v>5432</v>
      </c>
      <c r="O703" s="17" t="s">
        <v>5431</v>
      </c>
      <c r="P703" s="7" t="s">
        <v>5430</v>
      </c>
      <c r="Q703" s="7" t="s">
        <v>3344</v>
      </c>
      <c r="AC703" s="3" t="str">
        <f ca="1">HYPERLINK("#"&amp;재료비목록표!G2&amp;"!A"&amp;ROW(재료비목록표!A164),"자재161 →")</f>
        <v>자재161 →</v>
      </c>
    </row>
    <row r="704" spans="1:29" ht="30.6" customHeight="1" x14ac:dyDescent="0.3">
      <c r="A704" s="10"/>
      <c r="B704" s="10" t="s">
        <v>336</v>
      </c>
      <c r="C704" s="41" t="s">
        <v>2527</v>
      </c>
      <c r="D704" s="43">
        <v>0</v>
      </c>
      <c r="E704" s="22" t="s">
        <v>14</v>
      </c>
      <c r="F704" s="45">
        <f t="shared" si="55"/>
        <v>1398000</v>
      </c>
      <c r="G704" s="48">
        <f t="shared" si="56"/>
        <v>0</v>
      </c>
      <c r="H704" s="51">
        <v>0</v>
      </c>
      <c r="I704" s="33">
        <f t="shared" si="57"/>
        <v>0</v>
      </c>
      <c r="J704" s="52">
        <f>재료비목록표!E166</f>
        <v>1398000</v>
      </c>
      <c r="K704" s="13">
        <f t="shared" si="58"/>
        <v>0</v>
      </c>
      <c r="L704" s="55">
        <v>0</v>
      </c>
      <c r="M704" s="33">
        <f t="shared" si="59"/>
        <v>0</v>
      </c>
      <c r="N704" s="22" t="s">
        <v>5435</v>
      </c>
      <c r="O704" s="17" t="s">
        <v>5434</v>
      </c>
      <c r="P704" s="7" t="s">
        <v>5433</v>
      </c>
      <c r="Q704" s="7" t="s">
        <v>3344</v>
      </c>
      <c r="AC704" s="3" t="str">
        <f ca="1">HYPERLINK("#"&amp;재료비목록표!G2&amp;"!A"&amp;ROW(재료비목록표!A166),"자재163 →")</f>
        <v>자재163 →</v>
      </c>
    </row>
    <row r="705" spans="1:29" ht="30.6" customHeight="1" x14ac:dyDescent="0.3">
      <c r="A705" s="10"/>
      <c r="B705" s="10" t="s">
        <v>336</v>
      </c>
      <c r="C705" s="41" t="s">
        <v>2536</v>
      </c>
      <c r="D705" s="43">
        <v>0</v>
      </c>
      <c r="E705" s="22" t="s">
        <v>14</v>
      </c>
      <c r="F705" s="45">
        <f t="shared" si="55"/>
        <v>2772000</v>
      </c>
      <c r="G705" s="48">
        <f t="shared" si="56"/>
        <v>0</v>
      </c>
      <c r="H705" s="51">
        <v>0</v>
      </c>
      <c r="I705" s="33">
        <f t="shared" si="57"/>
        <v>0</v>
      </c>
      <c r="J705" s="52">
        <f>재료비목록표!E169</f>
        <v>2772000</v>
      </c>
      <c r="K705" s="13">
        <f t="shared" si="58"/>
        <v>0</v>
      </c>
      <c r="L705" s="55">
        <v>0</v>
      </c>
      <c r="M705" s="33">
        <f t="shared" si="59"/>
        <v>0</v>
      </c>
      <c r="N705" s="22" t="s">
        <v>5438</v>
      </c>
      <c r="O705" s="17" t="s">
        <v>5437</v>
      </c>
      <c r="P705" s="7" t="s">
        <v>5436</v>
      </c>
      <c r="Q705" s="7" t="s">
        <v>3344</v>
      </c>
      <c r="AC705" s="3" t="str">
        <f ca="1">HYPERLINK("#"&amp;재료비목록표!G2&amp;"!A"&amp;ROW(재료비목록표!A169),"자재166 →")</f>
        <v>자재166 →</v>
      </c>
    </row>
    <row r="706" spans="1:29" ht="30.6" customHeight="1" x14ac:dyDescent="0.3">
      <c r="A706" s="10"/>
      <c r="B706" s="10" t="s">
        <v>336</v>
      </c>
      <c r="C706" s="41" t="s">
        <v>2541</v>
      </c>
      <c r="D706" s="43">
        <v>0</v>
      </c>
      <c r="E706" s="22" t="s">
        <v>14</v>
      </c>
      <c r="F706" s="45">
        <f t="shared" si="55"/>
        <v>3625000</v>
      </c>
      <c r="G706" s="48">
        <f t="shared" si="56"/>
        <v>0</v>
      </c>
      <c r="H706" s="51">
        <v>0</v>
      </c>
      <c r="I706" s="33">
        <f t="shared" si="57"/>
        <v>0</v>
      </c>
      <c r="J706" s="52">
        <f>재료비목록표!E171</f>
        <v>3625000</v>
      </c>
      <c r="K706" s="13">
        <f t="shared" si="58"/>
        <v>0</v>
      </c>
      <c r="L706" s="55">
        <v>0</v>
      </c>
      <c r="M706" s="33">
        <f t="shared" si="59"/>
        <v>0</v>
      </c>
      <c r="N706" s="22" t="s">
        <v>5441</v>
      </c>
      <c r="O706" s="17" t="s">
        <v>5440</v>
      </c>
      <c r="P706" s="7" t="s">
        <v>5439</v>
      </c>
      <c r="Q706" s="7" t="s">
        <v>3344</v>
      </c>
      <c r="AC706" s="3" t="str">
        <f ca="1">HYPERLINK("#"&amp;재료비목록표!G2&amp;"!A"&amp;ROW(재료비목록표!A171),"자재168 →")</f>
        <v>자재168 →</v>
      </c>
    </row>
    <row r="707" spans="1:29" ht="30.6" customHeight="1" x14ac:dyDescent="0.3">
      <c r="A707" s="10"/>
      <c r="B707" s="10" t="s">
        <v>336</v>
      </c>
      <c r="C707" s="41" t="s">
        <v>2509</v>
      </c>
      <c r="D707" s="43">
        <v>0</v>
      </c>
      <c r="E707" s="22" t="s">
        <v>14</v>
      </c>
      <c r="F707" s="45">
        <f t="shared" si="55"/>
        <v>3977000</v>
      </c>
      <c r="G707" s="48">
        <f t="shared" si="56"/>
        <v>0</v>
      </c>
      <c r="H707" s="51">
        <v>0</v>
      </c>
      <c r="I707" s="33">
        <f t="shared" si="57"/>
        <v>0</v>
      </c>
      <c r="J707" s="52">
        <f>재료비목록표!E159</f>
        <v>3977000</v>
      </c>
      <c r="K707" s="13">
        <f t="shared" si="58"/>
        <v>0</v>
      </c>
      <c r="L707" s="55">
        <v>0</v>
      </c>
      <c r="M707" s="33">
        <f t="shared" si="59"/>
        <v>0</v>
      </c>
      <c r="N707" s="22" t="s">
        <v>5444</v>
      </c>
      <c r="O707" s="17" t="s">
        <v>5443</v>
      </c>
      <c r="P707" s="7" t="s">
        <v>5442</v>
      </c>
      <c r="Q707" s="7" t="s">
        <v>3344</v>
      </c>
      <c r="AC707" s="3" t="str">
        <f ca="1">HYPERLINK("#"&amp;재료비목록표!G2&amp;"!A"&amp;ROW(재료비목록표!A159),"자재156 →")</f>
        <v>자재156 →</v>
      </c>
    </row>
    <row r="708" spans="1:29" ht="30.6" customHeight="1" x14ac:dyDescent="0.3">
      <c r="A708" s="10"/>
      <c r="B708" s="10" t="s">
        <v>336</v>
      </c>
      <c r="C708" s="41" t="s">
        <v>2514</v>
      </c>
      <c r="D708" s="43">
        <v>0</v>
      </c>
      <c r="E708" s="22" t="s">
        <v>14</v>
      </c>
      <c r="F708" s="45">
        <f t="shared" si="55"/>
        <v>4713000</v>
      </c>
      <c r="G708" s="48">
        <f t="shared" si="56"/>
        <v>0</v>
      </c>
      <c r="H708" s="51">
        <v>0</v>
      </c>
      <c r="I708" s="33">
        <f t="shared" si="57"/>
        <v>0</v>
      </c>
      <c r="J708" s="52">
        <f>재료비목록표!E161</f>
        <v>4713000</v>
      </c>
      <c r="K708" s="13">
        <f t="shared" si="58"/>
        <v>0</v>
      </c>
      <c r="L708" s="55">
        <v>0</v>
      </c>
      <c r="M708" s="33">
        <f t="shared" si="59"/>
        <v>0</v>
      </c>
      <c r="N708" s="22" t="s">
        <v>5447</v>
      </c>
      <c r="O708" s="17" t="s">
        <v>5446</v>
      </c>
      <c r="P708" s="7" t="s">
        <v>5445</v>
      </c>
      <c r="Q708" s="7" t="s">
        <v>3344</v>
      </c>
      <c r="AC708" s="3" t="str">
        <f ca="1">HYPERLINK("#"&amp;재료비목록표!G2&amp;"!A"&amp;ROW(재료비목록표!A161),"자재158 →")</f>
        <v>자재158 →</v>
      </c>
    </row>
    <row r="709" spans="1:29" ht="30.6" customHeight="1" x14ac:dyDescent="0.3">
      <c r="A709" s="10"/>
      <c r="B709" s="10" t="s">
        <v>336</v>
      </c>
      <c r="C709" s="41" t="s">
        <v>2517</v>
      </c>
      <c r="D709" s="43">
        <v>0</v>
      </c>
      <c r="E709" s="22" t="s">
        <v>14</v>
      </c>
      <c r="F709" s="45">
        <f t="shared" si="55"/>
        <v>5927000</v>
      </c>
      <c r="G709" s="48">
        <f t="shared" si="56"/>
        <v>0</v>
      </c>
      <c r="H709" s="51">
        <v>0</v>
      </c>
      <c r="I709" s="33">
        <f t="shared" si="57"/>
        <v>0</v>
      </c>
      <c r="J709" s="52">
        <f>재료비목록표!E162</f>
        <v>5927000</v>
      </c>
      <c r="K709" s="13">
        <f t="shared" si="58"/>
        <v>0</v>
      </c>
      <c r="L709" s="55">
        <v>0</v>
      </c>
      <c r="M709" s="33">
        <f t="shared" si="59"/>
        <v>0</v>
      </c>
      <c r="N709" s="22" t="s">
        <v>5450</v>
      </c>
      <c r="O709" s="17" t="s">
        <v>5449</v>
      </c>
      <c r="P709" s="7" t="s">
        <v>5448</v>
      </c>
      <c r="Q709" s="7" t="s">
        <v>3344</v>
      </c>
      <c r="AC709" s="3" t="str">
        <f ca="1">HYPERLINK("#"&amp;재료비목록표!G2&amp;"!A"&amp;ROW(재료비목록표!A162),"자재159 →")</f>
        <v>자재159 →</v>
      </c>
    </row>
    <row r="710" spans="1:29" ht="30.6" customHeight="1" x14ac:dyDescent="0.3">
      <c r="A710" s="10"/>
      <c r="B710" s="10" t="s">
        <v>336</v>
      </c>
      <c r="C710" s="41" t="s">
        <v>358</v>
      </c>
      <c r="D710" s="43">
        <v>0</v>
      </c>
      <c r="E710" s="22" t="s">
        <v>14</v>
      </c>
      <c r="F710" s="45">
        <f t="shared" si="55"/>
        <v>6665000</v>
      </c>
      <c r="G710" s="48">
        <f t="shared" si="56"/>
        <v>0</v>
      </c>
      <c r="H710" s="51">
        <v>0</v>
      </c>
      <c r="I710" s="33">
        <f t="shared" si="57"/>
        <v>0</v>
      </c>
      <c r="J710" s="52">
        <f>재료비목록표!E163</f>
        <v>6665000</v>
      </c>
      <c r="K710" s="13">
        <f t="shared" si="58"/>
        <v>0</v>
      </c>
      <c r="L710" s="55">
        <v>0</v>
      </c>
      <c r="M710" s="33">
        <f t="shared" si="59"/>
        <v>0</v>
      </c>
      <c r="N710" s="22" t="s">
        <v>5453</v>
      </c>
      <c r="O710" s="17" t="s">
        <v>5452</v>
      </c>
      <c r="P710" s="7" t="s">
        <v>5451</v>
      </c>
      <c r="Q710" s="7" t="s">
        <v>3344</v>
      </c>
      <c r="AC710" s="3" t="str">
        <f ca="1">HYPERLINK("#"&amp;재료비목록표!G2&amp;"!A"&amp;ROW(재료비목록표!A163),"자재160 →")</f>
        <v>자재160 →</v>
      </c>
    </row>
    <row r="711" spans="1:29" ht="30.6" customHeight="1" x14ac:dyDescent="0.3">
      <c r="A711" s="10"/>
      <c r="B711" s="10" t="s">
        <v>336</v>
      </c>
      <c r="C711" s="41" t="s">
        <v>361</v>
      </c>
      <c r="D711" s="43">
        <v>0</v>
      </c>
      <c r="E711" s="22" t="s">
        <v>14</v>
      </c>
      <c r="F711" s="45">
        <f t="shared" si="55"/>
        <v>7915000</v>
      </c>
      <c r="G711" s="48">
        <f t="shared" si="56"/>
        <v>0</v>
      </c>
      <c r="H711" s="51">
        <v>0</v>
      </c>
      <c r="I711" s="33">
        <f t="shared" si="57"/>
        <v>0</v>
      </c>
      <c r="J711" s="52">
        <f>재료비목록표!E165</f>
        <v>7915000</v>
      </c>
      <c r="K711" s="13">
        <f t="shared" si="58"/>
        <v>0</v>
      </c>
      <c r="L711" s="55">
        <v>0</v>
      </c>
      <c r="M711" s="33">
        <f t="shared" si="59"/>
        <v>0</v>
      </c>
      <c r="N711" s="22" t="s">
        <v>5456</v>
      </c>
      <c r="O711" s="17" t="s">
        <v>5455</v>
      </c>
      <c r="P711" s="7" t="s">
        <v>5454</v>
      </c>
      <c r="Q711" s="7" t="s">
        <v>3344</v>
      </c>
      <c r="AC711" s="3" t="str">
        <f ca="1">HYPERLINK("#"&amp;재료비목록표!G2&amp;"!A"&amp;ROW(재료비목록표!A165),"자재162 →")</f>
        <v>자재162 →</v>
      </c>
    </row>
    <row r="712" spans="1:29" ht="30.6" customHeight="1" x14ac:dyDescent="0.3">
      <c r="A712" s="10"/>
      <c r="B712" s="10" t="s">
        <v>336</v>
      </c>
      <c r="C712" s="41" t="s">
        <v>2530</v>
      </c>
      <c r="D712" s="43">
        <v>0</v>
      </c>
      <c r="E712" s="22" t="s">
        <v>14</v>
      </c>
      <c r="F712" s="45">
        <f t="shared" si="55"/>
        <v>9760000</v>
      </c>
      <c r="G712" s="48">
        <f t="shared" si="56"/>
        <v>0</v>
      </c>
      <c r="H712" s="51">
        <v>0</v>
      </c>
      <c r="I712" s="33">
        <f t="shared" si="57"/>
        <v>0</v>
      </c>
      <c r="J712" s="52">
        <f>재료비목록표!E167</f>
        <v>9760000</v>
      </c>
      <c r="K712" s="13">
        <f t="shared" si="58"/>
        <v>0</v>
      </c>
      <c r="L712" s="55">
        <v>0</v>
      </c>
      <c r="M712" s="33">
        <f t="shared" si="59"/>
        <v>0</v>
      </c>
      <c r="N712" s="22" t="s">
        <v>5459</v>
      </c>
      <c r="O712" s="17" t="s">
        <v>5458</v>
      </c>
      <c r="P712" s="7" t="s">
        <v>5457</v>
      </c>
      <c r="Q712" s="7" t="s">
        <v>3344</v>
      </c>
      <c r="AC712" s="3" t="str">
        <f ca="1">HYPERLINK("#"&amp;재료비목록표!G2&amp;"!A"&amp;ROW(재료비목록표!A167),"자재164 →")</f>
        <v>자재164 →</v>
      </c>
    </row>
    <row r="713" spans="1:29" ht="30.6" customHeight="1" x14ac:dyDescent="0.3">
      <c r="A713" s="10"/>
      <c r="B713" s="10" t="s">
        <v>336</v>
      </c>
      <c r="C713" s="41" t="s">
        <v>2533</v>
      </c>
      <c r="D713" s="43">
        <v>0</v>
      </c>
      <c r="E713" s="22" t="s">
        <v>14</v>
      </c>
      <c r="F713" s="45">
        <f t="shared" si="55"/>
        <v>10866000</v>
      </c>
      <c r="G713" s="48">
        <f t="shared" si="56"/>
        <v>0</v>
      </c>
      <c r="H713" s="51">
        <v>0</v>
      </c>
      <c r="I713" s="33">
        <f t="shared" si="57"/>
        <v>0</v>
      </c>
      <c r="J713" s="52">
        <f>재료비목록표!E168</f>
        <v>10866000</v>
      </c>
      <c r="K713" s="13">
        <f t="shared" si="58"/>
        <v>0</v>
      </c>
      <c r="L713" s="55">
        <v>0</v>
      </c>
      <c r="M713" s="33">
        <f t="shared" si="59"/>
        <v>0</v>
      </c>
      <c r="N713" s="22" t="s">
        <v>5462</v>
      </c>
      <c r="O713" s="17" t="s">
        <v>5461</v>
      </c>
      <c r="P713" s="7" t="s">
        <v>5460</v>
      </c>
      <c r="Q713" s="7" t="s">
        <v>3344</v>
      </c>
      <c r="AC713" s="3" t="str">
        <f ca="1">HYPERLINK("#"&amp;재료비목록표!G2&amp;"!A"&amp;ROW(재료비목록표!A168),"자재165 →")</f>
        <v>자재165 →</v>
      </c>
    </row>
    <row r="714" spans="1:29" ht="30.6" customHeight="1" x14ac:dyDescent="0.3">
      <c r="A714" s="10"/>
      <c r="B714" s="10" t="s">
        <v>336</v>
      </c>
      <c r="C714" s="41" t="s">
        <v>370</v>
      </c>
      <c r="D714" s="43">
        <v>0</v>
      </c>
      <c r="E714" s="22" t="s">
        <v>14</v>
      </c>
      <c r="F714" s="45">
        <f t="shared" si="55"/>
        <v>11521000</v>
      </c>
      <c r="G714" s="48">
        <f t="shared" si="56"/>
        <v>0</v>
      </c>
      <c r="H714" s="51">
        <v>0</v>
      </c>
      <c r="I714" s="33">
        <f t="shared" si="57"/>
        <v>0</v>
      </c>
      <c r="J714" s="52">
        <f>재료비목록표!E170</f>
        <v>11521000</v>
      </c>
      <c r="K714" s="13">
        <f t="shared" si="58"/>
        <v>0</v>
      </c>
      <c r="L714" s="55">
        <v>0</v>
      </c>
      <c r="M714" s="33">
        <f t="shared" si="59"/>
        <v>0</v>
      </c>
      <c r="N714" s="22" t="s">
        <v>5465</v>
      </c>
      <c r="O714" s="17" t="s">
        <v>5464</v>
      </c>
      <c r="P714" s="7" t="s">
        <v>5463</v>
      </c>
      <c r="Q714" s="7" t="s">
        <v>3344</v>
      </c>
      <c r="AC714" s="3" t="str">
        <f ca="1">HYPERLINK("#"&amp;재료비목록표!G2&amp;"!A"&amp;ROW(재료비목록표!A170),"자재167 →")</f>
        <v>자재167 →</v>
      </c>
    </row>
    <row r="715" spans="1:29" ht="30.6" customHeight="1" x14ac:dyDescent="0.3">
      <c r="A715" s="10"/>
      <c r="B715" s="10" t="s">
        <v>336</v>
      </c>
      <c r="C715" s="41" t="s">
        <v>373</v>
      </c>
      <c r="D715" s="43">
        <v>0</v>
      </c>
      <c r="E715" s="22" t="s">
        <v>14</v>
      </c>
      <c r="F715" s="45">
        <f t="shared" si="55"/>
        <v>38564000</v>
      </c>
      <c r="G715" s="48">
        <f t="shared" si="56"/>
        <v>0</v>
      </c>
      <c r="H715" s="51">
        <v>0</v>
      </c>
      <c r="I715" s="33">
        <f t="shared" si="57"/>
        <v>0</v>
      </c>
      <c r="J715" s="52">
        <f>재료비목록표!E160</f>
        <v>38564000</v>
      </c>
      <c r="K715" s="13">
        <f t="shared" si="58"/>
        <v>0</v>
      </c>
      <c r="L715" s="55">
        <v>0</v>
      </c>
      <c r="M715" s="33">
        <f t="shared" si="59"/>
        <v>0</v>
      </c>
      <c r="N715" s="22" t="s">
        <v>5468</v>
      </c>
      <c r="O715" s="17" t="s">
        <v>5467</v>
      </c>
      <c r="P715" s="7" t="s">
        <v>5466</v>
      </c>
      <c r="Q715" s="7" t="s">
        <v>3344</v>
      </c>
      <c r="AC715" s="3" t="str">
        <f ca="1">HYPERLINK("#"&amp;재료비목록표!G2&amp;"!A"&amp;ROW(재료비목록표!A160),"자재157 →")</f>
        <v>자재157 →</v>
      </c>
    </row>
    <row r="716" spans="1:29" ht="30.6" customHeight="1" x14ac:dyDescent="0.3">
      <c r="A716" s="10"/>
      <c r="B716" s="10" t="s">
        <v>571</v>
      </c>
      <c r="C716" s="41" t="s">
        <v>2415</v>
      </c>
      <c r="D716" s="43">
        <v>1</v>
      </c>
      <c r="E716" s="22" t="s">
        <v>14</v>
      </c>
      <c r="F716" s="45">
        <f t="shared" si="55"/>
        <v>1698000</v>
      </c>
      <c r="G716" s="48">
        <f t="shared" si="56"/>
        <v>1698000</v>
      </c>
      <c r="H716" s="51">
        <v>0</v>
      </c>
      <c r="I716" s="33">
        <f t="shared" si="57"/>
        <v>0</v>
      </c>
      <c r="J716" s="52">
        <f>재료비목록표!E127</f>
        <v>1698000</v>
      </c>
      <c r="K716" s="13">
        <f t="shared" si="58"/>
        <v>1698000</v>
      </c>
      <c r="L716" s="55">
        <v>0</v>
      </c>
      <c r="M716" s="33">
        <f t="shared" si="59"/>
        <v>0</v>
      </c>
      <c r="N716" s="22" t="s">
        <v>5471</v>
      </c>
      <c r="O716" s="17" t="s">
        <v>5470</v>
      </c>
      <c r="P716" s="7" t="s">
        <v>5469</v>
      </c>
      <c r="Q716" s="7" t="s">
        <v>3344</v>
      </c>
      <c r="AC716" s="3" t="str">
        <f ca="1">HYPERLINK("#"&amp;재료비목록표!G2&amp;"!A"&amp;ROW(재료비목록표!A127),"자재124 →")</f>
        <v>자재124 →</v>
      </c>
    </row>
    <row r="717" spans="1:29" ht="30.6" customHeight="1" x14ac:dyDescent="0.3">
      <c r="A717" s="10"/>
      <c r="B717" s="10" t="s">
        <v>571</v>
      </c>
      <c r="C717" s="41" t="s">
        <v>2421</v>
      </c>
      <c r="D717" s="43">
        <v>0</v>
      </c>
      <c r="E717" s="22" t="s">
        <v>14</v>
      </c>
      <c r="F717" s="45">
        <f t="shared" si="55"/>
        <v>2532000</v>
      </c>
      <c r="G717" s="48">
        <f t="shared" si="56"/>
        <v>0</v>
      </c>
      <c r="H717" s="51">
        <v>0</v>
      </c>
      <c r="I717" s="33">
        <f t="shared" si="57"/>
        <v>0</v>
      </c>
      <c r="J717" s="52">
        <f>재료비목록표!E129</f>
        <v>2532000</v>
      </c>
      <c r="K717" s="13">
        <f t="shared" si="58"/>
        <v>0</v>
      </c>
      <c r="L717" s="55">
        <v>0</v>
      </c>
      <c r="M717" s="33">
        <f t="shared" si="59"/>
        <v>0</v>
      </c>
      <c r="N717" s="22" t="s">
        <v>5474</v>
      </c>
      <c r="O717" s="17" t="s">
        <v>5473</v>
      </c>
      <c r="P717" s="7" t="s">
        <v>5472</v>
      </c>
      <c r="Q717" s="7" t="s">
        <v>3344</v>
      </c>
      <c r="AC717" s="3" t="str">
        <f ca="1">HYPERLINK("#"&amp;재료비목록표!G2&amp;"!A"&amp;ROW(재료비목록표!A129),"자재126 →")</f>
        <v>자재126 →</v>
      </c>
    </row>
    <row r="718" spans="1:29" ht="30.6" customHeight="1" x14ac:dyDescent="0.3">
      <c r="A718" s="10"/>
      <c r="B718" s="10" t="s">
        <v>571</v>
      </c>
      <c r="C718" s="41" t="s">
        <v>2427</v>
      </c>
      <c r="D718" s="43">
        <v>0</v>
      </c>
      <c r="E718" s="22" t="s">
        <v>14</v>
      </c>
      <c r="F718" s="45">
        <f t="shared" si="55"/>
        <v>4026000</v>
      </c>
      <c r="G718" s="48">
        <f t="shared" si="56"/>
        <v>0</v>
      </c>
      <c r="H718" s="51">
        <v>0</v>
      </c>
      <c r="I718" s="33">
        <f t="shared" si="57"/>
        <v>0</v>
      </c>
      <c r="J718" s="52">
        <f>재료비목록표!E131</f>
        <v>4026000</v>
      </c>
      <c r="K718" s="13">
        <f t="shared" si="58"/>
        <v>0</v>
      </c>
      <c r="L718" s="55">
        <v>0</v>
      </c>
      <c r="M718" s="33">
        <f t="shared" si="59"/>
        <v>0</v>
      </c>
      <c r="N718" s="22" t="s">
        <v>5477</v>
      </c>
      <c r="O718" s="17" t="s">
        <v>5476</v>
      </c>
      <c r="P718" s="7" t="s">
        <v>5475</v>
      </c>
      <c r="Q718" s="7" t="s">
        <v>3344</v>
      </c>
      <c r="AC718" s="3" t="str">
        <f ca="1">HYPERLINK("#"&amp;재료비목록표!G2&amp;"!A"&amp;ROW(재료비목록표!A131),"자재128 →")</f>
        <v>자재128 →</v>
      </c>
    </row>
    <row r="719" spans="1:29" ht="30.6" customHeight="1" x14ac:dyDescent="0.3">
      <c r="A719" s="10"/>
      <c r="B719" s="10" t="s">
        <v>571</v>
      </c>
      <c r="C719" s="41" t="s">
        <v>2436</v>
      </c>
      <c r="D719" s="43">
        <v>0</v>
      </c>
      <c r="E719" s="22" t="s">
        <v>14</v>
      </c>
      <c r="F719" s="45">
        <f t="shared" si="55"/>
        <v>3282000</v>
      </c>
      <c r="G719" s="48">
        <f t="shared" si="56"/>
        <v>0</v>
      </c>
      <c r="H719" s="51">
        <v>0</v>
      </c>
      <c r="I719" s="33">
        <f t="shared" si="57"/>
        <v>0</v>
      </c>
      <c r="J719" s="52">
        <f>재료비목록표!E134</f>
        <v>3282000</v>
      </c>
      <c r="K719" s="13">
        <f t="shared" si="58"/>
        <v>0</v>
      </c>
      <c r="L719" s="55">
        <v>0</v>
      </c>
      <c r="M719" s="33">
        <f t="shared" si="59"/>
        <v>0</v>
      </c>
      <c r="N719" s="22" t="s">
        <v>5480</v>
      </c>
      <c r="O719" s="17" t="s">
        <v>5479</v>
      </c>
      <c r="P719" s="7" t="s">
        <v>5478</v>
      </c>
      <c r="Q719" s="7" t="s">
        <v>3344</v>
      </c>
      <c r="AC719" s="3" t="str">
        <f ca="1">HYPERLINK("#"&amp;재료비목록표!G2&amp;"!A"&amp;ROW(재료비목록표!A134),"자재131 →")</f>
        <v>자재131 →</v>
      </c>
    </row>
    <row r="720" spans="1:29" ht="30.6" customHeight="1" x14ac:dyDescent="0.3">
      <c r="A720" s="10"/>
      <c r="B720" s="10" t="s">
        <v>571</v>
      </c>
      <c r="C720" s="41" t="s">
        <v>2442</v>
      </c>
      <c r="D720" s="43">
        <v>0</v>
      </c>
      <c r="E720" s="22" t="s">
        <v>14</v>
      </c>
      <c r="F720" s="45">
        <f t="shared" si="55"/>
        <v>5976000</v>
      </c>
      <c r="G720" s="48">
        <f t="shared" si="56"/>
        <v>0</v>
      </c>
      <c r="H720" s="51">
        <v>0</v>
      </c>
      <c r="I720" s="33">
        <f t="shared" si="57"/>
        <v>0</v>
      </c>
      <c r="J720" s="52">
        <f>재료비목록표!E136</f>
        <v>5976000</v>
      </c>
      <c r="K720" s="13">
        <f t="shared" si="58"/>
        <v>0</v>
      </c>
      <c r="L720" s="55">
        <v>0</v>
      </c>
      <c r="M720" s="33">
        <f t="shared" si="59"/>
        <v>0</v>
      </c>
      <c r="N720" s="22" t="s">
        <v>5483</v>
      </c>
      <c r="O720" s="17" t="s">
        <v>5482</v>
      </c>
      <c r="P720" s="7" t="s">
        <v>5481</v>
      </c>
      <c r="Q720" s="7" t="s">
        <v>3344</v>
      </c>
      <c r="AC720" s="3" t="str">
        <f ca="1">HYPERLINK("#"&amp;재료비목록표!G2&amp;"!A"&amp;ROW(재료비목록표!A136),"자재133 →")</f>
        <v>자재133 →</v>
      </c>
    </row>
    <row r="721" spans="1:29" ht="30.6" customHeight="1" x14ac:dyDescent="0.3">
      <c r="A721" s="10"/>
      <c r="B721" s="10" t="s">
        <v>571</v>
      </c>
      <c r="C721" s="41" t="s">
        <v>2409</v>
      </c>
      <c r="D721" s="43">
        <v>0</v>
      </c>
      <c r="E721" s="22" t="s">
        <v>14</v>
      </c>
      <c r="F721" s="45">
        <f t="shared" si="55"/>
        <v>6078000</v>
      </c>
      <c r="G721" s="48">
        <f t="shared" si="56"/>
        <v>0</v>
      </c>
      <c r="H721" s="51">
        <v>0</v>
      </c>
      <c r="I721" s="33">
        <f t="shared" si="57"/>
        <v>0</v>
      </c>
      <c r="J721" s="52">
        <f>재료비목록표!E125</f>
        <v>6078000</v>
      </c>
      <c r="K721" s="13">
        <f t="shared" si="58"/>
        <v>0</v>
      </c>
      <c r="L721" s="55">
        <v>0</v>
      </c>
      <c r="M721" s="33">
        <f t="shared" si="59"/>
        <v>0</v>
      </c>
      <c r="N721" s="22" t="s">
        <v>5486</v>
      </c>
      <c r="O721" s="17" t="s">
        <v>5485</v>
      </c>
      <c r="P721" s="7" t="s">
        <v>5484</v>
      </c>
      <c r="Q721" s="7" t="s">
        <v>3344</v>
      </c>
      <c r="AC721" s="3" t="str">
        <f ca="1">HYPERLINK("#"&amp;재료비목록표!G2&amp;"!A"&amp;ROW(재료비목록표!A125),"자재122 →")</f>
        <v>자재122 →</v>
      </c>
    </row>
    <row r="722" spans="1:29" ht="30.6" customHeight="1" x14ac:dyDescent="0.3">
      <c r="A722" s="10"/>
      <c r="B722" s="10" t="s">
        <v>571</v>
      </c>
      <c r="C722" s="41" t="s">
        <v>2409</v>
      </c>
      <c r="D722" s="43">
        <v>0</v>
      </c>
      <c r="E722" s="22" t="s">
        <v>14</v>
      </c>
      <c r="F722" s="45">
        <f t="shared" si="55"/>
        <v>6078000</v>
      </c>
      <c r="G722" s="48">
        <f t="shared" si="56"/>
        <v>0</v>
      </c>
      <c r="H722" s="51">
        <v>0</v>
      </c>
      <c r="I722" s="33">
        <f t="shared" si="57"/>
        <v>0</v>
      </c>
      <c r="J722" s="52">
        <f>재료비목록표!E125</f>
        <v>6078000</v>
      </c>
      <c r="K722" s="13">
        <f t="shared" si="58"/>
        <v>0</v>
      </c>
      <c r="L722" s="55">
        <v>0</v>
      </c>
      <c r="M722" s="33">
        <f t="shared" si="59"/>
        <v>0</v>
      </c>
      <c r="N722" s="22" t="s">
        <v>5486</v>
      </c>
      <c r="O722" s="17" t="s">
        <v>5485</v>
      </c>
      <c r="P722" s="7" t="s">
        <v>5484</v>
      </c>
      <c r="Q722" s="7" t="s">
        <v>3344</v>
      </c>
      <c r="AC722" s="3" t="str">
        <f ca="1">HYPERLINK("#"&amp;재료비목록표!G2&amp;"!A"&amp;ROW(재료비목록표!A125),"자재122 →")</f>
        <v>자재122 →</v>
      </c>
    </row>
    <row r="723" spans="1:29" ht="30.6" customHeight="1" x14ac:dyDescent="0.3">
      <c r="A723" s="10"/>
      <c r="B723" s="10" t="s">
        <v>571</v>
      </c>
      <c r="C723" s="41" t="s">
        <v>2412</v>
      </c>
      <c r="D723" s="43">
        <v>0</v>
      </c>
      <c r="E723" s="22" t="s">
        <v>14</v>
      </c>
      <c r="F723" s="45">
        <f t="shared" si="55"/>
        <v>8040000</v>
      </c>
      <c r="G723" s="48">
        <f t="shared" si="56"/>
        <v>0</v>
      </c>
      <c r="H723" s="51">
        <v>0</v>
      </c>
      <c r="I723" s="33">
        <f t="shared" si="57"/>
        <v>0</v>
      </c>
      <c r="J723" s="52">
        <f>재료비목록표!E126</f>
        <v>8040000</v>
      </c>
      <c r="K723" s="13">
        <f t="shared" si="58"/>
        <v>0</v>
      </c>
      <c r="L723" s="55">
        <v>0</v>
      </c>
      <c r="M723" s="33">
        <f t="shared" si="59"/>
        <v>0</v>
      </c>
      <c r="N723" s="22" t="s">
        <v>5489</v>
      </c>
      <c r="O723" s="17" t="s">
        <v>5488</v>
      </c>
      <c r="P723" s="7" t="s">
        <v>5487</v>
      </c>
      <c r="Q723" s="7" t="s">
        <v>3344</v>
      </c>
      <c r="AC723" s="3" t="str">
        <f ca="1">HYPERLINK("#"&amp;재료비목록표!G2&amp;"!A"&amp;ROW(재료비목록표!A126),"자재123 →")</f>
        <v>자재123 →</v>
      </c>
    </row>
    <row r="724" spans="1:29" ht="30.6" customHeight="1" x14ac:dyDescent="0.3">
      <c r="A724" s="10"/>
      <c r="B724" s="10" t="s">
        <v>571</v>
      </c>
      <c r="C724" s="41" t="s">
        <v>2418</v>
      </c>
      <c r="D724" s="43">
        <v>0</v>
      </c>
      <c r="E724" s="22" t="s">
        <v>14</v>
      </c>
      <c r="F724" s="45">
        <f t="shared" si="55"/>
        <v>9642000</v>
      </c>
      <c r="G724" s="48">
        <f t="shared" si="56"/>
        <v>0</v>
      </c>
      <c r="H724" s="51">
        <v>0</v>
      </c>
      <c r="I724" s="33">
        <f t="shared" si="57"/>
        <v>0</v>
      </c>
      <c r="J724" s="52">
        <f>재료비목록표!E128</f>
        <v>9642000</v>
      </c>
      <c r="K724" s="13">
        <f t="shared" si="58"/>
        <v>0</v>
      </c>
      <c r="L724" s="55">
        <v>0</v>
      </c>
      <c r="M724" s="33">
        <f t="shared" si="59"/>
        <v>0</v>
      </c>
      <c r="N724" s="22" t="s">
        <v>5492</v>
      </c>
      <c r="O724" s="17" t="s">
        <v>5491</v>
      </c>
      <c r="P724" s="7" t="s">
        <v>5490</v>
      </c>
      <c r="Q724" s="7" t="s">
        <v>3344</v>
      </c>
      <c r="AC724" s="3" t="str">
        <f ca="1">HYPERLINK("#"&amp;재료비목록표!G2&amp;"!A"&amp;ROW(재료비목록표!A128),"자재125 →")</f>
        <v>자재125 →</v>
      </c>
    </row>
    <row r="725" spans="1:29" ht="30.6" customHeight="1" x14ac:dyDescent="0.3">
      <c r="A725" s="10"/>
      <c r="B725" s="10" t="s">
        <v>571</v>
      </c>
      <c r="C725" s="41" t="s">
        <v>2424</v>
      </c>
      <c r="D725" s="43">
        <v>0</v>
      </c>
      <c r="E725" s="22" t="s">
        <v>14</v>
      </c>
      <c r="F725" s="45">
        <f t="shared" si="55"/>
        <v>13878000</v>
      </c>
      <c r="G725" s="48">
        <f t="shared" si="56"/>
        <v>0</v>
      </c>
      <c r="H725" s="51">
        <v>0</v>
      </c>
      <c r="I725" s="33">
        <f t="shared" si="57"/>
        <v>0</v>
      </c>
      <c r="J725" s="52">
        <f>재료비목록표!E130</f>
        <v>13878000</v>
      </c>
      <c r="K725" s="13">
        <f t="shared" si="58"/>
        <v>0</v>
      </c>
      <c r="L725" s="55">
        <v>0</v>
      </c>
      <c r="M725" s="33">
        <f t="shared" si="59"/>
        <v>0</v>
      </c>
      <c r="N725" s="22" t="s">
        <v>5495</v>
      </c>
      <c r="O725" s="17" t="s">
        <v>5494</v>
      </c>
      <c r="P725" s="7" t="s">
        <v>5493</v>
      </c>
      <c r="Q725" s="7" t="s">
        <v>3344</v>
      </c>
      <c r="AC725" s="3" t="str">
        <f ca="1">HYPERLINK("#"&amp;재료비목록표!G2&amp;"!A"&amp;ROW(재료비목록표!A130),"자재127 →")</f>
        <v>자재127 →</v>
      </c>
    </row>
    <row r="726" spans="1:29" ht="30.6" customHeight="1" x14ac:dyDescent="0.3">
      <c r="A726" s="10"/>
      <c r="B726" s="10" t="s">
        <v>571</v>
      </c>
      <c r="C726" s="41" t="s">
        <v>2430</v>
      </c>
      <c r="D726" s="43">
        <v>0</v>
      </c>
      <c r="E726" s="22" t="s">
        <v>14</v>
      </c>
      <c r="F726" s="45">
        <f t="shared" si="55"/>
        <v>16653000</v>
      </c>
      <c r="G726" s="48">
        <f t="shared" si="56"/>
        <v>0</v>
      </c>
      <c r="H726" s="51">
        <v>0</v>
      </c>
      <c r="I726" s="33">
        <f t="shared" si="57"/>
        <v>0</v>
      </c>
      <c r="J726" s="52">
        <f>재료비목록표!E132</f>
        <v>16653000</v>
      </c>
      <c r="K726" s="13">
        <f t="shared" si="58"/>
        <v>0</v>
      </c>
      <c r="L726" s="55">
        <v>0</v>
      </c>
      <c r="M726" s="33">
        <f t="shared" si="59"/>
        <v>0</v>
      </c>
      <c r="N726" s="22" t="s">
        <v>5498</v>
      </c>
      <c r="O726" s="17" t="s">
        <v>5497</v>
      </c>
      <c r="P726" s="7" t="s">
        <v>5496</v>
      </c>
      <c r="Q726" s="7" t="s">
        <v>3344</v>
      </c>
      <c r="AC726" s="3" t="str">
        <f ca="1">HYPERLINK("#"&amp;재료비목록표!G2&amp;"!A"&amp;ROW(재료비목록표!A132),"자재129 →")</f>
        <v>자재129 →</v>
      </c>
    </row>
    <row r="727" spans="1:29" ht="30.6" customHeight="1" x14ac:dyDescent="0.3">
      <c r="A727" s="10"/>
      <c r="B727" s="10" t="s">
        <v>571</v>
      </c>
      <c r="C727" s="41" t="s">
        <v>2433</v>
      </c>
      <c r="D727" s="43">
        <v>0</v>
      </c>
      <c r="E727" s="22" t="s">
        <v>14</v>
      </c>
      <c r="F727" s="45">
        <f t="shared" si="55"/>
        <v>19984000</v>
      </c>
      <c r="G727" s="48">
        <f t="shared" si="56"/>
        <v>0</v>
      </c>
      <c r="H727" s="51">
        <v>0</v>
      </c>
      <c r="I727" s="33">
        <f t="shared" si="57"/>
        <v>0</v>
      </c>
      <c r="J727" s="52">
        <f>재료비목록표!E133</f>
        <v>19984000</v>
      </c>
      <c r="K727" s="13">
        <f t="shared" si="58"/>
        <v>0</v>
      </c>
      <c r="L727" s="55">
        <v>0</v>
      </c>
      <c r="M727" s="33">
        <f t="shared" si="59"/>
        <v>0</v>
      </c>
      <c r="N727" s="22" t="s">
        <v>5501</v>
      </c>
      <c r="O727" s="17" t="s">
        <v>5500</v>
      </c>
      <c r="P727" s="7" t="s">
        <v>5499</v>
      </c>
      <c r="Q727" s="7" t="s">
        <v>3344</v>
      </c>
      <c r="AC727" s="3" t="str">
        <f ca="1">HYPERLINK("#"&amp;재료비목록표!G2&amp;"!A"&amp;ROW(재료비목록표!A133),"자재130 →")</f>
        <v>자재130 →</v>
      </c>
    </row>
    <row r="728" spans="1:29" ht="30.6" customHeight="1" x14ac:dyDescent="0.3">
      <c r="A728" s="10"/>
      <c r="B728" s="10" t="s">
        <v>571</v>
      </c>
      <c r="C728" s="41" t="s">
        <v>2439</v>
      </c>
      <c r="D728" s="43">
        <v>0</v>
      </c>
      <c r="E728" s="22" t="s">
        <v>14</v>
      </c>
      <c r="F728" s="45">
        <f t="shared" si="55"/>
        <v>23981000</v>
      </c>
      <c r="G728" s="48">
        <f t="shared" si="56"/>
        <v>0</v>
      </c>
      <c r="H728" s="51">
        <v>0</v>
      </c>
      <c r="I728" s="33">
        <f t="shared" si="57"/>
        <v>0</v>
      </c>
      <c r="J728" s="52">
        <f>재료비목록표!E135</f>
        <v>23981000</v>
      </c>
      <c r="K728" s="13">
        <f t="shared" si="58"/>
        <v>0</v>
      </c>
      <c r="L728" s="55">
        <v>0</v>
      </c>
      <c r="M728" s="33">
        <f t="shared" si="59"/>
        <v>0</v>
      </c>
      <c r="N728" s="22" t="s">
        <v>5504</v>
      </c>
      <c r="O728" s="17" t="s">
        <v>5503</v>
      </c>
      <c r="P728" s="7" t="s">
        <v>5502</v>
      </c>
      <c r="Q728" s="7" t="s">
        <v>3344</v>
      </c>
      <c r="AC728" s="3" t="str">
        <f ca="1">HYPERLINK("#"&amp;재료비목록표!G2&amp;"!A"&amp;ROW(재료비목록표!A135),"자재132 →")</f>
        <v>자재132 →</v>
      </c>
    </row>
    <row r="729" spans="1:29" ht="30.6" customHeight="1" x14ac:dyDescent="0.3">
      <c r="A729" s="10"/>
      <c r="B729" s="10" t="s">
        <v>457</v>
      </c>
      <c r="C729" s="41" t="s">
        <v>2042</v>
      </c>
      <c r="D729" s="43">
        <v>0</v>
      </c>
      <c r="E729" s="22" t="s">
        <v>14</v>
      </c>
      <c r="F729" s="45">
        <f t="shared" ref="F729:F792" si="60">J729+H729+L729</f>
        <v>450000</v>
      </c>
      <c r="G729" s="48">
        <f t="shared" ref="G729:G792" si="61">K729+I729+M729</f>
        <v>0</v>
      </c>
      <c r="H729" s="51">
        <v>0</v>
      </c>
      <c r="I729" s="33">
        <f t="shared" ref="I729:I792" si="62">ROUNDDOWN(H729*D729,0)</f>
        <v>0</v>
      </c>
      <c r="J729" s="52">
        <f>재료비목록표!E5</f>
        <v>450000</v>
      </c>
      <c r="K729" s="13">
        <f t="shared" ref="K729:K792" si="63">ROUNDDOWN(J729*D729,0)</f>
        <v>0</v>
      </c>
      <c r="L729" s="55">
        <v>0</v>
      </c>
      <c r="M729" s="33">
        <f t="shared" ref="M729:M792" si="64">ROUNDDOWN(L729*D729,0)</f>
        <v>0</v>
      </c>
      <c r="N729" s="22" t="s">
        <v>5507</v>
      </c>
      <c r="O729" s="17" t="s">
        <v>5506</v>
      </c>
      <c r="P729" s="7" t="s">
        <v>5505</v>
      </c>
      <c r="Q729" s="7" t="s">
        <v>3344</v>
      </c>
      <c r="AC729" s="3" t="str">
        <f ca="1">HYPERLINK("#"&amp;재료비목록표!G2&amp;"!A"&amp;ROW(재료비목록표!A5),"자재2 →")</f>
        <v>자재2 →</v>
      </c>
    </row>
    <row r="730" spans="1:29" ht="30.6" customHeight="1" x14ac:dyDescent="0.3">
      <c r="A730" s="10"/>
      <c r="B730" s="10" t="s">
        <v>457</v>
      </c>
      <c r="C730" s="41" t="s">
        <v>2048</v>
      </c>
      <c r="D730" s="43">
        <v>0</v>
      </c>
      <c r="E730" s="22" t="s">
        <v>14</v>
      </c>
      <c r="F730" s="45">
        <f t="shared" si="60"/>
        <v>930000</v>
      </c>
      <c r="G730" s="48">
        <f t="shared" si="61"/>
        <v>0</v>
      </c>
      <c r="H730" s="51">
        <v>0</v>
      </c>
      <c r="I730" s="33">
        <f t="shared" si="62"/>
        <v>0</v>
      </c>
      <c r="J730" s="52">
        <f>재료비목록표!E7</f>
        <v>930000</v>
      </c>
      <c r="K730" s="13">
        <f t="shared" si="63"/>
        <v>0</v>
      </c>
      <c r="L730" s="55">
        <v>0</v>
      </c>
      <c r="M730" s="33">
        <f t="shared" si="64"/>
        <v>0</v>
      </c>
      <c r="N730" s="22" t="s">
        <v>5510</v>
      </c>
      <c r="O730" s="17" t="s">
        <v>5509</v>
      </c>
      <c r="P730" s="7" t="s">
        <v>5508</v>
      </c>
      <c r="Q730" s="7" t="s">
        <v>3344</v>
      </c>
      <c r="AC730" s="3" t="str">
        <f ca="1">HYPERLINK("#"&amp;재료비목록표!G2&amp;"!A"&amp;ROW(재료비목록표!A7),"자재4 →")</f>
        <v>자재4 →</v>
      </c>
    </row>
    <row r="731" spans="1:29" ht="30.6" customHeight="1" x14ac:dyDescent="0.3">
      <c r="A731" s="10"/>
      <c r="B731" s="10" t="s">
        <v>457</v>
      </c>
      <c r="C731" s="41" t="s">
        <v>2045</v>
      </c>
      <c r="D731" s="43">
        <v>0</v>
      </c>
      <c r="E731" s="22" t="s">
        <v>14</v>
      </c>
      <c r="F731" s="45">
        <f t="shared" si="60"/>
        <v>1280000</v>
      </c>
      <c r="G731" s="48">
        <f t="shared" si="61"/>
        <v>0</v>
      </c>
      <c r="H731" s="51">
        <v>0</v>
      </c>
      <c r="I731" s="33">
        <f t="shared" si="62"/>
        <v>0</v>
      </c>
      <c r="J731" s="52">
        <f>재료비목록표!E6</f>
        <v>1280000</v>
      </c>
      <c r="K731" s="13">
        <f t="shared" si="63"/>
        <v>0</v>
      </c>
      <c r="L731" s="55">
        <v>0</v>
      </c>
      <c r="M731" s="33">
        <f t="shared" si="64"/>
        <v>0</v>
      </c>
      <c r="N731" s="22" t="s">
        <v>5513</v>
      </c>
      <c r="O731" s="17" t="s">
        <v>5512</v>
      </c>
      <c r="P731" s="7" t="s">
        <v>5511</v>
      </c>
      <c r="Q731" s="7" t="s">
        <v>3344</v>
      </c>
      <c r="AC731" s="3" t="str">
        <f ca="1">HYPERLINK("#"&amp;재료비목록표!G2&amp;"!A"&amp;ROW(재료비목록표!A6),"자재3 →")</f>
        <v>자재3 →</v>
      </c>
    </row>
    <row r="732" spans="1:29" ht="30.6" customHeight="1" x14ac:dyDescent="0.3">
      <c r="A732" s="10"/>
      <c r="B732" s="10" t="s">
        <v>3028</v>
      </c>
      <c r="C732" s="41" t="s">
        <v>501</v>
      </c>
      <c r="D732" s="43">
        <v>0</v>
      </c>
      <c r="E732" s="22" t="s">
        <v>14</v>
      </c>
      <c r="F732" s="45">
        <f t="shared" si="60"/>
        <v>1906000</v>
      </c>
      <c r="G732" s="48">
        <f t="shared" si="61"/>
        <v>0</v>
      </c>
      <c r="H732" s="51">
        <v>0</v>
      </c>
      <c r="I732" s="33">
        <f t="shared" si="62"/>
        <v>0</v>
      </c>
      <c r="J732" s="52">
        <f>재료비목록표!E357</f>
        <v>1906000</v>
      </c>
      <c r="K732" s="13">
        <f t="shared" si="63"/>
        <v>0</v>
      </c>
      <c r="L732" s="55">
        <v>0</v>
      </c>
      <c r="M732" s="33">
        <f t="shared" si="64"/>
        <v>0</v>
      </c>
      <c r="N732" s="22" t="s">
        <v>5516</v>
      </c>
      <c r="O732" s="17" t="s">
        <v>5515</v>
      </c>
      <c r="P732" s="7" t="s">
        <v>5514</v>
      </c>
      <c r="Q732" s="7" t="s">
        <v>3344</v>
      </c>
      <c r="AC732" s="3" t="str">
        <f ca="1">HYPERLINK("#"&amp;재료비목록표!G2&amp;"!A"&amp;ROW(재료비목록표!A357),"자재354 →")</f>
        <v>자재354 →</v>
      </c>
    </row>
    <row r="733" spans="1:29" ht="30.6" customHeight="1" x14ac:dyDescent="0.3">
      <c r="A733" s="10"/>
      <c r="B733" s="10" t="s">
        <v>3028</v>
      </c>
      <c r="C733" s="41" t="s">
        <v>3031</v>
      </c>
      <c r="D733" s="43">
        <v>0</v>
      </c>
      <c r="E733" s="22" t="s">
        <v>14</v>
      </c>
      <c r="F733" s="45">
        <f t="shared" si="60"/>
        <v>2296000</v>
      </c>
      <c r="G733" s="48">
        <f t="shared" si="61"/>
        <v>0</v>
      </c>
      <c r="H733" s="51">
        <v>0</v>
      </c>
      <c r="I733" s="33">
        <f t="shared" si="62"/>
        <v>0</v>
      </c>
      <c r="J733" s="52">
        <f>재료비목록표!E358</f>
        <v>2296000</v>
      </c>
      <c r="K733" s="13">
        <f t="shared" si="63"/>
        <v>0</v>
      </c>
      <c r="L733" s="55">
        <v>0</v>
      </c>
      <c r="M733" s="33">
        <f t="shared" si="64"/>
        <v>0</v>
      </c>
      <c r="N733" s="22" t="s">
        <v>5519</v>
      </c>
      <c r="O733" s="17" t="s">
        <v>5518</v>
      </c>
      <c r="P733" s="7" t="s">
        <v>5517</v>
      </c>
      <c r="Q733" s="7" t="s">
        <v>3344</v>
      </c>
      <c r="AC733" s="3" t="str">
        <f ca="1">HYPERLINK("#"&amp;재료비목록표!G2&amp;"!A"&amp;ROW(재료비목록표!A358),"자재355 →")</f>
        <v>자재355 →</v>
      </c>
    </row>
    <row r="734" spans="1:29" ht="30.6" customHeight="1" x14ac:dyDescent="0.3">
      <c r="A734" s="10"/>
      <c r="B734" s="10" t="s">
        <v>3028</v>
      </c>
      <c r="C734" s="41" t="s">
        <v>3034</v>
      </c>
      <c r="D734" s="43">
        <v>0</v>
      </c>
      <c r="E734" s="22" t="s">
        <v>14</v>
      </c>
      <c r="F734" s="45">
        <f t="shared" si="60"/>
        <v>2512000</v>
      </c>
      <c r="G734" s="48">
        <f t="shared" si="61"/>
        <v>0</v>
      </c>
      <c r="H734" s="51">
        <v>0</v>
      </c>
      <c r="I734" s="33">
        <f t="shared" si="62"/>
        <v>0</v>
      </c>
      <c r="J734" s="52">
        <f>재료비목록표!E359</f>
        <v>2512000</v>
      </c>
      <c r="K734" s="13">
        <f t="shared" si="63"/>
        <v>0</v>
      </c>
      <c r="L734" s="55">
        <v>0</v>
      </c>
      <c r="M734" s="33">
        <f t="shared" si="64"/>
        <v>0</v>
      </c>
      <c r="N734" s="22" t="s">
        <v>5522</v>
      </c>
      <c r="O734" s="17" t="s">
        <v>5521</v>
      </c>
      <c r="P734" s="7" t="s">
        <v>5520</v>
      </c>
      <c r="Q734" s="7" t="s">
        <v>3344</v>
      </c>
      <c r="AC734" s="3" t="str">
        <f ca="1">HYPERLINK("#"&amp;재료비목록표!G2&amp;"!A"&amp;ROW(재료비목록표!A359),"자재356 →")</f>
        <v>자재356 →</v>
      </c>
    </row>
    <row r="735" spans="1:29" ht="30.6" customHeight="1" x14ac:dyDescent="0.3">
      <c r="A735" s="10"/>
      <c r="B735" s="10" t="s">
        <v>3037</v>
      </c>
      <c r="C735" s="41" t="s">
        <v>3038</v>
      </c>
      <c r="D735" s="43">
        <v>0</v>
      </c>
      <c r="E735" s="22" t="s">
        <v>14</v>
      </c>
      <c r="F735" s="45">
        <f t="shared" si="60"/>
        <v>1650000</v>
      </c>
      <c r="G735" s="48">
        <f t="shared" si="61"/>
        <v>0</v>
      </c>
      <c r="H735" s="51">
        <v>0</v>
      </c>
      <c r="I735" s="33">
        <f t="shared" si="62"/>
        <v>0</v>
      </c>
      <c r="J735" s="52">
        <f>재료비목록표!E360</f>
        <v>1650000</v>
      </c>
      <c r="K735" s="13">
        <f t="shared" si="63"/>
        <v>0</v>
      </c>
      <c r="L735" s="55">
        <v>0</v>
      </c>
      <c r="M735" s="33">
        <f t="shared" si="64"/>
        <v>0</v>
      </c>
      <c r="N735" s="22" t="s">
        <v>5525</v>
      </c>
      <c r="O735" s="17" t="s">
        <v>5524</v>
      </c>
      <c r="P735" s="7" t="s">
        <v>5523</v>
      </c>
      <c r="Q735" s="7" t="s">
        <v>3344</v>
      </c>
      <c r="AC735" s="3" t="str">
        <f ca="1">HYPERLINK("#"&amp;재료비목록표!G2&amp;"!A"&amp;ROW(재료비목록표!A360),"자재357 →")</f>
        <v>자재357 →</v>
      </c>
    </row>
    <row r="736" spans="1:29" ht="30.6" customHeight="1" x14ac:dyDescent="0.3">
      <c r="A736" s="10"/>
      <c r="B736" s="10" t="s">
        <v>3037</v>
      </c>
      <c r="C736" s="41" t="s">
        <v>467</v>
      </c>
      <c r="D736" s="43">
        <v>0</v>
      </c>
      <c r="E736" s="22" t="s">
        <v>14</v>
      </c>
      <c r="F736" s="45">
        <f t="shared" si="60"/>
        <v>1871000</v>
      </c>
      <c r="G736" s="48">
        <f t="shared" si="61"/>
        <v>0</v>
      </c>
      <c r="H736" s="51">
        <v>0</v>
      </c>
      <c r="I736" s="33">
        <f t="shared" si="62"/>
        <v>0</v>
      </c>
      <c r="J736" s="52">
        <f>재료비목록표!E361</f>
        <v>1871000</v>
      </c>
      <c r="K736" s="13">
        <f t="shared" si="63"/>
        <v>0</v>
      </c>
      <c r="L736" s="55">
        <v>0</v>
      </c>
      <c r="M736" s="33">
        <f t="shared" si="64"/>
        <v>0</v>
      </c>
      <c r="N736" s="22" t="s">
        <v>5528</v>
      </c>
      <c r="O736" s="17" t="s">
        <v>5527</v>
      </c>
      <c r="P736" s="7" t="s">
        <v>5526</v>
      </c>
      <c r="Q736" s="7" t="s">
        <v>3344</v>
      </c>
      <c r="AC736" s="3" t="str">
        <f ca="1">HYPERLINK("#"&amp;재료비목록표!G2&amp;"!A"&amp;ROW(재료비목록표!A361),"자재358 →")</f>
        <v>자재358 →</v>
      </c>
    </row>
    <row r="737" spans="1:29" ht="30.6" customHeight="1" x14ac:dyDescent="0.3">
      <c r="A737" s="10"/>
      <c r="B737" s="10" t="s">
        <v>705</v>
      </c>
      <c r="C737" s="41" t="s">
        <v>2320</v>
      </c>
      <c r="D737" s="43">
        <v>0</v>
      </c>
      <c r="E737" s="22" t="s">
        <v>14</v>
      </c>
      <c r="F737" s="45">
        <f t="shared" si="60"/>
        <v>970000</v>
      </c>
      <c r="G737" s="48">
        <f t="shared" si="61"/>
        <v>0</v>
      </c>
      <c r="H737" s="51">
        <v>0</v>
      </c>
      <c r="I737" s="33">
        <f t="shared" si="62"/>
        <v>0</v>
      </c>
      <c r="J737" s="52">
        <f>재료비목록표!E97</f>
        <v>970000</v>
      </c>
      <c r="K737" s="13">
        <f t="shared" si="63"/>
        <v>0</v>
      </c>
      <c r="L737" s="55">
        <v>0</v>
      </c>
      <c r="M737" s="33">
        <f t="shared" si="64"/>
        <v>0</v>
      </c>
      <c r="N737" s="22" t="s">
        <v>5531</v>
      </c>
      <c r="O737" s="17" t="s">
        <v>5530</v>
      </c>
      <c r="P737" s="7" t="s">
        <v>5529</v>
      </c>
      <c r="Q737" s="7" t="s">
        <v>3344</v>
      </c>
      <c r="AC737" s="3" t="str">
        <f ca="1">HYPERLINK("#"&amp;재료비목록표!G2&amp;"!A"&amp;ROW(재료비목록표!A97),"자재94 →")</f>
        <v>자재94 →</v>
      </c>
    </row>
    <row r="738" spans="1:29" ht="30.6" customHeight="1" x14ac:dyDescent="0.3">
      <c r="A738" s="10"/>
      <c r="B738" s="10" t="s">
        <v>705</v>
      </c>
      <c r="C738" s="41" t="s">
        <v>2323</v>
      </c>
      <c r="D738" s="43">
        <v>1</v>
      </c>
      <c r="E738" s="22" t="s">
        <v>14</v>
      </c>
      <c r="F738" s="45">
        <f t="shared" si="60"/>
        <v>1050000</v>
      </c>
      <c r="G738" s="48">
        <f t="shared" si="61"/>
        <v>1050000</v>
      </c>
      <c r="H738" s="51">
        <v>0</v>
      </c>
      <c r="I738" s="33">
        <f t="shared" si="62"/>
        <v>0</v>
      </c>
      <c r="J738" s="52">
        <f>재료비목록표!E98</f>
        <v>1050000</v>
      </c>
      <c r="K738" s="13">
        <f t="shared" si="63"/>
        <v>1050000</v>
      </c>
      <c r="L738" s="55">
        <v>0</v>
      </c>
      <c r="M738" s="33">
        <f t="shared" si="64"/>
        <v>0</v>
      </c>
      <c r="N738" s="22" t="s">
        <v>5534</v>
      </c>
      <c r="O738" s="17" t="s">
        <v>5533</v>
      </c>
      <c r="P738" s="7" t="s">
        <v>5532</v>
      </c>
      <c r="Q738" s="7" t="s">
        <v>3344</v>
      </c>
      <c r="AC738" s="3" t="str">
        <f ca="1">HYPERLINK("#"&amp;재료비목록표!G2&amp;"!A"&amp;ROW(재료비목록표!A98),"자재95 →")</f>
        <v>자재95 →</v>
      </c>
    </row>
    <row r="739" spans="1:29" ht="30.6" customHeight="1" x14ac:dyDescent="0.3">
      <c r="A739" s="10"/>
      <c r="B739" s="10" t="s">
        <v>705</v>
      </c>
      <c r="C739" s="41" t="s">
        <v>2326</v>
      </c>
      <c r="D739" s="43">
        <v>0</v>
      </c>
      <c r="E739" s="22" t="s">
        <v>14</v>
      </c>
      <c r="F739" s="45">
        <f t="shared" si="60"/>
        <v>1500000</v>
      </c>
      <c r="G739" s="48">
        <f t="shared" si="61"/>
        <v>0</v>
      </c>
      <c r="H739" s="51">
        <v>0</v>
      </c>
      <c r="I739" s="33">
        <f t="shared" si="62"/>
        <v>0</v>
      </c>
      <c r="J739" s="52">
        <f>재료비목록표!E99</f>
        <v>1500000</v>
      </c>
      <c r="K739" s="13">
        <f t="shared" si="63"/>
        <v>0</v>
      </c>
      <c r="L739" s="55">
        <v>0</v>
      </c>
      <c r="M739" s="33">
        <f t="shared" si="64"/>
        <v>0</v>
      </c>
      <c r="N739" s="22" t="s">
        <v>5537</v>
      </c>
      <c r="O739" s="17" t="s">
        <v>5536</v>
      </c>
      <c r="P739" s="7" t="s">
        <v>5535</v>
      </c>
      <c r="Q739" s="7" t="s">
        <v>3344</v>
      </c>
      <c r="AC739" s="3" t="str">
        <f ca="1">HYPERLINK("#"&amp;재료비목록표!G2&amp;"!A"&amp;ROW(재료비목록표!A99),"자재96 →")</f>
        <v>자재96 →</v>
      </c>
    </row>
    <row r="740" spans="1:29" ht="30.6" customHeight="1" x14ac:dyDescent="0.3">
      <c r="A740" s="10"/>
      <c r="B740" s="10" t="s">
        <v>705</v>
      </c>
      <c r="C740" s="41" t="s">
        <v>2329</v>
      </c>
      <c r="D740" s="43">
        <v>0</v>
      </c>
      <c r="E740" s="22" t="s">
        <v>14</v>
      </c>
      <c r="F740" s="45">
        <f t="shared" si="60"/>
        <v>1800000</v>
      </c>
      <c r="G740" s="48">
        <f t="shared" si="61"/>
        <v>0</v>
      </c>
      <c r="H740" s="51">
        <v>0</v>
      </c>
      <c r="I740" s="33">
        <f t="shared" si="62"/>
        <v>0</v>
      </c>
      <c r="J740" s="52">
        <f>재료비목록표!E100</f>
        <v>1800000</v>
      </c>
      <c r="K740" s="13">
        <f t="shared" si="63"/>
        <v>0</v>
      </c>
      <c r="L740" s="55">
        <v>0</v>
      </c>
      <c r="M740" s="33">
        <f t="shared" si="64"/>
        <v>0</v>
      </c>
      <c r="N740" s="22" t="s">
        <v>5540</v>
      </c>
      <c r="O740" s="17" t="s">
        <v>5539</v>
      </c>
      <c r="P740" s="7" t="s">
        <v>5538</v>
      </c>
      <c r="Q740" s="7" t="s">
        <v>3344</v>
      </c>
      <c r="AC740" s="3" t="str">
        <f ca="1">HYPERLINK("#"&amp;재료비목록표!G2&amp;"!A"&amp;ROW(재료비목록표!A100),"자재97 →")</f>
        <v>자재97 →</v>
      </c>
    </row>
    <row r="741" spans="1:29" ht="30.6" customHeight="1" x14ac:dyDescent="0.3">
      <c r="A741" s="10"/>
      <c r="B741" s="10" t="s">
        <v>705</v>
      </c>
      <c r="C741" s="41" t="s">
        <v>2332</v>
      </c>
      <c r="D741" s="43">
        <v>0</v>
      </c>
      <c r="E741" s="22" t="s">
        <v>14</v>
      </c>
      <c r="F741" s="45">
        <f t="shared" si="60"/>
        <v>2300000</v>
      </c>
      <c r="G741" s="48">
        <f t="shared" si="61"/>
        <v>0</v>
      </c>
      <c r="H741" s="51">
        <v>0</v>
      </c>
      <c r="I741" s="33">
        <f t="shared" si="62"/>
        <v>0</v>
      </c>
      <c r="J741" s="52">
        <f>재료비목록표!E101</f>
        <v>2300000</v>
      </c>
      <c r="K741" s="13">
        <f t="shared" si="63"/>
        <v>0</v>
      </c>
      <c r="L741" s="55">
        <v>0</v>
      </c>
      <c r="M741" s="33">
        <f t="shared" si="64"/>
        <v>0</v>
      </c>
      <c r="N741" s="22" t="s">
        <v>5543</v>
      </c>
      <c r="O741" s="17" t="s">
        <v>5542</v>
      </c>
      <c r="P741" s="7" t="s">
        <v>5541</v>
      </c>
      <c r="Q741" s="7" t="s">
        <v>3344</v>
      </c>
      <c r="AC741" s="3" t="str">
        <f ca="1">HYPERLINK("#"&amp;재료비목록표!G2&amp;"!A"&amp;ROW(재료비목록표!A101),"자재98 →")</f>
        <v>자재98 →</v>
      </c>
    </row>
    <row r="742" spans="1:29" ht="30.6" customHeight="1" x14ac:dyDescent="0.3">
      <c r="A742" s="10"/>
      <c r="B742" s="10" t="s">
        <v>705</v>
      </c>
      <c r="C742" s="41" t="s">
        <v>2317</v>
      </c>
      <c r="D742" s="43">
        <v>0</v>
      </c>
      <c r="E742" s="22" t="s">
        <v>14</v>
      </c>
      <c r="F742" s="45">
        <f t="shared" si="60"/>
        <v>3662000</v>
      </c>
      <c r="G742" s="48">
        <f t="shared" si="61"/>
        <v>0</v>
      </c>
      <c r="H742" s="51">
        <v>0</v>
      </c>
      <c r="I742" s="33">
        <f t="shared" si="62"/>
        <v>0</v>
      </c>
      <c r="J742" s="52">
        <f>재료비목록표!E96</f>
        <v>3662000</v>
      </c>
      <c r="K742" s="13">
        <f t="shared" si="63"/>
        <v>0</v>
      </c>
      <c r="L742" s="55">
        <v>0</v>
      </c>
      <c r="M742" s="33">
        <f t="shared" si="64"/>
        <v>0</v>
      </c>
      <c r="N742" s="22" t="s">
        <v>5546</v>
      </c>
      <c r="O742" s="17" t="s">
        <v>5545</v>
      </c>
      <c r="P742" s="7" t="s">
        <v>5544</v>
      </c>
      <c r="Q742" s="7" t="s">
        <v>3344</v>
      </c>
      <c r="AC742" s="3" t="str">
        <f ca="1">HYPERLINK("#"&amp;재료비목록표!G2&amp;"!A"&amp;ROW(재료비목록표!A96),"자재93 →")</f>
        <v>자재93 →</v>
      </c>
    </row>
    <row r="743" spans="1:29" ht="30.6" customHeight="1" x14ac:dyDescent="0.3">
      <c r="A743" s="10"/>
      <c r="B743" s="10" t="s">
        <v>2310</v>
      </c>
      <c r="C743" s="41" t="s">
        <v>2311</v>
      </c>
      <c r="D743" s="43">
        <v>0</v>
      </c>
      <c r="E743" s="22" t="s">
        <v>2212</v>
      </c>
      <c r="F743" s="45">
        <f t="shared" si="60"/>
        <v>396000</v>
      </c>
      <c r="G743" s="48">
        <f t="shared" si="61"/>
        <v>0</v>
      </c>
      <c r="H743" s="51">
        <v>0</v>
      </c>
      <c r="I743" s="33">
        <f t="shared" si="62"/>
        <v>0</v>
      </c>
      <c r="J743" s="52">
        <f>재료비목록표!E94</f>
        <v>396000</v>
      </c>
      <c r="K743" s="13">
        <f t="shared" si="63"/>
        <v>0</v>
      </c>
      <c r="L743" s="55">
        <v>0</v>
      </c>
      <c r="M743" s="33">
        <f t="shared" si="64"/>
        <v>0</v>
      </c>
      <c r="N743" s="22" t="s">
        <v>5549</v>
      </c>
      <c r="O743" s="17" t="s">
        <v>5548</v>
      </c>
      <c r="P743" s="7" t="s">
        <v>5547</v>
      </c>
      <c r="Q743" s="7" t="s">
        <v>3344</v>
      </c>
      <c r="AC743" s="3" t="str">
        <f ca="1">HYPERLINK("#"&amp;재료비목록표!G2&amp;"!A"&amp;ROW(재료비목록표!A94),"자재91 →")</f>
        <v>자재91 →</v>
      </c>
    </row>
    <row r="744" spans="1:29" ht="30.6" customHeight="1" x14ac:dyDescent="0.3">
      <c r="A744" s="10"/>
      <c r="B744" s="10" t="s">
        <v>2310</v>
      </c>
      <c r="C744" s="41" t="s">
        <v>2314</v>
      </c>
      <c r="D744" s="43">
        <v>0</v>
      </c>
      <c r="E744" s="22" t="s">
        <v>2212</v>
      </c>
      <c r="F744" s="45">
        <f t="shared" si="60"/>
        <v>528000</v>
      </c>
      <c r="G744" s="48">
        <f t="shared" si="61"/>
        <v>0</v>
      </c>
      <c r="H744" s="51">
        <v>0</v>
      </c>
      <c r="I744" s="33">
        <f t="shared" si="62"/>
        <v>0</v>
      </c>
      <c r="J744" s="52">
        <f>재료비목록표!E95</f>
        <v>528000</v>
      </c>
      <c r="K744" s="13">
        <f t="shared" si="63"/>
        <v>0</v>
      </c>
      <c r="L744" s="55">
        <v>0</v>
      </c>
      <c r="M744" s="33">
        <f t="shared" si="64"/>
        <v>0</v>
      </c>
      <c r="N744" s="22" t="s">
        <v>5552</v>
      </c>
      <c r="O744" s="17" t="s">
        <v>5551</v>
      </c>
      <c r="P744" s="7" t="s">
        <v>5550</v>
      </c>
      <c r="Q744" s="7" t="s">
        <v>3344</v>
      </c>
      <c r="AC744" s="3" t="str">
        <f ca="1">HYPERLINK("#"&amp;재료비목록표!G2&amp;"!A"&amp;ROW(재료비목록표!A95),"자재92 →")</f>
        <v>자재92 →</v>
      </c>
    </row>
    <row r="745" spans="1:29" ht="30.6" customHeight="1" x14ac:dyDescent="0.3">
      <c r="A745" s="10"/>
      <c r="B745" s="10" t="s">
        <v>2267</v>
      </c>
      <c r="C745" s="41" t="s">
        <v>2268</v>
      </c>
      <c r="D745" s="43">
        <v>0</v>
      </c>
      <c r="E745" s="22" t="s">
        <v>1010</v>
      </c>
      <c r="F745" s="45">
        <f t="shared" si="60"/>
        <v>400000</v>
      </c>
      <c r="G745" s="48">
        <f t="shared" si="61"/>
        <v>0</v>
      </c>
      <c r="H745" s="51">
        <v>0</v>
      </c>
      <c r="I745" s="33">
        <f t="shared" si="62"/>
        <v>0</v>
      </c>
      <c r="J745" s="52">
        <f>재료비목록표!E82</f>
        <v>400000</v>
      </c>
      <c r="K745" s="13">
        <f t="shared" si="63"/>
        <v>0</v>
      </c>
      <c r="L745" s="55">
        <v>0</v>
      </c>
      <c r="M745" s="33">
        <f t="shared" si="64"/>
        <v>0</v>
      </c>
      <c r="N745" s="22" t="s">
        <v>5555</v>
      </c>
      <c r="O745" s="17" t="s">
        <v>5554</v>
      </c>
      <c r="P745" s="7" t="s">
        <v>5553</v>
      </c>
      <c r="Q745" s="7" t="s">
        <v>3344</v>
      </c>
      <c r="AC745" s="3" t="str">
        <f ca="1">HYPERLINK("#"&amp;재료비목록표!G2&amp;"!A"&amp;ROW(재료비목록표!A82),"자재79 →")</f>
        <v>자재79 →</v>
      </c>
    </row>
    <row r="746" spans="1:29" ht="30.6" customHeight="1" x14ac:dyDescent="0.3">
      <c r="A746" s="10"/>
      <c r="B746" s="10" t="s">
        <v>724</v>
      </c>
      <c r="C746" s="41" t="s">
        <v>2335</v>
      </c>
      <c r="D746" s="43">
        <v>0</v>
      </c>
      <c r="E746" s="22" t="s">
        <v>14</v>
      </c>
      <c r="F746" s="45">
        <f t="shared" si="60"/>
        <v>6500000</v>
      </c>
      <c r="G746" s="48">
        <f t="shared" si="61"/>
        <v>0</v>
      </c>
      <c r="H746" s="51">
        <v>0</v>
      </c>
      <c r="I746" s="33">
        <f t="shared" si="62"/>
        <v>0</v>
      </c>
      <c r="J746" s="52">
        <f>재료비목록표!E102</f>
        <v>6500000</v>
      </c>
      <c r="K746" s="13">
        <f t="shared" si="63"/>
        <v>0</v>
      </c>
      <c r="L746" s="55">
        <v>0</v>
      </c>
      <c r="M746" s="33">
        <f t="shared" si="64"/>
        <v>0</v>
      </c>
      <c r="N746" s="22" t="s">
        <v>5558</v>
      </c>
      <c r="O746" s="17" t="s">
        <v>5557</v>
      </c>
      <c r="P746" s="7" t="s">
        <v>5556</v>
      </c>
      <c r="Q746" s="7" t="s">
        <v>3344</v>
      </c>
      <c r="AC746" s="3" t="str">
        <f ca="1">HYPERLINK("#"&amp;재료비목록표!G2&amp;"!A"&amp;ROW(재료비목록표!A102),"자재99 →")</f>
        <v>자재99 →</v>
      </c>
    </row>
    <row r="747" spans="1:29" ht="30.6" customHeight="1" x14ac:dyDescent="0.3">
      <c r="A747" s="10"/>
      <c r="B747" s="10" t="s">
        <v>724</v>
      </c>
      <c r="C747" s="41" t="s">
        <v>2338</v>
      </c>
      <c r="D747" s="43">
        <v>0</v>
      </c>
      <c r="E747" s="22" t="s">
        <v>14</v>
      </c>
      <c r="F747" s="45">
        <f t="shared" si="60"/>
        <v>10500000</v>
      </c>
      <c r="G747" s="48">
        <f t="shared" si="61"/>
        <v>0</v>
      </c>
      <c r="H747" s="51">
        <v>0</v>
      </c>
      <c r="I747" s="33">
        <f t="shared" si="62"/>
        <v>0</v>
      </c>
      <c r="J747" s="52">
        <f>재료비목록표!E103</f>
        <v>10500000</v>
      </c>
      <c r="K747" s="13">
        <f t="shared" si="63"/>
        <v>0</v>
      </c>
      <c r="L747" s="55">
        <v>0</v>
      </c>
      <c r="M747" s="33">
        <f t="shared" si="64"/>
        <v>0</v>
      </c>
      <c r="N747" s="22" t="s">
        <v>5561</v>
      </c>
      <c r="O747" s="17" t="s">
        <v>5560</v>
      </c>
      <c r="P747" s="7" t="s">
        <v>5559</v>
      </c>
      <c r="Q747" s="7" t="s">
        <v>3344</v>
      </c>
      <c r="AC747" s="3" t="str">
        <f ca="1">HYPERLINK("#"&amp;재료비목록표!G2&amp;"!A"&amp;ROW(재료비목록표!A103),"자재100 →")</f>
        <v>자재100 →</v>
      </c>
    </row>
    <row r="748" spans="1:29" ht="30.6" customHeight="1" x14ac:dyDescent="0.3">
      <c r="A748" s="10"/>
      <c r="B748" s="10" t="s">
        <v>724</v>
      </c>
      <c r="C748" s="41" t="s">
        <v>2341</v>
      </c>
      <c r="D748" s="43">
        <v>0</v>
      </c>
      <c r="E748" s="22" t="s">
        <v>14</v>
      </c>
      <c r="F748" s="45">
        <f t="shared" si="60"/>
        <v>12500000</v>
      </c>
      <c r="G748" s="48">
        <f t="shared" si="61"/>
        <v>0</v>
      </c>
      <c r="H748" s="51">
        <v>0</v>
      </c>
      <c r="I748" s="33">
        <f t="shared" si="62"/>
        <v>0</v>
      </c>
      <c r="J748" s="52">
        <f>재료비목록표!E104</f>
        <v>12500000</v>
      </c>
      <c r="K748" s="13">
        <f t="shared" si="63"/>
        <v>0</v>
      </c>
      <c r="L748" s="55">
        <v>0</v>
      </c>
      <c r="M748" s="33">
        <f t="shared" si="64"/>
        <v>0</v>
      </c>
      <c r="N748" s="22" t="s">
        <v>5564</v>
      </c>
      <c r="O748" s="17" t="s">
        <v>5563</v>
      </c>
      <c r="P748" s="7" t="s">
        <v>5562</v>
      </c>
      <c r="Q748" s="7" t="s">
        <v>3344</v>
      </c>
      <c r="AC748" s="3" t="str">
        <f ca="1">HYPERLINK("#"&amp;재료비목록표!G2&amp;"!A"&amp;ROW(재료비목록표!A104),"자재101 →")</f>
        <v>자재101 →</v>
      </c>
    </row>
    <row r="749" spans="1:29" ht="30.6" customHeight="1" x14ac:dyDescent="0.3">
      <c r="A749" s="10"/>
      <c r="B749" s="10" t="s">
        <v>724</v>
      </c>
      <c r="C749" s="41" t="s">
        <v>2344</v>
      </c>
      <c r="D749" s="43">
        <v>0</v>
      </c>
      <c r="E749" s="22" t="s">
        <v>14</v>
      </c>
      <c r="F749" s="45">
        <f t="shared" si="60"/>
        <v>15000000</v>
      </c>
      <c r="G749" s="48">
        <f t="shared" si="61"/>
        <v>0</v>
      </c>
      <c r="H749" s="51">
        <v>0</v>
      </c>
      <c r="I749" s="33">
        <f t="shared" si="62"/>
        <v>0</v>
      </c>
      <c r="J749" s="52">
        <f>재료비목록표!E105</f>
        <v>15000000</v>
      </c>
      <c r="K749" s="13">
        <f t="shared" si="63"/>
        <v>0</v>
      </c>
      <c r="L749" s="55">
        <v>0</v>
      </c>
      <c r="M749" s="33">
        <f t="shared" si="64"/>
        <v>0</v>
      </c>
      <c r="N749" s="22" t="s">
        <v>5567</v>
      </c>
      <c r="O749" s="17" t="s">
        <v>5566</v>
      </c>
      <c r="P749" s="7" t="s">
        <v>5565</v>
      </c>
      <c r="Q749" s="7" t="s">
        <v>3344</v>
      </c>
      <c r="AC749" s="3" t="str">
        <f ca="1">HYPERLINK("#"&amp;재료비목록표!G2&amp;"!A"&amp;ROW(재료비목록표!A105),"자재102 →")</f>
        <v>자재102 →</v>
      </c>
    </row>
    <row r="750" spans="1:29" ht="30.6" customHeight="1" x14ac:dyDescent="0.3">
      <c r="A750" s="10"/>
      <c r="B750" s="10" t="s">
        <v>803</v>
      </c>
      <c r="C750" s="41" t="s">
        <v>2746</v>
      </c>
      <c r="D750" s="43">
        <v>0</v>
      </c>
      <c r="E750" s="22" t="s">
        <v>14</v>
      </c>
      <c r="F750" s="45">
        <f t="shared" si="60"/>
        <v>708000</v>
      </c>
      <c r="G750" s="48">
        <f t="shared" si="61"/>
        <v>0</v>
      </c>
      <c r="H750" s="51">
        <v>0</v>
      </c>
      <c r="I750" s="33">
        <f t="shared" si="62"/>
        <v>0</v>
      </c>
      <c r="J750" s="52">
        <f>재료비목록표!E254</f>
        <v>708000</v>
      </c>
      <c r="K750" s="13">
        <f t="shared" si="63"/>
        <v>0</v>
      </c>
      <c r="L750" s="55">
        <v>0</v>
      </c>
      <c r="M750" s="33">
        <f t="shared" si="64"/>
        <v>0</v>
      </c>
      <c r="N750" s="22" t="s">
        <v>5570</v>
      </c>
      <c r="O750" s="17" t="s">
        <v>5569</v>
      </c>
      <c r="P750" s="7" t="s">
        <v>5568</v>
      </c>
      <c r="Q750" s="7" t="s">
        <v>3344</v>
      </c>
      <c r="AC750" s="3" t="str">
        <f ca="1">HYPERLINK("#"&amp;재료비목록표!G2&amp;"!A"&amp;ROW(재료비목록표!A254),"자재251 →")</f>
        <v>자재251 →</v>
      </c>
    </row>
    <row r="751" spans="1:29" ht="30.6" customHeight="1" x14ac:dyDescent="0.3">
      <c r="A751" s="10"/>
      <c r="B751" s="10" t="s">
        <v>803</v>
      </c>
      <c r="C751" s="41" t="s">
        <v>2752</v>
      </c>
      <c r="D751" s="43">
        <v>0</v>
      </c>
      <c r="E751" s="22" t="s">
        <v>1010</v>
      </c>
      <c r="F751" s="45">
        <f t="shared" si="60"/>
        <v>873000</v>
      </c>
      <c r="G751" s="48">
        <f t="shared" si="61"/>
        <v>0</v>
      </c>
      <c r="H751" s="51">
        <v>0</v>
      </c>
      <c r="I751" s="33">
        <f t="shared" si="62"/>
        <v>0</v>
      </c>
      <c r="J751" s="52">
        <f>재료비목록표!E256</f>
        <v>873000</v>
      </c>
      <c r="K751" s="13">
        <f t="shared" si="63"/>
        <v>0</v>
      </c>
      <c r="L751" s="55">
        <v>0</v>
      </c>
      <c r="M751" s="33">
        <f t="shared" si="64"/>
        <v>0</v>
      </c>
      <c r="N751" s="22" t="s">
        <v>5573</v>
      </c>
      <c r="O751" s="17" t="s">
        <v>5572</v>
      </c>
      <c r="P751" s="7" t="s">
        <v>5571</v>
      </c>
      <c r="Q751" s="7" t="s">
        <v>3344</v>
      </c>
      <c r="AC751" s="3" t="str">
        <f ca="1">HYPERLINK("#"&amp;재료비목록표!G2&amp;"!A"&amp;ROW(재료비목록표!A256),"자재253 →")</f>
        <v>자재253 →</v>
      </c>
    </row>
    <row r="752" spans="1:29" ht="30.6" customHeight="1" x14ac:dyDescent="0.3">
      <c r="A752" s="10"/>
      <c r="B752" s="10" t="s">
        <v>803</v>
      </c>
      <c r="C752" s="41" t="s">
        <v>2761</v>
      </c>
      <c r="D752" s="43">
        <v>0</v>
      </c>
      <c r="E752" s="22" t="s">
        <v>1010</v>
      </c>
      <c r="F752" s="45">
        <f t="shared" si="60"/>
        <v>1070000</v>
      </c>
      <c r="G752" s="48">
        <f t="shared" si="61"/>
        <v>0</v>
      </c>
      <c r="H752" s="51">
        <v>0</v>
      </c>
      <c r="I752" s="33">
        <f t="shared" si="62"/>
        <v>0</v>
      </c>
      <c r="J752" s="52">
        <f>재료비목록표!E259</f>
        <v>1070000</v>
      </c>
      <c r="K752" s="13">
        <f t="shared" si="63"/>
        <v>0</v>
      </c>
      <c r="L752" s="55">
        <v>0</v>
      </c>
      <c r="M752" s="33">
        <f t="shared" si="64"/>
        <v>0</v>
      </c>
      <c r="N752" s="22" t="s">
        <v>5576</v>
      </c>
      <c r="O752" s="17" t="s">
        <v>5575</v>
      </c>
      <c r="P752" s="7" t="s">
        <v>5574</v>
      </c>
      <c r="Q752" s="7" t="s">
        <v>3344</v>
      </c>
      <c r="AC752" s="3" t="str">
        <f ca="1">HYPERLINK("#"&amp;재료비목록표!G2&amp;"!A"&amp;ROW(재료비목록표!A259),"자재256 →")</f>
        <v>자재256 →</v>
      </c>
    </row>
    <row r="753" spans="1:29" ht="30.6" customHeight="1" x14ac:dyDescent="0.3">
      <c r="A753" s="10"/>
      <c r="B753" s="10" t="s">
        <v>803</v>
      </c>
      <c r="C753" s="41" t="s">
        <v>2767</v>
      </c>
      <c r="D753" s="43">
        <v>0</v>
      </c>
      <c r="E753" s="22" t="s">
        <v>1010</v>
      </c>
      <c r="F753" s="45">
        <f t="shared" si="60"/>
        <v>1595000</v>
      </c>
      <c r="G753" s="48">
        <f t="shared" si="61"/>
        <v>0</v>
      </c>
      <c r="H753" s="51">
        <v>0</v>
      </c>
      <c r="I753" s="33">
        <f t="shared" si="62"/>
        <v>0</v>
      </c>
      <c r="J753" s="52">
        <f>재료비목록표!E261</f>
        <v>1595000</v>
      </c>
      <c r="K753" s="13">
        <f t="shared" si="63"/>
        <v>0</v>
      </c>
      <c r="L753" s="55">
        <v>0</v>
      </c>
      <c r="M753" s="33">
        <f t="shared" si="64"/>
        <v>0</v>
      </c>
      <c r="N753" s="22" t="s">
        <v>5579</v>
      </c>
      <c r="O753" s="17" t="s">
        <v>5578</v>
      </c>
      <c r="P753" s="7" t="s">
        <v>5577</v>
      </c>
      <c r="Q753" s="7" t="s">
        <v>3344</v>
      </c>
      <c r="AC753" s="3" t="str">
        <f ca="1">HYPERLINK("#"&amp;재료비목록표!G2&amp;"!A"&amp;ROW(재료비목록표!A261),"자재258 →")</f>
        <v>자재258 →</v>
      </c>
    </row>
    <row r="754" spans="1:29" ht="30.6" customHeight="1" x14ac:dyDescent="0.3">
      <c r="A754" s="10"/>
      <c r="B754" s="10" t="s">
        <v>803</v>
      </c>
      <c r="C754" s="41" t="s">
        <v>2737</v>
      </c>
      <c r="D754" s="43">
        <v>0</v>
      </c>
      <c r="E754" s="22" t="s">
        <v>1010</v>
      </c>
      <c r="F754" s="45">
        <f t="shared" si="60"/>
        <v>1856000</v>
      </c>
      <c r="G754" s="48">
        <f t="shared" si="61"/>
        <v>0</v>
      </c>
      <c r="H754" s="51">
        <v>0</v>
      </c>
      <c r="I754" s="33">
        <f t="shared" si="62"/>
        <v>0</v>
      </c>
      <c r="J754" s="52">
        <f>재료비목록표!E251</f>
        <v>1856000</v>
      </c>
      <c r="K754" s="13">
        <f t="shared" si="63"/>
        <v>0</v>
      </c>
      <c r="L754" s="55">
        <v>0</v>
      </c>
      <c r="M754" s="33">
        <f t="shared" si="64"/>
        <v>0</v>
      </c>
      <c r="N754" s="22" t="s">
        <v>5582</v>
      </c>
      <c r="O754" s="17" t="s">
        <v>5581</v>
      </c>
      <c r="P754" s="7" t="s">
        <v>5580</v>
      </c>
      <c r="Q754" s="7" t="s">
        <v>3344</v>
      </c>
      <c r="AC754" s="3" t="str">
        <f ca="1">HYPERLINK("#"&amp;재료비목록표!G2&amp;"!A"&amp;ROW(재료비목록표!A251),"자재248 →")</f>
        <v>자재248 →</v>
      </c>
    </row>
    <row r="755" spans="1:29" ht="30.6" customHeight="1" x14ac:dyDescent="0.3">
      <c r="A755" s="10"/>
      <c r="B755" s="10" t="s">
        <v>803</v>
      </c>
      <c r="C755" s="41" t="s">
        <v>2740</v>
      </c>
      <c r="D755" s="43">
        <v>0</v>
      </c>
      <c r="E755" s="22" t="s">
        <v>1010</v>
      </c>
      <c r="F755" s="45">
        <f t="shared" si="60"/>
        <v>2497000</v>
      </c>
      <c r="G755" s="48">
        <f t="shared" si="61"/>
        <v>0</v>
      </c>
      <c r="H755" s="51">
        <v>0</v>
      </c>
      <c r="I755" s="33">
        <f t="shared" si="62"/>
        <v>0</v>
      </c>
      <c r="J755" s="52">
        <f>재료비목록표!E252</f>
        <v>2497000</v>
      </c>
      <c r="K755" s="13">
        <f t="shared" si="63"/>
        <v>0</v>
      </c>
      <c r="L755" s="55">
        <v>0</v>
      </c>
      <c r="M755" s="33">
        <f t="shared" si="64"/>
        <v>0</v>
      </c>
      <c r="N755" s="22" t="s">
        <v>5585</v>
      </c>
      <c r="O755" s="17" t="s">
        <v>5584</v>
      </c>
      <c r="P755" s="7" t="s">
        <v>5583</v>
      </c>
      <c r="Q755" s="7" t="s">
        <v>3344</v>
      </c>
      <c r="AC755" s="3" t="str">
        <f ca="1">HYPERLINK("#"&amp;재료비목록표!G2&amp;"!A"&amp;ROW(재료비목록표!A252),"자재249 →")</f>
        <v>자재249 →</v>
      </c>
    </row>
    <row r="756" spans="1:29" ht="30.6" customHeight="1" x14ac:dyDescent="0.3">
      <c r="A756" s="10"/>
      <c r="B756" s="10" t="s">
        <v>803</v>
      </c>
      <c r="C756" s="41" t="s">
        <v>2743</v>
      </c>
      <c r="D756" s="43">
        <v>0</v>
      </c>
      <c r="E756" s="22" t="s">
        <v>1010</v>
      </c>
      <c r="F756" s="45">
        <f t="shared" si="60"/>
        <v>3388000</v>
      </c>
      <c r="G756" s="48">
        <f t="shared" si="61"/>
        <v>0</v>
      </c>
      <c r="H756" s="51">
        <v>0</v>
      </c>
      <c r="I756" s="33">
        <f t="shared" si="62"/>
        <v>0</v>
      </c>
      <c r="J756" s="52">
        <f>재료비목록표!E253</f>
        <v>3388000</v>
      </c>
      <c r="K756" s="13">
        <f t="shared" si="63"/>
        <v>0</v>
      </c>
      <c r="L756" s="55">
        <v>0</v>
      </c>
      <c r="M756" s="33">
        <f t="shared" si="64"/>
        <v>0</v>
      </c>
      <c r="N756" s="22" t="s">
        <v>5588</v>
      </c>
      <c r="O756" s="17" t="s">
        <v>5587</v>
      </c>
      <c r="P756" s="7" t="s">
        <v>5586</v>
      </c>
      <c r="Q756" s="7" t="s">
        <v>3344</v>
      </c>
      <c r="AC756" s="3" t="str">
        <f ca="1">HYPERLINK("#"&amp;재료비목록표!G2&amp;"!A"&amp;ROW(재료비목록표!A253),"자재250 →")</f>
        <v>자재250 →</v>
      </c>
    </row>
    <row r="757" spans="1:29" ht="30.6" customHeight="1" x14ac:dyDescent="0.3">
      <c r="A757" s="10"/>
      <c r="B757" s="10" t="s">
        <v>803</v>
      </c>
      <c r="C757" s="41" t="s">
        <v>2749</v>
      </c>
      <c r="D757" s="43">
        <v>0</v>
      </c>
      <c r="E757" s="22" t="s">
        <v>1010</v>
      </c>
      <c r="F757" s="45">
        <f t="shared" si="60"/>
        <v>5258000</v>
      </c>
      <c r="G757" s="48">
        <f t="shared" si="61"/>
        <v>0</v>
      </c>
      <c r="H757" s="51">
        <v>0</v>
      </c>
      <c r="I757" s="33">
        <f t="shared" si="62"/>
        <v>0</v>
      </c>
      <c r="J757" s="52">
        <f>재료비목록표!E255</f>
        <v>5258000</v>
      </c>
      <c r="K757" s="13">
        <f t="shared" si="63"/>
        <v>0</v>
      </c>
      <c r="L757" s="55">
        <v>0</v>
      </c>
      <c r="M757" s="33">
        <f t="shared" si="64"/>
        <v>0</v>
      </c>
      <c r="N757" s="22" t="s">
        <v>5591</v>
      </c>
      <c r="O757" s="17" t="s">
        <v>5590</v>
      </c>
      <c r="P757" s="7" t="s">
        <v>5589</v>
      </c>
      <c r="Q757" s="7" t="s">
        <v>3344</v>
      </c>
      <c r="AC757" s="3" t="str">
        <f ca="1">HYPERLINK("#"&amp;재료비목록표!G2&amp;"!A"&amp;ROW(재료비목록표!A255),"자재252 →")</f>
        <v>자재252 →</v>
      </c>
    </row>
    <row r="758" spans="1:29" ht="30.6" customHeight="1" x14ac:dyDescent="0.3">
      <c r="A758" s="10"/>
      <c r="B758" s="10" t="s">
        <v>803</v>
      </c>
      <c r="C758" s="41" t="s">
        <v>2755</v>
      </c>
      <c r="D758" s="43">
        <v>0</v>
      </c>
      <c r="E758" s="22" t="s">
        <v>1010</v>
      </c>
      <c r="F758" s="45">
        <f t="shared" si="60"/>
        <v>7532000</v>
      </c>
      <c r="G758" s="48">
        <f t="shared" si="61"/>
        <v>0</v>
      </c>
      <c r="H758" s="51">
        <v>0</v>
      </c>
      <c r="I758" s="33">
        <f t="shared" si="62"/>
        <v>0</v>
      </c>
      <c r="J758" s="52">
        <f>재료비목록표!E257</f>
        <v>7532000</v>
      </c>
      <c r="K758" s="13">
        <f t="shared" si="63"/>
        <v>0</v>
      </c>
      <c r="L758" s="55">
        <v>0</v>
      </c>
      <c r="M758" s="33">
        <f t="shared" si="64"/>
        <v>0</v>
      </c>
      <c r="N758" s="22" t="s">
        <v>5594</v>
      </c>
      <c r="O758" s="17" t="s">
        <v>5593</v>
      </c>
      <c r="P758" s="7" t="s">
        <v>5592</v>
      </c>
      <c r="Q758" s="7" t="s">
        <v>3344</v>
      </c>
      <c r="AC758" s="3" t="str">
        <f ca="1">HYPERLINK("#"&amp;재료비목록표!G2&amp;"!A"&amp;ROW(재료비목록표!A257),"자재254 →")</f>
        <v>자재254 →</v>
      </c>
    </row>
    <row r="759" spans="1:29" ht="30.6" customHeight="1" x14ac:dyDescent="0.3">
      <c r="A759" s="10"/>
      <c r="B759" s="10" t="s">
        <v>803</v>
      </c>
      <c r="C759" s="41" t="s">
        <v>2758</v>
      </c>
      <c r="D759" s="43">
        <v>0</v>
      </c>
      <c r="E759" s="22" t="s">
        <v>1010</v>
      </c>
      <c r="F759" s="45">
        <f t="shared" si="60"/>
        <v>9512000</v>
      </c>
      <c r="G759" s="48">
        <f t="shared" si="61"/>
        <v>0</v>
      </c>
      <c r="H759" s="51">
        <v>0</v>
      </c>
      <c r="I759" s="33">
        <f t="shared" si="62"/>
        <v>0</v>
      </c>
      <c r="J759" s="52">
        <f>재료비목록표!E258</f>
        <v>9512000</v>
      </c>
      <c r="K759" s="13">
        <f t="shared" si="63"/>
        <v>0</v>
      </c>
      <c r="L759" s="55">
        <v>0</v>
      </c>
      <c r="M759" s="33">
        <f t="shared" si="64"/>
        <v>0</v>
      </c>
      <c r="N759" s="22" t="s">
        <v>5597</v>
      </c>
      <c r="O759" s="17" t="s">
        <v>5596</v>
      </c>
      <c r="P759" s="7" t="s">
        <v>5595</v>
      </c>
      <c r="Q759" s="7" t="s">
        <v>3344</v>
      </c>
      <c r="AC759" s="3" t="str">
        <f ca="1">HYPERLINK("#"&amp;재료비목록표!G2&amp;"!A"&amp;ROW(재료비목록표!A258),"자재255 →")</f>
        <v>자재255 →</v>
      </c>
    </row>
    <row r="760" spans="1:29" ht="30.6" customHeight="1" x14ac:dyDescent="0.3">
      <c r="A760" s="10"/>
      <c r="B760" s="10" t="s">
        <v>803</v>
      </c>
      <c r="C760" s="41" t="s">
        <v>2770</v>
      </c>
      <c r="D760" s="43">
        <v>0</v>
      </c>
      <c r="E760" s="22" t="s">
        <v>1010</v>
      </c>
      <c r="F760" s="45">
        <f t="shared" si="60"/>
        <v>16461000</v>
      </c>
      <c r="G760" s="48">
        <f t="shared" si="61"/>
        <v>0</v>
      </c>
      <c r="H760" s="51">
        <v>0</v>
      </c>
      <c r="I760" s="33">
        <f t="shared" si="62"/>
        <v>0</v>
      </c>
      <c r="J760" s="52">
        <f>재료비목록표!E262</f>
        <v>16461000</v>
      </c>
      <c r="K760" s="13">
        <f t="shared" si="63"/>
        <v>0</v>
      </c>
      <c r="L760" s="55">
        <v>0</v>
      </c>
      <c r="M760" s="33">
        <f t="shared" si="64"/>
        <v>0</v>
      </c>
      <c r="N760" s="22" t="s">
        <v>5600</v>
      </c>
      <c r="O760" s="17" t="s">
        <v>5599</v>
      </c>
      <c r="P760" s="7" t="s">
        <v>5598</v>
      </c>
      <c r="Q760" s="7" t="s">
        <v>3344</v>
      </c>
      <c r="AC760" s="3" t="str">
        <f ca="1">HYPERLINK("#"&amp;재료비목록표!G2&amp;"!A"&amp;ROW(재료비목록표!A262),"자재259 →")</f>
        <v>자재259 →</v>
      </c>
    </row>
    <row r="761" spans="1:29" ht="30.6" customHeight="1" x14ac:dyDescent="0.3">
      <c r="A761" s="10"/>
      <c r="B761" s="10" t="s">
        <v>2600</v>
      </c>
      <c r="C761" s="41" t="s">
        <v>337</v>
      </c>
      <c r="D761" s="43">
        <v>0</v>
      </c>
      <c r="E761" s="22" t="s">
        <v>1010</v>
      </c>
      <c r="F761" s="45">
        <f t="shared" si="60"/>
        <v>52000</v>
      </c>
      <c r="G761" s="48">
        <f t="shared" si="61"/>
        <v>0</v>
      </c>
      <c r="H761" s="51">
        <v>0</v>
      </c>
      <c r="I761" s="33">
        <f t="shared" si="62"/>
        <v>0</v>
      </c>
      <c r="J761" s="52">
        <f>재료비목록표!E203</f>
        <v>52000</v>
      </c>
      <c r="K761" s="13">
        <f t="shared" si="63"/>
        <v>0</v>
      </c>
      <c r="L761" s="55">
        <v>0</v>
      </c>
      <c r="M761" s="33">
        <f t="shared" si="64"/>
        <v>0</v>
      </c>
      <c r="N761" s="22" t="s">
        <v>5603</v>
      </c>
      <c r="O761" s="17" t="s">
        <v>5602</v>
      </c>
      <c r="P761" s="7" t="s">
        <v>5601</v>
      </c>
      <c r="Q761" s="7" t="s">
        <v>3344</v>
      </c>
      <c r="AC761" s="3" t="str">
        <f ca="1">HYPERLINK("#"&amp;재료비목록표!G2&amp;"!A"&amp;ROW(재료비목록표!A203),"자재200 →")</f>
        <v>자재200 →</v>
      </c>
    </row>
    <row r="762" spans="1:29" ht="30.6" customHeight="1" x14ac:dyDescent="0.3">
      <c r="A762" s="10"/>
      <c r="B762" s="10" t="s">
        <v>2600</v>
      </c>
      <c r="C762" s="41" t="s">
        <v>340</v>
      </c>
      <c r="D762" s="43">
        <v>0</v>
      </c>
      <c r="E762" s="22" t="s">
        <v>1010</v>
      </c>
      <c r="F762" s="45">
        <f t="shared" si="60"/>
        <v>52000</v>
      </c>
      <c r="G762" s="48">
        <f t="shared" si="61"/>
        <v>0</v>
      </c>
      <c r="H762" s="51">
        <v>0</v>
      </c>
      <c r="I762" s="33">
        <f t="shared" si="62"/>
        <v>0</v>
      </c>
      <c r="J762" s="52">
        <f>재료비목록표!E205</f>
        <v>52000</v>
      </c>
      <c r="K762" s="13">
        <f t="shared" si="63"/>
        <v>0</v>
      </c>
      <c r="L762" s="55">
        <v>0</v>
      </c>
      <c r="M762" s="33">
        <f t="shared" si="64"/>
        <v>0</v>
      </c>
      <c r="N762" s="22" t="s">
        <v>5606</v>
      </c>
      <c r="O762" s="17" t="s">
        <v>5605</v>
      </c>
      <c r="P762" s="7" t="s">
        <v>5604</v>
      </c>
      <c r="Q762" s="7" t="s">
        <v>3344</v>
      </c>
      <c r="AC762" s="3" t="str">
        <f ca="1">HYPERLINK("#"&amp;재료비목록표!G2&amp;"!A"&amp;ROW(재료비목록표!A205),"자재202 →")</f>
        <v>자재202 →</v>
      </c>
    </row>
    <row r="763" spans="1:29" ht="30.6" customHeight="1" x14ac:dyDescent="0.3">
      <c r="A763" s="10"/>
      <c r="B763" s="10" t="s">
        <v>2600</v>
      </c>
      <c r="C763" s="41" t="s">
        <v>343</v>
      </c>
      <c r="D763" s="43">
        <v>0</v>
      </c>
      <c r="E763" s="22" t="s">
        <v>1010</v>
      </c>
      <c r="F763" s="45">
        <f t="shared" si="60"/>
        <v>52000</v>
      </c>
      <c r="G763" s="48">
        <f t="shared" si="61"/>
        <v>0</v>
      </c>
      <c r="H763" s="51">
        <v>0</v>
      </c>
      <c r="I763" s="33">
        <f t="shared" si="62"/>
        <v>0</v>
      </c>
      <c r="J763" s="52">
        <f>재료비목록표!E208</f>
        <v>52000</v>
      </c>
      <c r="K763" s="13">
        <f t="shared" si="63"/>
        <v>0</v>
      </c>
      <c r="L763" s="55">
        <v>0</v>
      </c>
      <c r="M763" s="33">
        <f t="shared" si="64"/>
        <v>0</v>
      </c>
      <c r="N763" s="22" t="s">
        <v>5609</v>
      </c>
      <c r="O763" s="17" t="s">
        <v>5608</v>
      </c>
      <c r="P763" s="7" t="s">
        <v>5607</v>
      </c>
      <c r="Q763" s="7" t="s">
        <v>3344</v>
      </c>
      <c r="AC763" s="3" t="str">
        <f ca="1">HYPERLINK("#"&amp;재료비목록표!G2&amp;"!A"&amp;ROW(재료비목록표!A208),"자재205 →")</f>
        <v>자재205 →</v>
      </c>
    </row>
    <row r="764" spans="1:29" ht="30.6" customHeight="1" x14ac:dyDescent="0.3">
      <c r="A764" s="10"/>
      <c r="B764" s="10" t="s">
        <v>2600</v>
      </c>
      <c r="C764" s="41" t="s">
        <v>346</v>
      </c>
      <c r="D764" s="43">
        <v>0</v>
      </c>
      <c r="E764" s="22" t="s">
        <v>1010</v>
      </c>
      <c r="F764" s="45">
        <f t="shared" si="60"/>
        <v>52000</v>
      </c>
      <c r="G764" s="48">
        <f t="shared" si="61"/>
        <v>0</v>
      </c>
      <c r="H764" s="51">
        <v>0</v>
      </c>
      <c r="I764" s="33">
        <f t="shared" si="62"/>
        <v>0</v>
      </c>
      <c r="J764" s="52">
        <f>재료비목록표!E210</f>
        <v>52000</v>
      </c>
      <c r="K764" s="13">
        <f t="shared" si="63"/>
        <v>0</v>
      </c>
      <c r="L764" s="55">
        <v>0</v>
      </c>
      <c r="M764" s="33">
        <f t="shared" si="64"/>
        <v>0</v>
      </c>
      <c r="N764" s="22" t="s">
        <v>5612</v>
      </c>
      <c r="O764" s="17" t="s">
        <v>5611</v>
      </c>
      <c r="P764" s="7" t="s">
        <v>5610</v>
      </c>
      <c r="Q764" s="7" t="s">
        <v>3344</v>
      </c>
      <c r="AC764" s="3" t="str">
        <f ca="1">HYPERLINK("#"&amp;재료비목록표!G2&amp;"!A"&amp;ROW(재료비목록표!A210),"자재207 →")</f>
        <v>자재207 →</v>
      </c>
    </row>
    <row r="765" spans="1:29" ht="30.6" customHeight="1" x14ac:dyDescent="0.3">
      <c r="A765" s="10"/>
      <c r="B765" s="10" t="s">
        <v>2600</v>
      </c>
      <c r="C765" s="41" t="s">
        <v>349</v>
      </c>
      <c r="D765" s="43">
        <v>0</v>
      </c>
      <c r="E765" s="22" t="s">
        <v>1010</v>
      </c>
      <c r="F765" s="45">
        <f t="shared" si="60"/>
        <v>102000</v>
      </c>
      <c r="G765" s="48">
        <f t="shared" si="61"/>
        <v>0</v>
      </c>
      <c r="H765" s="51">
        <v>0</v>
      </c>
      <c r="I765" s="33">
        <f t="shared" si="62"/>
        <v>0</v>
      </c>
      <c r="J765" s="52">
        <f>재료비목록표!E198</f>
        <v>102000</v>
      </c>
      <c r="K765" s="13">
        <f t="shared" si="63"/>
        <v>0</v>
      </c>
      <c r="L765" s="55">
        <v>0</v>
      </c>
      <c r="M765" s="33">
        <f t="shared" si="64"/>
        <v>0</v>
      </c>
      <c r="N765" s="22" t="s">
        <v>5615</v>
      </c>
      <c r="O765" s="17" t="s">
        <v>5614</v>
      </c>
      <c r="P765" s="7" t="s">
        <v>5613</v>
      </c>
      <c r="Q765" s="7" t="s">
        <v>3344</v>
      </c>
      <c r="AC765" s="3" t="str">
        <f ca="1">HYPERLINK("#"&amp;재료비목록표!G2&amp;"!A"&amp;ROW(재료비목록표!A198),"자재195 →")</f>
        <v>자재195 →</v>
      </c>
    </row>
    <row r="766" spans="1:29" ht="30.6" customHeight="1" x14ac:dyDescent="0.3">
      <c r="A766" s="10"/>
      <c r="B766" s="10" t="s">
        <v>2600</v>
      </c>
      <c r="C766" s="41" t="s">
        <v>352</v>
      </c>
      <c r="D766" s="43">
        <v>0</v>
      </c>
      <c r="E766" s="22" t="s">
        <v>1010</v>
      </c>
      <c r="F766" s="45">
        <f t="shared" si="60"/>
        <v>102000</v>
      </c>
      <c r="G766" s="48">
        <f t="shared" si="61"/>
        <v>0</v>
      </c>
      <c r="H766" s="51">
        <v>0</v>
      </c>
      <c r="I766" s="33">
        <f t="shared" si="62"/>
        <v>0</v>
      </c>
      <c r="J766" s="52">
        <f>재료비목록표!E200</f>
        <v>102000</v>
      </c>
      <c r="K766" s="13">
        <f t="shared" si="63"/>
        <v>0</v>
      </c>
      <c r="L766" s="55">
        <v>0</v>
      </c>
      <c r="M766" s="33">
        <f t="shared" si="64"/>
        <v>0</v>
      </c>
      <c r="N766" s="22" t="s">
        <v>5618</v>
      </c>
      <c r="O766" s="17" t="s">
        <v>5617</v>
      </c>
      <c r="P766" s="7" t="s">
        <v>5616</v>
      </c>
      <c r="Q766" s="7" t="s">
        <v>3344</v>
      </c>
      <c r="AC766" s="3" t="str">
        <f ca="1">HYPERLINK("#"&amp;재료비목록표!G2&amp;"!A"&amp;ROW(재료비목록표!A200),"자재197 →")</f>
        <v>자재197 →</v>
      </c>
    </row>
    <row r="767" spans="1:29" ht="30.6" customHeight="1" x14ac:dyDescent="0.3">
      <c r="A767" s="10"/>
      <c r="B767" s="10" t="s">
        <v>2600</v>
      </c>
      <c r="C767" s="41" t="s">
        <v>355</v>
      </c>
      <c r="D767" s="43">
        <v>0</v>
      </c>
      <c r="E767" s="22" t="s">
        <v>1010</v>
      </c>
      <c r="F767" s="45">
        <f t="shared" si="60"/>
        <v>102000</v>
      </c>
      <c r="G767" s="48">
        <f t="shared" si="61"/>
        <v>0</v>
      </c>
      <c r="H767" s="51">
        <v>0</v>
      </c>
      <c r="I767" s="33">
        <f t="shared" si="62"/>
        <v>0</v>
      </c>
      <c r="J767" s="52">
        <f>재료비목록표!E201</f>
        <v>102000</v>
      </c>
      <c r="K767" s="13">
        <f t="shared" si="63"/>
        <v>0</v>
      </c>
      <c r="L767" s="55">
        <v>0</v>
      </c>
      <c r="M767" s="33">
        <f t="shared" si="64"/>
        <v>0</v>
      </c>
      <c r="N767" s="22" t="s">
        <v>5621</v>
      </c>
      <c r="O767" s="17" t="s">
        <v>5620</v>
      </c>
      <c r="P767" s="7" t="s">
        <v>5619</v>
      </c>
      <c r="Q767" s="7" t="s">
        <v>3344</v>
      </c>
      <c r="AC767" s="3" t="str">
        <f ca="1">HYPERLINK("#"&amp;재료비목록표!G2&amp;"!A"&amp;ROW(재료비목록표!A201),"자재198 →")</f>
        <v>자재198 →</v>
      </c>
    </row>
    <row r="768" spans="1:29" ht="30.6" customHeight="1" x14ac:dyDescent="0.3">
      <c r="A768" s="10"/>
      <c r="B768" s="10" t="s">
        <v>2600</v>
      </c>
      <c r="C768" s="41" t="s">
        <v>358</v>
      </c>
      <c r="D768" s="43">
        <v>0</v>
      </c>
      <c r="E768" s="22" t="s">
        <v>1010</v>
      </c>
      <c r="F768" s="45">
        <f t="shared" si="60"/>
        <v>102000</v>
      </c>
      <c r="G768" s="48">
        <f t="shared" si="61"/>
        <v>0</v>
      </c>
      <c r="H768" s="51">
        <v>0</v>
      </c>
      <c r="I768" s="33">
        <f t="shared" si="62"/>
        <v>0</v>
      </c>
      <c r="J768" s="52">
        <f>재료비목록표!E202</f>
        <v>102000</v>
      </c>
      <c r="K768" s="13">
        <f t="shared" si="63"/>
        <v>0</v>
      </c>
      <c r="L768" s="55">
        <v>0</v>
      </c>
      <c r="M768" s="33">
        <f t="shared" si="64"/>
        <v>0</v>
      </c>
      <c r="N768" s="22" t="s">
        <v>5624</v>
      </c>
      <c r="O768" s="17" t="s">
        <v>5623</v>
      </c>
      <c r="P768" s="7" t="s">
        <v>5622</v>
      </c>
      <c r="Q768" s="7" t="s">
        <v>3344</v>
      </c>
      <c r="AC768" s="3" t="str">
        <f ca="1">HYPERLINK("#"&amp;재료비목록표!G2&amp;"!A"&amp;ROW(재료비목록표!A202),"자재199 →")</f>
        <v>자재199 →</v>
      </c>
    </row>
    <row r="769" spans="1:29" ht="30.6" customHeight="1" x14ac:dyDescent="0.3">
      <c r="A769" s="10"/>
      <c r="B769" s="10" t="s">
        <v>2600</v>
      </c>
      <c r="C769" s="41" t="s">
        <v>361</v>
      </c>
      <c r="D769" s="43">
        <v>0</v>
      </c>
      <c r="E769" s="22" t="s">
        <v>1010</v>
      </c>
      <c r="F769" s="45">
        <f t="shared" si="60"/>
        <v>163000</v>
      </c>
      <c r="G769" s="48">
        <f t="shared" si="61"/>
        <v>0</v>
      </c>
      <c r="H769" s="51">
        <v>0</v>
      </c>
      <c r="I769" s="33">
        <f t="shared" si="62"/>
        <v>0</v>
      </c>
      <c r="J769" s="52">
        <f>재료비목록표!E204</f>
        <v>163000</v>
      </c>
      <c r="K769" s="13">
        <f t="shared" si="63"/>
        <v>0</v>
      </c>
      <c r="L769" s="55">
        <v>0</v>
      </c>
      <c r="M769" s="33">
        <f t="shared" si="64"/>
        <v>0</v>
      </c>
      <c r="N769" s="22" t="s">
        <v>5627</v>
      </c>
      <c r="O769" s="17" t="s">
        <v>5626</v>
      </c>
      <c r="P769" s="7" t="s">
        <v>5625</v>
      </c>
      <c r="Q769" s="7" t="s">
        <v>3344</v>
      </c>
      <c r="AC769" s="3" t="str">
        <f ca="1">HYPERLINK("#"&amp;재료비목록표!G2&amp;"!A"&amp;ROW(재료비목록표!A204),"자재201 →")</f>
        <v>자재201 →</v>
      </c>
    </row>
    <row r="770" spans="1:29" ht="30.6" customHeight="1" x14ac:dyDescent="0.3">
      <c r="A770" s="10"/>
      <c r="B770" s="10" t="s">
        <v>2600</v>
      </c>
      <c r="C770" s="41" t="s">
        <v>364</v>
      </c>
      <c r="D770" s="43">
        <v>0</v>
      </c>
      <c r="E770" s="22" t="s">
        <v>1010</v>
      </c>
      <c r="F770" s="45">
        <f t="shared" si="60"/>
        <v>163000</v>
      </c>
      <c r="G770" s="48">
        <f t="shared" si="61"/>
        <v>0</v>
      </c>
      <c r="H770" s="51">
        <v>0</v>
      </c>
      <c r="I770" s="33">
        <f t="shared" si="62"/>
        <v>0</v>
      </c>
      <c r="J770" s="52">
        <f>재료비목록표!E206</f>
        <v>163000</v>
      </c>
      <c r="K770" s="13">
        <f t="shared" si="63"/>
        <v>0</v>
      </c>
      <c r="L770" s="55">
        <v>0</v>
      </c>
      <c r="M770" s="33">
        <f t="shared" si="64"/>
        <v>0</v>
      </c>
      <c r="N770" s="22" t="s">
        <v>5630</v>
      </c>
      <c r="O770" s="17" t="s">
        <v>5629</v>
      </c>
      <c r="P770" s="7" t="s">
        <v>5628</v>
      </c>
      <c r="Q770" s="7" t="s">
        <v>3344</v>
      </c>
      <c r="AC770" s="3" t="str">
        <f ca="1">HYPERLINK("#"&amp;재료비목록표!G2&amp;"!A"&amp;ROW(재료비목록표!A206),"자재203 →")</f>
        <v>자재203 →</v>
      </c>
    </row>
    <row r="771" spans="1:29" ht="30.6" customHeight="1" x14ac:dyDescent="0.3">
      <c r="A771" s="10"/>
      <c r="B771" s="10" t="s">
        <v>2600</v>
      </c>
      <c r="C771" s="41" t="s">
        <v>2563</v>
      </c>
      <c r="D771" s="43">
        <v>0</v>
      </c>
      <c r="E771" s="22" t="s">
        <v>1010</v>
      </c>
      <c r="F771" s="45">
        <f t="shared" si="60"/>
        <v>163000</v>
      </c>
      <c r="G771" s="48">
        <f t="shared" si="61"/>
        <v>0</v>
      </c>
      <c r="H771" s="51">
        <v>0</v>
      </c>
      <c r="I771" s="33">
        <f t="shared" si="62"/>
        <v>0</v>
      </c>
      <c r="J771" s="52">
        <f>재료비목록표!E207</f>
        <v>163000</v>
      </c>
      <c r="K771" s="13">
        <f t="shared" si="63"/>
        <v>0</v>
      </c>
      <c r="L771" s="55">
        <v>0</v>
      </c>
      <c r="M771" s="33">
        <f t="shared" si="64"/>
        <v>0</v>
      </c>
      <c r="N771" s="22" t="s">
        <v>5633</v>
      </c>
      <c r="O771" s="17" t="s">
        <v>5632</v>
      </c>
      <c r="P771" s="7" t="s">
        <v>5631</v>
      </c>
      <c r="Q771" s="7" t="s">
        <v>3344</v>
      </c>
      <c r="AC771" s="3" t="str">
        <f ca="1">HYPERLINK("#"&amp;재료비목록표!G2&amp;"!A"&amp;ROW(재료비목록표!A207),"자재204 →")</f>
        <v>자재204 →</v>
      </c>
    </row>
    <row r="772" spans="1:29" ht="30.6" customHeight="1" x14ac:dyDescent="0.3">
      <c r="A772" s="10"/>
      <c r="B772" s="10" t="s">
        <v>2600</v>
      </c>
      <c r="C772" s="41" t="s">
        <v>2568</v>
      </c>
      <c r="D772" s="43">
        <v>0</v>
      </c>
      <c r="E772" s="22" t="s">
        <v>1010</v>
      </c>
      <c r="F772" s="45">
        <f t="shared" si="60"/>
        <v>163000</v>
      </c>
      <c r="G772" s="48">
        <f t="shared" si="61"/>
        <v>0</v>
      </c>
      <c r="H772" s="51">
        <v>0</v>
      </c>
      <c r="I772" s="33">
        <f t="shared" si="62"/>
        <v>0</v>
      </c>
      <c r="J772" s="52">
        <f>재료비목록표!E209</f>
        <v>163000</v>
      </c>
      <c r="K772" s="13">
        <f t="shared" si="63"/>
        <v>0</v>
      </c>
      <c r="L772" s="55">
        <v>0</v>
      </c>
      <c r="M772" s="33">
        <f t="shared" si="64"/>
        <v>0</v>
      </c>
      <c r="N772" s="22" t="s">
        <v>5636</v>
      </c>
      <c r="O772" s="17" t="s">
        <v>5635</v>
      </c>
      <c r="P772" s="7" t="s">
        <v>5634</v>
      </c>
      <c r="Q772" s="7" t="s">
        <v>3344</v>
      </c>
      <c r="AC772" s="3" t="str">
        <f ca="1">HYPERLINK("#"&amp;재료비목록표!G2&amp;"!A"&amp;ROW(재료비목록표!A209),"자재206 →")</f>
        <v>자재206 →</v>
      </c>
    </row>
    <row r="773" spans="1:29" ht="30.6" customHeight="1" x14ac:dyDescent="0.3">
      <c r="A773" s="10"/>
      <c r="B773" s="10" t="s">
        <v>2600</v>
      </c>
      <c r="C773" s="41" t="s">
        <v>373</v>
      </c>
      <c r="D773" s="43">
        <v>0</v>
      </c>
      <c r="E773" s="22" t="s">
        <v>1010</v>
      </c>
      <c r="F773" s="45">
        <f t="shared" si="60"/>
        <v>589000</v>
      </c>
      <c r="G773" s="48">
        <f t="shared" si="61"/>
        <v>0</v>
      </c>
      <c r="H773" s="51">
        <v>0</v>
      </c>
      <c r="I773" s="33">
        <f t="shared" si="62"/>
        <v>0</v>
      </c>
      <c r="J773" s="52">
        <f>재료비목록표!E199</f>
        <v>589000</v>
      </c>
      <c r="K773" s="13">
        <f t="shared" si="63"/>
        <v>0</v>
      </c>
      <c r="L773" s="55">
        <v>0</v>
      </c>
      <c r="M773" s="33">
        <f t="shared" si="64"/>
        <v>0</v>
      </c>
      <c r="N773" s="22" t="s">
        <v>5639</v>
      </c>
      <c r="O773" s="17" t="s">
        <v>5638</v>
      </c>
      <c r="P773" s="7" t="s">
        <v>5637</v>
      </c>
      <c r="Q773" s="7" t="s">
        <v>3344</v>
      </c>
      <c r="AC773" s="3" t="str">
        <f ca="1">HYPERLINK("#"&amp;재료비목록표!G2&amp;"!A"&amp;ROW(재료비목록표!A199),"자재196 →")</f>
        <v>자재196 →</v>
      </c>
    </row>
    <row r="774" spans="1:29" ht="30.6" customHeight="1" x14ac:dyDescent="0.3">
      <c r="A774" s="10"/>
      <c r="B774" s="10" t="s">
        <v>2573</v>
      </c>
      <c r="C774" s="41" t="s">
        <v>337</v>
      </c>
      <c r="D774" s="43">
        <v>0</v>
      </c>
      <c r="E774" s="22" t="s">
        <v>1010</v>
      </c>
      <c r="F774" s="45">
        <f t="shared" si="60"/>
        <v>110000</v>
      </c>
      <c r="G774" s="48">
        <f t="shared" si="61"/>
        <v>0</v>
      </c>
      <c r="H774" s="51">
        <v>0</v>
      </c>
      <c r="I774" s="33">
        <f t="shared" si="62"/>
        <v>0</v>
      </c>
      <c r="J774" s="52">
        <f>재료비목록표!E190</f>
        <v>110000</v>
      </c>
      <c r="K774" s="13">
        <f t="shared" si="63"/>
        <v>0</v>
      </c>
      <c r="L774" s="55">
        <v>0</v>
      </c>
      <c r="M774" s="33">
        <f t="shared" si="64"/>
        <v>0</v>
      </c>
      <c r="N774" s="22" t="s">
        <v>5642</v>
      </c>
      <c r="O774" s="17" t="s">
        <v>5641</v>
      </c>
      <c r="P774" s="7" t="s">
        <v>5640</v>
      </c>
      <c r="Q774" s="7" t="s">
        <v>3344</v>
      </c>
      <c r="AC774" s="3" t="str">
        <f ca="1">HYPERLINK("#"&amp;재료비목록표!G2&amp;"!A"&amp;ROW(재료비목록표!A190),"자재187 →")</f>
        <v>자재187 →</v>
      </c>
    </row>
    <row r="775" spans="1:29" ht="30.6" customHeight="1" x14ac:dyDescent="0.3">
      <c r="A775" s="10"/>
      <c r="B775" s="10" t="s">
        <v>2573</v>
      </c>
      <c r="C775" s="41" t="s">
        <v>340</v>
      </c>
      <c r="D775" s="43">
        <v>0</v>
      </c>
      <c r="E775" s="22" t="s">
        <v>1010</v>
      </c>
      <c r="F775" s="45">
        <f t="shared" si="60"/>
        <v>110000</v>
      </c>
      <c r="G775" s="48">
        <f t="shared" si="61"/>
        <v>0</v>
      </c>
      <c r="H775" s="51">
        <v>0</v>
      </c>
      <c r="I775" s="33">
        <f t="shared" si="62"/>
        <v>0</v>
      </c>
      <c r="J775" s="52">
        <f>재료비목록표!E192</f>
        <v>110000</v>
      </c>
      <c r="K775" s="13">
        <f t="shared" si="63"/>
        <v>0</v>
      </c>
      <c r="L775" s="55">
        <v>0</v>
      </c>
      <c r="M775" s="33">
        <f t="shared" si="64"/>
        <v>0</v>
      </c>
      <c r="N775" s="22" t="s">
        <v>5645</v>
      </c>
      <c r="O775" s="17" t="s">
        <v>5644</v>
      </c>
      <c r="P775" s="7" t="s">
        <v>5643</v>
      </c>
      <c r="Q775" s="7" t="s">
        <v>3344</v>
      </c>
      <c r="AC775" s="3" t="str">
        <f ca="1">HYPERLINK("#"&amp;재료비목록표!G2&amp;"!A"&amp;ROW(재료비목록표!A192),"자재189 →")</f>
        <v>자재189 →</v>
      </c>
    </row>
    <row r="776" spans="1:29" ht="30.6" customHeight="1" x14ac:dyDescent="0.3">
      <c r="A776" s="10"/>
      <c r="B776" s="10" t="s">
        <v>2573</v>
      </c>
      <c r="C776" s="41" t="s">
        <v>343</v>
      </c>
      <c r="D776" s="43">
        <v>0</v>
      </c>
      <c r="E776" s="22" t="s">
        <v>1010</v>
      </c>
      <c r="F776" s="45">
        <f t="shared" si="60"/>
        <v>110000</v>
      </c>
      <c r="G776" s="48">
        <f t="shared" si="61"/>
        <v>0</v>
      </c>
      <c r="H776" s="51">
        <v>0</v>
      </c>
      <c r="I776" s="33">
        <f t="shared" si="62"/>
        <v>0</v>
      </c>
      <c r="J776" s="52">
        <f>재료비목록표!E195</f>
        <v>110000</v>
      </c>
      <c r="K776" s="13">
        <f t="shared" si="63"/>
        <v>0</v>
      </c>
      <c r="L776" s="55">
        <v>0</v>
      </c>
      <c r="M776" s="33">
        <f t="shared" si="64"/>
        <v>0</v>
      </c>
      <c r="N776" s="22" t="s">
        <v>5648</v>
      </c>
      <c r="O776" s="17" t="s">
        <v>5647</v>
      </c>
      <c r="P776" s="7" t="s">
        <v>5646</v>
      </c>
      <c r="Q776" s="7" t="s">
        <v>3344</v>
      </c>
      <c r="AC776" s="3" t="str">
        <f ca="1">HYPERLINK("#"&amp;재료비목록표!G2&amp;"!A"&amp;ROW(재료비목록표!A195),"자재192 →")</f>
        <v>자재192 →</v>
      </c>
    </row>
    <row r="777" spans="1:29" ht="30.6" customHeight="1" x14ac:dyDescent="0.3">
      <c r="A777" s="10"/>
      <c r="B777" s="10" t="s">
        <v>2573</v>
      </c>
      <c r="C777" s="41" t="s">
        <v>346</v>
      </c>
      <c r="D777" s="43">
        <v>0</v>
      </c>
      <c r="E777" s="22" t="s">
        <v>1010</v>
      </c>
      <c r="F777" s="45">
        <f t="shared" si="60"/>
        <v>110000</v>
      </c>
      <c r="G777" s="48">
        <f t="shared" si="61"/>
        <v>0</v>
      </c>
      <c r="H777" s="51">
        <v>0</v>
      </c>
      <c r="I777" s="33">
        <f t="shared" si="62"/>
        <v>0</v>
      </c>
      <c r="J777" s="52">
        <f>재료비목록표!E197</f>
        <v>110000</v>
      </c>
      <c r="K777" s="13">
        <f t="shared" si="63"/>
        <v>0</v>
      </c>
      <c r="L777" s="55">
        <v>0</v>
      </c>
      <c r="M777" s="33">
        <f t="shared" si="64"/>
        <v>0</v>
      </c>
      <c r="N777" s="22" t="s">
        <v>5651</v>
      </c>
      <c r="O777" s="17" t="s">
        <v>5650</v>
      </c>
      <c r="P777" s="7" t="s">
        <v>5649</v>
      </c>
      <c r="Q777" s="7" t="s">
        <v>3344</v>
      </c>
      <c r="AC777" s="3" t="str">
        <f ca="1">HYPERLINK("#"&amp;재료비목록표!G2&amp;"!A"&amp;ROW(재료비목록표!A197),"자재194 →")</f>
        <v>자재194 →</v>
      </c>
    </row>
    <row r="778" spans="1:29" ht="30.6" customHeight="1" x14ac:dyDescent="0.3">
      <c r="A778" s="10"/>
      <c r="B778" s="10" t="s">
        <v>2573</v>
      </c>
      <c r="C778" s="41" t="s">
        <v>349</v>
      </c>
      <c r="D778" s="43">
        <v>0</v>
      </c>
      <c r="E778" s="22" t="s">
        <v>1010</v>
      </c>
      <c r="F778" s="45">
        <f t="shared" si="60"/>
        <v>414000</v>
      </c>
      <c r="G778" s="48">
        <f t="shared" si="61"/>
        <v>0</v>
      </c>
      <c r="H778" s="51">
        <v>0</v>
      </c>
      <c r="I778" s="33">
        <f t="shared" si="62"/>
        <v>0</v>
      </c>
      <c r="J778" s="52">
        <f>재료비목록표!E185</f>
        <v>414000</v>
      </c>
      <c r="K778" s="13">
        <f t="shared" si="63"/>
        <v>0</v>
      </c>
      <c r="L778" s="55">
        <v>0</v>
      </c>
      <c r="M778" s="33">
        <f t="shared" si="64"/>
        <v>0</v>
      </c>
      <c r="N778" s="22" t="s">
        <v>5654</v>
      </c>
      <c r="O778" s="17" t="s">
        <v>5653</v>
      </c>
      <c r="P778" s="7" t="s">
        <v>5652</v>
      </c>
      <c r="Q778" s="7" t="s">
        <v>3344</v>
      </c>
      <c r="AC778" s="3" t="str">
        <f ca="1">HYPERLINK("#"&amp;재료비목록표!G2&amp;"!A"&amp;ROW(재료비목록표!A185),"자재182 →")</f>
        <v>자재182 →</v>
      </c>
    </row>
    <row r="779" spans="1:29" ht="30.6" customHeight="1" x14ac:dyDescent="0.3">
      <c r="A779" s="10"/>
      <c r="B779" s="10" t="s">
        <v>2573</v>
      </c>
      <c r="C779" s="41" t="s">
        <v>352</v>
      </c>
      <c r="D779" s="43">
        <v>0</v>
      </c>
      <c r="E779" s="22" t="s">
        <v>1010</v>
      </c>
      <c r="F779" s="45">
        <f t="shared" si="60"/>
        <v>414000</v>
      </c>
      <c r="G779" s="48">
        <f t="shared" si="61"/>
        <v>0</v>
      </c>
      <c r="H779" s="51">
        <v>0</v>
      </c>
      <c r="I779" s="33">
        <f t="shared" si="62"/>
        <v>0</v>
      </c>
      <c r="J779" s="52">
        <f>재료비목록표!E187</f>
        <v>414000</v>
      </c>
      <c r="K779" s="13">
        <f t="shared" si="63"/>
        <v>0</v>
      </c>
      <c r="L779" s="55">
        <v>0</v>
      </c>
      <c r="M779" s="33">
        <f t="shared" si="64"/>
        <v>0</v>
      </c>
      <c r="N779" s="22" t="s">
        <v>5657</v>
      </c>
      <c r="O779" s="17" t="s">
        <v>5656</v>
      </c>
      <c r="P779" s="7" t="s">
        <v>5655</v>
      </c>
      <c r="Q779" s="7" t="s">
        <v>3344</v>
      </c>
      <c r="AC779" s="3" t="str">
        <f ca="1">HYPERLINK("#"&amp;재료비목록표!G2&amp;"!A"&amp;ROW(재료비목록표!A187),"자재184 →")</f>
        <v>자재184 →</v>
      </c>
    </row>
    <row r="780" spans="1:29" ht="30.6" customHeight="1" x14ac:dyDescent="0.3">
      <c r="A780" s="10"/>
      <c r="B780" s="10" t="s">
        <v>2573</v>
      </c>
      <c r="C780" s="41" t="s">
        <v>355</v>
      </c>
      <c r="D780" s="43">
        <v>0</v>
      </c>
      <c r="E780" s="22" t="s">
        <v>1010</v>
      </c>
      <c r="F780" s="45">
        <f t="shared" si="60"/>
        <v>414000</v>
      </c>
      <c r="G780" s="48">
        <f t="shared" si="61"/>
        <v>0</v>
      </c>
      <c r="H780" s="51">
        <v>0</v>
      </c>
      <c r="I780" s="33">
        <f t="shared" si="62"/>
        <v>0</v>
      </c>
      <c r="J780" s="52">
        <f>재료비목록표!E188</f>
        <v>414000</v>
      </c>
      <c r="K780" s="13">
        <f t="shared" si="63"/>
        <v>0</v>
      </c>
      <c r="L780" s="55">
        <v>0</v>
      </c>
      <c r="M780" s="33">
        <f t="shared" si="64"/>
        <v>0</v>
      </c>
      <c r="N780" s="22" t="s">
        <v>5660</v>
      </c>
      <c r="O780" s="17" t="s">
        <v>5659</v>
      </c>
      <c r="P780" s="7" t="s">
        <v>5658</v>
      </c>
      <c r="Q780" s="7" t="s">
        <v>3344</v>
      </c>
      <c r="AC780" s="3" t="str">
        <f ca="1">HYPERLINK("#"&amp;재료비목록표!G2&amp;"!A"&amp;ROW(재료비목록표!A188),"자재185 →")</f>
        <v>자재185 →</v>
      </c>
    </row>
    <row r="781" spans="1:29" ht="30.6" customHeight="1" x14ac:dyDescent="0.3">
      <c r="A781" s="10"/>
      <c r="B781" s="10" t="s">
        <v>2573</v>
      </c>
      <c r="C781" s="41" t="s">
        <v>358</v>
      </c>
      <c r="D781" s="43">
        <v>0</v>
      </c>
      <c r="E781" s="22" t="s">
        <v>1010</v>
      </c>
      <c r="F781" s="45">
        <f t="shared" si="60"/>
        <v>414000</v>
      </c>
      <c r="G781" s="48">
        <f t="shared" si="61"/>
        <v>0</v>
      </c>
      <c r="H781" s="51">
        <v>0</v>
      </c>
      <c r="I781" s="33">
        <f t="shared" si="62"/>
        <v>0</v>
      </c>
      <c r="J781" s="52">
        <f>재료비목록표!E189</f>
        <v>414000</v>
      </c>
      <c r="K781" s="13">
        <f t="shared" si="63"/>
        <v>0</v>
      </c>
      <c r="L781" s="55">
        <v>0</v>
      </c>
      <c r="M781" s="33">
        <f t="shared" si="64"/>
        <v>0</v>
      </c>
      <c r="N781" s="22" t="s">
        <v>5663</v>
      </c>
      <c r="O781" s="17" t="s">
        <v>5662</v>
      </c>
      <c r="P781" s="7" t="s">
        <v>5661</v>
      </c>
      <c r="Q781" s="7" t="s">
        <v>3344</v>
      </c>
      <c r="AC781" s="3" t="str">
        <f ca="1">HYPERLINK("#"&amp;재료비목록표!G2&amp;"!A"&amp;ROW(재료비목록표!A189),"자재186 →")</f>
        <v>자재186 →</v>
      </c>
    </row>
    <row r="782" spans="1:29" ht="30.6" customHeight="1" x14ac:dyDescent="0.3">
      <c r="A782" s="10"/>
      <c r="B782" s="10" t="s">
        <v>2573</v>
      </c>
      <c r="C782" s="41" t="s">
        <v>361</v>
      </c>
      <c r="D782" s="43">
        <v>0</v>
      </c>
      <c r="E782" s="22" t="s">
        <v>1010</v>
      </c>
      <c r="F782" s="45">
        <f t="shared" si="60"/>
        <v>908000</v>
      </c>
      <c r="G782" s="48">
        <f t="shared" si="61"/>
        <v>0</v>
      </c>
      <c r="H782" s="51">
        <v>0</v>
      </c>
      <c r="I782" s="33">
        <f t="shared" si="62"/>
        <v>0</v>
      </c>
      <c r="J782" s="52">
        <f>재료비목록표!E191</f>
        <v>908000</v>
      </c>
      <c r="K782" s="13">
        <f t="shared" si="63"/>
        <v>0</v>
      </c>
      <c r="L782" s="55">
        <v>0</v>
      </c>
      <c r="M782" s="33">
        <f t="shared" si="64"/>
        <v>0</v>
      </c>
      <c r="N782" s="22" t="s">
        <v>5666</v>
      </c>
      <c r="O782" s="17" t="s">
        <v>5665</v>
      </c>
      <c r="P782" s="7" t="s">
        <v>5664</v>
      </c>
      <c r="Q782" s="7" t="s">
        <v>3344</v>
      </c>
      <c r="AC782" s="3" t="str">
        <f ca="1">HYPERLINK("#"&amp;재료비목록표!G2&amp;"!A"&amp;ROW(재료비목록표!A191),"자재188 →")</f>
        <v>자재188 →</v>
      </c>
    </row>
    <row r="783" spans="1:29" ht="30.6" customHeight="1" x14ac:dyDescent="0.3">
      <c r="A783" s="10"/>
      <c r="B783" s="10" t="s">
        <v>2573</v>
      </c>
      <c r="C783" s="41" t="s">
        <v>364</v>
      </c>
      <c r="D783" s="43">
        <v>0</v>
      </c>
      <c r="E783" s="22" t="s">
        <v>1010</v>
      </c>
      <c r="F783" s="45">
        <f t="shared" si="60"/>
        <v>908000</v>
      </c>
      <c r="G783" s="48">
        <f t="shared" si="61"/>
        <v>0</v>
      </c>
      <c r="H783" s="51">
        <v>0</v>
      </c>
      <c r="I783" s="33">
        <f t="shared" si="62"/>
        <v>0</v>
      </c>
      <c r="J783" s="52">
        <f>재료비목록표!E193</f>
        <v>908000</v>
      </c>
      <c r="K783" s="13">
        <f t="shared" si="63"/>
        <v>0</v>
      </c>
      <c r="L783" s="55">
        <v>0</v>
      </c>
      <c r="M783" s="33">
        <f t="shared" si="64"/>
        <v>0</v>
      </c>
      <c r="N783" s="22" t="s">
        <v>5669</v>
      </c>
      <c r="O783" s="17" t="s">
        <v>5668</v>
      </c>
      <c r="P783" s="7" t="s">
        <v>5667</v>
      </c>
      <c r="Q783" s="7" t="s">
        <v>3344</v>
      </c>
      <c r="AC783" s="3" t="str">
        <f ca="1">HYPERLINK("#"&amp;재료비목록표!G2&amp;"!A"&amp;ROW(재료비목록표!A193),"자재190 →")</f>
        <v>자재190 →</v>
      </c>
    </row>
    <row r="784" spans="1:29" ht="30.6" customHeight="1" x14ac:dyDescent="0.3">
      <c r="A784" s="10"/>
      <c r="B784" s="10" t="s">
        <v>2573</v>
      </c>
      <c r="C784" s="41" t="s">
        <v>2563</v>
      </c>
      <c r="D784" s="43">
        <v>0</v>
      </c>
      <c r="E784" s="22" t="s">
        <v>1010</v>
      </c>
      <c r="F784" s="45">
        <f t="shared" si="60"/>
        <v>908000</v>
      </c>
      <c r="G784" s="48">
        <f t="shared" si="61"/>
        <v>0</v>
      </c>
      <c r="H784" s="51">
        <v>0</v>
      </c>
      <c r="I784" s="33">
        <f t="shared" si="62"/>
        <v>0</v>
      </c>
      <c r="J784" s="52">
        <f>재료비목록표!E194</f>
        <v>908000</v>
      </c>
      <c r="K784" s="13">
        <f t="shared" si="63"/>
        <v>0</v>
      </c>
      <c r="L784" s="55">
        <v>0</v>
      </c>
      <c r="M784" s="33">
        <f t="shared" si="64"/>
        <v>0</v>
      </c>
      <c r="N784" s="22" t="s">
        <v>5672</v>
      </c>
      <c r="O784" s="17" t="s">
        <v>5671</v>
      </c>
      <c r="P784" s="7" t="s">
        <v>5670</v>
      </c>
      <c r="Q784" s="7" t="s">
        <v>3344</v>
      </c>
      <c r="AC784" s="3" t="str">
        <f ca="1">HYPERLINK("#"&amp;재료비목록표!G2&amp;"!A"&amp;ROW(재료비목록표!A194),"자재191 →")</f>
        <v>자재191 →</v>
      </c>
    </row>
    <row r="785" spans="1:29" ht="30.6" customHeight="1" x14ac:dyDescent="0.3">
      <c r="A785" s="10"/>
      <c r="B785" s="10" t="s">
        <v>2573</v>
      </c>
      <c r="C785" s="41" t="s">
        <v>2568</v>
      </c>
      <c r="D785" s="43">
        <v>0</v>
      </c>
      <c r="E785" s="22" t="s">
        <v>1010</v>
      </c>
      <c r="F785" s="45">
        <f t="shared" si="60"/>
        <v>2021000</v>
      </c>
      <c r="G785" s="48">
        <f t="shared" si="61"/>
        <v>0</v>
      </c>
      <c r="H785" s="51">
        <v>0</v>
      </c>
      <c r="I785" s="33">
        <f t="shared" si="62"/>
        <v>0</v>
      </c>
      <c r="J785" s="52">
        <f>재료비목록표!E196</f>
        <v>2021000</v>
      </c>
      <c r="K785" s="13">
        <f t="shared" si="63"/>
        <v>0</v>
      </c>
      <c r="L785" s="55">
        <v>0</v>
      </c>
      <c r="M785" s="33">
        <f t="shared" si="64"/>
        <v>0</v>
      </c>
      <c r="N785" s="22" t="s">
        <v>5675</v>
      </c>
      <c r="O785" s="17" t="s">
        <v>5674</v>
      </c>
      <c r="P785" s="7" t="s">
        <v>5673</v>
      </c>
      <c r="Q785" s="7" t="s">
        <v>3344</v>
      </c>
      <c r="AC785" s="3" t="str">
        <f ca="1">HYPERLINK("#"&amp;재료비목록표!G2&amp;"!A"&amp;ROW(재료비목록표!A196),"자재193 →")</f>
        <v>자재193 →</v>
      </c>
    </row>
    <row r="786" spans="1:29" ht="30.6" customHeight="1" x14ac:dyDescent="0.3">
      <c r="A786" s="10"/>
      <c r="B786" s="10" t="s">
        <v>2573</v>
      </c>
      <c r="C786" s="41" t="s">
        <v>373</v>
      </c>
      <c r="D786" s="43">
        <v>0</v>
      </c>
      <c r="E786" s="22" t="s">
        <v>1010</v>
      </c>
      <c r="F786" s="45">
        <f t="shared" si="60"/>
        <v>4477000</v>
      </c>
      <c r="G786" s="48">
        <f t="shared" si="61"/>
        <v>0</v>
      </c>
      <c r="H786" s="51">
        <v>0</v>
      </c>
      <c r="I786" s="33">
        <f t="shared" si="62"/>
        <v>0</v>
      </c>
      <c r="J786" s="52">
        <f>재료비목록표!E186</f>
        <v>4477000</v>
      </c>
      <c r="K786" s="13">
        <f t="shared" si="63"/>
        <v>0</v>
      </c>
      <c r="L786" s="55">
        <v>0</v>
      </c>
      <c r="M786" s="33">
        <f t="shared" si="64"/>
        <v>0</v>
      </c>
      <c r="N786" s="22" t="s">
        <v>5678</v>
      </c>
      <c r="O786" s="17" t="s">
        <v>5677</v>
      </c>
      <c r="P786" s="7" t="s">
        <v>5676</v>
      </c>
      <c r="Q786" s="7" t="s">
        <v>3344</v>
      </c>
      <c r="AC786" s="3" t="str">
        <f ca="1">HYPERLINK("#"&amp;재료비목록표!G2&amp;"!A"&amp;ROW(재료비목록표!A186),"자재183 →")</f>
        <v>자재183 →</v>
      </c>
    </row>
    <row r="787" spans="1:29" ht="30.6" customHeight="1" x14ac:dyDescent="0.3">
      <c r="A787" s="10"/>
      <c r="B787" s="10" t="s">
        <v>2544</v>
      </c>
      <c r="C787" s="41" t="s">
        <v>337</v>
      </c>
      <c r="D787" s="43">
        <v>0</v>
      </c>
      <c r="E787" s="22" t="s">
        <v>1010</v>
      </c>
      <c r="F787" s="45">
        <f t="shared" si="60"/>
        <v>26000</v>
      </c>
      <c r="G787" s="48">
        <f t="shared" si="61"/>
        <v>0</v>
      </c>
      <c r="H787" s="51">
        <v>0</v>
      </c>
      <c r="I787" s="33">
        <f t="shared" si="62"/>
        <v>0</v>
      </c>
      <c r="J787" s="52">
        <f>재료비목록표!E177</f>
        <v>26000</v>
      </c>
      <c r="K787" s="13">
        <f t="shared" si="63"/>
        <v>0</v>
      </c>
      <c r="L787" s="55">
        <v>0</v>
      </c>
      <c r="M787" s="33">
        <f t="shared" si="64"/>
        <v>0</v>
      </c>
      <c r="N787" s="22" t="s">
        <v>5681</v>
      </c>
      <c r="O787" s="17" t="s">
        <v>5680</v>
      </c>
      <c r="P787" s="7" t="s">
        <v>5679</v>
      </c>
      <c r="Q787" s="7" t="s">
        <v>3344</v>
      </c>
      <c r="AC787" s="3" t="str">
        <f ca="1">HYPERLINK("#"&amp;재료비목록표!G2&amp;"!A"&amp;ROW(재료비목록표!A177),"자재174 →")</f>
        <v>자재174 →</v>
      </c>
    </row>
    <row r="788" spans="1:29" ht="30.6" customHeight="1" x14ac:dyDescent="0.3">
      <c r="A788" s="10"/>
      <c r="B788" s="10" t="s">
        <v>2544</v>
      </c>
      <c r="C788" s="41" t="s">
        <v>340</v>
      </c>
      <c r="D788" s="43">
        <v>0</v>
      </c>
      <c r="E788" s="22" t="s">
        <v>1010</v>
      </c>
      <c r="F788" s="45">
        <f t="shared" si="60"/>
        <v>26000</v>
      </c>
      <c r="G788" s="48">
        <f t="shared" si="61"/>
        <v>0</v>
      </c>
      <c r="H788" s="51">
        <v>0</v>
      </c>
      <c r="I788" s="33">
        <f t="shared" si="62"/>
        <v>0</v>
      </c>
      <c r="J788" s="52">
        <f>재료비목록표!E179</f>
        <v>26000</v>
      </c>
      <c r="K788" s="13">
        <f t="shared" si="63"/>
        <v>0</v>
      </c>
      <c r="L788" s="55">
        <v>0</v>
      </c>
      <c r="M788" s="33">
        <f t="shared" si="64"/>
        <v>0</v>
      </c>
      <c r="N788" s="22" t="s">
        <v>5684</v>
      </c>
      <c r="O788" s="17" t="s">
        <v>5683</v>
      </c>
      <c r="P788" s="7" t="s">
        <v>5682</v>
      </c>
      <c r="Q788" s="7" t="s">
        <v>3344</v>
      </c>
      <c r="AC788" s="3" t="str">
        <f ca="1">HYPERLINK("#"&amp;재료비목록표!G2&amp;"!A"&amp;ROW(재료비목록표!A179),"자재176 →")</f>
        <v>자재176 →</v>
      </c>
    </row>
    <row r="789" spans="1:29" ht="30.6" customHeight="1" x14ac:dyDescent="0.3">
      <c r="A789" s="10"/>
      <c r="B789" s="10" t="s">
        <v>2544</v>
      </c>
      <c r="C789" s="41" t="s">
        <v>343</v>
      </c>
      <c r="D789" s="43">
        <v>0</v>
      </c>
      <c r="E789" s="22" t="s">
        <v>1010</v>
      </c>
      <c r="F789" s="45">
        <f t="shared" si="60"/>
        <v>26000</v>
      </c>
      <c r="G789" s="48">
        <f t="shared" si="61"/>
        <v>0</v>
      </c>
      <c r="H789" s="51">
        <v>0</v>
      </c>
      <c r="I789" s="33">
        <f t="shared" si="62"/>
        <v>0</v>
      </c>
      <c r="J789" s="52">
        <f>재료비목록표!E182</f>
        <v>26000</v>
      </c>
      <c r="K789" s="13">
        <f t="shared" si="63"/>
        <v>0</v>
      </c>
      <c r="L789" s="55">
        <v>0</v>
      </c>
      <c r="M789" s="33">
        <f t="shared" si="64"/>
        <v>0</v>
      </c>
      <c r="N789" s="22" t="s">
        <v>5687</v>
      </c>
      <c r="O789" s="17" t="s">
        <v>5686</v>
      </c>
      <c r="P789" s="7" t="s">
        <v>5685</v>
      </c>
      <c r="Q789" s="7" t="s">
        <v>3344</v>
      </c>
      <c r="AC789" s="3" t="str">
        <f ca="1">HYPERLINK("#"&amp;재료비목록표!G2&amp;"!A"&amp;ROW(재료비목록표!A182),"자재179 →")</f>
        <v>자재179 →</v>
      </c>
    </row>
    <row r="790" spans="1:29" ht="30.6" customHeight="1" x14ac:dyDescent="0.3">
      <c r="A790" s="10"/>
      <c r="B790" s="10" t="s">
        <v>2544</v>
      </c>
      <c r="C790" s="41" t="s">
        <v>346</v>
      </c>
      <c r="D790" s="43">
        <v>0</v>
      </c>
      <c r="E790" s="22" t="s">
        <v>1010</v>
      </c>
      <c r="F790" s="45">
        <f t="shared" si="60"/>
        <v>26000</v>
      </c>
      <c r="G790" s="48">
        <f t="shared" si="61"/>
        <v>0</v>
      </c>
      <c r="H790" s="51">
        <v>0</v>
      </c>
      <c r="I790" s="33">
        <f t="shared" si="62"/>
        <v>0</v>
      </c>
      <c r="J790" s="52">
        <f>재료비목록표!E184</f>
        <v>26000</v>
      </c>
      <c r="K790" s="13">
        <f t="shared" si="63"/>
        <v>0</v>
      </c>
      <c r="L790" s="55">
        <v>0</v>
      </c>
      <c r="M790" s="33">
        <f t="shared" si="64"/>
        <v>0</v>
      </c>
      <c r="N790" s="22" t="s">
        <v>5690</v>
      </c>
      <c r="O790" s="17" t="s">
        <v>5689</v>
      </c>
      <c r="P790" s="7" t="s">
        <v>5688</v>
      </c>
      <c r="Q790" s="7" t="s">
        <v>3344</v>
      </c>
      <c r="AC790" s="3" t="str">
        <f ca="1">HYPERLINK("#"&amp;재료비목록표!G2&amp;"!A"&amp;ROW(재료비목록표!A184),"자재181 →")</f>
        <v>자재181 →</v>
      </c>
    </row>
    <row r="791" spans="1:29" ht="30.6" customHeight="1" x14ac:dyDescent="0.3">
      <c r="A791" s="10"/>
      <c r="B791" s="10" t="s">
        <v>2544</v>
      </c>
      <c r="C791" s="41" t="s">
        <v>349</v>
      </c>
      <c r="D791" s="43">
        <v>0</v>
      </c>
      <c r="E791" s="22" t="s">
        <v>1010</v>
      </c>
      <c r="F791" s="45">
        <f t="shared" si="60"/>
        <v>34000</v>
      </c>
      <c r="G791" s="48">
        <f t="shared" si="61"/>
        <v>0</v>
      </c>
      <c r="H791" s="51">
        <v>0</v>
      </c>
      <c r="I791" s="33">
        <f t="shared" si="62"/>
        <v>0</v>
      </c>
      <c r="J791" s="52">
        <f>재료비목록표!E172</f>
        <v>34000</v>
      </c>
      <c r="K791" s="13">
        <f t="shared" si="63"/>
        <v>0</v>
      </c>
      <c r="L791" s="55">
        <v>0</v>
      </c>
      <c r="M791" s="33">
        <f t="shared" si="64"/>
        <v>0</v>
      </c>
      <c r="N791" s="22" t="s">
        <v>5693</v>
      </c>
      <c r="O791" s="17" t="s">
        <v>5692</v>
      </c>
      <c r="P791" s="7" t="s">
        <v>5691</v>
      </c>
      <c r="Q791" s="7" t="s">
        <v>3344</v>
      </c>
      <c r="AC791" s="3" t="str">
        <f ca="1">HYPERLINK("#"&amp;재료비목록표!G2&amp;"!A"&amp;ROW(재료비목록표!A172),"자재169 →")</f>
        <v>자재169 →</v>
      </c>
    </row>
    <row r="792" spans="1:29" ht="30.6" customHeight="1" x14ac:dyDescent="0.3">
      <c r="A792" s="10"/>
      <c r="B792" s="10" t="s">
        <v>2544</v>
      </c>
      <c r="C792" s="41" t="s">
        <v>352</v>
      </c>
      <c r="D792" s="43">
        <v>0</v>
      </c>
      <c r="E792" s="22" t="s">
        <v>1010</v>
      </c>
      <c r="F792" s="45">
        <f t="shared" si="60"/>
        <v>34000</v>
      </c>
      <c r="G792" s="48">
        <f t="shared" si="61"/>
        <v>0</v>
      </c>
      <c r="H792" s="51">
        <v>0</v>
      </c>
      <c r="I792" s="33">
        <f t="shared" si="62"/>
        <v>0</v>
      </c>
      <c r="J792" s="52">
        <f>재료비목록표!E174</f>
        <v>34000</v>
      </c>
      <c r="K792" s="13">
        <f t="shared" si="63"/>
        <v>0</v>
      </c>
      <c r="L792" s="55">
        <v>0</v>
      </c>
      <c r="M792" s="33">
        <f t="shared" si="64"/>
        <v>0</v>
      </c>
      <c r="N792" s="22" t="s">
        <v>5696</v>
      </c>
      <c r="O792" s="17" t="s">
        <v>5695</v>
      </c>
      <c r="P792" s="7" t="s">
        <v>5694</v>
      </c>
      <c r="Q792" s="7" t="s">
        <v>3344</v>
      </c>
      <c r="AC792" s="3" t="str">
        <f ca="1">HYPERLINK("#"&amp;재료비목록표!G2&amp;"!A"&amp;ROW(재료비목록표!A174),"자재171 →")</f>
        <v>자재171 →</v>
      </c>
    </row>
    <row r="793" spans="1:29" ht="30.6" customHeight="1" x14ac:dyDescent="0.3">
      <c r="A793" s="10"/>
      <c r="B793" s="10" t="s">
        <v>2544</v>
      </c>
      <c r="C793" s="41" t="s">
        <v>355</v>
      </c>
      <c r="D793" s="43">
        <v>0</v>
      </c>
      <c r="E793" s="22" t="s">
        <v>1010</v>
      </c>
      <c r="F793" s="45">
        <f t="shared" ref="F793:F856" si="65">J793+H793+L793</f>
        <v>34000</v>
      </c>
      <c r="G793" s="48">
        <f t="shared" ref="G793:G856" si="66">K793+I793+M793</f>
        <v>0</v>
      </c>
      <c r="H793" s="51">
        <v>0</v>
      </c>
      <c r="I793" s="33">
        <f t="shared" ref="I793:I856" si="67">ROUNDDOWN(H793*D793,0)</f>
        <v>0</v>
      </c>
      <c r="J793" s="52">
        <f>재료비목록표!E175</f>
        <v>34000</v>
      </c>
      <c r="K793" s="13">
        <f t="shared" ref="K793:K856" si="68">ROUNDDOWN(J793*D793,0)</f>
        <v>0</v>
      </c>
      <c r="L793" s="55">
        <v>0</v>
      </c>
      <c r="M793" s="33">
        <f t="shared" ref="M793:M856" si="69">ROUNDDOWN(L793*D793,0)</f>
        <v>0</v>
      </c>
      <c r="N793" s="22" t="s">
        <v>5699</v>
      </c>
      <c r="O793" s="17" t="s">
        <v>5698</v>
      </c>
      <c r="P793" s="7" t="s">
        <v>5697</v>
      </c>
      <c r="Q793" s="7" t="s">
        <v>3344</v>
      </c>
      <c r="AC793" s="3" t="str">
        <f ca="1">HYPERLINK("#"&amp;재료비목록표!G2&amp;"!A"&amp;ROW(재료비목록표!A175),"자재172 →")</f>
        <v>자재172 →</v>
      </c>
    </row>
    <row r="794" spans="1:29" ht="30.6" customHeight="1" x14ac:dyDescent="0.3">
      <c r="A794" s="10"/>
      <c r="B794" s="10" t="s">
        <v>2544</v>
      </c>
      <c r="C794" s="41" t="s">
        <v>358</v>
      </c>
      <c r="D794" s="43">
        <v>0</v>
      </c>
      <c r="E794" s="22" t="s">
        <v>1010</v>
      </c>
      <c r="F794" s="45">
        <f t="shared" si="65"/>
        <v>34000</v>
      </c>
      <c r="G794" s="48">
        <f t="shared" si="66"/>
        <v>0</v>
      </c>
      <c r="H794" s="51">
        <v>0</v>
      </c>
      <c r="I794" s="33">
        <f t="shared" si="67"/>
        <v>0</v>
      </c>
      <c r="J794" s="52">
        <f>재료비목록표!E176</f>
        <v>34000</v>
      </c>
      <c r="K794" s="13">
        <f t="shared" si="68"/>
        <v>0</v>
      </c>
      <c r="L794" s="55">
        <v>0</v>
      </c>
      <c r="M794" s="33">
        <f t="shared" si="69"/>
        <v>0</v>
      </c>
      <c r="N794" s="22" t="s">
        <v>5702</v>
      </c>
      <c r="O794" s="17" t="s">
        <v>5701</v>
      </c>
      <c r="P794" s="7" t="s">
        <v>5700</v>
      </c>
      <c r="Q794" s="7" t="s">
        <v>3344</v>
      </c>
      <c r="AC794" s="3" t="str">
        <f ca="1">HYPERLINK("#"&amp;재료비목록표!G2&amp;"!A"&amp;ROW(재료비목록표!A176),"자재173 →")</f>
        <v>자재173 →</v>
      </c>
    </row>
    <row r="795" spans="1:29" ht="30.6" customHeight="1" x14ac:dyDescent="0.3">
      <c r="A795" s="10"/>
      <c r="B795" s="10" t="s">
        <v>2544</v>
      </c>
      <c r="C795" s="41" t="s">
        <v>361</v>
      </c>
      <c r="D795" s="43">
        <v>0</v>
      </c>
      <c r="E795" s="22" t="s">
        <v>1010</v>
      </c>
      <c r="F795" s="45">
        <f t="shared" si="65"/>
        <v>45000</v>
      </c>
      <c r="G795" s="48">
        <f t="shared" si="66"/>
        <v>0</v>
      </c>
      <c r="H795" s="51">
        <v>0</v>
      </c>
      <c r="I795" s="33">
        <f t="shared" si="67"/>
        <v>0</v>
      </c>
      <c r="J795" s="52">
        <f>재료비목록표!E178</f>
        <v>45000</v>
      </c>
      <c r="K795" s="13">
        <f t="shared" si="68"/>
        <v>0</v>
      </c>
      <c r="L795" s="55">
        <v>0</v>
      </c>
      <c r="M795" s="33">
        <f t="shared" si="69"/>
        <v>0</v>
      </c>
      <c r="N795" s="22" t="s">
        <v>5705</v>
      </c>
      <c r="O795" s="17" t="s">
        <v>5704</v>
      </c>
      <c r="P795" s="7" t="s">
        <v>5703</v>
      </c>
      <c r="Q795" s="7" t="s">
        <v>3344</v>
      </c>
      <c r="AC795" s="3" t="str">
        <f ca="1">HYPERLINK("#"&amp;재료비목록표!G2&amp;"!A"&amp;ROW(재료비목록표!A178),"자재175 →")</f>
        <v>자재175 →</v>
      </c>
    </row>
    <row r="796" spans="1:29" ht="30.6" customHeight="1" x14ac:dyDescent="0.3">
      <c r="A796" s="10"/>
      <c r="B796" s="10" t="s">
        <v>2544</v>
      </c>
      <c r="C796" s="41" t="s">
        <v>364</v>
      </c>
      <c r="D796" s="43">
        <v>0</v>
      </c>
      <c r="E796" s="22" t="s">
        <v>1010</v>
      </c>
      <c r="F796" s="45">
        <f t="shared" si="65"/>
        <v>45000</v>
      </c>
      <c r="G796" s="48">
        <f t="shared" si="66"/>
        <v>0</v>
      </c>
      <c r="H796" s="51">
        <v>0</v>
      </c>
      <c r="I796" s="33">
        <f t="shared" si="67"/>
        <v>0</v>
      </c>
      <c r="J796" s="52">
        <f>재료비목록표!E180</f>
        <v>45000</v>
      </c>
      <c r="K796" s="13">
        <f t="shared" si="68"/>
        <v>0</v>
      </c>
      <c r="L796" s="55">
        <v>0</v>
      </c>
      <c r="M796" s="33">
        <f t="shared" si="69"/>
        <v>0</v>
      </c>
      <c r="N796" s="22" t="s">
        <v>5708</v>
      </c>
      <c r="O796" s="17" t="s">
        <v>5707</v>
      </c>
      <c r="P796" s="7" t="s">
        <v>5706</v>
      </c>
      <c r="Q796" s="7" t="s">
        <v>3344</v>
      </c>
      <c r="AC796" s="3" t="str">
        <f ca="1">HYPERLINK("#"&amp;재료비목록표!G2&amp;"!A"&amp;ROW(재료비목록표!A180),"자재177 →")</f>
        <v>자재177 →</v>
      </c>
    </row>
    <row r="797" spans="1:29" ht="30.6" customHeight="1" x14ac:dyDescent="0.3">
      <c r="A797" s="10"/>
      <c r="B797" s="10" t="s">
        <v>2544</v>
      </c>
      <c r="C797" s="41" t="s">
        <v>2563</v>
      </c>
      <c r="D797" s="43">
        <v>0</v>
      </c>
      <c r="E797" s="22" t="s">
        <v>1010</v>
      </c>
      <c r="F797" s="45">
        <f t="shared" si="65"/>
        <v>45000</v>
      </c>
      <c r="G797" s="48">
        <f t="shared" si="66"/>
        <v>0</v>
      </c>
      <c r="H797" s="51">
        <v>0</v>
      </c>
      <c r="I797" s="33">
        <f t="shared" si="67"/>
        <v>0</v>
      </c>
      <c r="J797" s="52">
        <f>재료비목록표!E181</f>
        <v>45000</v>
      </c>
      <c r="K797" s="13">
        <f t="shared" si="68"/>
        <v>0</v>
      </c>
      <c r="L797" s="55">
        <v>0</v>
      </c>
      <c r="M797" s="33">
        <f t="shared" si="69"/>
        <v>0</v>
      </c>
      <c r="N797" s="22" t="s">
        <v>5711</v>
      </c>
      <c r="O797" s="17" t="s">
        <v>5710</v>
      </c>
      <c r="P797" s="7" t="s">
        <v>5709</v>
      </c>
      <c r="Q797" s="7" t="s">
        <v>3344</v>
      </c>
      <c r="AC797" s="3" t="str">
        <f ca="1">HYPERLINK("#"&amp;재료비목록표!G2&amp;"!A"&amp;ROW(재료비목록표!A181),"자재178 →")</f>
        <v>자재178 →</v>
      </c>
    </row>
    <row r="798" spans="1:29" ht="30.6" customHeight="1" x14ac:dyDescent="0.3">
      <c r="A798" s="10"/>
      <c r="B798" s="10" t="s">
        <v>2544</v>
      </c>
      <c r="C798" s="41" t="s">
        <v>2568</v>
      </c>
      <c r="D798" s="43">
        <v>0</v>
      </c>
      <c r="E798" s="22" t="s">
        <v>1010</v>
      </c>
      <c r="F798" s="45">
        <f t="shared" si="65"/>
        <v>45000</v>
      </c>
      <c r="G798" s="48">
        <f t="shared" si="66"/>
        <v>0</v>
      </c>
      <c r="H798" s="51">
        <v>0</v>
      </c>
      <c r="I798" s="33">
        <f t="shared" si="67"/>
        <v>0</v>
      </c>
      <c r="J798" s="52">
        <f>재료비목록표!E183</f>
        <v>45000</v>
      </c>
      <c r="K798" s="13">
        <f t="shared" si="68"/>
        <v>0</v>
      </c>
      <c r="L798" s="55">
        <v>0</v>
      </c>
      <c r="M798" s="33">
        <f t="shared" si="69"/>
        <v>0</v>
      </c>
      <c r="N798" s="22" t="s">
        <v>5714</v>
      </c>
      <c r="O798" s="17" t="s">
        <v>5713</v>
      </c>
      <c r="P798" s="7" t="s">
        <v>5712</v>
      </c>
      <c r="Q798" s="7" t="s">
        <v>3344</v>
      </c>
      <c r="AC798" s="3" t="str">
        <f ca="1">HYPERLINK("#"&amp;재료비목록표!G2&amp;"!A"&amp;ROW(재료비목록표!A183),"자재180 →")</f>
        <v>자재180 →</v>
      </c>
    </row>
    <row r="799" spans="1:29" ht="30.6" customHeight="1" x14ac:dyDescent="0.3">
      <c r="A799" s="10"/>
      <c r="B799" s="10" t="s">
        <v>2544</v>
      </c>
      <c r="C799" s="41" t="s">
        <v>373</v>
      </c>
      <c r="D799" s="43">
        <v>0</v>
      </c>
      <c r="E799" s="22" t="s">
        <v>1010</v>
      </c>
      <c r="F799" s="45">
        <f t="shared" si="65"/>
        <v>109000</v>
      </c>
      <c r="G799" s="48">
        <f t="shared" si="66"/>
        <v>0</v>
      </c>
      <c r="H799" s="51">
        <v>0</v>
      </c>
      <c r="I799" s="33">
        <f t="shared" si="67"/>
        <v>0</v>
      </c>
      <c r="J799" s="52">
        <f>재료비목록표!E173</f>
        <v>109000</v>
      </c>
      <c r="K799" s="13">
        <f t="shared" si="68"/>
        <v>0</v>
      </c>
      <c r="L799" s="55">
        <v>0</v>
      </c>
      <c r="M799" s="33">
        <f t="shared" si="69"/>
        <v>0</v>
      </c>
      <c r="N799" s="22" t="s">
        <v>5717</v>
      </c>
      <c r="O799" s="17" t="s">
        <v>5716</v>
      </c>
      <c r="P799" s="7" t="s">
        <v>5715</v>
      </c>
      <c r="Q799" s="7" t="s">
        <v>3344</v>
      </c>
      <c r="AC799" s="3" t="str">
        <f ca="1">HYPERLINK("#"&amp;재료비목록표!G2&amp;"!A"&amp;ROW(재료비목록표!A173),"자재170 →")</f>
        <v>자재170 →</v>
      </c>
    </row>
    <row r="800" spans="1:29" ht="30.6" customHeight="1" x14ac:dyDescent="0.3">
      <c r="A800" s="10"/>
      <c r="B800" s="10" t="s">
        <v>2780</v>
      </c>
      <c r="C800" s="41" t="s">
        <v>804</v>
      </c>
      <c r="D800" s="43">
        <v>0</v>
      </c>
      <c r="E800" s="22" t="s">
        <v>14</v>
      </c>
      <c r="F800" s="45">
        <f t="shared" si="65"/>
        <v>2532000</v>
      </c>
      <c r="G800" s="48">
        <f t="shared" si="66"/>
        <v>0</v>
      </c>
      <c r="H800" s="51">
        <v>0</v>
      </c>
      <c r="I800" s="33">
        <f t="shared" si="67"/>
        <v>0</v>
      </c>
      <c r="J800" s="52">
        <f>재료비목록표!E268</f>
        <v>2532000</v>
      </c>
      <c r="K800" s="13">
        <f t="shared" si="68"/>
        <v>0</v>
      </c>
      <c r="L800" s="55">
        <v>0</v>
      </c>
      <c r="M800" s="33">
        <f t="shared" si="69"/>
        <v>0</v>
      </c>
      <c r="N800" s="22" t="s">
        <v>5720</v>
      </c>
      <c r="O800" s="17" t="s">
        <v>5719</v>
      </c>
      <c r="P800" s="7" t="s">
        <v>5718</v>
      </c>
      <c r="Q800" s="7" t="s">
        <v>3344</v>
      </c>
      <c r="AC800" s="3" t="str">
        <f ca="1">HYPERLINK("#"&amp;재료비목록표!G2&amp;"!A"&amp;ROW(재료비목록표!A268),"자재265 →")</f>
        <v>자재265 →</v>
      </c>
    </row>
    <row r="801" spans="1:29" ht="30.6" customHeight="1" x14ac:dyDescent="0.3">
      <c r="A801" s="10"/>
      <c r="B801" s="10" t="s">
        <v>2780</v>
      </c>
      <c r="C801" s="41" t="s">
        <v>807</v>
      </c>
      <c r="D801" s="43">
        <v>0</v>
      </c>
      <c r="E801" s="22" t="s">
        <v>14</v>
      </c>
      <c r="F801" s="45">
        <f t="shared" si="65"/>
        <v>2994000</v>
      </c>
      <c r="G801" s="48">
        <f t="shared" si="66"/>
        <v>0</v>
      </c>
      <c r="H801" s="51">
        <v>0</v>
      </c>
      <c r="I801" s="33">
        <f t="shared" si="67"/>
        <v>0</v>
      </c>
      <c r="J801" s="52">
        <f>재료비목록표!E270</f>
        <v>2994000</v>
      </c>
      <c r="K801" s="13">
        <f t="shared" si="68"/>
        <v>0</v>
      </c>
      <c r="L801" s="55">
        <v>0</v>
      </c>
      <c r="M801" s="33">
        <f t="shared" si="69"/>
        <v>0</v>
      </c>
      <c r="N801" s="22" t="s">
        <v>5723</v>
      </c>
      <c r="O801" s="17" t="s">
        <v>5722</v>
      </c>
      <c r="P801" s="7" t="s">
        <v>5721</v>
      </c>
      <c r="Q801" s="7" t="s">
        <v>3344</v>
      </c>
      <c r="AC801" s="3" t="str">
        <f ca="1">HYPERLINK("#"&amp;재료비목록표!G2&amp;"!A"&amp;ROW(재료비목록표!A270),"자재267 →")</f>
        <v>자재267 →</v>
      </c>
    </row>
    <row r="802" spans="1:29" ht="30.6" customHeight="1" x14ac:dyDescent="0.3">
      <c r="A802" s="10"/>
      <c r="B802" s="10" t="s">
        <v>2780</v>
      </c>
      <c r="C802" s="41" t="s">
        <v>810</v>
      </c>
      <c r="D802" s="43">
        <v>0</v>
      </c>
      <c r="E802" s="22" t="s">
        <v>14</v>
      </c>
      <c r="F802" s="45">
        <f t="shared" si="65"/>
        <v>3654000</v>
      </c>
      <c r="G802" s="48">
        <f t="shared" si="66"/>
        <v>0</v>
      </c>
      <c r="H802" s="51">
        <v>0</v>
      </c>
      <c r="I802" s="33">
        <f t="shared" si="67"/>
        <v>0</v>
      </c>
      <c r="J802" s="52">
        <f>재료비목록표!E271</f>
        <v>3654000</v>
      </c>
      <c r="K802" s="13">
        <f t="shared" si="68"/>
        <v>0</v>
      </c>
      <c r="L802" s="55">
        <v>0</v>
      </c>
      <c r="M802" s="33">
        <f t="shared" si="69"/>
        <v>0</v>
      </c>
      <c r="N802" s="22" t="s">
        <v>5726</v>
      </c>
      <c r="O802" s="17" t="s">
        <v>5725</v>
      </c>
      <c r="P802" s="7" t="s">
        <v>5724</v>
      </c>
      <c r="Q802" s="7" t="s">
        <v>3344</v>
      </c>
      <c r="AC802" s="3" t="str">
        <f ca="1">HYPERLINK("#"&amp;재료비목록표!G2&amp;"!A"&amp;ROW(재료비목록표!A271),"자재268 →")</f>
        <v>자재268 →</v>
      </c>
    </row>
    <row r="803" spans="1:29" ht="30.6" customHeight="1" x14ac:dyDescent="0.3">
      <c r="A803" s="10"/>
      <c r="B803" s="10" t="s">
        <v>2780</v>
      </c>
      <c r="C803" s="41" t="s">
        <v>813</v>
      </c>
      <c r="D803" s="43">
        <v>0</v>
      </c>
      <c r="E803" s="22" t="s">
        <v>14</v>
      </c>
      <c r="F803" s="45">
        <f t="shared" si="65"/>
        <v>6960000</v>
      </c>
      <c r="G803" s="48">
        <f t="shared" si="66"/>
        <v>0</v>
      </c>
      <c r="H803" s="51">
        <v>0</v>
      </c>
      <c r="I803" s="33">
        <f t="shared" si="67"/>
        <v>0</v>
      </c>
      <c r="J803" s="52">
        <f>재료비목록표!E273</f>
        <v>6960000</v>
      </c>
      <c r="K803" s="13">
        <f t="shared" si="68"/>
        <v>0</v>
      </c>
      <c r="L803" s="55">
        <v>0</v>
      </c>
      <c r="M803" s="33">
        <f t="shared" si="69"/>
        <v>0</v>
      </c>
      <c r="N803" s="22" t="s">
        <v>5729</v>
      </c>
      <c r="O803" s="17" t="s">
        <v>5728</v>
      </c>
      <c r="P803" s="7" t="s">
        <v>5727</v>
      </c>
      <c r="Q803" s="7" t="s">
        <v>3344</v>
      </c>
      <c r="AC803" s="3" t="str">
        <f ca="1">HYPERLINK("#"&amp;재료비목록표!G2&amp;"!A"&amp;ROW(재료비목록표!A273),"자재270 →")</f>
        <v>자재270 →</v>
      </c>
    </row>
    <row r="804" spans="1:29" ht="30.6" customHeight="1" x14ac:dyDescent="0.3">
      <c r="A804" s="10"/>
      <c r="B804" s="10" t="s">
        <v>2780</v>
      </c>
      <c r="C804" s="41" t="s">
        <v>816</v>
      </c>
      <c r="D804" s="43">
        <v>0</v>
      </c>
      <c r="E804" s="22" t="s">
        <v>14</v>
      </c>
      <c r="F804" s="45">
        <f t="shared" si="65"/>
        <v>5568000</v>
      </c>
      <c r="G804" s="48">
        <f t="shared" si="66"/>
        <v>0</v>
      </c>
      <c r="H804" s="51">
        <v>0</v>
      </c>
      <c r="I804" s="33">
        <f t="shared" si="67"/>
        <v>0</v>
      </c>
      <c r="J804" s="52">
        <f>재료비목록표!E265</f>
        <v>5568000</v>
      </c>
      <c r="K804" s="13">
        <f t="shared" si="68"/>
        <v>0</v>
      </c>
      <c r="L804" s="55">
        <v>0</v>
      </c>
      <c r="M804" s="33">
        <f t="shared" si="69"/>
        <v>0</v>
      </c>
      <c r="N804" s="22" t="s">
        <v>5732</v>
      </c>
      <c r="O804" s="17" t="s">
        <v>5731</v>
      </c>
      <c r="P804" s="7" t="s">
        <v>5730</v>
      </c>
      <c r="Q804" s="7" t="s">
        <v>3344</v>
      </c>
      <c r="AC804" s="3" t="str">
        <f ca="1">HYPERLINK("#"&amp;재료비목록표!G2&amp;"!A"&amp;ROW(재료비목록표!A265),"자재262 →")</f>
        <v>자재262 →</v>
      </c>
    </row>
    <row r="805" spans="1:29" ht="30.6" customHeight="1" x14ac:dyDescent="0.3">
      <c r="A805" s="10"/>
      <c r="B805" s="10" t="s">
        <v>2780</v>
      </c>
      <c r="C805" s="41" t="s">
        <v>819</v>
      </c>
      <c r="D805" s="43">
        <v>0</v>
      </c>
      <c r="E805" s="22" t="s">
        <v>14</v>
      </c>
      <c r="F805" s="45">
        <f t="shared" si="65"/>
        <v>6522000</v>
      </c>
      <c r="G805" s="48">
        <f t="shared" si="66"/>
        <v>0</v>
      </c>
      <c r="H805" s="51">
        <v>0</v>
      </c>
      <c r="I805" s="33">
        <f t="shared" si="67"/>
        <v>0</v>
      </c>
      <c r="J805" s="52">
        <f>재료비목록표!E266</f>
        <v>6522000</v>
      </c>
      <c r="K805" s="13">
        <f t="shared" si="68"/>
        <v>0</v>
      </c>
      <c r="L805" s="55">
        <v>0</v>
      </c>
      <c r="M805" s="33">
        <f t="shared" si="69"/>
        <v>0</v>
      </c>
      <c r="N805" s="22" t="s">
        <v>5735</v>
      </c>
      <c r="O805" s="17" t="s">
        <v>5734</v>
      </c>
      <c r="P805" s="7" t="s">
        <v>5733</v>
      </c>
      <c r="Q805" s="7" t="s">
        <v>3344</v>
      </c>
      <c r="AC805" s="3" t="str">
        <f ca="1">HYPERLINK("#"&amp;재료비목록표!G2&amp;"!A"&amp;ROW(재료비목록표!A266),"자재263 →")</f>
        <v>자재263 →</v>
      </c>
    </row>
    <row r="806" spans="1:29" ht="30.6" customHeight="1" x14ac:dyDescent="0.3">
      <c r="A806" s="10"/>
      <c r="B806" s="10" t="s">
        <v>2780</v>
      </c>
      <c r="C806" s="41" t="s">
        <v>822</v>
      </c>
      <c r="D806" s="43">
        <v>0</v>
      </c>
      <c r="E806" s="22" t="s">
        <v>14</v>
      </c>
      <c r="F806" s="45">
        <f t="shared" si="65"/>
        <v>8244000</v>
      </c>
      <c r="G806" s="48">
        <f t="shared" si="66"/>
        <v>0</v>
      </c>
      <c r="H806" s="51">
        <v>0</v>
      </c>
      <c r="I806" s="33">
        <f t="shared" si="67"/>
        <v>0</v>
      </c>
      <c r="J806" s="52">
        <f>재료비목록표!E267</f>
        <v>8244000</v>
      </c>
      <c r="K806" s="13">
        <f t="shared" si="68"/>
        <v>0</v>
      </c>
      <c r="L806" s="55">
        <v>0</v>
      </c>
      <c r="M806" s="33">
        <f t="shared" si="69"/>
        <v>0</v>
      </c>
      <c r="N806" s="22" t="s">
        <v>5738</v>
      </c>
      <c r="O806" s="17" t="s">
        <v>5737</v>
      </c>
      <c r="P806" s="7" t="s">
        <v>5736</v>
      </c>
      <c r="Q806" s="7" t="s">
        <v>3344</v>
      </c>
      <c r="AC806" s="3" t="str">
        <f ca="1">HYPERLINK("#"&amp;재료비목록표!G2&amp;"!A"&amp;ROW(재료비목록표!A267),"자재264 →")</f>
        <v>자재264 →</v>
      </c>
    </row>
    <row r="807" spans="1:29" ht="30.6" customHeight="1" x14ac:dyDescent="0.3">
      <c r="A807" s="10"/>
      <c r="B807" s="10" t="s">
        <v>2780</v>
      </c>
      <c r="C807" s="41" t="s">
        <v>825</v>
      </c>
      <c r="D807" s="43">
        <v>0</v>
      </c>
      <c r="E807" s="22" t="s">
        <v>14</v>
      </c>
      <c r="F807" s="45">
        <f t="shared" si="65"/>
        <v>14106000</v>
      </c>
      <c r="G807" s="48">
        <f t="shared" si="66"/>
        <v>0</v>
      </c>
      <c r="H807" s="51">
        <v>0</v>
      </c>
      <c r="I807" s="33">
        <f t="shared" si="67"/>
        <v>0</v>
      </c>
      <c r="J807" s="52">
        <f>재료비목록표!E269</f>
        <v>14106000</v>
      </c>
      <c r="K807" s="13">
        <f t="shared" si="68"/>
        <v>0</v>
      </c>
      <c r="L807" s="55">
        <v>0</v>
      </c>
      <c r="M807" s="33">
        <f t="shared" si="69"/>
        <v>0</v>
      </c>
      <c r="N807" s="22" t="s">
        <v>5741</v>
      </c>
      <c r="O807" s="17" t="s">
        <v>5740</v>
      </c>
      <c r="P807" s="7" t="s">
        <v>5739</v>
      </c>
      <c r="Q807" s="7" t="s">
        <v>3344</v>
      </c>
      <c r="AC807" s="3" t="str">
        <f ca="1">HYPERLINK("#"&amp;재료비목록표!G2&amp;"!A"&amp;ROW(재료비목록표!A269),"자재266 →")</f>
        <v>자재266 →</v>
      </c>
    </row>
    <row r="808" spans="1:29" ht="30.6" customHeight="1" x14ac:dyDescent="0.3">
      <c r="A808" s="10"/>
      <c r="B808" s="10" t="s">
        <v>2780</v>
      </c>
      <c r="C808" s="41" t="s">
        <v>834</v>
      </c>
      <c r="D808" s="43">
        <v>0</v>
      </c>
      <c r="E808" s="22" t="s">
        <v>14</v>
      </c>
      <c r="F808" s="45">
        <f t="shared" si="65"/>
        <v>23856000</v>
      </c>
      <c r="G808" s="48">
        <f t="shared" si="66"/>
        <v>0</v>
      </c>
      <c r="H808" s="51">
        <v>0</v>
      </c>
      <c r="I808" s="33">
        <f t="shared" si="67"/>
        <v>0</v>
      </c>
      <c r="J808" s="52">
        <f>재료비목록표!E272</f>
        <v>23856000</v>
      </c>
      <c r="K808" s="13">
        <f t="shared" si="68"/>
        <v>0</v>
      </c>
      <c r="L808" s="55">
        <v>0</v>
      </c>
      <c r="M808" s="33">
        <f t="shared" si="69"/>
        <v>0</v>
      </c>
      <c r="N808" s="22" t="s">
        <v>5744</v>
      </c>
      <c r="O808" s="17" t="s">
        <v>5743</v>
      </c>
      <c r="P808" s="7" t="s">
        <v>5742</v>
      </c>
      <c r="Q808" s="7" t="s">
        <v>3344</v>
      </c>
      <c r="AC808" s="3" t="str">
        <f ca="1">HYPERLINK("#"&amp;재료비목록표!G2&amp;"!A"&amp;ROW(재료비목록표!A272),"자재269 →")</f>
        <v>자재269 →</v>
      </c>
    </row>
    <row r="809" spans="1:29" ht="30.6" customHeight="1" x14ac:dyDescent="0.3">
      <c r="A809" s="10"/>
      <c r="B809" s="10" t="s">
        <v>2780</v>
      </c>
      <c r="C809" s="41" t="s">
        <v>837</v>
      </c>
      <c r="D809" s="43">
        <v>0</v>
      </c>
      <c r="E809" s="22" t="s">
        <v>14</v>
      </c>
      <c r="F809" s="45">
        <f t="shared" si="65"/>
        <v>35353000</v>
      </c>
      <c r="G809" s="48">
        <f t="shared" si="66"/>
        <v>0</v>
      </c>
      <c r="H809" s="51">
        <v>0</v>
      </c>
      <c r="I809" s="33">
        <f t="shared" si="67"/>
        <v>0</v>
      </c>
      <c r="J809" s="52">
        <f>재료비목록표!E274</f>
        <v>35353000</v>
      </c>
      <c r="K809" s="13">
        <f t="shared" si="68"/>
        <v>0</v>
      </c>
      <c r="L809" s="55">
        <v>0</v>
      </c>
      <c r="M809" s="33">
        <f t="shared" si="69"/>
        <v>0</v>
      </c>
      <c r="N809" s="22" t="s">
        <v>5747</v>
      </c>
      <c r="O809" s="17" t="s">
        <v>5746</v>
      </c>
      <c r="P809" s="7" t="s">
        <v>5745</v>
      </c>
      <c r="Q809" s="7" t="s">
        <v>3344</v>
      </c>
      <c r="AC809" s="3" t="str">
        <f ca="1">HYPERLINK("#"&amp;재료비목록표!G2&amp;"!A"&amp;ROW(재료비목록표!A274),"자재271 →")</f>
        <v>자재271 →</v>
      </c>
    </row>
    <row r="810" spans="1:29" ht="30.6" customHeight="1" x14ac:dyDescent="0.3">
      <c r="A810" s="10"/>
      <c r="B810" s="10" t="s">
        <v>2801</v>
      </c>
      <c r="C810" s="41" t="s">
        <v>804</v>
      </c>
      <c r="D810" s="43">
        <v>0</v>
      </c>
      <c r="E810" s="22" t="s">
        <v>14</v>
      </c>
      <c r="F810" s="45">
        <f t="shared" si="65"/>
        <v>25000</v>
      </c>
      <c r="G810" s="48">
        <f t="shared" si="66"/>
        <v>0</v>
      </c>
      <c r="H810" s="51">
        <v>0</v>
      </c>
      <c r="I810" s="33">
        <f t="shared" si="67"/>
        <v>0</v>
      </c>
      <c r="J810" s="52">
        <f>재료비목록표!E278</f>
        <v>25000</v>
      </c>
      <c r="K810" s="13">
        <f t="shared" si="68"/>
        <v>0</v>
      </c>
      <c r="L810" s="55">
        <v>0</v>
      </c>
      <c r="M810" s="33">
        <f t="shared" si="69"/>
        <v>0</v>
      </c>
      <c r="N810" s="22" t="s">
        <v>5750</v>
      </c>
      <c r="O810" s="17" t="s">
        <v>5749</v>
      </c>
      <c r="P810" s="7" t="s">
        <v>5748</v>
      </c>
      <c r="Q810" s="7" t="s">
        <v>3344</v>
      </c>
      <c r="AC810" s="3" t="str">
        <f ca="1">HYPERLINK("#"&amp;재료비목록표!G2&amp;"!A"&amp;ROW(재료비목록표!A278),"자재275 →")</f>
        <v>자재275 →</v>
      </c>
    </row>
    <row r="811" spans="1:29" ht="30.6" customHeight="1" x14ac:dyDescent="0.3">
      <c r="A811" s="10"/>
      <c r="B811" s="10" t="s">
        <v>2801</v>
      </c>
      <c r="C811" s="41" t="s">
        <v>807</v>
      </c>
      <c r="D811" s="43">
        <v>0</v>
      </c>
      <c r="E811" s="22" t="s">
        <v>14</v>
      </c>
      <c r="F811" s="45">
        <f t="shared" si="65"/>
        <v>25000</v>
      </c>
      <c r="G811" s="48">
        <f t="shared" si="66"/>
        <v>0</v>
      </c>
      <c r="H811" s="51">
        <v>0</v>
      </c>
      <c r="I811" s="33">
        <f t="shared" si="67"/>
        <v>0</v>
      </c>
      <c r="J811" s="52">
        <f>재료비목록표!E280</f>
        <v>25000</v>
      </c>
      <c r="K811" s="13">
        <f t="shared" si="68"/>
        <v>0</v>
      </c>
      <c r="L811" s="55">
        <v>0</v>
      </c>
      <c r="M811" s="33">
        <f t="shared" si="69"/>
        <v>0</v>
      </c>
      <c r="N811" s="22" t="s">
        <v>5753</v>
      </c>
      <c r="O811" s="17" t="s">
        <v>5752</v>
      </c>
      <c r="P811" s="7" t="s">
        <v>5751</v>
      </c>
      <c r="Q811" s="7" t="s">
        <v>3344</v>
      </c>
      <c r="AC811" s="3" t="str">
        <f ca="1">HYPERLINK("#"&amp;재료비목록표!G2&amp;"!A"&amp;ROW(재료비목록표!A280),"자재277 →")</f>
        <v>자재277 →</v>
      </c>
    </row>
    <row r="812" spans="1:29" ht="30.6" customHeight="1" x14ac:dyDescent="0.3">
      <c r="A812" s="10"/>
      <c r="B812" s="10" t="s">
        <v>2801</v>
      </c>
      <c r="C812" s="41" t="s">
        <v>810</v>
      </c>
      <c r="D812" s="43">
        <v>0</v>
      </c>
      <c r="E812" s="22" t="s">
        <v>14</v>
      </c>
      <c r="F812" s="45">
        <f t="shared" si="65"/>
        <v>25000</v>
      </c>
      <c r="G812" s="48">
        <f t="shared" si="66"/>
        <v>0</v>
      </c>
      <c r="H812" s="51">
        <v>0</v>
      </c>
      <c r="I812" s="33">
        <f t="shared" si="67"/>
        <v>0</v>
      </c>
      <c r="J812" s="52">
        <f>재료비목록표!E281</f>
        <v>25000</v>
      </c>
      <c r="K812" s="13">
        <f t="shared" si="68"/>
        <v>0</v>
      </c>
      <c r="L812" s="55">
        <v>0</v>
      </c>
      <c r="M812" s="33">
        <f t="shared" si="69"/>
        <v>0</v>
      </c>
      <c r="N812" s="22" t="s">
        <v>5756</v>
      </c>
      <c r="O812" s="17" t="s">
        <v>5755</v>
      </c>
      <c r="P812" s="7" t="s">
        <v>5754</v>
      </c>
      <c r="Q812" s="7" t="s">
        <v>3344</v>
      </c>
      <c r="AC812" s="3" t="str">
        <f ca="1">HYPERLINK("#"&amp;재료비목록표!G2&amp;"!A"&amp;ROW(재료비목록표!A281),"자재278 →")</f>
        <v>자재278 →</v>
      </c>
    </row>
    <row r="813" spans="1:29" ht="30.6" customHeight="1" x14ac:dyDescent="0.3">
      <c r="A813" s="10"/>
      <c r="B813" s="10" t="s">
        <v>2801</v>
      </c>
      <c r="C813" s="41" t="s">
        <v>813</v>
      </c>
      <c r="D813" s="43">
        <v>0</v>
      </c>
      <c r="E813" s="22" t="s">
        <v>14</v>
      </c>
      <c r="F813" s="45">
        <f t="shared" si="65"/>
        <v>25000</v>
      </c>
      <c r="G813" s="48">
        <f t="shared" si="66"/>
        <v>0</v>
      </c>
      <c r="H813" s="51">
        <v>0</v>
      </c>
      <c r="I813" s="33">
        <f t="shared" si="67"/>
        <v>0</v>
      </c>
      <c r="J813" s="52">
        <f>재료비목록표!E283</f>
        <v>25000</v>
      </c>
      <c r="K813" s="13">
        <f t="shared" si="68"/>
        <v>0</v>
      </c>
      <c r="L813" s="55">
        <v>0</v>
      </c>
      <c r="M813" s="33">
        <f t="shared" si="69"/>
        <v>0</v>
      </c>
      <c r="N813" s="22" t="s">
        <v>5759</v>
      </c>
      <c r="O813" s="17" t="s">
        <v>5758</v>
      </c>
      <c r="P813" s="7" t="s">
        <v>5757</v>
      </c>
      <c r="Q813" s="7" t="s">
        <v>3344</v>
      </c>
      <c r="AC813" s="3" t="str">
        <f ca="1">HYPERLINK("#"&amp;재료비목록표!G2&amp;"!A"&amp;ROW(재료비목록표!A283),"자재280 →")</f>
        <v>자재280 →</v>
      </c>
    </row>
    <row r="814" spans="1:29" ht="30.6" customHeight="1" x14ac:dyDescent="0.3">
      <c r="A814" s="10"/>
      <c r="B814" s="10" t="s">
        <v>2801</v>
      </c>
      <c r="C814" s="41" t="s">
        <v>816</v>
      </c>
      <c r="D814" s="43">
        <v>0</v>
      </c>
      <c r="E814" s="22" t="s">
        <v>14</v>
      </c>
      <c r="F814" s="45">
        <f t="shared" si="65"/>
        <v>51000</v>
      </c>
      <c r="G814" s="48">
        <f t="shared" si="66"/>
        <v>0</v>
      </c>
      <c r="H814" s="51">
        <v>0</v>
      </c>
      <c r="I814" s="33">
        <f t="shared" si="67"/>
        <v>0</v>
      </c>
      <c r="J814" s="52">
        <f>재료비목록표!E275</f>
        <v>51000</v>
      </c>
      <c r="K814" s="13">
        <f t="shared" si="68"/>
        <v>0</v>
      </c>
      <c r="L814" s="55">
        <v>0</v>
      </c>
      <c r="M814" s="33">
        <f t="shared" si="69"/>
        <v>0</v>
      </c>
      <c r="N814" s="22" t="s">
        <v>5762</v>
      </c>
      <c r="O814" s="17" t="s">
        <v>5761</v>
      </c>
      <c r="P814" s="7" t="s">
        <v>5760</v>
      </c>
      <c r="Q814" s="7" t="s">
        <v>3344</v>
      </c>
      <c r="AC814" s="3" t="str">
        <f ca="1">HYPERLINK("#"&amp;재료비목록표!G2&amp;"!A"&amp;ROW(재료비목록표!A275),"자재272 →")</f>
        <v>자재272 →</v>
      </c>
    </row>
    <row r="815" spans="1:29" ht="30.6" customHeight="1" x14ac:dyDescent="0.3">
      <c r="A815" s="10"/>
      <c r="B815" s="10" t="s">
        <v>2801</v>
      </c>
      <c r="C815" s="41" t="s">
        <v>819</v>
      </c>
      <c r="D815" s="43">
        <v>0</v>
      </c>
      <c r="E815" s="22" t="s">
        <v>14</v>
      </c>
      <c r="F815" s="45">
        <f t="shared" si="65"/>
        <v>51000</v>
      </c>
      <c r="G815" s="48">
        <f t="shared" si="66"/>
        <v>0</v>
      </c>
      <c r="H815" s="51">
        <v>0</v>
      </c>
      <c r="I815" s="33">
        <f t="shared" si="67"/>
        <v>0</v>
      </c>
      <c r="J815" s="52">
        <f>재료비목록표!E276</f>
        <v>51000</v>
      </c>
      <c r="K815" s="13">
        <f t="shared" si="68"/>
        <v>0</v>
      </c>
      <c r="L815" s="55">
        <v>0</v>
      </c>
      <c r="M815" s="33">
        <f t="shared" si="69"/>
        <v>0</v>
      </c>
      <c r="N815" s="22" t="s">
        <v>5765</v>
      </c>
      <c r="O815" s="17" t="s">
        <v>5764</v>
      </c>
      <c r="P815" s="7" t="s">
        <v>5763</v>
      </c>
      <c r="Q815" s="7" t="s">
        <v>3344</v>
      </c>
      <c r="AC815" s="3" t="str">
        <f ca="1">HYPERLINK("#"&amp;재료비목록표!G2&amp;"!A"&amp;ROW(재료비목록표!A276),"자재273 →")</f>
        <v>자재273 →</v>
      </c>
    </row>
    <row r="816" spans="1:29" ht="30.6" customHeight="1" x14ac:dyDescent="0.3">
      <c r="A816" s="10"/>
      <c r="B816" s="10" t="s">
        <v>2801</v>
      </c>
      <c r="C816" s="41" t="s">
        <v>822</v>
      </c>
      <c r="D816" s="43">
        <v>0</v>
      </c>
      <c r="E816" s="22" t="s">
        <v>14</v>
      </c>
      <c r="F816" s="45">
        <f t="shared" si="65"/>
        <v>51000</v>
      </c>
      <c r="G816" s="48">
        <f t="shared" si="66"/>
        <v>0</v>
      </c>
      <c r="H816" s="51">
        <v>0</v>
      </c>
      <c r="I816" s="33">
        <f t="shared" si="67"/>
        <v>0</v>
      </c>
      <c r="J816" s="52">
        <f>재료비목록표!E277</f>
        <v>51000</v>
      </c>
      <c r="K816" s="13">
        <f t="shared" si="68"/>
        <v>0</v>
      </c>
      <c r="L816" s="55">
        <v>0</v>
      </c>
      <c r="M816" s="33">
        <f t="shared" si="69"/>
        <v>0</v>
      </c>
      <c r="N816" s="22" t="s">
        <v>5768</v>
      </c>
      <c r="O816" s="17" t="s">
        <v>5767</v>
      </c>
      <c r="P816" s="7" t="s">
        <v>5766</v>
      </c>
      <c r="Q816" s="7" t="s">
        <v>3344</v>
      </c>
      <c r="AC816" s="3" t="str">
        <f ca="1">HYPERLINK("#"&amp;재료비목록표!G2&amp;"!A"&amp;ROW(재료비목록표!A277),"자재274 →")</f>
        <v>자재274 →</v>
      </c>
    </row>
    <row r="817" spans="1:29" ht="30.6" customHeight="1" x14ac:dyDescent="0.3">
      <c r="A817" s="10"/>
      <c r="B817" s="10" t="s">
        <v>2801</v>
      </c>
      <c r="C817" s="41" t="s">
        <v>825</v>
      </c>
      <c r="D817" s="43">
        <v>0</v>
      </c>
      <c r="E817" s="22" t="s">
        <v>14</v>
      </c>
      <c r="F817" s="45">
        <f t="shared" si="65"/>
        <v>104000</v>
      </c>
      <c r="G817" s="48">
        <f t="shared" si="66"/>
        <v>0</v>
      </c>
      <c r="H817" s="51">
        <v>0</v>
      </c>
      <c r="I817" s="33">
        <f t="shared" si="67"/>
        <v>0</v>
      </c>
      <c r="J817" s="52">
        <f>재료비목록표!E279</f>
        <v>104000</v>
      </c>
      <c r="K817" s="13">
        <f t="shared" si="68"/>
        <v>0</v>
      </c>
      <c r="L817" s="55">
        <v>0</v>
      </c>
      <c r="M817" s="33">
        <f t="shared" si="69"/>
        <v>0</v>
      </c>
      <c r="N817" s="22" t="s">
        <v>5771</v>
      </c>
      <c r="O817" s="17" t="s">
        <v>5770</v>
      </c>
      <c r="P817" s="7" t="s">
        <v>5769</v>
      </c>
      <c r="Q817" s="7" t="s">
        <v>3344</v>
      </c>
      <c r="AC817" s="3" t="str">
        <f ca="1">HYPERLINK("#"&amp;재료비목록표!G2&amp;"!A"&amp;ROW(재료비목록표!A279),"자재276 →")</f>
        <v>자재276 →</v>
      </c>
    </row>
    <row r="818" spans="1:29" ht="30.6" customHeight="1" x14ac:dyDescent="0.3">
      <c r="A818" s="10"/>
      <c r="B818" s="10" t="s">
        <v>2801</v>
      </c>
      <c r="C818" s="41" t="s">
        <v>834</v>
      </c>
      <c r="D818" s="43">
        <v>0</v>
      </c>
      <c r="E818" s="22" t="s">
        <v>14</v>
      </c>
      <c r="F818" s="45">
        <f t="shared" si="65"/>
        <v>104000</v>
      </c>
      <c r="G818" s="48">
        <f t="shared" si="66"/>
        <v>0</v>
      </c>
      <c r="H818" s="51">
        <v>0</v>
      </c>
      <c r="I818" s="33">
        <f t="shared" si="67"/>
        <v>0</v>
      </c>
      <c r="J818" s="52">
        <f>재료비목록표!E282</f>
        <v>104000</v>
      </c>
      <c r="K818" s="13">
        <f t="shared" si="68"/>
        <v>0</v>
      </c>
      <c r="L818" s="55">
        <v>0</v>
      </c>
      <c r="M818" s="33">
        <f t="shared" si="69"/>
        <v>0</v>
      </c>
      <c r="N818" s="22" t="s">
        <v>5774</v>
      </c>
      <c r="O818" s="17" t="s">
        <v>5773</v>
      </c>
      <c r="P818" s="7" t="s">
        <v>5772</v>
      </c>
      <c r="Q818" s="7" t="s">
        <v>3344</v>
      </c>
      <c r="AC818" s="3" t="str">
        <f ca="1">HYPERLINK("#"&amp;재료비목록표!G2&amp;"!A"&amp;ROW(재료비목록표!A282),"자재279 →")</f>
        <v>자재279 →</v>
      </c>
    </row>
    <row r="819" spans="1:29" ht="30.6" customHeight="1" x14ac:dyDescent="0.3">
      <c r="A819" s="10"/>
      <c r="B819" s="10" t="s">
        <v>2801</v>
      </c>
      <c r="C819" s="41" t="s">
        <v>837</v>
      </c>
      <c r="D819" s="43">
        <v>0</v>
      </c>
      <c r="E819" s="22" t="s">
        <v>14</v>
      </c>
      <c r="F819" s="45">
        <f t="shared" si="65"/>
        <v>156000</v>
      </c>
      <c r="G819" s="48">
        <f t="shared" si="66"/>
        <v>0</v>
      </c>
      <c r="H819" s="51">
        <v>0</v>
      </c>
      <c r="I819" s="33">
        <f t="shared" si="67"/>
        <v>0</v>
      </c>
      <c r="J819" s="52">
        <f>재료비목록표!E284</f>
        <v>156000</v>
      </c>
      <c r="K819" s="13">
        <f t="shared" si="68"/>
        <v>0</v>
      </c>
      <c r="L819" s="55">
        <v>0</v>
      </c>
      <c r="M819" s="33">
        <f t="shared" si="69"/>
        <v>0</v>
      </c>
      <c r="N819" s="22" t="s">
        <v>5777</v>
      </c>
      <c r="O819" s="17" t="s">
        <v>5776</v>
      </c>
      <c r="P819" s="7" t="s">
        <v>5775</v>
      </c>
      <c r="Q819" s="7" t="s">
        <v>3344</v>
      </c>
      <c r="AC819" s="3" t="str">
        <f ca="1">HYPERLINK("#"&amp;재료비목록표!G2&amp;"!A"&amp;ROW(재료비목록표!A284),"자재281 →")</f>
        <v>자재281 →</v>
      </c>
    </row>
    <row r="820" spans="1:29" ht="30.6" customHeight="1" x14ac:dyDescent="0.3">
      <c r="A820" s="10"/>
      <c r="B820" s="10" t="s">
        <v>2801</v>
      </c>
      <c r="C820" s="41" t="s">
        <v>807</v>
      </c>
      <c r="D820" s="43">
        <v>0</v>
      </c>
      <c r="E820" s="22" t="s">
        <v>14</v>
      </c>
      <c r="F820" s="45">
        <f t="shared" si="65"/>
        <v>25000</v>
      </c>
      <c r="G820" s="48">
        <f t="shared" si="66"/>
        <v>0</v>
      </c>
      <c r="H820" s="51">
        <v>0</v>
      </c>
      <c r="I820" s="33">
        <f t="shared" si="67"/>
        <v>0</v>
      </c>
      <c r="J820" s="52">
        <f>재료비목록표!E280</f>
        <v>25000</v>
      </c>
      <c r="K820" s="13">
        <f t="shared" si="68"/>
        <v>0</v>
      </c>
      <c r="L820" s="55">
        <v>0</v>
      </c>
      <c r="M820" s="33">
        <f t="shared" si="69"/>
        <v>0</v>
      </c>
      <c r="N820" s="22" t="s">
        <v>5753</v>
      </c>
      <c r="O820" s="17" t="s">
        <v>5752</v>
      </c>
      <c r="P820" s="7" t="s">
        <v>5751</v>
      </c>
      <c r="Q820" s="7" t="s">
        <v>3344</v>
      </c>
      <c r="AC820" s="3" t="str">
        <f ca="1">HYPERLINK("#"&amp;재료비목록표!G2&amp;"!A"&amp;ROW(재료비목록표!A280),"자재277 →")</f>
        <v>자재277 →</v>
      </c>
    </row>
    <row r="821" spans="1:29" ht="30.6" customHeight="1" x14ac:dyDescent="0.3">
      <c r="A821" s="10"/>
      <c r="B821" s="10" t="s">
        <v>2822</v>
      </c>
      <c r="C821" s="41" t="s">
        <v>804</v>
      </c>
      <c r="D821" s="43">
        <v>0</v>
      </c>
      <c r="E821" s="22" t="s">
        <v>14</v>
      </c>
      <c r="F821" s="45">
        <f t="shared" si="65"/>
        <v>56000</v>
      </c>
      <c r="G821" s="48">
        <f t="shared" si="66"/>
        <v>0</v>
      </c>
      <c r="H821" s="51">
        <v>0</v>
      </c>
      <c r="I821" s="33">
        <f t="shared" si="67"/>
        <v>0</v>
      </c>
      <c r="J821" s="52">
        <f>재료비목록표!E289</f>
        <v>56000</v>
      </c>
      <c r="K821" s="13">
        <f t="shared" si="68"/>
        <v>0</v>
      </c>
      <c r="L821" s="55">
        <v>0</v>
      </c>
      <c r="M821" s="33">
        <f t="shared" si="69"/>
        <v>0</v>
      </c>
      <c r="N821" s="22" t="s">
        <v>5780</v>
      </c>
      <c r="O821" s="17" t="s">
        <v>5779</v>
      </c>
      <c r="P821" s="7" t="s">
        <v>5778</v>
      </c>
      <c r="Q821" s="7" t="s">
        <v>3344</v>
      </c>
      <c r="AC821" s="3" t="str">
        <f ca="1">HYPERLINK("#"&amp;재료비목록표!G2&amp;"!A"&amp;ROW(재료비목록표!A289),"자재286 →")</f>
        <v>자재286 →</v>
      </c>
    </row>
    <row r="822" spans="1:29" ht="30.6" customHeight="1" x14ac:dyDescent="0.3">
      <c r="A822" s="10"/>
      <c r="B822" s="10" t="s">
        <v>2822</v>
      </c>
      <c r="C822" s="41" t="s">
        <v>807</v>
      </c>
      <c r="D822" s="43">
        <v>0</v>
      </c>
      <c r="E822" s="22" t="s">
        <v>14</v>
      </c>
      <c r="F822" s="45">
        <f t="shared" si="65"/>
        <v>56000</v>
      </c>
      <c r="G822" s="48">
        <f t="shared" si="66"/>
        <v>0</v>
      </c>
      <c r="H822" s="51">
        <v>0</v>
      </c>
      <c r="I822" s="33">
        <f t="shared" si="67"/>
        <v>0</v>
      </c>
      <c r="J822" s="52">
        <f>재료비목록표!E291</f>
        <v>56000</v>
      </c>
      <c r="K822" s="13">
        <f t="shared" si="68"/>
        <v>0</v>
      </c>
      <c r="L822" s="55">
        <v>0</v>
      </c>
      <c r="M822" s="33">
        <f t="shared" si="69"/>
        <v>0</v>
      </c>
      <c r="N822" s="22" t="s">
        <v>5783</v>
      </c>
      <c r="O822" s="17" t="s">
        <v>5782</v>
      </c>
      <c r="P822" s="7" t="s">
        <v>5781</v>
      </c>
      <c r="Q822" s="7" t="s">
        <v>3344</v>
      </c>
      <c r="AC822" s="3" t="str">
        <f ca="1">HYPERLINK("#"&amp;재료비목록표!G2&amp;"!A"&amp;ROW(재료비목록표!A291),"자재288 →")</f>
        <v>자재288 →</v>
      </c>
    </row>
    <row r="823" spans="1:29" ht="30.6" customHeight="1" x14ac:dyDescent="0.3">
      <c r="A823" s="10"/>
      <c r="B823" s="10" t="s">
        <v>2822</v>
      </c>
      <c r="C823" s="41" t="s">
        <v>810</v>
      </c>
      <c r="D823" s="43">
        <v>0</v>
      </c>
      <c r="E823" s="22" t="s">
        <v>14</v>
      </c>
      <c r="F823" s="45">
        <f t="shared" si="65"/>
        <v>56000</v>
      </c>
      <c r="G823" s="48">
        <f t="shared" si="66"/>
        <v>0</v>
      </c>
      <c r="H823" s="51">
        <v>0</v>
      </c>
      <c r="I823" s="33">
        <f t="shared" si="67"/>
        <v>0</v>
      </c>
      <c r="J823" s="52">
        <f>재료비목록표!E292</f>
        <v>56000</v>
      </c>
      <c r="K823" s="13">
        <f t="shared" si="68"/>
        <v>0</v>
      </c>
      <c r="L823" s="55">
        <v>0</v>
      </c>
      <c r="M823" s="33">
        <f t="shared" si="69"/>
        <v>0</v>
      </c>
      <c r="N823" s="22" t="s">
        <v>5786</v>
      </c>
      <c r="O823" s="17" t="s">
        <v>5785</v>
      </c>
      <c r="P823" s="7" t="s">
        <v>5784</v>
      </c>
      <c r="Q823" s="7" t="s">
        <v>3344</v>
      </c>
      <c r="AC823" s="3" t="str">
        <f ca="1">HYPERLINK("#"&amp;재료비목록표!G2&amp;"!A"&amp;ROW(재료비목록표!A292),"자재289 →")</f>
        <v>자재289 →</v>
      </c>
    </row>
    <row r="824" spans="1:29" ht="30.6" customHeight="1" x14ac:dyDescent="0.3">
      <c r="A824" s="10"/>
      <c r="B824" s="10" t="s">
        <v>2822</v>
      </c>
      <c r="C824" s="41" t="s">
        <v>816</v>
      </c>
      <c r="D824" s="43">
        <v>0</v>
      </c>
      <c r="E824" s="22" t="s">
        <v>14</v>
      </c>
      <c r="F824" s="45">
        <f t="shared" si="65"/>
        <v>95000</v>
      </c>
      <c r="G824" s="48">
        <f t="shared" si="66"/>
        <v>0</v>
      </c>
      <c r="H824" s="51">
        <v>0</v>
      </c>
      <c r="I824" s="33">
        <f t="shared" si="67"/>
        <v>0</v>
      </c>
      <c r="J824" s="52">
        <f>재료비목록표!E285</f>
        <v>95000</v>
      </c>
      <c r="K824" s="13">
        <f t="shared" si="68"/>
        <v>0</v>
      </c>
      <c r="L824" s="55">
        <v>0</v>
      </c>
      <c r="M824" s="33">
        <f t="shared" si="69"/>
        <v>0</v>
      </c>
      <c r="N824" s="22" t="s">
        <v>5789</v>
      </c>
      <c r="O824" s="17" t="s">
        <v>5788</v>
      </c>
      <c r="P824" s="7" t="s">
        <v>5787</v>
      </c>
      <c r="Q824" s="7" t="s">
        <v>3344</v>
      </c>
      <c r="AC824" s="3" t="str">
        <f ca="1">HYPERLINK("#"&amp;재료비목록표!G2&amp;"!A"&amp;ROW(재료비목록표!A285),"자재282 →")</f>
        <v>자재282 →</v>
      </c>
    </row>
    <row r="825" spans="1:29" ht="30.6" customHeight="1" x14ac:dyDescent="0.3">
      <c r="A825" s="10"/>
      <c r="B825" s="10" t="s">
        <v>2822</v>
      </c>
      <c r="C825" s="41" t="s">
        <v>819</v>
      </c>
      <c r="D825" s="43">
        <v>0</v>
      </c>
      <c r="E825" s="22" t="s">
        <v>14</v>
      </c>
      <c r="F825" s="45">
        <f t="shared" si="65"/>
        <v>95000</v>
      </c>
      <c r="G825" s="48">
        <f t="shared" si="66"/>
        <v>0</v>
      </c>
      <c r="H825" s="51">
        <v>0</v>
      </c>
      <c r="I825" s="33">
        <f t="shared" si="67"/>
        <v>0</v>
      </c>
      <c r="J825" s="52">
        <f>재료비목록표!E286</f>
        <v>95000</v>
      </c>
      <c r="K825" s="13">
        <f t="shared" si="68"/>
        <v>0</v>
      </c>
      <c r="L825" s="55">
        <v>0</v>
      </c>
      <c r="M825" s="33">
        <f t="shared" si="69"/>
        <v>0</v>
      </c>
      <c r="N825" s="22" t="s">
        <v>5792</v>
      </c>
      <c r="O825" s="17" t="s">
        <v>5791</v>
      </c>
      <c r="P825" s="7" t="s">
        <v>5790</v>
      </c>
      <c r="Q825" s="7" t="s">
        <v>3344</v>
      </c>
      <c r="AC825" s="3" t="str">
        <f ca="1">HYPERLINK("#"&amp;재료비목록표!G2&amp;"!A"&amp;ROW(재료비목록표!A286),"자재283 →")</f>
        <v>자재283 →</v>
      </c>
    </row>
    <row r="826" spans="1:29" ht="30.6" customHeight="1" x14ac:dyDescent="0.3">
      <c r="A826" s="10"/>
      <c r="B826" s="10" t="s">
        <v>2822</v>
      </c>
      <c r="C826" s="41" t="s">
        <v>822</v>
      </c>
      <c r="D826" s="43">
        <v>0</v>
      </c>
      <c r="E826" s="22" t="s">
        <v>14</v>
      </c>
      <c r="F826" s="45">
        <f t="shared" si="65"/>
        <v>95000</v>
      </c>
      <c r="G826" s="48">
        <f t="shared" si="66"/>
        <v>0</v>
      </c>
      <c r="H826" s="51">
        <v>0</v>
      </c>
      <c r="I826" s="33">
        <f t="shared" si="67"/>
        <v>0</v>
      </c>
      <c r="J826" s="52">
        <f>재료비목록표!E287</f>
        <v>95000</v>
      </c>
      <c r="K826" s="13">
        <f t="shared" si="68"/>
        <v>0</v>
      </c>
      <c r="L826" s="55">
        <v>0</v>
      </c>
      <c r="M826" s="33">
        <f t="shared" si="69"/>
        <v>0</v>
      </c>
      <c r="N826" s="22" t="s">
        <v>5795</v>
      </c>
      <c r="O826" s="17" t="s">
        <v>5794</v>
      </c>
      <c r="P826" s="7" t="s">
        <v>5793</v>
      </c>
      <c r="Q826" s="7" t="s">
        <v>3344</v>
      </c>
      <c r="AC826" s="3" t="str">
        <f ca="1">HYPERLINK("#"&amp;재료비목록표!G2&amp;"!A"&amp;ROW(재료비목록표!A287),"자재284 →")</f>
        <v>자재284 →</v>
      </c>
    </row>
    <row r="827" spans="1:29" ht="30.6" customHeight="1" x14ac:dyDescent="0.3">
      <c r="A827" s="10"/>
      <c r="B827" s="10" t="s">
        <v>2822</v>
      </c>
      <c r="C827" s="41" t="s">
        <v>2829</v>
      </c>
      <c r="D827" s="43">
        <v>0</v>
      </c>
      <c r="E827" s="22" t="s">
        <v>14</v>
      </c>
      <c r="F827" s="45">
        <f t="shared" si="65"/>
        <v>95000</v>
      </c>
      <c r="G827" s="48">
        <f t="shared" si="66"/>
        <v>0</v>
      </c>
      <c r="H827" s="51">
        <v>0</v>
      </c>
      <c r="I827" s="33">
        <f t="shared" si="67"/>
        <v>0</v>
      </c>
      <c r="J827" s="52">
        <f>재료비목록표!E288</f>
        <v>95000</v>
      </c>
      <c r="K827" s="13">
        <f t="shared" si="68"/>
        <v>0</v>
      </c>
      <c r="L827" s="55">
        <v>0</v>
      </c>
      <c r="M827" s="33">
        <f t="shared" si="69"/>
        <v>0</v>
      </c>
      <c r="N827" s="22" t="s">
        <v>5798</v>
      </c>
      <c r="O827" s="17" t="s">
        <v>5797</v>
      </c>
      <c r="P827" s="7" t="s">
        <v>5796</v>
      </c>
      <c r="Q827" s="7" t="s">
        <v>3344</v>
      </c>
      <c r="AC827" s="3" t="str">
        <f ca="1">HYPERLINK("#"&amp;재료비목록표!G2&amp;"!A"&amp;ROW(재료비목록표!A288),"자재285 →")</f>
        <v>자재285 →</v>
      </c>
    </row>
    <row r="828" spans="1:29" ht="30.6" customHeight="1" x14ac:dyDescent="0.3">
      <c r="A828" s="10"/>
      <c r="B828" s="10" t="s">
        <v>2822</v>
      </c>
      <c r="C828" s="41" t="s">
        <v>825</v>
      </c>
      <c r="D828" s="43">
        <v>0</v>
      </c>
      <c r="E828" s="22" t="s">
        <v>14</v>
      </c>
      <c r="F828" s="45">
        <f t="shared" si="65"/>
        <v>169000</v>
      </c>
      <c r="G828" s="48">
        <f t="shared" si="66"/>
        <v>0</v>
      </c>
      <c r="H828" s="51">
        <v>0</v>
      </c>
      <c r="I828" s="33">
        <f t="shared" si="67"/>
        <v>0</v>
      </c>
      <c r="J828" s="52">
        <f>재료비목록표!E290</f>
        <v>169000</v>
      </c>
      <c r="K828" s="13">
        <f t="shared" si="68"/>
        <v>0</v>
      </c>
      <c r="L828" s="55">
        <v>0</v>
      </c>
      <c r="M828" s="33">
        <f t="shared" si="69"/>
        <v>0</v>
      </c>
      <c r="N828" s="22" t="s">
        <v>5801</v>
      </c>
      <c r="O828" s="17" t="s">
        <v>5800</v>
      </c>
      <c r="P828" s="7" t="s">
        <v>5799</v>
      </c>
      <c r="Q828" s="7" t="s">
        <v>3344</v>
      </c>
      <c r="AC828" s="3" t="str">
        <f ca="1">HYPERLINK("#"&amp;재료비목록표!G2&amp;"!A"&amp;ROW(재료비목록표!A290),"자재287 →")</f>
        <v>자재287 →</v>
      </c>
    </row>
    <row r="829" spans="1:29" ht="30.6" customHeight="1" x14ac:dyDescent="0.3">
      <c r="A829" s="10"/>
      <c r="B829" s="10" t="s">
        <v>2822</v>
      </c>
      <c r="C829" s="41" t="s">
        <v>834</v>
      </c>
      <c r="D829" s="43">
        <v>0</v>
      </c>
      <c r="E829" s="22" t="s">
        <v>14</v>
      </c>
      <c r="F829" s="45">
        <f t="shared" si="65"/>
        <v>293000</v>
      </c>
      <c r="G829" s="48">
        <f t="shared" si="66"/>
        <v>0</v>
      </c>
      <c r="H829" s="51">
        <v>0</v>
      </c>
      <c r="I829" s="33">
        <f t="shared" si="67"/>
        <v>0</v>
      </c>
      <c r="J829" s="52">
        <f>재료비목록표!E293</f>
        <v>293000</v>
      </c>
      <c r="K829" s="13">
        <f t="shared" si="68"/>
        <v>0</v>
      </c>
      <c r="L829" s="55">
        <v>0</v>
      </c>
      <c r="M829" s="33">
        <f t="shared" si="69"/>
        <v>0</v>
      </c>
      <c r="N829" s="22" t="s">
        <v>5804</v>
      </c>
      <c r="O829" s="17" t="s">
        <v>5803</v>
      </c>
      <c r="P829" s="7" t="s">
        <v>5802</v>
      </c>
      <c r="Q829" s="7" t="s">
        <v>3344</v>
      </c>
      <c r="AC829" s="3" t="str">
        <f ca="1">HYPERLINK("#"&amp;재료비목록표!G2&amp;"!A"&amp;ROW(재료비목록표!A293),"자재290 →")</f>
        <v>자재290 →</v>
      </c>
    </row>
    <row r="830" spans="1:29" ht="30.6" customHeight="1" x14ac:dyDescent="0.3">
      <c r="A830" s="10"/>
      <c r="B830" s="10" t="s">
        <v>2822</v>
      </c>
      <c r="C830" s="41" t="s">
        <v>837</v>
      </c>
      <c r="D830" s="43">
        <v>0</v>
      </c>
      <c r="E830" s="22" t="s">
        <v>14</v>
      </c>
      <c r="F830" s="45">
        <f t="shared" si="65"/>
        <v>284000</v>
      </c>
      <c r="G830" s="48">
        <f t="shared" si="66"/>
        <v>0</v>
      </c>
      <c r="H830" s="51">
        <v>0</v>
      </c>
      <c r="I830" s="33">
        <f t="shared" si="67"/>
        <v>0</v>
      </c>
      <c r="J830" s="52">
        <f>재료비목록표!E294</f>
        <v>284000</v>
      </c>
      <c r="K830" s="13">
        <f t="shared" si="68"/>
        <v>0</v>
      </c>
      <c r="L830" s="55">
        <v>0</v>
      </c>
      <c r="M830" s="33">
        <f t="shared" si="69"/>
        <v>0</v>
      </c>
      <c r="N830" s="22" t="s">
        <v>5807</v>
      </c>
      <c r="O830" s="17" t="s">
        <v>5806</v>
      </c>
      <c r="P830" s="7" t="s">
        <v>5805</v>
      </c>
      <c r="Q830" s="7" t="s">
        <v>3344</v>
      </c>
      <c r="AC830" s="3" t="str">
        <f ca="1">HYPERLINK("#"&amp;재료비목록표!G2&amp;"!A"&amp;ROW(재료비목록표!A294),"자재291 →")</f>
        <v>자재291 →</v>
      </c>
    </row>
    <row r="831" spans="1:29" ht="30.6" customHeight="1" x14ac:dyDescent="0.3">
      <c r="A831" s="10"/>
      <c r="B831" s="10" t="s">
        <v>2282</v>
      </c>
      <c r="C831" s="41" t="s">
        <v>2298</v>
      </c>
      <c r="D831" s="43">
        <v>0</v>
      </c>
      <c r="E831" s="22" t="s">
        <v>1010</v>
      </c>
      <c r="F831" s="45">
        <f t="shared" si="65"/>
        <v>416000</v>
      </c>
      <c r="G831" s="48">
        <f t="shared" si="66"/>
        <v>0</v>
      </c>
      <c r="H831" s="51">
        <v>0</v>
      </c>
      <c r="I831" s="33">
        <f t="shared" si="67"/>
        <v>0</v>
      </c>
      <c r="J831" s="52">
        <f>재료비목록표!E91</f>
        <v>416000</v>
      </c>
      <c r="K831" s="13">
        <f t="shared" si="68"/>
        <v>0</v>
      </c>
      <c r="L831" s="55">
        <v>0</v>
      </c>
      <c r="M831" s="33">
        <f t="shared" si="69"/>
        <v>0</v>
      </c>
      <c r="N831" s="22" t="s">
        <v>5810</v>
      </c>
      <c r="O831" s="17" t="s">
        <v>5809</v>
      </c>
      <c r="P831" s="7" t="s">
        <v>5808</v>
      </c>
      <c r="Q831" s="7" t="s">
        <v>3344</v>
      </c>
      <c r="AC831" s="3" t="str">
        <f ca="1">HYPERLINK("#"&amp;재료비목록표!G2&amp;"!A"&amp;ROW(재료비목록표!A91),"자재88 →")</f>
        <v>자재88 →</v>
      </c>
    </row>
    <row r="832" spans="1:29" ht="30.6" customHeight="1" x14ac:dyDescent="0.3">
      <c r="A832" s="10"/>
      <c r="B832" s="10" t="s">
        <v>2282</v>
      </c>
      <c r="C832" s="41" t="s">
        <v>2283</v>
      </c>
      <c r="D832" s="43">
        <v>0</v>
      </c>
      <c r="E832" s="22" t="s">
        <v>1010</v>
      </c>
      <c r="F832" s="45">
        <f t="shared" si="65"/>
        <v>587000</v>
      </c>
      <c r="G832" s="48">
        <f t="shared" si="66"/>
        <v>0</v>
      </c>
      <c r="H832" s="51">
        <v>0</v>
      </c>
      <c r="I832" s="33">
        <f t="shared" si="67"/>
        <v>0</v>
      </c>
      <c r="J832" s="52">
        <f>재료비목록표!E86</f>
        <v>587000</v>
      </c>
      <c r="K832" s="13">
        <f t="shared" si="68"/>
        <v>0</v>
      </c>
      <c r="L832" s="55">
        <v>0</v>
      </c>
      <c r="M832" s="33">
        <f t="shared" si="69"/>
        <v>0</v>
      </c>
      <c r="N832" s="22" t="s">
        <v>5813</v>
      </c>
      <c r="O832" s="17" t="s">
        <v>5812</v>
      </c>
      <c r="P832" s="7" t="s">
        <v>5811</v>
      </c>
      <c r="Q832" s="7" t="s">
        <v>3344</v>
      </c>
      <c r="AC832" s="3" t="str">
        <f ca="1">HYPERLINK("#"&amp;재료비목록표!G2&amp;"!A"&amp;ROW(재료비목록표!A86),"자재83 →")</f>
        <v>자재83 →</v>
      </c>
    </row>
    <row r="833" spans="1:29" ht="30.6" customHeight="1" x14ac:dyDescent="0.3">
      <c r="A833" s="10"/>
      <c r="B833" s="10" t="s">
        <v>2282</v>
      </c>
      <c r="C833" s="41" t="s">
        <v>2286</v>
      </c>
      <c r="D833" s="43">
        <v>0</v>
      </c>
      <c r="E833" s="22" t="s">
        <v>1010</v>
      </c>
      <c r="F833" s="45">
        <f t="shared" si="65"/>
        <v>1628000</v>
      </c>
      <c r="G833" s="48">
        <f t="shared" si="66"/>
        <v>0</v>
      </c>
      <c r="H833" s="51">
        <v>0</v>
      </c>
      <c r="I833" s="33">
        <f t="shared" si="67"/>
        <v>0</v>
      </c>
      <c r="J833" s="52">
        <f>재료비목록표!E87</f>
        <v>1628000</v>
      </c>
      <c r="K833" s="13">
        <f t="shared" si="68"/>
        <v>0</v>
      </c>
      <c r="L833" s="55">
        <v>0</v>
      </c>
      <c r="M833" s="33">
        <f t="shared" si="69"/>
        <v>0</v>
      </c>
      <c r="N833" s="22" t="s">
        <v>5816</v>
      </c>
      <c r="O833" s="17" t="s">
        <v>5815</v>
      </c>
      <c r="P833" s="7" t="s">
        <v>5814</v>
      </c>
      <c r="Q833" s="7" t="s">
        <v>3344</v>
      </c>
      <c r="AC833" s="3" t="str">
        <f ca="1">HYPERLINK("#"&amp;재료비목록표!G2&amp;"!A"&amp;ROW(재료비목록표!A87),"자재84 →")</f>
        <v>자재84 →</v>
      </c>
    </row>
    <row r="834" spans="1:29" ht="30.6" customHeight="1" x14ac:dyDescent="0.3">
      <c r="A834" s="10"/>
      <c r="B834" s="10" t="s">
        <v>2282</v>
      </c>
      <c r="C834" s="41" t="s">
        <v>2289</v>
      </c>
      <c r="D834" s="43">
        <v>0</v>
      </c>
      <c r="E834" s="22" t="s">
        <v>1010</v>
      </c>
      <c r="F834" s="45">
        <f t="shared" si="65"/>
        <v>2054000</v>
      </c>
      <c r="G834" s="48">
        <f t="shared" si="66"/>
        <v>0</v>
      </c>
      <c r="H834" s="51">
        <v>0</v>
      </c>
      <c r="I834" s="33">
        <f t="shared" si="67"/>
        <v>0</v>
      </c>
      <c r="J834" s="52">
        <f>재료비목록표!E88</f>
        <v>2054000</v>
      </c>
      <c r="K834" s="13">
        <f t="shared" si="68"/>
        <v>0</v>
      </c>
      <c r="L834" s="55">
        <v>0</v>
      </c>
      <c r="M834" s="33">
        <f t="shared" si="69"/>
        <v>0</v>
      </c>
      <c r="N834" s="22" t="s">
        <v>5819</v>
      </c>
      <c r="O834" s="17" t="s">
        <v>5818</v>
      </c>
      <c r="P834" s="7" t="s">
        <v>5817</v>
      </c>
      <c r="Q834" s="7" t="s">
        <v>3344</v>
      </c>
      <c r="AC834" s="3" t="str">
        <f ca="1">HYPERLINK("#"&amp;재료비목록표!G2&amp;"!A"&amp;ROW(재료비목록표!A88),"자재85 →")</f>
        <v>자재85 →</v>
      </c>
    </row>
    <row r="835" spans="1:29" ht="30.6" customHeight="1" x14ac:dyDescent="0.3">
      <c r="A835" s="10"/>
      <c r="B835" s="10" t="s">
        <v>2282</v>
      </c>
      <c r="C835" s="41" t="s">
        <v>2292</v>
      </c>
      <c r="D835" s="43">
        <v>0</v>
      </c>
      <c r="E835" s="22" t="s">
        <v>1010</v>
      </c>
      <c r="F835" s="45">
        <f t="shared" si="65"/>
        <v>2700000</v>
      </c>
      <c r="G835" s="48">
        <f t="shared" si="66"/>
        <v>0</v>
      </c>
      <c r="H835" s="51">
        <v>0</v>
      </c>
      <c r="I835" s="33">
        <f t="shared" si="67"/>
        <v>0</v>
      </c>
      <c r="J835" s="52">
        <f>재료비목록표!E89</f>
        <v>2700000</v>
      </c>
      <c r="K835" s="13">
        <f t="shared" si="68"/>
        <v>0</v>
      </c>
      <c r="L835" s="55">
        <v>0</v>
      </c>
      <c r="M835" s="33">
        <f t="shared" si="69"/>
        <v>0</v>
      </c>
      <c r="N835" s="22" t="s">
        <v>5822</v>
      </c>
      <c r="O835" s="17" t="s">
        <v>5821</v>
      </c>
      <c r="P835" s="7" t="s">
        <v>5820</v>
      </c>
      <c r="Q835" s="7" t="s">
        <v>3344</v>
      </c>
      <c r="AC835" s="3" t="str">
        <f ca="1">HYPERLINK("#"&amp;재료비목록표!G2&amp;"!A"&amp;ROW(재료비목록표!A89),"자재86 →")</f>
        <v>자재86 →</v>
      </c>
    </row>
    <row r="836" spans="1:29" ht="30.6" customHeight="1" x14ac:dyDescent="0.3">
      <c r="A836" s="10"/>
      <c r="B836" s="10" t="s">
        <v>2282</v>
      </c>
      <c r="C836" s="41" t="s">
        <v>2295</v>
      </c>
      <c r="D836" s="43">
        <v>0</v>
      </c>
      <c r="E836" s="22" t="s">
        <v>1010</v>
      </c>
      <c r="F836" s="45">
        <f t="shared" si="65"/>
        <v>3384000</v>
      </c>
      <c r="G836" s="48">
        <f t="shared" si="66"/>
        <v>0</v>
      </c>
      <c r="H836" s="51">
        <v>0</v>
      </c>
      <c r="I836" s="33">
        <f t="shared" si="67"/>
        <v>0</v>
      </c>
      <c r="J836" s="52">
        <f>재료비목록표!E90</f>
        <v>3384000</v>
      </c>
      <c r="K836" s="13">
        <f t="shared" si="68"/>
        <v>0</v>
      </c>
      <c r="L836" s="55">
        <v>0</v>
      </c>
      <c r="M836" s="33">
        <f t="shared" si="69"/>
        <v>0</v>
      </c>
      <c r="N836" s="22" t="s">
        <v>5825</v>
      </c>
      <c r="O836" s="17" t="s">
        <v>5824</v>
      </c>
      <c r="P836" s="7" t="s">
        <v>5823</v>
      </c>
      <c r="Q836" s="7" t="s">
        <v>3344</v>
      </c>
      <c r="AC836" s="3" t="str">
        <f ca="1">HYPERLINK("#"&amp;재료비목록표!G2&amp;"!A"&amp;ROW(재료비목록표!A90),"자재87 →")</f>
        <v>자재87 →</v>
      </c>
    </row>
    <row r="837" spans="1:29" ht="30.6" customHeight="1" x14ac:dyDescent="0.3">
      <c r="A837" s="10"/>
      <c r="B837" s="10" t="s">
        <v>982</v>
      </c>
      <c r="C837" s="41" t="s">
        <v>2347</v>
      </c>
      <c r="D837" s="43">
        <v>0</v>
      </c>
      <c r="E837" s="22" t="s">
        <v>1010</v>
      </c>
      <c r="F837" s="45">
        <f t="shared" si="65"/>
        <v>3600000</v>
      </c>
      <c r="G837" s="48">
        <f t="shared" si="66"/>
        <v>0</v>
      </c>
      <c r="H837" s="51">
        <v>0</v>
      </c>
      <c r="I837" s="33">
        <f t="shared" si="67"/>
        <v>0</v>
      </c>
      <c r="J837" s="52">
        <f>재료비목록표!E106</f>
        <v>3600000</v>
      </c>
      <c r="K837" s="13">
        <f t="shared" si="68"/>
        <v>0</v>
      </c>
      <c r="L837" s="55">
        <v>0</v>
      </c>
      <c r="M837" s="33">
        <f t="shared" si="69"/>
        <v>0</v>
      </c>
      <c r="N837" s="22" t="s">
        <v>5828</v>
      </c>
      <c r="O837" s="17" t="s">
        <v>5827</v>
      </c>
      <c r="P837" s="7" t="s">
        <v>5826</v>
      </c>
      <c r="Q837" s="7" t="s">
        <v>3344</v>
      </c>
      <c r="AC837" s="3" t="str">
        <f ca="1">HYPERLINK("#"&amp;재료비목록표!G2&amp;"!A"&amp;ROW(재료비목록표!A106),"자재103 →")</f>
        <v>자재103 →</v>
      </c>
    </row>
    <row r="838" spans="1:29" ht="30.6" customHeight="1" x14ac:dyDescent="0.3">
      <c r="A838" s="10"/>
      <c r="B838" s="10" t="s">
        <v>982</v>
      </c>
      <c r="C838" s="41" t="s">
        <v>2350</v>
      </c>
      <c r="D838" s="43">
        <v>0</v>
      </c>
      <c r="E838" s="22" t="s">
        <v>1010</v>
      </c>
      <c r="F838" s="45">
        <f t="shared" si="65"/>
        <v>4200000</v>
      </c>
      <c r="G838" s="48">
        <f t="shared" si="66"/>
        <v>0</v>
      </c>
      <c r="H838" s="51">
        <v>0</v>
      </c>
      <c r="I838" s="33">
        <f t="shared" si="67"/>
        <v>0</v>
      </c>
      <c r="J838" s="52">
        <f>재료비목록표!E107</f>
        <v>4200000</v>
      </c>
      <c r="K838" s="13">
        <f t="shared" si="68"/>
        <v>0</v>
      </c>
      <c r="L838" s="55">
        <v>0</v>
      </c>
      <c r="M838" s="33">
        <f t="shared" si="69"/>
        <v>0</v>
      </c>
      <c r="N838" s="22" t="s">
        <v>5831</v>
      </c>
      <c r="O838" s="17" t="s">
        <v>5830</v>
      </c>
      <c r="P838" s="7" t="s">
        <v>5829</v>
      </c>
      <c r="Q838" s="7" t="s">
        <v>3344</v>
      </c>
      <c r="AC838" s="3" t="str">
        <f ca="1">HYPERLINK("#"&amp;재료비목록표!G2&amp;"!A"&amp;ROW(재료비목록표!A107),"자재104 →")</f>
        <v>자재104 →</v>
      </c>
    </row>
    <row r="839" spans="1:29" ht="30.6" customHeight="1" x14ac:dyDescent="0.3">
      <c r="A839" s="10"/>
      <c r="B839" s="10" t="s">
        <v>982</v>
      </c>
      <c r="C839" s="41" t="s">
        <v>2353</v>
      </c>
      <c r="D839" s="43">
        <v>0</v>
      </c>
      <c r="E839" s="22" t="s">
        <v>1010</v>
      </c>
      <c r="F839" s="45">
        <f t="shared" si="65"/>
        <v>4550000</v>
      </c>
      <c r="G839" s="48">
        <f t="shared" si="66"/>
        <v>0</v>
      </c>
      <c r="H839" s="51">
        <v>0</v>
      </c>
      <c r="I839" s="33">
        <f t="shared" si="67"/>
        <v>0</v>
      </c>
      <c r="J839" s="52">
        <f>재료비목록표!E108</f>
        <v>4550000</v>
      </c>
      <c r="K839" s="13">
        <f t="shared" si="68"/>
        <v>0</v>
      </c>
      <c r="L839" s="55">
        <v>0</v>
      </c>
      <c r="M839" s="33">
        <f t="shared" si="69"/>
        <v>0</v>
      </c>
      <c r="N839" s="22" t="s">
        <v>5834</v>
      </c>
      <c r="O839" s="17" t="s">
        <v>5833</v>
      </c>
      <c r="P839" s="7" t="s">
        <v>5832</v>
      </c>
      <c r="Q839" s="7" t="s">
        <v>3344</v>
      </c>
      <c r="AC839" s="3" t="str">
        <f ca="1">HYPERLINK("#"&amp;재료비목록표!G2&amp;"!A"&amp;ROW(재료비목록표!A108),"자재105 →")</f>
        <v>자재105 →</v>
      </c>
    </row>
    <row r="840" spans="1:29" ht="30.6" customHeight="1" x14ac:dyDescent="0.3">
      <c r="A840" s="10"/>
      <c r="B840" s="10" t="s">
        <v>982</v>
      </c>
      <c r="C840" s="41" t="s">
        <v>2356</v>
      </c>
      <c r="D840" s="43">
        <v>0</v>
      </c>
      <c r="E840" s="22" t="s">
        <v>1010</v>
      </c>
      <c r="F840" s="45">
        <f t="shared" si="65"/>
        <v>5680000</v>
      </c>
      <c r="G840" s="48">
        <f t="shared" si="66"/>
        <v>0</v>
      </c>
      <c r="H840" s="51">
        <v>0</v>
      </c>
      <c r="I840" s="33">
        <f t="shared" si="67"/>
        <v>0</v>
      </c>
      <c r="J840" s="52">
        <f>재료비목록표!E109</f>
        <v>5680000</v>
      </c>
      <c r="K840" s="13">
        <f t="shared" si="68"/>
        <v>0</v>
      </c>
      <c r="L840" s="55">
        <v>0</v>
      </c>
      <c r="M840" s="33">
        <f t="shared" si="69"/>
        <v>0</v>
      </c>
      <c r="N840" s="22" t="s">
        <v>5837</v>
      </c>
      <c r="O840" s="17" t="s">
        <v>5836</v>
      </c>
      <c r="P840" s="7" t="s">
        <v>5835</v>
      </c>
      <c r="Q840" s="7" t="s">
        <v>3344</v>
      </c>
      <c r="AC840" s="3" t="str">
        <f ca="1">HYPERLINK("#"&amp;재료비목록표!G2&amp;"!A"&amp;ROW(재료비목록표!A109),"자재106 →")</f>
        <v>자재106 →</v>
      </c>
    </row>
    <row r="841" spans="1:29" ht="30.6" customHeight="1" x14ac:dyDescent="0.3">
      <c r="A841" s="10"/>
      <c r="B841" s="10" t="s">
        <v>2461</v>
      </c>
      <c r="C841" s="41" t="s">
        <v>1009</v>
      </c>
      <c r="D841" s="43">
        <v>0</v>
      </c>
      <c r="E841" s="22" t="s">
        <v>1010</v>
      </c>
      <c r="F841" s="45">
        <f t="shared" si="65"/>
        <v>391000</v>
      </c>
      <c r="G841" s="48">
        <f t="shared" si="66"/>
        <v>0</v>
      </c>
      <c r="H841" s="51">
        <v>0</v>
      </c>
      <c r="I841" s="33">
        <f t="shared" si="67"/>
        <v>0</v>
      </c>
      <c r="J841" s="52">
        <f>재료비목록표!E145</f>
        <v>391000</v>
      </c>
      <c r="K841" s="13">
        <f t="shared" si="68"/>
        <v>0</v>
      </c>
      <c r="L841" s="55">
        <v>0</v>
      </c>
      <c r="M841" s="33">
        <f t="shared" si="69"/>
        <v>0</v>
      </c>
      <c r="N841" s="22" t="s">
        <v>5840</v>
      </c>
      <c r="O841" s="17" t="s">
        <v>5839</v>
      </c>
      <c r="P841" s="7" t="s">
        <v>5838</v>
      </c>
      <c r="Q841" s="7" t="s">
        <v>3344</v>
      </c>
      <c r="AC841" s="3" t="str">
        <f ca="1">HYPERLINK("#"&amp;재료비목록표!G2&amp;"!A"&amp;ROW(재료비목록표!A145),"자재142 →")</f>
        <v>자재142 →</v>
      </c>
    </row>
    <row r="842" spans="1:29" ht="30.6" customHeight="1" x14ac:dyDescent="0.3">
      <c r="A842" s="10"/>
      <c r="B842" s="10" t="s">
        <v>2461</v>
      </c>
      <c r="C842" s="41" t="s">
        <v>1013</v>
      </c>
      <c r="D842" s="43">
        <v>0</v>
      </c>
      <c r="E842" s="22" t="s">
        <v>1010</v>
      </c>
      <c r="F842" s="45">
        <f t="shared" si="65"/>
        <v>469000</v>
      </c>
      <c r="G842" s="48">
        <f t="shared" si="66"/>
        <v>0</v>
      </c>
      <c r="H842" s="51">
        <v>0</v>
      </c>
      <c r="I842" s="33">
        <f t="shared" si="67"/>
        <v>0</v>
      </c>
      <c r="J842" s="52">
        <f>재료비목록표!E142</f>
        <v>469000</v>
      </c>
      <c r="K842" s="13">
        <f t="shared" si="68"/>
        <v>0</v>
      </c>
      <c r="L842" s="55">
        <v>0</v>
      </c>
      <c r="M842" s="33">
        <f t="shared" si="69"/>
        <v>0</v>
      </c>
      <c r="N842" s="22" t="s">
        <v>5843</v>
      </c>
      <c r="O842" s="17" t="s">
        <v>5842</v>
      </c>
      <c r="P842" s="7" t="s">
        <v>5841</v>
      </c>
      <c r="Q842" s="7" t="s">
        <v>3344</v>
      </c>
      <c r="AC842" s="3" t="str">
        <f ca="1">HYPERLINK("#"&amp;재료비목록표!G2&amp;"!A"&amp;ROW(재료비목록표!A142),"자재139 →")</f>
        <v>자재139 →</v>
      </c>
    </row>
    <row r="843" spans="1:29" ht="30.6" customHeight="1" x14ac:dyDescent="0.3">
      <c r="A843" s="10"/>
      <c r="B843" s="10" t="s">
        <v>2461</v>
      </c>
      <c r="C843" s="41" t="s">
        <v>1016</v>
      </c>
      <c r="D843" s="43">
        <v>0</v>
      </c>
      <c r="E843" s="22" t="s">
        <v>1010</v>
      </c>
      <c r="F843" s="45">
        <f t="shared" si="65"/>
        <v>859000</v>
      </c>
      <c r="G843" s="48">
        <f t="shared" si="66"/>
        <v>0</v>
      </c>
      <c r="H843" s="51">
        <v>0</v>
      </c>
      <c r="I843" s="33">
        <f t="shared" si="67"/>
        <v>0</v>
      </c>
      <c r="J843" s="52">
        <f>재료비목록표!E143</f>
        <v>859000</v>
      </c>
      <c r="K843" s="13">
        <f t="shared" si="68"/>
        <v>0</v>
      </c>
      <c r="L843" s="55">
        <v>0</v>
      </c>
      <c r="M843" s="33">
        <f t="shared" si="69"/>
        <v>0</v>
      </c>
      <c r="N843" s="22" t="s">
        <v>5846</v>
      </c>
      <c r="O843" s="17" t="s">
        <v>5845</v>
      </c>
      <c r="P843" s="7" t="s">
        <v>5844</v>
      </c>
      <c r="Q843" s="7" t="s">
        <v>3344</v>
      </c>
      <c r="AC843" s="3" t="str">
        <f ca="1">HYPERLINK("#"&amp;재료비목록표!G2&amp;"!A"&amp;ROW(재료비목록표!A143),"자재140 →")</f>
        <v>자재140 →</v>
      </c>
    </row>
    <row r="844" spans="1:29" ht="30.6" customHeight="1" x14ac:dyDescent="0.3">
      <c r="A844" s="10"/>
      <c r="B844" s="10" t="s">
        <v>2461</v>
      </c>
      <c r="C844" s="41" t="s">
        <v>1019</v>
      </c>
      <c r="D844" s="43">
        <v>0</v>
      </c>
      <c r="E844" s="22" t="s">
        <v>1010</v>
      </c>
      <c r="F844" s="45">
        <f t="shared" si="65"/>
        <v>1200000</v>
      </c>
      <c r="G844" s="48">
        <f t="shared" si="66"/>
        <v>0</v>
      </c>
      <c r="H844" s="51">
        <v>0</v>
      </c>
      <c r="I844" s="33">
        <f t="shared" si="67"/>
        <v>0</v>
      </c>
      <c r="J844" s="52">
        <f>재료비목록표!E144</f>
        <v>1200000</v>
      </c>
      <c r="K844" s="13">
        <f t="shared" si="68"/>
        <v>0</v>
      </c>
      <c r="L844" s="55">
        <v>0</v>
      </c>
      <c r="M844" s="33">
        <f t="shared" si="69"/>
        <v>0</v>
      </c>
      <c r="N844" s="22" t="s">
        <v>5849</v>
      </c>
      <c r="O844" s="17" t="s">
        <v>5848</v>
      </c>
      <c r="P844" s="7" t="s">
        <v>5847</v>
      </c>
      <c r="Q844" s="7" t="s">
        <v>3344</v>
      </c>
      <c r="AC844" s="3" t="str">
        <f ca="1">HYPERLINK("#"&amp;재료비목록표!G2&amp;"!A"&amp;ROW(재료비목록표!A144),"자재141 →")</f>
        <v>자재141 →</v>
      </c>
    </row>
    <row r="845" spans="1:29" ht="30.6" customHeight="1" x14ac:dyDescent="0.3">
      <c r="A845" s="10"/>
      <c r="B845" s="10" t="s">
        <v>1049</v>
      </c>
      <c r="C845" s="41" t="s">
        <v>1053</v>
      </c>
      <c r="D845" s="43">
        <v>0</v>
      </c>
      <c r="E845" s="22" t="s">
        <v>1010</v>
      </c>
      <c r="F845" s="45">
        <f t="shared" si="65"/>
        <v>580000</v>
      </c>
      <c r="G845" s="48">
        <f t="shared" si="66"/>
        <v>0</v>
      </c>
      <c r="H845" s="51">
        <v>0</v>
      </c>
      <c r="I845" s="33">
        <f t="shared" si="67"/>
        <v>0</v>
      </c>
      <c r="J845" s="52">
        <f>재료비목록표!E225</f>
        <v>580000</v>
      </c>
      <c r="K845" s="13">
        <f t="shared" si="68"/>
        <v>0</v>
      </c>
      <c r="L845" s="55">
        <v>0</v>
      </c>
      <c r="M845" s="33">
        <f t="shared" si="69"/>
        <v>0</v>
      </c>
      <c r="N845" s="22" t="s">
        <v>5852</v>
      </c>
      <c r="O845" s="17" t="s">
        <v>5851</v>
      </c>
      <c r="P845" s="7" t="s">
        <v>5850</v>
      </c>
      <c r="Q845" s="7" t="s">
        <v>3344</v>
      </c>
      <c r="AC845" s="3" t="str">
        <f ca="1">HYPERLINK("#"&amp;재료비목록표!G2&amp;"!A"&amp;ROW(재료비목록표!A225),"자재222 →")</f>
        <v>자재222 →</v>
      </c>
    </row>
    <row r="846" spans="1:29" ht="30.6" customHeight="1" x14ac:dyDescent="0.3">
      <c r="A846" s="10"/>
      <c r="B846" s="10" t="s">
        <v>1049</v>
      </c>
      <c r="C846" s="41" t="s">
        <v>1056</v>
      </c>
      <c r="D846" s="43">
        <v>0</v>
      </c>
      <c r="E846" s="22" t="s">
        <v>1010</v>
      </c>
      <c r="F846" s="45">
        <f t="shared" si="65"/>
        <v>820000</v>
      </c>
      <c r="G846" s="48">
        <f t="shared" si="66"/>
        <v>0</v>
      </c>
      <c r="H846" s="51">
        <v>0</v>
      </c>
      <c r="I846" s="33">
        <f t="shared" si="67"/>
        <v>0</v>
      </c>
      <c r="J846" s="52">
        <f>재료비목록표!E221</f>
        <v>820000</v>
      </c>
      <c r="K846" s="13">
        <f t="shared" si="68"/>
        <v>0</v>
      </c>
      <c r="L846" s="55">
        <v>0</v>
      </c>
      <c r="M846" s="33">
        <f t="shared" si="69"/>
        <v>0</v>
      </c>
      <c r="N846" s="22" t="s">
        <v>5855</v>
      </c>
      <c r="O846" s="17" t="s">
        <v>5854</v>
      </c>
      <c r="P846" s="7" t="s">
        <v>5853</v>
      </c>
      <c r="Q846" s="7" t="s">
        <v>3344</v>
      </c>
      <c r="AC846" s="3" t="str">
        <f ca="1">HYPERLINK("#"&amp;재료비목록표!G2&amp;"!A"&amp;ROW(재료비목록표!A221),"자재218 →")</f>
        <v>자재218 →</v>
      </c>
    </row>
    <row r="847" spans="1:29" ht="30.6" customHeight="1" x14ac:dyDescent="0.3">
      <c r="A847" s="10"/>
      <c r="B847" s="10" t="s">
        <v>1049</v>
      </c>
      <c r="C847" s="41" t="s">
        <v>1059</v>
      </c>
      <c r="D847" s="43">
        <v>0</v>
      </c>
      <c r="E847" s="22" t="s">
        <v>1010</v>
      </c>
      <c r="F847" s="45">
        <f t="shared" si="65"/>
        <v>1450000</v>
      </c>
      <c r="G847" s="48">
        <f t="shared" si="66"/>
        <v>0</v>
      </c>
      <c r="H847" s="51">
        <v>0</v>
      </c>
      <c r="I847" s="33">
        <f t="shared" si="67"/>
        <v>0</v>
      </c>
      <c r="J847" s="52">
        <f>재료비목록표!E222</f>
        <v>1450000</v>
      </c>
      <c r="K847" s="13">
        <f t="shared" si="68"/>
        <v>0</v>
      </c>
      <c r="L847" s="55">
        <v>0</v>
      </c>
      <c r="M847" s="33">
        <f t="shared" si="69"/>
        <v>0</v>
      </c>
      <c r="N847" s="22" t="s">
        <v>5858</v>
      </c>
      <c r="O847" s="17" t="s">
        <v>5857</v>
      </c>
      <c r="P847" s="7" t="s">
        <v>5856</v>
      </c>
      <c r="Q847" s="7" t="s">
        <v>3344</v>
      </c>
      <c r="AC847" s="3" t="str">
        <f ca="1">HYPERLINK("#"&amp;재료비목록표!G2&amp;"!A"&amp;ROW(재료비목록표!A222),"자재219 →")</f>
        <v>자재219 →</v>
      </c>
    </row>
    <row r="848" spans="1:29" ht="30.6" customHeight="1" x14ac:dyDescent="0.3">
      <c r="A848" s="10"/>
      <c r="B848" s="10" t="s">
        <v>1049</v>
      </c>
      <c r="C848" s="41" t="s">
        <v>1062</v>
      </c>
      <c r="D848" s="43">
        <v>0</v>
      </c>
      <c r="E848" s="22" t="s">
        <v>1010</v>
      </c>
      <c r="F848" s="45">
        <f t="shared" si="65"/>
        <v>2000000</v>
      </c>
      <c r="G848" s="48">
        <f t="shared" si="66"/>
        <v>0</v>
      </c>
      <c r="H848" s="51">
        <v>0</v>
      </c>
      <c r="I848" s="33">
        <f t="shared" si="67"/>
        <v>0</v>
      </c>
      <c r="J848" s="52">
        <f>재료비목록표!E223</f>
        <v>2000000</v>
      </c>
      <c r="K848" s="13">
        <f t="shared" si="68"/>
        <v>0</v>
      </c>
      <c r="L848" s="55">
        <v>0</v>
      </c>
      <c r="M848" s="33">
        <f t="shared" si="69"/>
        <v>0</v>
      </c>
      <c r="N848" s="22" t="s">
        <v>5861</v>
      </c>
      <c r="O848" s="17" t="s">
        <v>5860</v>
      </c>
      <c r="P848" s="7" t="s">
        <v>5859</v>
      </c>
      <c r="Q848" s="7" t="s">
        <v>3344</v>
      </c>
      <c r="AC848" s="3" t="str">
        <f ca="1">HYPERLINK("#"&amp;재료비목록표!G2&amp;"!A"&amp;ROW(재료비목록표!A223),"자재220 →")</f>
        <v>자재220 →</v>
      </c>
    </row>
    <row r="849" spans="1:29" ht="30.6" customHeight="1" x14ac:dyDescent="0.3">
      <c r="A849" s="10"/>
      <c r="B849" s="10" t="s">
        <v>1049</v>
      </c>
      <c r="C849" s="41" t="s">
        <v>1065</v>
      </c>
      <c r="D849" s="43">
        <v>0</v>
      </c>
      <c r="E849" s="22" t="s">
        <v>1010</v>
      </c>
      <c r="F849" s="45">
        <f t="shared" si="65"/>
        <v>3750000</v>
      </c>
      <c r="G849" s="48">
        <f t="shared" si="66"/>
        <v>0</v>
      </c>
      <c r="H849" s="51">
        <v>0</v>
      </c>
      <c r="I849" s="33">
        <f t="shared" si="67"/>
        <v>0</v>
      </c>
      <c r="J849" s="52">
        <f>재료비목록표!E224</f>
        <v>3750000</v>
      </c>
      <c r="K849" s="13">
        <f t="shared" si="68"/>
        <v>0</v>
      </c>
      <c r="L849" s="55">
        <v>0</v>
      </c>
      <c r="M849" s="33">
        <f t="shared" si="69"/>
        <v>0</v>
      </c>
      <c r="N849" s="22" t="s">
        <v>5864</v>
      </c>
      <c r="O849" s="17" t="s">
        <v>5863</v>
      </c>
      <c r="P849" s="7" t="s">
        <v>5862</v>
      </c>
      <c r="Q849" s="7" t="s">
        <v>3344</v>
      </c>
      <c r="AC849" s="3" t="str">
        <f ca="1">HYPERLINK("#"&amp;재료비목록표!G2&amp;"!A"&amp;ROW(재료비목록표!A224),"자재221 →")</f>
        <v>자재221 →</v>
      </c>
    </row>
    <row r="850" spans="1:29" ht="30.6" customHeight="1" x14ac:dyDescent="0.3">
      <c r="A850" s="10"/>
      <c r="B850" s="10" t="s">
        <v>2640</v>
      </c>
      <c r="C850" s="41" t="s">
        <v>1050</v>
      </c>
      <c r="D850" s="43">
        <v>0</v>
      </c>
      <c r="E850" s="22" t="s">
        <v>1010</v>
      </c>
      <c r="F850" s="45">
        <f t="shared" si="65"/>
        <v>350000</v>
      </c>
      <c r="G850" s="48">
        <f t="shared" si="66"/>
        <v>0</v>
      </c>
      <c r="H850" s="51">
        <v>0</v>
      </c>
      <c r="I850" s="33">
        <f t="shared" si="67"/>
        <v>0</v>
      </c>
      <c r="J850" s="52">
        <f>재료비목록표!E218</f>
        <v>350000</v>
      </c>
      <c r="K850" s="13">
        <f t="shared" si="68"/>
        <v>0</v>
      </c>
      <c r="L850" s="55">
        <v>0</v>
      </c>
      <c r="M850" s="33">
        <f t="shared" si="69"/>
        <v>0</v>
      </c>
      <c r="N850" s="22" t="s">
        <v>5867</v>
      </c>
      <c r="O850" s="17" t="s">
        <v>5866</v>
      </c>
      <c r="P850" s="7" t="s">
        <v>5865</v>
      </c>
      <c r="Q850" s="7" t="s">
        <v>3344</v>
      </c>
      <c r="AC850" s="3" t="str">
        <f ca="1">HYPERLINK("#"&amp;재료비목록표!G2&amp;"!A"&amp;ROW(재료비목록표!A218),"자재215 →")</f>
        <v>자재215 →</v>
      </c>
    </row>
    <row r="851" spans="1:29" ht="30.6" customHeight="1" x14ac:dyDescent="0.3">
      <c r="A851" s="10"/>
      <c r="B851" s="10" t="s">
        <v>2640</v>
      </c>
      <c r="C851" s="41" t="s">
        <v>1053</v>
      </c>
      <c r="D851" s="43">
        <v>0</v>
      </c>
      <c r="E851" s="22" t="s">
        <v>1010</v>
      </c>
      <c r="F851" s="45">
        <f t="shared" si="65"/>
        <v>650000</v>
      </c>
      <c r="G851" s="48">
        <f t="shared" si="66"/>
        <v>0</v>
      </c>
      <c r="H851" s="51">
        <v>0</v>
      </c>
      <c r="I851" s="33">
        <f t="shared" si="67"/>
        <v>0</v>
      </c>
      <c r="J851" s="52">
        <f>재료비목록표!E219</f>
        <v>650000</v>
      </c>
      <c r="K851" s="13">
        <f t="shared" si="68"/>
        <v>0</v>
      </c>
      <c r="L851" s="55">
        <v>0</v>
      </c>
      <c r="M851" s="33">
        <f t="shared" si="69"/>
        <v>0</v>
      </c>
      <c r="N851" s="22" t="s">
        <v>5870</v>
      </c>
      <c r="O851" s="17" t="s">
        <v>5869</v>
      </c>
      <c r="P851" s="7" t="s">
        <v>5868</v>
      </c>
      <c r="Q851" s="7" t="s">
        <v>3344</v>
      </c>
      <c r="AC851" s="3" t="str">
        <f ca="1">HYPERLINK("#"&amp;재료비목록표!G2&amp;"!A"&amp;ROW(재료비목록표!A219),"자재216 →")</f>
        <v>자재216 →</v>
      </c>
    </row>
    <row r="852" spans="1:29" ht="30.6" customHeight="1" x14ac:dyDescent="0.3">
      <c r="A852" s="10"/>
      <c r="B852" s="10" t="s">
        <v>2640</v>
      </c>
      <c r="C852" s="41" t="s">
        <v>1056</v>
      </c>
      <c r="D852" s="43">
        <v>0</v>
      </c>
      <c r="E852" s="22" t="s">
        <v>1010</v>
      </c>
      <c r="F852" s="45">
        <f t="shared" si="65"/>
        <v>860000</v>
      </c>
      <c r="G852" s="48">
        <f t="shared" si="66"/>
        <v>0</v>
      </c>
      <c r="H852" s="51">
        <v>0</v>
      </c>
      <c r="I852" s="33">
        <f t="shared" si="67"/>
        <v>0</v>
      </c>
      <c r="J852" s="52">
        <f>재료비목록표!E214</f>
        <v>860000</v>
      </c>
      <c r="K852" s="13">
        <f t="shared" si="68"/>
        <v>0</v>
      </c>
      <c r="L852" s="55">
        <v>0</v>
      </c>
      <c r="M852" s="33">
        <f t="shared" si="69"/>
        <v>0</v>
      </c>
      <c r="N852" s="22" t="s">
        <v>5873</v>
      </c>
      <c r="O852" s="17" t="s">
        <v>5872</v>
      </c>
      <c r="P852" s="7" t="s">
        <v>5871</v>
      </c>
      <c r="Q852" s="7" t="s">
        <v>3344</v>
      </c>
      <c r="AC852" s="3" t="str">
        <f ca="1">HYPERLINK("#"&amp;재료비목록표!G2&amp;"!A"&amp;ROW(재료비목록표!A214),"자재211 →")</f>
        <v>자재211 →</v>
      </c>
    </row>
    <row r="853" spans="1:29" ht="30.6" customHeight="1" x14ac:dyDescent="0.3">
      <c r="A853" s="10"/>
      <c r="B853" s="10" t="s">
        <v>2640</v>
      </c>
      <c r="C853" s="41" t="s">
        <v>1059</v>
      </c>
      <c r="D853" s="43">
        <v>0</v>
      </c>
      <c r="E853" s="22" t="s">
        <v>1010</v>
      </c>
      <c r="F853" s="45">
        <f t="shared" si="65"/>
        <v>1480000</v>
      </c>
      <c r="G853" s="48">
        <f t="shared" si="66"/>
        <v>0</v>
      </c>
      <c r="H853" s="51">
        <v>0</v>
      </c>
      <c r="I853" s="33">
        <f t="shared" si="67"/>
        <v>0</v>
      </c>
      <c r="J853" s="52">
        <f>재료비목록표!E215</f>
        <v>1480000</v>
      </c>
      <c r="K853" s="13">
        <f t="shared" si="68"/>
        <v>0</v>
      </c>
      <c r="L853" s="55">
        <v>0</v>
      </c>
      <c r="M853" s="33">
        <f t="shared" si="69"/>
        <v>0</v>
      </c>
      <c r="N853" s="22" t="s">
        <v>5876</v>
      </c>
      <c r="O853" s="17" t="s">
        <v>5875</v>
      </c>
      <c r="P853" s="7" t="s">
        <v>5874</v>
      </c>
      <c r="Q853" s="7" t="s">
        <v>3344</v>
      </c>
      <c r="AC853" s="3" t="str">
        <f ca="1">HYPERLINK("#"&amp;재료비목록표!G2&amp;"!A"&amp;ROW(재료비목록표!A215),"자재212 →")</f>
        <v>자재212 →</v>
      </c>
    </row>
    <row r="854" spans="1:29" ht="30.6" customHeight="1" x14ac:dyDescent="0.3">
      <c r="A854" s="10"/>
      <c r="B854" s="10" t="s">
        <v>2640</v>
      </c>
      <c r="C854" s="41" t="s">
        <v>1062</v>
      </c>
      <c r="D854" s="43">
        <v>0</v>
      </c>
      <c r="E854" s="22" t="s">
        <v>1010</v>
      </c>
      <c r="F854" s="45">
        <f t="shared" si="65"/>
        <v>2050000</v>
      </c>
      <c r="G854" s="48">
        <f t="shared" si="66"/>
        <v>0</v>
      </c>
      <c r="H854" s="51">
        <v>0</v>
      </c>
      <c r="I854" s="33">
        <f t="shared" si="67"/>
        <v>0</v>
      </c>
      <c r="J854" s="52">
        <f>재료비목록표!E216</f>
        <v>2050000</v>
      </c>
      <c r="K854" s="13">
        <f t="shared" si="68"/>
        <v>0</v>
      </c>
      <c r="L854" s="55">
        <v>0</v>
      </c>
      <c r="M854" s="33">
        <f t="shared" si="69"/>
        <v>0</v>
      </c>
      <c r="N854" s="22" t="s">
        <v>5879</v>
      </c>
      <c r="O854" s="17" t="s">
        <v>5878</v>
      </c>
      <c r="P854" s="7" t="s">
        <v>5877</v>
      </c>
      <c r="Q854" s="7" t="s">
        <v>3344</v>
      </c>
      <c r="AC854" s="3" t="str">
        <f ca="1">HYPERLINK("#"&amp;재료비목록표!G2&amp;"!A"&amp;ROW(재료비목록표!A216),"자재213 →")</f>
        <v>자재213 →</v>
      </c>
    </row>
    <row r="855" spans="1:29" ht="30.6" customHeight="1" x14ac:dyDescent="0.3">
      <c r="A855" s="10"/>
      <c r="B855" s="10" t="s">
        <v>2640</v>
      </c>
      <c r="C855" s="41" t="s">
        <v>1065</v>
      </c>
      <c r="D855" s="43">
        <v>0</v>
      </c>
      <c r="E855" s="22" t="s">
        <v>1010</v>
      </c>
      <c r="F855" s="45">
        <f t="shared" si="65"/>
        <v>3630000</v>
      </c>
      <c r="G855" s="48">
        <f t="shared" si="66"/>
        <v>0</v>
      </c>
      <c r="H855" s="51">
        <v>0</v>
      </c>
      <c r="I855" s="33">
        <f t="shared" si="67"/>
        <v>0</v>
      </c>
      <c r="J855" s="52">
        <f>재료비목록표!E217</f>
        <v>3630000</v>
      </c>
      <c r="K855" s="13">
        <f t="shared" si="68"/>
        <v>0</v>
      </c>
      <c r="L855" s="55">
        <v>0</v>
      </c>
      <c r="M855" s="33">
        <f t="shared" si="69"/>
        <v>0</v>
      </c>
      <c r="N855" s="22" t="s">
        <v>5882</v>
      </c>
      <c r="O855" s="17" t="s">
        <v>5881</v>
      </c>
      <c r="P855" s="7" t="s">
        <v>5880</v>
      </c>
      <c r="Q855" s="7" t="s">
        <v>3344</v>
      </c>
      <c r="AC855" s="3" t="str">
        <f ca="1">HYPERLINK("#"&amp;재료비목록표!G2&amp;"!A"&amp;ROW(재료비목록표!A217),"자재214 →")</f>
        <v>자재214 →</v>
      </c>
    </row>
    <row r="856" spans="1:29" ht="30.6" customHeight="1" x14ac:dyDescent="0.3">
      <c r="A856" s="10"/>
      <c r="B856" s="10" t="s">
        <v>2848</v>
      </c>
      <c r="C856" s="41" t="s">
        <v>1111</v>
      </c>
      <c r="D856" s="43">
        <v>0</v>
      </c>
      <c r="E856" s="22" t="s">
        <v>1010</v>
      </c>
      <c r="F856" s="45">
        <f t="shared" si="65"/>
        <v>354000</v>
      </c>
      <c r="G856" s="48">
        <f t="shared" si="66"/>
        <v>0</v>
      </c>
      <c r="H856" s="51">
        <v>0</v>
      </c>
      <c r="I856" s="33">
        <f t="shared" si="67"/>
        <v>0</v>
      </c>
      <c r="J856" s="52">
        <f>재료비목록표!E300</f>
        <v>354000</v>
      </c>
      <c r="K856" s="13">
        <f t="shared" si="68"/>
        <v>0</v>
      </c>
      <c r="L856" s="55">
        <v>0</v>
      </c>
      <c r="M856" s="33">
        <f t="shared" si="69"/>
        <v>0</v>
      </c>
      <c r="N856" s="22" t="s">
        <v>5885</v>
      </c>
      <c r="O856" s="17" t="s">
        <v>5884</v>
      </c>
      <c r="P856" s="7" t="s">
        <v>5883</v>
      </c>
      <c r="Q856" s="7" t="s">
        <v>3344</v>
      </c>
      <c r="AC856" s="3" t="str">
        <f ca="1">HYPERLINK("#"&amp;재료비목록표!G2&amp;"!A"&amp;ROW(재료비목록표!A300),"자재297 →")</f>
        <v>자재297 →</v>
      </c>
    </row>
    <row r="857" spans="1:29" ht="30.6" customHeight="1" x14ac:dyDescent="0.3">
      <c r="A857" s="10"/>
      <c r="B857" s="10" t="s">
        <v>2848</v>
      </c>
      <c r="C857" s="41" t="s">
        <v>2849</v>
      </c>
      <c r="D857" s="43">
        <v>0</v>
      </c>
      <c r="E857" s="22" t="s">
        <v>1010</v>
      </c>
      <c r="F857" s="45">
        <f t="shared" ref="F857:F920" si="70">J857+H857+L857</f>
        <v>518000</v>
      </c>
      <c r="G857" s="48">
        <f t="shared" ref="G857:G920" si="71">K857+I857+M857</f>
        <v>0</v>
      </c>
      <c r="H857" s="51">
        <v>0</v>
      </c>
      <c r="I857" s="33">
        <f t="shared" ref="I857:I920" si="72">ROUNDDOWN(H857*D857,0)</f>
        <v>0</v>
      </c>
      <c r="J857" s="52">
        <f>재료비목록표!E296</f>
        <v>518000</v>
      </c>
      <c r="K857" s="13">
        <f t="shared" ref="K857:K920" si="73">ROUNDDOWN(J857*D857,0)</f>
        <v>0</v>
      </c>
      <c r="L857" s="55">
        <v>0</v>
      </c>
      <c r="M857" s="33">
        <f t="shared" ref="M857:M920" si="74">ROUNDDOWN(L857*D857,0)</f>
        <v>0</v>
      </c>
      <c r="N857" s="22" t="s">
        <v>5888</v>
      </c>
      <c r="O857" s="17" t="s">
        <v>5887</v>
      </c>
      <c r="P857" s="7" t="s">
        <v>5886</v>
      </c>
      <c r="Q857" s="7" t="s">
        <v>3344</v>
      </c>
      <c r="AC857" s="3" t="str">
        <f ca="1">HYPERLINK("#"&amp;재료비목록표!G2&amp;"!A"&amp;ROW(재료비목록표!A296),"자재293 →")</f>
        <v>자재293 →</v>
      </c>
    </row>
    <row r="858" spans="1:29" ht="30.6" customHeight="1" x14ac:dyDescent="0.3">
      <c r="A858" s="10"/>
      <c r="B858" s="10" t="s">
        <v>2848</v>
      </c>
      <c r="C858" s="41" t="s">
        <v>1117</v>
      </c>
      <c r="D858" s="43">
        <v>0</v>
      </c>
      <c r="E858" s="22" t="s">
        <v>1010</v>
      </c>
      <c r="F858" s="45">
        <f t="shared" si="70"/>
        <v>966000</v>
      </c>
      <c r="G858" s="48">
        <f t="shared" si="71"/>
        <v>0</v>
      </c>
      <c r="H858" s="51">
        <v>0</v>
      </c>
      <c r="I858" s="33">
        <f t="shared" si="72"/>
        <v>0</v>
      </c>
      <c r="J858" s="52">
        <f>재료비목록표!E297</f>
        <v>966000</v>
      </c>
      <c r="K858" s="13">
        <f t="shared" si="73"/>
        <v>0</v>
      </c>
      <c r="L858" s="55">
        <v>0</v>
      </c>
      <c r="M858" s="33">
        <f t="shared" si="74"/>
        <v>0</v>
      </c>
      <c r="N858" s="22" t="s">
        <v>5891</v>
      </c>
      <c r="O858" s="17" t="s">
        <v>5890</v>
      </c>
      <c r="P858" s="7" t="s">
        <v>5889</v>
      </c>
      <c r="Q858" s="7" t="s">
        <v>3344</v>
      </c>
      <c r="AC858" s="3" t="str">
        <f ca="1">HYPERLINK("#"&amp;재료비목록표!G2&amp;"!A"&amp;ROW(재료비목록표!A297),"자재294 →")</f>
        <v>자재294 →</v>
      </c>
    </row>
    <row r="859" spans="1:29" ht="30.6" customHeight="1" x14ac:dyDescent="0.3">
      <c r="A859" s="10"/>
      <c r="B859" s="10" t="s">
        <v>2848</v>
      </c>
      <c r="C859" s="41" t="s">
        <v>1120</v>
      </c>
      <c r="D859" s="43">
        <v>0</v>
      </c>
      <c r="E859" s="22" t="s">
        <v>1010</v>
      </c>
      <c r="F859" s="45">
        <f t="shared" si="70"/>
        <v>1522000</v>
      </c>
      <c r="G859" s="48">
        <f t="shared" si="71"/>
        <v>0</v>
      </c>
      <c r="H859" s="51">
        <v>0</v>
      </c>
      <c r="I859" s="33">
        <f t="shared" si="72"/>
        <v>0</v>
      </c>
      <c r="J859" s="52">
        <f>재료비목록표!E298</f>
        <v>1522000</v>
      </c>
      <c r="K859" s="13">
        <f t="shared" si="73"/>
        <v>0</v>
      </c>
      <c r="L859" s="55">
        <v>0</v>
      </c>
      <c r="M859" s="33">
        <f t="shared" si="74"/>
        <v>0</v>
      </c>
      <c r="N859" s="22" t="s">
        <v>5894</v>
      </c>
      <c r="O859" s="17" t="s">
        <v>5893</v>
      </c>
      <c r="P859" s="7" t="s">
        <v>5892</v>
      </c>
      <c r="Q859" s="7" t="s">
        <v>3344</v>
      </c>
      <c r="AC859" s="3" t="str">
        <f ca="1">HYPERLINK("#"&amp;재료비목록표!G2&amp;"!A"&amp;ROW(재료비목록표!A298),"자재295 →")</f>
        <v>자재295 →</v>
      </c>
    </row>
    <row r="860" spans="1:29" ht="30.6" customHeight="1" x14ac:dyDescent="0.3">
      <c r="A860" s="10"/>
      <c r="B860" s="10" t="s">
        <v>1178</v>
      </c>
      <c r="C860" s="41" t="s">
        <v>1053</v>
      </c>
      <c r="D860" s="43">
        <v>0</v>
      </c>
      <c r="E860" s="22" t="s">
        <v>1010</v>
      </c>
      <c r="F860" s="45">
        <f t="shared" si="70"/>
        <v>580000</v>
      </c>
      <c r="G860" s="48">
        <f t="shared" si="71"/>
        <v>0</v>
      </c>
      <c r="H860" s="51">
        <v>0</v>
      </c>
      <c r="I860" s="33">
        <f t="shared" si="72"/>
        <v>0</v>
      </c>
      <c r="J860" s="52">
        <f>재료비목록표!E231</f>
        <v>580000</v>
      </c>
      <c r="K860" s="13">
        <f t="shared" si="73"/>
        <v>0</v>
      </c>
      <c r="L860" s="55">
        <v>0</v>
      </c>
      <c r="M860" s="33">
        <f t="shared" si="74"/>
        <v>0</v>
      </c>
      <c r="N860" s="22" t="s">
        <v>5897</v>
      </c>
      <c r="O860" s="17" t="s">
        <v>5896</v>
      </c>
      <c r="P860" s="7" t="s">
        <v>5895</v>
      </c>
      <c r="Q860" s="7" t="s">
        <v>3344</v>
      </c>
      <c r="AC860" s="3" t="str">
        <f ca="1">HYPERLINK("#"&amp;재료비목록표!G2&amp;"!A"&amp;ROW(재료비목록표!A231),"자재228 →")</f>
        <v>자재228 →</v>
      </c>
    </row>
    <row r="861" spans="1:29" ht="30.6" customHeight="1" x14ac:dyDescent="0.3">
      <c r="A861" s="10"/>
      <c r="B861" s="10" t="s">
        <v>1178</v>
      </c>
      <c r="C861" s="41" t="s">
        <v>1056</v>
      </c>
      <c r="D861" s="43">
        <v>0</v>
      </c>
      <c r="E861" s="22" t="s">
        <v>1010</v>
      </c>
      <c r="F861" s="45">
        <f t="shared" si="70"/>
        <v>830000</v>
      </c>
      <c r="G861" s="48">
        <f t="shared" si="71"/>
        <v>0</v>
      </c>
      <c r="H861" s="51">
        <v>0</v>
      </c>
      <c r="I861" s="33">
        <f t="shared" si="72"/>
        <v>0</v>
      </c>
      <c r="J861" s="52">
        <f>재료비목록표!E227</f>
        <v>830000</v>
      </c>
      <c r="K861" s="13">
        <f t="shared" si="73"/>
        <v>0</v>
      </c>
      <c r="L861" s="55">
        <v>0</v>
      </c>
      <c r="M861" s="33">
        <f t="shared" si="74"/>
        <v>0</v>
      </c>
      <c r="N861" s="22" t="s">
        <v>5900</v>
      </c>
      <c r="O861" s="17" t="s">
        <v>5899</v>
      </c>
      <c r="P861" s="7" t="s">
        <v>5898</v>
      </c>
      <c r="Q861" s="7" t="s">
        <v>3344</v>
      </c>
      <c r="AC861" s="3" t="str">
        <f ca="1">HYPERLINK("#"&amp;재료비목록표!G2&amp;"!A"&amp;ROW(재료비목록표!A227),"자재224 →")</f>
        <v>자재224 →</v>
      </c>
    </row>
    <row r="862" spans="1:29" ht="30.6" customHeight="1" x14ac:dyDescent="0.3">
      <c r="A862" s="10"/>
      <c r="B862" s="10" t="s">
        <v>1178</v>
      </c>
      <c r="C862" s="41" t="s">
        <v>1059</v>
      </c>
      <c r="D862" s="43">
        <v>0</v>
      </c>
      <c r="E862" s="22" t="s">
        <v>1010</v>
      </c>
      <c r="F862" s="45">
        <f t="shared" si="70"/>
        <v>1450000</v>
      </c>
      <c r="G862" s="48">
        <f t="shared" si="71"/>
        <v>0</v>
      </c>
      <c r="H862" s="51">
        <v>0</v>
      </c>
      <c r="I862" s="33">
        <f t="shared" si="72"/>
        <v>0</v>
      </c>
      <c r="J862" s="52">
        <f>재료비목록표!E228</f>
        <v>1450000</v>
      </c>
      <c r="K862" s="13">
        <f t="shared" si="73"/>
        <v>0</v>
      </c>
      <c r="L862" s="55">
        <v>0</v>
      </c>
      <c r="M862" s="33">
        <f t="shared" si="74"/>
        <v>0</v>
      </c>
      <c r="N862" s="22" t="s">
        <v>5903</v>
      </c>
      <c r="O862" s="17" t="s">
        <v>5902</v>
      </c>
      <c r="P862" s="7" t="s">
        <v>5901</v>
      </c>
      <c r="Q862" s="7" t="s">
        <v>3344</v>
      </c>
      <c r="AC862" s="3" t="str">
        <f ca="1">HYPERLINK("#"&amp;재료비목록표!G2&amp;"!A"&amp;ROW(재료비목록표!A228),"자재225 →")</f>
        <v>자재225 →</v>
      </c>
    </row>
    <row r="863" spans="1:29" ht="30.6" customHeight="1" x14ac:dyDescent="0.3">
      <c r="A863" s="10"/>
      <c r="B863" s="10" t="s">
        <v>1178</v>
      </c>
      <c r="C863" s="41" t="s">
        <v>1062</v>
      </c>
      <c r="D863" s="43">
        <v>0</v>
      </c>
      <c r="E863" s="22" t="s">
        <v>1010</v>
      </c>
      <c r="F863" s="45">
        <f t="shared" si="70"/>
        <v>2230000</v>
      </c>
      <c r="G863" s="48">
        <f t="shared" si="71"/>
        <v>0</v>
      </c>
      <c r="H863" s="51">
        <v>0</v>
      </c>
      <c r="I863" s="33">
        <f t="shared" si="72"/>
        <v>0</v>
      </c>
      <c r="J863" s="52">
        <f>재료비목록표!E229</f>
        <v>2230000</v>
      </c>
      <c r="K863" s="13">
        <f t="shared" si="73"/>
        <v>0</v>
      </c>
      <c r="L863" s="55">
        <v>0</v>
      </c>
      <c r="M863" s="33">
        <f t="shared" si="74"/>
        <v>0</v>
      </c>
      <c r="N863" s="22" t="s">
        <v>5906</v>
      </c>
      <c r="O863" s="17" t="s">
        <v>5905</v>
      </c>
      <c r="P863" s="7" t="s">
        <v>5904</v>
      </c>
      <c r="Q863" s="7" t="s">
        <v>3344</v>
      </c>
      <c r="AC863" s="3" t="str">
        <f ca="1">HYPERLINK("#"&amp;재료비목록표!G2&amp;"!A"&amp;ROW(재료비목록표!A229),"자재226 →")</f>
        <v>자재226 →</v>
      </c>
    </row>
    <row r="864" spans="1:29" ht="30.6" customHeight="1" x14ac:dyDescent="0.3">
      <c r="A864" s="10"/>
      <c r="B864" s="10" t="s">
        <v>1178</v>
      </c>
      <c r="C864" s="41" t="s">
        <v>1065</v>
      </c>
      <c r="D864" s="43">
        <v>0</v>
      </c>
      <c r="E864" s="22" t="s">
        <v>1010</v>
      </c>
      <c r="F864" s="45">
        <f t="shared" si="70"/>
        <v>3800000</v>
      </c>
      <c r="G864" s="48">
        <f t="shared" si="71"/>
        <v>0</v>
      </c>
      <c r="H864" s="51">
        <v>0</v>
      </c>
      <c r="I864" s="33">
        <f t="shared" si="72"/>
        <v>0</v>
      </c>
      <c r="J864" s="52">
        <f>재료비목록표!E230</f>
        <v>3800000</v>
      </c>
      <c r="K864" s="13">
        <f t="shared" si="73"/>
        <v>0</v>
      </c>
      <c r="L864" s="55">
        <v>0</v>
      </c>
      <c r="M864" s="33">
        <f t="shared" si="74"/>
        <v>0</v>
      </c>
      <c r="N864" s="22" t="s">
        <v>5909</v>
      </c>
      <c r="O864" s="17" t="s">
        <v>5908</v>
      </c>
      <c r="P864" s="7" t="s">
        <v>5907</v>
      </c>
      <c r="Q864" s="7" t="s">
        <v>3344</v>
      </c>
      <c r="AC864" s="3" t="str">
        <f ca="1">HYPERLINK("#"&amp;재료비목록표!G2&amp;"!A"&amp;ROW(재료비목록표!A230),"자재227 →")</f>
        <v>자재227 →</v>
      </c>
    </row>
    <row r="865" spans="1:29" ht="30.6" customHeight="1" x14ac:dyDescent="0.3">
      <c r="A865" s="10"/>
      <c r="B865" s="10" t="s">
        <v>2359</v>
      </c>
      <c r="C865" s="41" t="s">
        <v>2369</v>
      </c>
      <c r="D865" s="43">
        <v>0</v>
      </c>
      <c r="E865" s="22" t="s">
        <v>1010</v>
      </c>
      <c r="F865" s="45">
        <f t="shared" si="70"/>
        <v>114700</v>
      </c>
      <c r="G865" s="48">
        <f t="shared" si="71"/>
        <v>0</v>
      </c>
      <c r="H865" s="51">
        <v>0</v>
      </c>
      <c r="I865" s="33">
        <f t="shared" si="72"/>
        <v>0</v>
      </c>
      <c r="J865" s="52">
        <f>재료비목록표!E113</f>
        <v>114700</v>
      </c>
      <c r="K865" s="13">
        <f t="shared" si="73"/>
        <v>0</v>
      </c>
      <c r="L865" s="55">
        <v>0</v>
      </c>
      <c r="M865" s="33">
        <f t="shared" si="74"/>
        <v>0</v>
      </c>
      <c r="N865" s="22" t="s">
        <v>5912</v>
      </c>
      <c r="O865" s="17" t="s">
        <v>5911</v>
      </c>
      <c r="P865" s="7" t="s">
        <v>5910</v>
      </c>
      <c r="Q865" s="7" t="s">
        <v>3344</v>
      </c>
      <c r="AC865" s="3" t="str">
        <f ca="1">HYPERLINK("#"&amp;재료비목록표!G2&amp;"!A"&amp;ROW(재료비목록표!A113),"자재110 →")</f>
        <v>자재110 →</v>
      </c>
    </row>
    <row r="866" spans="1:29" ht="30.6" customHeight="1" x14ac:dyDescent="0.3">
      <c r="A866" s="10"/>
      <c r="B866" s="10" t="s">
        <v>2359</v>
      </c>
      <c r="C866" s="41" t="s">
        <v>2372</v>
      </c>
      <c r="D866" s="43">
        <v>0</v>
      </c>
      <c r="E866" s="22" t="s">
        <v>1010</v>
      </c>
      <c r="F866" s="45">
        <f t="shared" si="70"/>
        <v>148900</v>
      </c>
      <c r="G866" s="48">
        <f t="shared" si="71"/>
        <v>0</v>
      </c>
      <c r="H866" s="51">
        <v>0</v>
      </c>
      <c r="I866" s="33">
        <f t="shared" si="72"/>
        <v>0</v>
      </c>
      <c r="J866" s="52">
        <f>재료비목록표!E114</f>
        <v>148900</v>
      </c>
      <c r="K866" s="13">
        <f t="shared" si="73"/>
        <v>0</v>
      </c>
      <c r="L866" s="55">
        <v>0</v>
      </c>
      <c r="M866" s="33">
        <f t="shared" si="74"/>
        <v>0</v>
      </c>
      <c r="N866" s="22" t="s">
        <v>5915</v>
      </c>
      <c r="O866" s="17" t="s">
        <v>5914</v>
      </c>
      <c r="P866" s="7" t="s">
        <v>5913</v>
      </c>
      <c r="Q866" s="7" t="s">
        <v>3344</v>
      </c>
      <c r="AC866" s="3" t="str">
        <f ca="1">HYPERLINK("#"&amp;재료비목록표!G2&amp;"!A"&amp;ROW(재료비목록표!A114),"자재111 →")</f>
        <v>자재111 →</v>
      </c>
    </row>
    <row r="867" spans="1:29" ht="30.6" customHeight="1" x14ac:dyDescent="0.3">
      <c r="A867" s="10"/>
      <c r="B867" s="10" t="s">
        <v>2359</v>
      </c>
      <c r="C867" s="41" t="s">
        <v>2360</v>
      </c>
      <c r="D867" s="43">
        <v>0</v>
      </c>
      <c r="E867" s="22" t="s">
        <v>1010</v>
      </c>
      <c r="F867" s="45">
        <f t="shared" si="70"/>
        <v>254500</v>
      </c>
      <c r="G867" s="48">
        <f t="shared" si="71"/>
        <v>0</v>
      </c>
      <c r="H867" s="51">
        <v>0</v>
      </c>
      <c r="I867" s="33">
        <f t="shared" si="72"/>
        <v>0</v>
      </c>
      <c r="J867" s="52">
        <f>재료비목록표!E110</f>
        <v>254500</v>
      </c>
      <c r="K867" s="13">
        <f t="shared" si="73"/>
        <v>0</v>
      </c>
      <c r="L867" s="55">
        <v>0</v>
      </c>
      <c r="M867" s="33">
        <f t="shared" si="74"/>
        <v>0</v>
      </c>
      <c r="N867" s="22" t="s">
        <v>5918</v>
      </c>
      <c r="O867" s="17" t="s">
        <v>5917</v>
      </c>
      <c r="P867" s="7" t="s">
        <v>5916</v>
      </c>
      <c r="Q867" s="7" t="s">
        <v>3344</v>
      </c>
      <c r="AC867" s="3" t="str">
        <f ca="1">HYPERLINK("#"&amp;재료비목록표!G2&amp;"!A"&amp;ROW(재료비목록표!A110),"자재107 →")</f>
        <v>자재107 →</v>
      </c>
    </row>
    <row r="868" spans="1:29" ht="30.6" customHeight="1" x14ac:dyDescent="0.3">
      <c r="A868" s="10"/>
      <c r="B868" s="10" t="s">
        <v>2359</v>
      </c>
      <c r="C868" s="41" t="s">
        <v>2363</v>
      </c>
      <c r="D868" s="43">
        <v>0</v>
      </c>
      <c r="E868" s="22" t="s">
        <v>1010</v>
      </c>
      <c r="F868" s="45">
        <f t="shared" si="70"/>
        <v>418900</v>
      </c>
      <c r="G868" s="48">
        <f t="shared" si="71"/>
        <v>0</v>
      </c>
      <c r="H868" s="51">
        <v>0</v>
      </c>
      <c r="I868" s="33">
        <f t="shared" si="72"/>
        <v>0</v>
      </c>
      <c r="J868" s="52">
        <f>재료비목록표!E111</f>
        <v>418900</v>
      </c>
      <c r="K868" s="13">
        <f t="shared" si="73"/>
        <v>0</v>
      </c>
      <c r="L868" s="55">
        <v>0</v>
      </c>
      <c r="M868" s="33">
        <f t="shared" si="74"/>
        <v>0</v>
      </c>
      <c r="N868" s="22" t="s">
        <v>5921</v>
      </c>
      <c r="O868" s="17" t="s">
        <v>5920</v>
      </c>
      <c r="P868" s="7" t="s">
        <v>5919</v>
      </c>
      <c r="Q868" s="7" t="s">
        <v>3344</v>
      </c>
      <c r="AC868" s="3" t="str">
        <f ca="1">HYPERLINK("#"&amp;재료비목록표!G2&amp;"!A"&amp;ROW(재료비목록표!A111),"자재108 →")</f>
        <v>자재108 →</v>
      </c>
    </row>
    <row r="869" spans="1:29" ht="30.6" customHeight="1" x14ac:dyDescent="0.3">
      <c r="A869" s="10"/>
      <c r="B869" s="10" t="s">
        <v>2359</v>
      </c>
      <c r="C869" s="41" t="s">
        <v>2366</v>
      </c>
      <c r="D869" s="43">
        <v>0</v>
      </c>
      <c r="E869" s="22" t="s">
        <v>1010</v>
      </c>
      <c r="F869" s="45">
        <f t="shared" si="70"/>
        <v>650300</v>
      </c>
      <c r="G869" s="48">
        <f t="shared" si="71"/>
        <v>0</v>
      </c>
      <c r="H869" s="51">
        <v>0</v>
      </c>
      <c r="I869" s="33">
        <f t="shared" si="72"/>
        <v>0</v>
      </c>
      <c r="J869" s="52">
        <f>재료비목록표!E112</f>
        <v>650300</v>
      </c>
      <c r="K869" s="13">
        <f t="shared" si="73"/>
        <v>0</v>
      </c>
      <c r="L869" s="55">
        <v>0</v>
      </c>
      <c r="M869" s="33">
        <f t="shared" si="74"/>
        <v>0</v>
      </c>
      <c r="N869" s="22" t="s">
        <v>5924</v>
      </c>
      <c r="O869" s="17" t="s">
        <v>5923</v>
      </c>
      <c r="P869" s="7" t="s">
        <v>5922</v>
      </c>
      <c r="Q869" s="7" t="s">
        <v>3344</v>
      </c>
      <c r="AC869" s="3" t="str">
        <f ca="1">HYPERLINK("#"&amp;재료비목록표!G2&amp;"!A"&amp;ROW(재료비목록표!A112),"자재109 →")</f>
        <v>자재109 →</v>
      </c>
    </row>
    <row r="870" spans="1:29" ht="30.6" customHeight="1" x14ac:dyDescent="0.3">
      <c r="A870" s="10"/>
      <c r="B870" s="10" t="s">
        <v>3053</v>
      </c>
      <c r="C870" s="41" t="s">
        <v>3060</v>
      </c>
      <c r="D870" s="43">
        <v>0</v>
      </c>
      <c r="E870" s="22" t="s">
        <v>1010</v>
      </c>
      <c r="F870" s="45">
        <f t="shared" si="70"/>
        <v>75000</v>
      </c>
      <c r="G870" s="48">
        <f t="shared" si="71"/>
        <v>0</v>
      </c>
      <c r="H870" s="51">
        <v>0</v>
      </c>
      <c r="I870" s="33">
        <f t="shared" si="72"/>
        <v>0</v>
      </c>
      <c r="J870" s="52">
        <f>재료비목록표!E367</f>
        <v>75000</v>
      </c>
      <c r="K870" s="13">
        <f t="shared" si="73"/>
        <v>0</v>
      </c>
      <c r="L870" s="55">
        <v>0</v>
      </c>
      <c r="M870" s="33">
        <f t="shared" si="74"/>
        <v>0</v>
      </c>
      <c r="N870" s="22" t="s">
        <v>5927</v>
      </c>
      <c r="O870" s="17" t="s">
        <v>5926</v>
      </c>
      <c r="P870" s="7" t="s">
        <v>5925</v>
      </c>
      <c r="Q870" s="7" t="s">
        <v>3344</v>
      </c>
      <c r="AC870" s="3" t="str">
        <f ca="1">HYPERLINK("#"&amp;재료비목록표!G2&amp;"!A"&amp;ROW(재료비목록표!A367),"자재364 →")</f>
        <v>자재364 →</v>
      </c>
    </row>
    <row r="871" spans="1:29" ht="30.6" customHeight="1" x14ac:dyDescent="0.3">
      <c r="A871" s="10"/>
      <c r="B871" s="10" t="s">
        <v>3053</v>
      </c>
      <c r="C871" s="41" t="s">
        <v>3063</v>
      </c>
      <c r="D871" s="43">
        <v>0</v>
      </c>
      <c r="E871" s="22" t="s">
        <v>1010</v>
      </c>
      <c r="F871" s="45">
        <f t="shared" si="70"/>
        <v>120000</v>
      </c>
      <c r="G871" s="48">
        <f t="shared" si="71"/>
        <v>0</v>
      </c>
      <c r="H871" s="51">
        <v>0</v>
      </c>
      <c r="I871" s="33">
        <f t="shared" si="72"/>
        <v>0</v>
      </c>
      <c r="J871" s="52">
        <f>재료비목록표!E368</f>
        <v>120000</v>
      </c>
      <c r="K871" s="13">
        <f t="shared" si="73"/>
        <v>0</v>
      </c>
      <c r="L871" s="55">
        <v>0</v>
      </c>
      <c r="M871" s="33">
        <f t="shared" si="74"/>
        <v>0</v>
      </c>
      <c r="N871" s="22" t="s">
        <v>5930</v>
      </c>
      <c r="O871" s="17" t="s">
        <v>5929</v>
      </c>
      <c r="P871" s="7" t="s">
        <v>5928</v>
      </c>
      <c r="Q871" s="7" t="s">
        <v>3344</v>
      </c>
      <c r="AC871" s="3" t="str">
        <f ca="1">HYPERLINK("#"&amp;재료비목록표!G2&amp;"!A"&amp;ROW(재료비목록표!A368),"자재365 →")</f>
        <v>자재365 →</v>
      </c>
    </row>
    <row r="872" spans="1:29" ht="30.6" customHeight="1" x14ac:dyDescent="0.3">
      <c r="A872" s="10"/>
      <c r="B872" s="10" t="s">
        <v>3043</v>
      </c>
      <c r="C872" s="41" t="s">
        <v>3044</v>
      </c>
      <c r="D872" s="43">
        <v>0</v>
      </c>
      <c r="E872" s="22" t="s">
        <v>1010</v>
      </c>
      <c r="F872" s="45">
        <f t="shared" si="70"/>
        <v>140000</v>
      </c>
      <c r="G872" s="48">
        <f t="shared" si="71"/>
        <v>0</v>
      </c>
      <c r="H872" s="51">
        <v>0</v>
      </c>
      <c r="I872" s="33">
        <f t="shared" si="72"/>
        <v>0</v>
      </c>
      <c r="J872" s="52">
        <f>재료비목록표!E362</f>
        <v>140000</v>
      </c>
      <c r="K872" s="13">
        <f t="shared" si="73"/>
        <v>0</v>
      </c>
      <c r="L872" s="55">
        <v>0</v>
      </c>
      <c r="M872" s="33">
        <f t="shared" si="74"/>
        <v>0</v>
      </c>
      <c r="N872" s="22" t="s">
        <v>5933</v>
      </c>
      <c r="O872" s="17" t="s">
        <v>5932</v>
      </c>
      <c r="P872" s="7" t="s">
        <v>5931</v>
      </c>
      <c r="Q872" s="7" t="s">
        <v>3344</v>
      </c>
      <c r="AC872" s="3" t="str">
        <f ca="1">HYPERLINK("#"&amp;재료비목록표!G2&amp;"!A"&amp;ROW(재료비목록표!A362),"자재359 →")</f>
        <v>자재359 →</v>
      </c>
    </row>
    <row r="873" spans="1:29" ht="30.6" customHeight="1" x14ac:dyDescent="0.3">
      <c r="A873" s="10"/>
      <c r="B873" s="10" t="s">
        <v>3043</v>
      </c>
      <c r="C873" s="41" t="s">
        <v>3047</v>
      </c>
      <c r="D873" s="43">
        <v>0</v>
      </c>
      <c r="E873" s="22" t="s">
        <v>1010</v>
      </c>
      <c r="F873" s="45">
        <f t="shared" si="70"/>
        <v>289000</v>
      </c>
      <c r="G873" s="48">
        <f t="shared" si="71"/>
        <v>0</v>
      </c>
      <c r="H873" s="51">
        <v>0</v>
      </c>
      <c r="I873" s="33">
        <f t="shared" si="72"/>
        <v>0</v>
      </c>
      <c r="J873" s="52">
        <f>재료비목록표!E363</f>
        <v>289000</v>
      </c>
      <c r="K873" s="13">
        <f t="shared" si="73"/>
        <v>0</v>
      </c>
      <c r="L873" s="55">
        <v>0</v>
      </c>
      <c r="M873" s="33">
        <f t="shared" si="74"/>
        <v>0</v>
      </c>
      <c r="N873" s="22" t="s">
        <v>5936</v>
      </c>
      <c r="O873" s="17" t="s">
        <v>5935</v>
      </c>
      <c r="P873" s="7" t="s">
        <v>5934</v>
      </c>
      <c r="Q873" s="7" t="s">
        <v>3344</v>
      </c>
      <c r="AC873" s="3" t="str">
        <f ca="1">HYPERLINK("#"&amp;재료비목록표!G2&amp;"!A"&amp;ROW(재료비목록표!A363),"자재360 →")</f>
        <v>자재360 →</v>
      </c>
    </row>
    <row r="874" spans="1:29" ht="30.6" customHeight="1" x14ac:dyDescent="0.3">
      <c r="A874" s="10"/>
      <c r="B874" s="10" t="s">
        <v>3053</v>
      </c>
      <c r="C874" s="41" t="s">
        <v>3054</v>
      </c>
      <c r="D874" s="43">
        <v>0</v>
      </c>
      <c r="E874" s="22" t="s">
        <v>1010</v>
      </c>
      <c r="F874" s="45">
        <f t="shared" si="70"/>
        <v>291000</v>
      </c>
      <c r="G874" s="48">
        <f t="shared" si="71"/>
        <v>0</v>
      </c>
      <c r="H874" s="51">
        <v>0</v>
      </c>
      <c r="I874" s="33">
        <f t="shared" si="72"/>
        <v>0</v>
      </c>
      <c r="J874" s="52">
        <f>재료비목록표!E365</f>
        <v>291000</v>
      </c>
      <c r="K874" s="13">
        <f t="shared" si="73"/>
        <v>0</v>
      </c>
      <c r="L874" s="55">
        <v>0</v>
      </c>
      <c r="M874" s="33">
        <f t="shared" si="74"/>
        <v>0</v>
      </c>
      <c r="N874" s="22" t="s">
        <v>5939</v>
      </c>
      <c r="O874" s="17" t="s">
        <v>5938</v>
      </c>
      <c r="P874" s="7" t="s">
        <v>5937</v>
      </c>
      <c r="Q874" s="7" t="s">
        <v>3344</v>
      </c>
      <c r="AC874" s="3" t="str">
        <f ca="1">HYPERLINK("#"&amp;재료비목록표!G2&amp;"!A"&amp;ROW(재료비목록표!A365),"자재362 →")</f>
        <v>자재362 →</v>
      </c>
    </row>
    <row r="875" spans="1:29" ht="30.6" customHeight="1" x14ac:dyDescent="0.3">
      <c r="A875" s="10"/>
      <c r="B875" s="10" t="s">
        <v>3053</v>
      </c>
      <c r="C875" s="41" t="s">
        <v>3057</v>
      </c>
      <c r="D875" s="43">
        <v>0</v>
      </c>
      <c r="E875" s="22" t="s">
        <v>1010</v>
      </c>
      <c r="F875" s="45">
        <f t="shared" si="70"/>
        <v>555000</v>
      </c>
      <c r="G875" s="48">
        <f t="shared" si="71"/>
        <v>0</v>
      </c>
      <c r="H875" s="51">
        <v>0</v>
      </c>
      <c r="I875" s="33">
        <f t="shared" si="72"/>
        <v>0</v>
      </c>
      <c r="J875" s="52">
        <f>재료비목록표!E366</f>
        <v>555000</v>
      </c>
      <c r="K875" s="13">
        <f t="shared" si="73"/>
        <v>0</v>
      </c>
      <c r="L875" s="55">
        <v>0</v>
      </c>
      <c r="M875" s="33">
        <f t="shared" si="74"/>
        <v>0</v>
      </c>
      <c r="N875" s="22" t="s">
        <v>5942</v>
      </c>
      <c r="O875" s="17" t="s">
        <v>5941</v>
      </c>
      <c r="P875" s="7" t="s">
        <v>5940</v>
      </c>
      <c r="Q875" s="7" t="s">
        <v>3344</v>
      </c>
      <c r="AC875" s="3" t="str">
        <f ca="1">HYPERLINK("#"&amp;재료비목록표!G2&amp;"!A"&amp;ROW(재료비목록표!A366),"자재363 →")</f>
        <v>자재363 →</v>
      </c>
    </row>
    <row r="876" spans="1:29" ht="30.6" customHeight="1" x14ac:dyDescent="0.3">
      <c r="A876" s="10"/>
      <c r="B876" s="10" t="s">
        <v>2267</v>
      </c>
      <c r="C876" s="41" t="s">
        <v>2271</v>
      </c>
      <c r="D876" s="43">
        <v>0</v>
      </c>
      <c r="E876" s="22" t="s">
        <v>1010</v>
      </c>
      <c r="F876" s="45">
        <f t="shared" si="70"/>
        <v>400000</v>
      </c>
      <c r="G876" s="48">
        <f t="shared" si="71"/>
        <v>0</v>
      </c>
      <c r="H876" s="51">
        <v>0</v>
      </c>
      <c r="I876" s="33">
        <f t="shared" si="72"/>
        <v>0</v>
      </c>
      <c r="J876" s="52">
        <f>재료비목록표!E83</f>
        <v>400000</v>
      </c>
      <c r="K876" s="13">
        <f t="shared" si="73"/>
        <v>0</v>
      </c>
      <c r="L876" s="55">
        <v>0</v>
      </c>
      <c r="M876" s="33">
        <f t="shared" si="74"/>
        <v>0</v>
      </c>
      <c r="N876" s="22" t="s">
        <v>5945</v>
      </c>
      <c r="O876" s="17" t="s">
        <v>5944</v>
      </c>
      <c r="P876" s="7" t="s">
        <v>5943</v>
      </c>
      <c r="Q876" s="7" t="s">
        <v>3344</v>
      </c>
      <c r="AC876" s="3" t="str">
        <f ca="1">HYPERLINK("#"&amp;재료비목록표!G2&amp;"!A"&amp;ROW(재료비목록표!A83),"자재80 →")</f>
        <v>자재80 →</v>
      </c>
    </row>
    <row r="877" spans="1:29" ht="30.6" customHeight="1" x14ac:dyDescent="0.3">
      <c r="A877" s="10"/>
      <c r="B877" s="10" t="s">
        <v>2695</v>
      </c>
      <c r="C877" s="41" t="s">
        <v>2696</v>
      </c>
      <c r="D877" s="43">
        <v>0</v>
      </c>
      <c r="E877" s="22" t="s">
        <v>1010</v>
      </c>
      <c r="F877" s="45">
        <f t="shared" si="70"/>
        <v>1045000</v>
      </c>
      <c r="G877" s="48">
        <f t="shared" si="71"/>
        <v>0</v>
      </c>
      <c r="H877" s="51">
        <v>0</v>
      </c>
      <c r="I877" s="33">
        <f t="shared" si="72"/>
        <v>0</v>
      </c>
      <c r="J877" s="52">
        <f>재료비목록표!E237</f>
        <v>1045000</v>
      </c>
      <c r="K877" s="13">
        <f t="shared" si="73"/>
        <v>0</v>
      </c>
      <c r="L877" s="55">
        <v>0</v>
      </c>
      <c r="M877" s="33">
        <f t="shared" si="74"/>
        <v>0</v>
      </c>
      <c r="N877" s="22" t="s">
        <v>5948</v>
      </c>
      <c r="O877" s="17" t="s">
        <v>5947</v>
      </c>
      <c r="P877" s="7" t="s">
        <v>5946</v>
      </c>
      <c r="Q877" s="7" t="s">
        <v>3344</v>
      </c>
      <c r="AC877" s="3" t="str">
        <f ca="1">HYPERLINK("#"&amp;재료비목록표!G2&amp;"!A"&amp;ROW(재료비목록표!A237),"자재234 →")</f>
        <v>자재234 →</v>
      </c>
    </row>
    <row r="878" spans="1:29" ht="30.6" customHeight="1" x14ac:dyDescent="0.3">
      <c r="A878" s="10"/>
      <c r="B878" s="10" t="s">
        <v>2075</v>
      </c>
      <c r="C878" s="41" t="s">
        <v>2241</v>
      </c>
      <c r="D878" s="43">
        <v>0</v>
      </c>
      <c r="E878" s="22" t="s">
        <v>1010</v>
      </c>
      <c r="F878" s="45">
        <f t="shared" si="70"/>
        <v>850</v>
      </c>
      <c r="G878" s="48">
        <f t="shared" si="71"/>
        <v>0</v>
      </c>
      <c r="H878" s="51">
        <v>0</v>
      </c>
      <c r="I878" s="33">
        <f t="shared" si="72"/>
        <v>0</v>
      </c>
      <c r="J878" s="52">
        <f>재료비목록표!E20</f>
        <v>850</v>
      </c>
      <c r="K878" s="13">
        <f t="shared" si="73"/>
        <v>0</v>
      </c>
      <c r="L878" s="55">
        <v>0</v>
      </c>
      <c r="M878" s="33">
        <f t="shared" si="74"/>
        <v>0</v>
      </c>
      <c r="N878" s="22" t="s">
        <v>5951</v>
      </c>
      <c r="O878" s="17" t="s">
        <v>5950</v>
      </c>
      <c r="P878" s="7" t="s">
        <v>5949</v>
      </c>
      <c r="Q878" s="7" t="s">
        <v>3344</v>
      </c>
      <c r="AC878" s="3" t="str">
        <f ca="1">HYPERLINK("#"&amp;재료비목록표!G2&amp;"!A"&amp;ROW(재료비목록표!A20),"자재17 →")</f>
        <v>자재17 →</v>
      </c>
    </row>
    <row r="879" spans="1:29" ht="30.6" customHeight="1" x14ac:dyDescent="0.3">
      <c r="A879" s="10"/>
      <c r="B879" s="10" t="s">
        <v>2075</v>
      </c>
      <c r="C879" s="41" t="s">
        <v>2244</v>
      </c>
      <c r="D879" s="43">
        <v>0</v>
      </c>
      <c r="E879" s="22" t="s">
        <v>1010</v>
      </c>
      <c r="F879" s="45">
        <f t="shared" si="70"/>
        <v>1250</v>
      </c>
      <c r="G879" s="48">
        <f t="shared" si="71"/>
        <v>0</v>
      </c>
      <c r="H879" s="51">
        <v>0</v>
      </c>
      <c r="I879" s="33">
        <f t="shared" si="72"/>
        <v>0</v>
      </c>
      <c r="J879" s="52">
        <f>재료비목록표!E21</f>
        <v>1250</v>
      </c>
      <c r="K879" s="13">
        <f t="shared" si="73"/>
        <v>0</v>
      </c>
      <c r="L879" s="55">
        <v>0</v>
      </c>
      <c r="M879" s="33">
        <f t="shared" si="74"/>
        <v>0</v>
      </c>
      <c r="N879" s="22" t="s">
        <v>5954</v>
      </c>
      <c r="O879" s="17" t="s">
        <v>5953</v>
      </c>
      <c r="P879" s="7" t="s">
        <v>5952</v>
      </c>
      <c r="Q879" s="7" t="s">
        <v>3344</v>
      </c>
      <c r="AC879" s="3" t="str">
        <f ca="1">HYPERLINK("#"&amp;재료비목록표!G2&amp;"!A"&amp;ROW(재료비목록표!A21),"자재18 →")</f>
        <v>자재18 →</v>
      </c>
    </row>
    <row r="880" spans="1:29" ht="30.6" customHeight="1" x14ac:dyDescent="0.3">
      <c r="A880" s="10"/>
      <c r="B880" s="10" t="s">
        <v>2075</v>
      </c>
      <c r="C880" s="41" t="s">
        <v>2076</v>
      </c>
      <c r="D880" s="43">
        <v>0</v>
      </c>
      <c r="E880" s="22" t="s">
        <v>1010</v>
      </c>
      <c r="F880" s="45">
        <f t="shared" si="70"/>
        <v>1680</v>
      </c>
      <c r="G880" s="48">
        <f t="shared" si="71"/>
        <v>0</v>
      </c>
      <c r="H880" s="51">
        <v>0</v>
      </c>
      <c r="I880" s="33">
        <f t="shared" si="72"/>
        <v>0</v>
      </c>
      <c r="J880" s="52">
        <f>재료비목록표!E15</f>
        <v>1680</v>
      </c>
      <c r="K880" s="13">
        <f t="shared" si="73"/>
        <v>0</v>
      </c>
      <c r="L880" s="55">
        <v>0</v>
      </c>
      <c r="M880" s="33">
        <f t="shared" si="74"/>
        <v>0</v>
      </c>
      <c r="N880" s="22" t="s">
        <v>5957</v>
      </c>
      <c r="O880" s="17" t="s">
        <v>5956</v>
      </c>
      <c r="P880" s="7" t="s">
        <v>5955</v>
      </c>
      <c r="Q880" s="7" t="s">
        <v>3344</v>
      </c>
      <c r="AC880" s="3" t="str">
        <f ca="1">HYPERLINK("#"&amp;재료비목록표!G2&amp;"!A"&amp;ROW(재료비목록표!A15),"자재12 →")</f>
        <v>자재12 →</v>
      </c>
    </row>
    <row r="881" spans="1:29" ht="30.6" customHeight="1" x14ac:dyDescent="0.3">
      <c r="A881" s="10"/>
      <c r="B881" s="10" t="s">
        <v>2075</v>
      </c>
      <c r="C881" s="41" t="s">
        <v>2079</v>
      </c>
      <c r="D881" s="43">
        <v>0</v>
      </c>
      <c r="E881" s="22" t="s">
        <v>1010</v>
      </c>
      <c r="F881" s="45">
        <f t="shared" si="70"/>
        <v>2520</v>
      </c>
      <c r="G881" s="48">
        <f t="shared" si="71"/>
        <v>0</v>
      </c>
      <c r="H881" s="51">
        <v>0</v>
      </c>
      <c r="I881" s="33">
        <f t="shared" si="72"/>
        <v>0</v>
      </c>
      <c r="J881" s="52">
        <f>재료비목록표!E16</f>
        <v>2520</v>
      </c>
      <c r="K881" s="13">
        <f t="shared" si="73"/>
        <v>0</v>
      </c>
      <c r="L881" s="55">
        <v>0</v>
      </c>
      <c r="M881" s="33">
        <f t="shared" si="74"/>
        <v>0</v>
      </c>
      <c r="N881" s="22" t="s">
        <v>5960</v>
      </c>
      <c r="O881" s="17" t="s">
        <v>5959</v>
      </c>
      <c r="P881" s="7" t="s">
        <v>5958</v>
      </c>
      <c r="Q881" s="7" t="s">
        <v>3344</v>
      </c>
      <c r="AC881" s="3" t="str">
        <f ca="1">HYPERLINK("#"&amp;재료비목록표!G2&amp;"!A"&amp;ROW(재료비목록표!A16),"자재13 →")</f>
        <v>자재13 →</v>
      </c>
    </row>
    <row r="882" spans="1:29" ht="30.6" customHeight="1" x14ac:dyDescent="0.3">
      <c r="A882" s="10"/>
      <c r="B882" s="10" t="s">
        <v>2075</v>
      </c>
      <c r="C882" s="41" t="s">
        <v>2082</v>
      </c>
      <c r="D882" s="43">
        <v>0</v>
      </c>
      <c r="E882" s="22" t="s">
        <v>1010</v>
      </c>
      <c r="F882" s="45">
        <f t="shared" si="70"/>
        <v>3000</v>
      </c>
      <c r="G882" s="48">
        <f t="shared" si="71"/>
        <v>0</v>
      </c>
      <c r="H882" s="51">
        <v>0</v>
      </c>
      <c r="I882" s="33">
        <f t="shared" si="72"/>
        <v>0</v>
      </c>
      <c r="J882" s="52">
        <f>재료비목록표!E17</f>
        <v>3000</v>
      </c>
      <c r="K882" s="13">
        <f t="shared" si="73"/>
        <v>0</v>
      </c>
      <c r="L882" s="55">
        <v>0</v>
      </c>
      <c r="M882" s="33">
        <f t="shared" si="74"/>
        <v>0</v>
      </c>
      <c r="N882" s="22" t="s">
        <v>5963</v>
      </c>
      <c r="O882" s="17" t="s">
        <v>5962</v>
      </c>
      <c r="P882" s="7" t="s">
        <v>5961</v>
      </c>
      <c r="Q882" s="7" t="s">
        <v>3344</v>
      </c>
      <c r="AC882" s="3" t="str">
        <f ca="1">HYPERLINK("#"&amp;재료비목록표!G2&amp;"!A"&amp;ROW(재료비목록표!A17),"자재14 →")</f>
        <v>자재14 →</v>
      </c>
    </row>
    <row r="883" spans="1:29" ht="30.6" customHeight="1" x14ac:dyDescent="0.3">
      <c r="A883" s="10"/>
      <c r="B883" s="10" t="s">
        <v>2075</v>
      </c>
      <c r="C883" s="41" t="s">
        <v>2085</v>
      </c>
      <c r="D883" s="43">
        <v>0</v>
      </c>
      <c r="E883" s="22" t="s">
        <v>1010</v>
      </c>
      <c r="F883" s="45">
        <f t="shared" si="70"/>
        <v>3900</v>
      </c>
      <c r="G883" s="48">
        <f t="shared" si="71"/>
        <v>0</v>
      </c>
      <c r="H883" s="51">
        <v>0</v>
      </c>
      <c r="I883" s="33">
        <f t="shared" si="72"/>
        <v>0</v>
      </c>
      <c r="J883" s="52">
        <f>재료비목록표!E18</f>
        <v>3900</v>
      </c>
      <c r="K883" s="13">
        <f t="shared" si="73"/>
        <v>0</v>
      </c>
      <c r="L883" s="55">
        <v>0</v>
      </c>
      <c r="M883" s="33">
        <f t="shared" si="74"/>
        <v>0</v>
      </c>
      <c r="N883" s="22" t="s">
        <v>5966</v>
      </c>
      <c r="O883" s="17" t="s">
        <v>5965</v>
      </c>
      <c r="P883" s="7" t="s">
        <v>5964</v>
      </c>
      <c r="Q883" s="7" t="s">
        <v>3344</v>
      </c>
      <c r="AC883" s="3" t="str">
        <f ca="1">HYPERLINK("#"&amp;재료비목록표!G2&amp;"!A"&amp;ROW(재료비목록표!A18),"자재15 →")</f>
        <v>자재15 →</v>
      </c>
    </row>
    <row r="884" spans="1:29" ht="30.6" customHeight="1" x14ac:dyDescent="0.3">
      <c r="A884" s="10"/>
      <c r="B884" s="10" t="s">
        <v>2075</v>
      </c>
      <c r="C884" s="41" t="s">
        <v>2088</v>
      </c>
      <c r="D884" s="43">
        <v>0</v>
      </c>
      <c r="E884" s="22" t="s">
        <v>1010</v>
      </c>
      <c r="F884" s="45">
        <f t="shared" si="70"/>
        <v>4980</v>
      </c>
      <c r="G884" s="48">
        <f t="shared" si="71"/>
        <v>0</v>
      </c>
      <c r="H884" s="51">
        <v>0</v>
      </c>
      <c r="I884" s="33">
        <f t="shared" si="72"/>
        <v>0</v>
      </c>
      <c r="J884" s="52">
        <f>재료비목록표!E19</f>
        <v>4980</v>
      </c>
      <c r="K884" s="13">
        <f t="shared" si="73"/>
        <v>0</v>
      </c>
      <c r="L884" s="55">
        <v>0</v>
      </c>
      <c r="M884" s="33">
        <f t="shared" si="74"/>
        <v>0</v>
      </c>
      <c r="N884" s="22" t="s">
        <v>5969</v>
      </c>
      <c r="O884" s="17" t="s">
        <v>5968</v>
      </c>
      <c r="P884" s="7" t="s">
        <v>5967</v>
      </c>
      <c r="Q884" s="7" t="s">
        <v>3344</v>
      </c>
      <c r="AC884" s="3" t="str">
        <f ca="1">HYPERLINK("#"&amp;재료비목록표!G2&amp;"!A"&amp;ROW(재료비목록표!A19),"자재16 →")</f>
        <v>자재16 →</v>
      </c>
    </row>
    <row r="885" spans="1:29" ht="30.6" customHeight="1" x14ac:dyDescent="0.3">
      <c r="A885" s="10"/>
      <c r="B885" s="10" t="s">
        <v>2875</v>
      </c>
      <c r="C885" s="41" t="s">
        <v>2241</v>
      </c>
      <c r="D885" s="43">
        <v>0</v>
      </c>
      <c r="E885" s="22" t="s">
        <v>1010</v>
      </c>
      <c r="F885" s="45">
        <f t="shared" si="70"/>
        <v>4340</v>
      </c>
      <c r="G885" s="48">
        <f t="shared" si="71"/>
        <v>0</v>
      </c>
      <c r="H885" s="51">
        <v>0</v>
      </c>
      <c r="I885" s="33">
        <f t="shared" si="72"/>
        <v>0</v>
      </c>
      <c r="J885" s="52">
        <f>재료비목록표!E310</f>
        <v>4340</v>
      </c>
      <c r="K885" s="13">
        <f t="shared" si="73"/>
        <v>0</v>
      </c>
      <c r="L885" s="55">
        <v>0</v>
      </c>
      <c r="M885" s="33">
        <f t="shared" si="74"/>
        <v>0</v>
      </c>
      <c r="N885" s="22" t="s">
        <v>5972</v>
      </c>
      <c r="O885" s="17" t="s">
        <v>5971</v>
      </c>
      <c r="P885" s="7" t="s">
        <v>5970</v>
      </c>
      <c r="Q885" s="7" t="s">
        <v>3344</v>
      </c>
      <c r="AC885" s="3" t="str">
        <f ca="1">HYPERLINK("#"&amp;재료비목록표!G2&amp;"!A"&amp;ROW(재료비목록표!A310),"자재307 →")</f>
        <v>자재307 →</v>
      </c>
    </row>
    <row r="886" spans="1:29" ht="30.6" customHeight="1" x14ac:dyDescent="0.3">
      <c r="A886" s="10"/>
      <c r="B886" s="10" t="s">
        <v>2875</v>
      </c>
      <c r="C886" s="41" t="s">
        <v>2244</v>
      </c>
      <c r="D886" s="43">
        <v>0</v>
      </c>
      <c r="E886" s="22" t="s">
        <v>1010</v>
      </c>
      <c r="F886" s="45">
        <f t="shared" si="70"/>
        <v>5800</v>
      </c>
      <c r="G886" s="48">
        <f t="shared" si="71"/>
        <v>0</v>
      </c>
      <c r="H886" s="51">
        <v>0</v>
      </c>
      <c r="I886" s="33">
        <f t="shared" si="72"/>
        <v>0</v>
      </c>
      <c r="J886" s="52">
        <f>재료비목록표!E311</f>
        <v>5800</v>
      </c>
      <c r="K886" s="13">
        <f t="shared" si="73"/>
        <v>0</v>
      </c>
      <c r="L886" s="55">
        <v>0</v>
      </c>
      <c r="M886" s="33">
        <f t="shared" si="74"/>
        <v>0</v>
      </c>
      <c r="N886" s="22" t="s">
        <v>5975</v>
      </c>
      <c r="O886" s="17" t="s">
        <v>5974</v>
      </c>
      <c r="P886" s="7" t="s">
        <v>5973</v>
      </c>
      <c r="Q886" s="7" t="s">
        <v>3344</v>
      </c>
      <c r="AC886" s="3" t="str">
        <f ca="1">HYPERLINK("#"&amp;재료비목록표!G2&amp;"!A"&amp;ROW(재료비목록표!A311),"자재308 →")</f>
        <v>자재308 →</v>
      </c>
    </row>
    <row r="887" spans="1:29" ht="30.6" customHeight="1" x14ac:dyDescent="0.3">
      <c r="A887" s="10"/>
      <c r="B887" s="10" t="s">
        <v>2875</v>
      </c>
      <c r="C887" s="41" t="s">
        <v>2219</v>
      </c>
      <c r="D887" s="43">
        <v>0</v>
      </c>
      <c r="E887" s="22" t="s">
        <v>1010</v>
      </c>
      <c r="F887" s="45">
        <f t="shared" si="70"/>
        <v>6850</v>
      </c>
      <c r="G887" s="48">
        <f t="shared" si="71"/>
        <v>0</v>
      </c>
      <c r="H887" s="51">
        <v>0</v>
      </c>
      <c r="I887" s="33">
        <f t="shared" si="72"/>
        <v>0</v>
      </c>
      <c r="J887" s="52">
        <f>재료비목록표!E305</f>
        <v>6850</v>
      </c>
      <c r="K887" s="13">
        <f t="shared" si="73"/>
        <v>0</v>
      </c>
      <c r="L887" s="55">
        <v>0</v>
      </c>
      <c r="M887" s="33">
        <f t="shared" si="74"/>
        <v>0</v>
      </c>
      <c r="N887" s="22" t="s">
        <v>5978</v>
      </c>
      <c r="O887" s="17" t="s">
        <v>5977</v>
      </c>
      <c r="P887" s="7" t="s">
        <v>5976</v>
      </c>
      <c r="Q887" s="7" t="s">
        <v>3344</v>
      </c>
      <c r="AC887" s="3" t="str">
        <f ca="1">HYPERLINK("#"&amp;재료비목록표!G2&amp;"!A"&amp;ROW(재료비목록표!A305),"자재302 →")</f>
        <v>자재302 →</v>
      </c>
    </row>
    <row r="888" spans="1:29" ht="30.6" customHeight="1" x14ac:dyDescent="0.3">
      <c r="A888" s="10"/>
      <c r="B888" s="10" t="s">
        <v>2875</v>
      </c>
      <c r="C888" s="41" t="s">
        <v>2222</v>
      </c>
      <c r="D888" s="43">
        <v>0</v>
      </c>
      <c r="E888" s="22" t="s">
        <v>1010</v>
      </c>
      <c r="F888" s="45">
        <f t="shared" si="70"/>
        <v>11750</v>
      </c>
      <c r="G888" s="48">
        <f t="shared" si="71"/>
        <v>0</v>
      </c>
      <c r="H888" s="51">
        <v>0</v>
      </c>
      <c r="I888" s="33">
        <f t="shared" si="72"/>
        <v>0</v>
      </c>
      <c r="J888" s="52">
        <f>재료비목록표!E306</f>
        <v>11750</v>
      </c>
      <c r="K888" s="13">
        <f t="shared" si="73"/>
        <v>0</v>
      </c>
      <c r="L888" s="55">
        <v>0</v>
      </c>
      <c r="M888" s="33">
        <f t="shared" si="74"/>
        <v>0</v>
      </c>
      <c r="N888" s="22" t="s">
        <v>5981</v>
      </c>
      <c r="O888" s="17" t="s">
        <v>5980</v>
      </c>
      <c r="P888" s="7" t="s">
        <v>5979</v>
      </c>
      <c r="Q888" s="7" t="s">
        <v>3344</v>
      </c>
      <c r="AC888" s="3" t="str">
        <f ca="1">HYPERLINK("#"&amp;재료비목록표!G2&amp;"!A"&amp;ROW(재료비목록표!A306),"자재303 →")</f>
        <v>자재303 →</v>
      </c>
    </row>
    <row r="889" spans="1:29" ht="30.6" customHeight="1" x14ac:dyDescent="0.3">
      <c r="A889" s="10"/>
      <c r="B889" s="10" t="s">
        <v>2875</v>
      </c>
      <c r="C889" s="41" t="s">
        <v>2228</v>
      </c>
      <c r="D889" s="43">
        <v>0</v>
      </c>
      <c r="E889" s="22" t="s">
        <v>1010</v>
      </c>
      <c r="F889" s="45">
        <f t="shared" si="70"/>
        <v>19660</v>
      </c>
      <c r="G889" s="48">
        <f t="shared" si="71"/>
        <v>0</v>
      </c>
      <c r="H889" s="51">
        <v>0</v>
      </c>
      <c r="I889" s="33">
        <f t="shared" si="72"/>
        <v>0</v>
      </c>
      <c r="J889" s="52">
        <f>재료비목록표!E307</f>
        <v>19660</v>
      </c>
      <c r="K889" s="13">
        <f t="shared" si="73"/>
        <v>0</v>
      </c>
      <c r="L889" s="55">
        <v>0</v>
      </c>
      <c r="M889" s="33">
        <f t="shared" si="74"/>
        <v>0</v>
      </c>
      <c r="N889" s="22" t="s">
        <v>5984</v>
      </c>
      <c r="O889" s="17" t="s">
        <v>5983</v>
      </c>
      <c r="P889" s="7" t="s">
        <v>5982</v>
      </c>
      <c r="Q889" s="7" t="s">
        <v>3344</v>
      </c>
      <c r="AC889" s="3" t="str">
        <f ca="1">HYPERLINK("#"&amp;재료비목록표!G2&amp;"!A"&amp;ROW(재료비목록표!A307),"자재304 →")</f>
        <v>자재304 →</v>
      </c>
    </row>
    <row r="890" spans="1:29" ht="30.6" customHeight="1" x14ac:dyDescent="0.3">
      <c r="A890" s="10"/>
      <c r="B890" s="10" t="s">
        <v>2875</v>
      </c>
      <c r="C890" s="41" t="s">
        <v>2882</v>
      </c>
      <c r="D890" s="43">
        <v>0</v>
      </c>
      <c r="E890" s="22" t="s">
        <v>1010</v>
      </c>
      <c r="F890" s="45">
        <f t="shared" si="70"/>
        <v>26970</v>
      </c>
      <c r="G890" s="48">
        <f t="shared" si="71"/>
        <v>0</v>
      </c>
      <c r="H890" s="51">
        <v>0</v>
      </c>
      <c r="I890" s="33">
        <f t="shared" si="72"/>
        <v>0</v>
      </c>
      <c r="J890" s="52">
        <f>재료비목록표!E308</f>
        <v>26970</v>
      </c>
      <c r="K890" s="13">
        <f t="shared" si="73"/>
        <v>0</v>
      </c>
      <c r="L890" s="55">
        <v>0</v>
      </c>
      <c r="M890" s="33">
        <f t="shared" si="74"/>
        <v>0</v>
      </c>
      <c r="N890" s="22" t="s">
        <v>5987</v>
      </c>
      <c r="O890" s="17" t="s">
        <v>5986</v>
      </c>
      <c r="P890" s="7" t="s">
        <v>5985</v>
      </c>
      <c r="Q890" s="7" t="s">
        <v>3344</v>
      </c>
      <c r="AC890" s="3" t="str">
        <f ca="1">HYPERLINK("#"&amp;재료비목록표!G2&amp;"!A"&amp;ROW(재료비목록표!A308),"자재305 →")</f>
        <v>자재305 →</v>
      </c>
    </row>
    <row r="891" spans="1:29" ht="30.6" customHeight="1" x14ac:dyDescent="0.3">
      <c r="A891" s="10"/>
      <c r="B891" s="10" t="s">
        <v>2875</v>
      </c>
      <c r="C891" s="41" t="s">
        <v>2885</v>
      </c>
      <c r="D891" s="43">
        <v>0</v>
      </c>
      <c r="E891" s="22" t="s">
        <v>1010</v>
      </c>
      <c r="F891" s="45">
        <f t="shared" si="70"/>
        <v>30670</v>
      </c>
      <c r="G891" s="48">
        <f t="shared" si="71"/>
        <v>0</v>
      </c>
      <c r="H891" s="51">
        <v>0</v>
      </c>
      <c r="I891" s="33">
        <f t="shared" si="72"/>
        <v>0</v>
      </c>
      <c r="J891" s="52">
        <f>재료비목록표!E309</f>
        <v>30670</v>
      </c>
      <c r="K891" s="13">
        <f t="shared" si="73"/>
        <v>0</v>
      </c>
      <c r="L891" s="55">
        <v>0</v>
      </c>
      <c r="M891" s="33">
        <f t="shared" si="74"/>
        <v>0</v>
      </c>
      <c r="N891" s="22" t="s">
        <v>5990</v>
      </c>
      <c r="O891" s="17" t="s">
        <v>5989</v>
      </c>
      <c r="P891" s="7" t="s">
        <v>5988</v>
      </c>
      <c r="Q891" s="7" t="s">
        <v>3344</v>
      </c>
      <c r="AC891" s="3" t="str">
        <f ca="1">HYPERLINK("#"&amp;재료비목록표!G2&amp;"!A"&amp;ROW(재료비목록표!A309),"자재306 →")</f>
        <v>자재306 →</v>
      </c>
    </row>
    <row r="892" spans="1:29" ht="30.6" customHeight="1" x14ac:dyDescent="0.3">
      <c r="A892" s="10"/>
      <c r="B892" s="10" t="s">
        <v>2666</v>
      </c>
      <c r="C892" s="41" t="s">
        <v>2667</v>
      </c>
      <c r="D892" s="43">
        <v>0</v>
      </c>
      <c r="E892" s="22" t="s">
        <v>1010</v>
      </c>
      <c r="F892" s="45">
        <f t="shared" si="70"/>
        <v>2197</v>
      </c>
      <c r="G892" s="48">
        <f t="shared" si="71"/>
        <v>0</v>
      </c>
      <c r="H892" s="51">
        <v>0</v>
      </c>
      <c r="I892" s="33">
        <f t="shared" si="72"/>
        <v>0</v>
      </c>
      <c r="J892" s="52">
        <f>재료비목록표!E226</f>
        <v>2197</v>
      </c>
      <c r="K892" s="13">
        <f t="shared" si="73"/>
        <v>0</v>
      </c>
      <c r="L892" s="55">
        <v>0</v>
      </c>
      <c r="M892" s="33">
        <f t="shared" si="74"/>
        <v>0</v>
      </c>
      <c r="N892" s="22" t="s">
        <v>5993</v>
      </c>
      <c r="O892" s="17" t="s">
        <v>5992</v>
      </c>
      <c r="P892" s="7" t="s">
        <v>5991</v>
      </c>
      <c r="Q892" s="7" t="s">
        <v>3344</v>
      </c>
      <c r="AC892" s="3" t="str">
        <f ca="1">HYPERLINK("#"&amp;재료비목록표!G2&amp;"!A"&amp;ROW(재료비목록표!A226),"자재223 →")</f>
        <v>자재223 →</v>
      </c>
    </row>
    <row r="893" spans="1:29" ht="30.6" customHeight="1" x14ac:dyDescent="0.3">
      <c r="A893" s="10"/>
      <c r="B893" s="10" t="s">
        <v>2636</v>
      </c>
      <c r="C893" s="41" t="s">
        <v>2637</v>
      </c>
      <c r="D893" s="43">
        <v>0</v>
      </c>
      <c r="E893" s="22" t="s">
        <v>1010</v>
      </c>
      <c r="F893" s="45">
        <f t="shared" si="70"/>
        <v>471</v>
      </c>
      <c r="G893" s="48">
        <f t="shared" si="71"/>
        <v>0</v>
      </c>
      <c r="H893" s="51">
        <v>0</v>
      </c>
      <c r="I893" s="33">
        <f t="shared" si="72"/>
        <v>0</v>
      </c>
      <c r="J893" s="52">
        <f>재료비목록표!E213</f>
        <v>471</v>
      </c>
      <c r="K893" s="13">
        <f t="shared" si="73"/>
        <v>0</v>
      </c>
      <c r="L893" s="55">
        <v>0</v>
      </c>
      <c r="M893" s="33">
        <f t="shared" si="74"/>
        <v>0</v>
      </c>
      <c r="N893" s="22" t="s">
        <v>5996</v>
      </c>
      <c r="O893" s="17" t="s">
        <v>5995</v>
      </c>
      <c r="P893" s="7" t="s">
        <v>5994</v>
      </c>
      <c r="Q893" s="7" t="s">
        <v>3344</v>
      </c>
      <c r="AC893" s="3" t="str">
        <f ca="1">HYPERLINK("#"&amp;재료비목록표!G2&amp;"!A"&amp;ROW(재료비목록표!A213),"자재210 →")</f>
        <v>자재210 →</v>
      </c>
    </row>
    <row r="894" spans="1:29" ht="30.6" customHeight="1" x14ac:dyDescent="0.3">
      <c r="A894" s="10"/>
      <c r="B894" s="10" t="s">
        <v>2712</v>
      </c>
      <c r="C894" s="41" t="s">
        <v>2713</v>
      </c>
      <c r="D894" s="43">
        <v>0</v>
      </c>
      <c r="E894" s="22" t="s">
        <v>2121</v>
      </c>
      <c r="F894" s="45">
        <f t="shared" si="70"/>
        <v>23969</v>
      </c>
      <c r="G894" s="48">
        <f t="shared" si="71"/>
        <v>0</v>
      </c>
      <c r="H894" s="51">
        <v>0</v>
      </c>
      <c r="I894" s="33">
        <f t="shared" si="72"/>
        <v>0</v>
      </c>
      <c r="J894" s="52">
        <f>재료비목록표!E243</f>
        <v>23969</v>
      </c>
      <c r="K894" s="13">
        <f t="shared" si="73"/>
        <v>0</v>
      </c>
      <c r="L894" s="55">
        <v>0</v>
      </c>
      <c r="M894" s="33">
        <f t="shared" si="74"/>
        <v>0</v>
      </c>
      <c r="N894" s="22" t="s">
        <v>5999</v>
      </c>
      <c r="O894" s="17" t="s">
        <v>5998</v>
      </c>
      <c r="P894" s="7" t="s">
        <v>5997</v>
      </c>
      <c r="Q894" s="7" t="s">
        <v>3344</v>
      </c>
      <c r="AC894" s="3" t="str">
        <f ca="1">HYPERLINK("#"&amp;재료비목록표!G2&amp;"!A"&amp;ROW(재료비목록표!A243),"자재240 →")</f>
        <v>자재240 →</v>
      </c>
    </row>
    <row r="895" spans="1:29" ht="30.6" customHeight="1" x14ac:dyDescent="0.3">
      <c r="A895" s="10"/>
      <c r="B895" s="10" t="s">
        <v>2386</v>
      </c>
      <c r="C895" s="41" t="s">
        <v>2387</v>
      </c>
      <c r="D895" s="43">
        <v>0</v>
      </c>
      <c r="E895" s="22" t="s">
        <v>1010</v>
      </c>
      <c r="F895" s="45">
        <f t="shared" si="70"/>
        <v>138100</v>
      </c>
      <c r="G895" s="48">
        <f t="shared" si="71"/>
        <v>0</v>
      </c>
      <c r="H895" s="51">
        <v>0</v>
      </c>
      <c r="I895" s="33">
        <f t="shared" si="72"/>
        <v>0</v>
      </c>
      <c r="J895" s="52">
        <f>재료비목록표!E118</f>
        <v>138100</v>
      </c>
      <c r="K895" s="13">
        <f t="shared" si="73"/>
        <v>0</v>
      </c>
      <c r="L895" s="55">
        <v>0</v>
      </c>
      <c r="M895" s="33">
        <f t="shared" si="74"/>
        <v>0</v>
      </c>
      <c r="N895" s="22" t="s">
        <v>6002</v>
      </c>
      <c r="O895" s="17" t="s">
        <v>6001</v>
      </c>
      <c r="P895" s="7" t="s">
        <v>6000</v>
      </c>
      <c r="Q895" s="7" t="s">
        <v>3344</v>
      </c>
      <c r="AC895" s="3" t="str">
        <f ca="1">HYPERLINK("#"&amp;재료비목록표!G2&amp;"!A"&amp;ROW(재료비목록표!A118),"자재115 →")</f>
        <v>자재115 →</v>
      </c>
    </row>
    <row r="896" spans="1:29" ht="30.6" customHeight="1" x14ac:dyDescent="0.3">
      <c r="A896" s="10"/>
      <c r="B896" s="10" t="s">
        <v>2386</v>
      </c>
      <c r="C896" s="41" t="s">
        <v>2390</v>
      </c>
      <c r="D896" s="43">
        <v>0</v>
      </c>
      <c r="E896" s="22" t="s">
        <v>1010</v>
      </c>
      <c r="F896" s="45">
        <f t="shared" si="70"/>
        <v>181900</v>
      </c>
      <c r="G896" s="48">
        <f t="shared" si="71"/>
        <v>0</v>
      </c>
      <c r="H896" s="51">
        <v>0</v>
      </c>
      <c r="I896" s="33">
        <f t="shared" si="72"/>
        <v>0</v>
      </c>
      <c r="J896" s="52">
        <f>재료비목록표!E119</f>
        <v>181900</v>
      </c>
      <c r="K896" s="13">
        <f t="shared" si="73"/>
        <v>0</v>
      </c>
      <c r="L896" s="55">
        <v>0</v>
      </c>
      <c r="M896" s="33">
        <f t="shared" si="74"/>
        <v>0</v>
      </c>
      <c r="N896" s="22" t="s">
        <v>6005</v>
      </c>
      <c r="O896" s="17" t="s">
        <v>6004</v>
      </c>
      <c r="P896" s="7" t="s">
        <v>6003</v>
      </c>
      <c r="Q896" s="7" t="s">
        <v>3344</v>
      </c>
      <c r="AC896" s="3" t="str">
        <f ca="1">HYPERLINK("#"&amp;재료비목록표!G2&amp;"!A"&amp;ROW(재료비목록표!A119),"자재116 →")</f>
        <v>자재116 →</v>
      </c>
    </row>
    <row r="897" spans="1:29" ht="30.6" customHeight="1" x14ac:dyDescent="0.3">
      <c r="A897" s="10"/>
      <c r="B897" s="10" t="s">
        <v>2134</v>
      </c>
      <c r="C897" s="41" t="s">
        <v>2135</v>
      </c>
      <c r="D897" s="43">
        <v>0</v>
      </c>
      <c r="E897" s="22" t="s">
        <v>1010</v>
      </c>
      <c r="F897" s="45">
        <f t="shared" si="70"/>
        <v>219920</v>
      </c>
      <c r="G897" s="48">
        <f t="shared" si="71"/>
        <v>0</v>
      </c>
      <c r="H897" s="51">
        <v>0</v>
      </c>
      <c r="I897" s="33">
        <f t="shared" si="72"/>
        <v>0</v>
      </c>
      <c r="J897" s="52">
        <f>재료비목록표!E34</f>
        <v>219920</v>
      </c>
      <c r="K897" s="13">
        <f t="shared" si="73"/>
        <v>0</v>
      </c>
      <c r="L897" s="55">
        <v>0</v>
      </c>
      <c r="M897" s="33">
        <f t="shared" si="74"/>
        <v>0</v>
      </c>
      <c r="N897" s="22" t="s">
        <v>6008</v>
      </c>
      <c r="O897" s="17" t="s">
        <v>6007</v>
      </c>
      <c r="P897" s="7" t="s">
        <v>6006</v>
      </c>
      <c r="Q897" s="7" t="s">
        <v>3344</v>
      </c>
      <c r="AC897" s="3" t="str">
        <f ca="1">HYPERLINK("#"&amp;재료비목록표!G2&amp;"!A"&amp;ROW(재료비목록표!A34),"자재31 →")</f>
        <v>자재31 →</v>
      </c>
    </row>
    <row r="898" spans="1:29" ht="30.6" customHeight="1" x14ac:dyDescent="0.3">
      <c r="A898" s="10"/>
      <c r="B898" s="10" t="s">
        <v>2134</v>
      </c>
      <c r="C898" s="41" t="s">
        <v>2138</v>
      </c>
      <c r="D898" s="43">
        <v>0</v>
      </c>
      <c r="E898" s="22" t="s">
        <v>1010</v>
      </c>
      <c r="F898" s="45">
        <f t="shared" si="70"/>
        <v>284090</v>
      </c>
      <c r="G898" s="48">
        <f t="shared" si="71"/>
        <v>0</v>
      </c>
      <c r="H898" s="51">
        <v>0</v>
      </c>
      <c r="I898" s="33">
        <f t="shared" si="72"/>
        <v>0</v>
      </c>
      <c r="J898" s="52">
        <f>재료비목록표!E35</f>
        <v>284090</v>
      </c>
      <c r="K898" s="13">
        <f t="shared" si="73"/>
        <v>0</v>
      </c>
      <c r="L898" s="55">
        <v>0</v>
      </c>
      <c r="M898" s="33">
        <f t="shared" si="74"/>
        <v>0</v>
      </c>
      <c r="N898" s="22" t="s">
        <v>6011</v>
      </c>
      <c r="O898" s="17" t="s">
        <v>6010</v>
      </c>
      <c r="P898" s="7" t="s">
        <v>6009</v>
      </c>
      <c r="Q898" s="7" t="s">
        <v>3344</v>
      </c>
      <c r="AC898" s="3" t="str">
        <f ca="1">HYPERLINK("#"&amp;재료비목록표!G2&amp;"!A"&amp;ROW(재료비목록표!A35),"자재32 →")</f>
        <v>자재32 →</v>
      </c>
    </row>
    <row r="899" spans="1:29" ht="30.6" customHeight="1" x14ac:dyDescent="0.3">
      <c r="A899" s="10"/>
      <c r="B899" s="10" t="s">
        <v>2134</v>
      </c>
      <c r="C899" s="41" t="s">
        <v>2141</v>
      </c>
      <c r="D899" s="43">
        <v>0</v>
      </c>
      <c r="E899" s="22" t="s">
        <v>1010</v>
      </c>
      <c r="F899" s="45">
        <f t="shared" si="70"/>
        <v>399990</v>
      </c>
      <c r="G899" s="48">
        <f t="shared" si="71"/>
        <v>0</v>
      </c>
      <c r="H899" s="51">
        <v>0</v>
      </c>
      <c r="I899" s="33">
        <f t="shared" si="72"/>
        <v>0</v>
      </c>
      <c r="J899" s="52">
        <f>재료비목록표!E36</f>
        <v>399990</v>
      </c>
      <c r="K899" s="13">
        <f t="shared" si="73"/>
        <v>0</v>
      </c>
      <c r="L899" s="55">
        <v>0</v>
      </c>
      <c r="M899" s="33">
        <f t="shared" si="74"/>
        <v>0</v>
      </c>
      <c r="N899" s="22" t="s">
        <v>6014</v>
      </c>
      <c r="O899" s="17" t="s">
        <v>6013</v>
      </c>
      <c r="P899" s="7" t="s">
        <v>6012</v>
      </c>
      <c r="Q899" s="7" t="s">
        <v>3344</v>
      </c>
      <c r="AC899" s="3" t="str">
        <f ca="1">HYPERLINK("#"&amp;재료비목록표!G2&amp;"!A"&amp;ROW(재료비목록표!A36),"자재33 →")</f>
        <v>자재33 →</v>
      </c>
    </row>
    <row r="900" spans="1:29" ht="30.6" customHeight="1" x14ac:dyDescent="0.3">
      <c r="A900" s="10"/>
      <c r="B900" s="10" t="s">
        <v>2134</v>
      </c>
      <c r="C900" s="41" t="s">
        <v>2144</v>
      </c>
      <c r="D900" s="43">
        <v>0</v>
      </c>
      <c r="E900" s="22" t="s">
        <v>1010</v>
      </c>
      <c r="F900" s="45">
        <f t="shared" si="70"/>
        <v>516740</v>
      </c>
      <c r="G900" s="48">
        <f t="shared" si="71"/>
        <v>0</v>
      </c>
      <c r="H900" s="51">
        <v>0</v>
      </c>
      <c r="I900" s="33">
        <f t="shared" si="72"/>
        <v>0</v>
      </c>
      <c r="J900" s="52">
        <f>재료비목록표!E37</f>
        <v>516740</v>
      </c>
      <c r="K900" s="13">
        <f t="shared" si="73"/>
        <v>0</v>
      </c>
      <c r="L900" s="55">
        <v>0</v>
      </c>
      <c r="M900" s="33">
        <f t="shared" si="74"/>
        <v>0</v>
      </c>
      <c r="N900" s="22" t="s">
        <v>6017</v>
      </c>
      <c r="O900" s="17" t="s">
        <v>6016</v>
      </c>
      <c r="P900" s="7" t="s">
        <v>6015</v>
      </c>
      <c r="Q900" s="7" t="s">
        <v>3344</v>
      </c>
      <c r="AC900" s="3" t="str">
        <f ca="1">HYPERLINK("#"&amp;재료비목록표!G2&amp;"!A"&amp;ROW(재료비목록표!A37),"자재34 →")</f>
        <v>자재34 →</v>
      </c>
    </row>
    <row r="901" spans="1:29" ht="30.6" customHeight="1" x14ac:dyDescent="0.3">
      <c r="A901" s="10"/>
      <c r="B901" s="10" t="s">
        <v>2251</v>
      </c>
      <c r="C901" s="41" t="s">
        <v>2252</v>
      </c>
      <c r="D901" s="43">
        <v>0</v>
      </c>
      <c r="E901" s="22" t="s">
        <v>1010</v>
      </c>
      <c r="F901" s="45">
        <f t="shared" si="70"/>
        <v>120000</v>
      </c>
      <c r="G901" s="48">
        <f t="shared" si="71"/>
        <v>0</v>
      </c>
      <c r="H901" s="51">
        <v>0</v>
      </c>
      <c r="I901" s="33">
        <f t="shared" si="72"/>
        <v>0</v>
      </c>
      <c r="J901" s="52">
        <f>재료비목록표!E77</f>
        <v>120000</v>
      </c>
      <c r="K901" s="13">
        <f t="shared" si="73"/>
        <v>0</v>
      </c>
      <c r="L901" s="55">
        <v>0</v>
      </c>
      <c r="M901" s="33">
        <f t="shared" si="74"/>
        <v>0</v>
      </c>
      <c r="N901" s="22" t="s">
        <v>6020</v>
      </c>
      <c r="O901" s="17" t="s">
        <v>6019</v>
      </c>
      <c r="P901" s="7" t="s">
        <v>6018</v>
      </c>
      <c r="Q901" s="7" t="s">
        <v>3344</v>
      </c>
      <c r="AC901" s="3" t="str">
        <f ca="1">HYPERLINK("#"&amp;재료비목록표!G2&amp;"!A"&amp;ROW(재료비목록표!A77),"자재74 →")</f>
        <v>자재74 →</v>
      </c>
    </row>
    <row r="902" spans="1:29" ht="30.6" customHeight="1" x14ac:dyDescent="0.3">
      <c r="A902" s="10"/>
      <c r="B902" s="10" t="s">
        <v>2251</v>
      </c>
      <c r="C902" s="41" t="s">
        <v>2255</v>
      </c>
      <c r="D902" s="43">
        <v>0</v>
      </c>
      <c r="E902" s="22" t="s">
        <v>1010</v>
      </c>
      <c r="F902" s="45">
        <f t="shared" si="70"/>
        <v>160000</v>
      </c>
      <c r="G902" s="48">
        <f t="shared" si="71"/>
        <v>0</v>
      </c>
      <c r="H902" s="51">
        <v>0</v>
      </c>
      <c r="I902" s="33">
        <f t="shared" si="72"/>
        <v>0</v>
      </c>
      <c r="J902" s="52">
        <f>재료비목록표!E78</f>
        <v>160000</v>
      </c>
      <c r="K902" s="13">
        <f t="shared" si="73"/>
        <v>0</v>
      </c>
      <c r="L902" s="55">
        <v>0</v>
      </c>
      <c r="M902" s="33">
        <f t="shared" si="74"/>
        <v>0</v>
      </c>
      <c r="N902" s="22" t="s">
        <v>6023</v>
      </c>
      <c r="O902" s="17" t="s">
        <v>6022</v>
      </c>
      <c r="P902" s="7" t="s">
        <v>6021</v>
      </c>
      <c r="Q902" s="7" t="s">
        <v>3344</v>
      </c>
      <c r="AC902" s="3" t="str">
        <f ca="1">HYPERLINK("#"&amp;재료비목록표!G2&amp;"!A"&amp;ROW(재료비목록표!A78),"자재75 →")</f>
        <v>자재75 →</v>
      </c>
    </row>
    <row r="903" spans="1:29" ht="30.6" customHeight="1" x14ac:dyDescent="0.3">
      <c r="A903" s="10"/>
      <c r="B903" s="10" t="s">
        <v>2251</v>
      </c>
      <c r="C903" s="41" t="s">
        <v>1895</v>
      </c>
      <c r="D903" s="43">
        <v>0</v>
      </c>
      <c r="E903" s="22" t="s">
        <v>1010</v>
      </c>
      <c r="F903" s="45">
        <f t="shared" si="70"/>
        <v>200000</v>
      </c>
      <c r="G903" s="48">
        <f t="shared" si="71"/>
        <v>0</v>
      </c>
      <c r="H903" s="51">
        <v>0</v>
      </c>
      <c r="I903" s="33">
        <f t="shared" si="72"/>
        <v>0</v>
      </c>
      <c r="J903" s="52">
        <f>재료비목록표!E79</f>
        <v>200000</v>
      </c>
      <c r="K903" s="13">
        <f t="shared" si="73"/>
        <v>0</v>
      </c>
      <c r="L903" s="55">
        <v>0</v>
      </c>
      <c r="M903" s="33">
        <f t="shared" si="74"/>
        <v>0</v>
      </c>
      <c r="N903" s="22" t="s">
        <v>6026</v>
      </c>
      <c r="O903" s="17" t="s">
        <v>6025</v>
      </c>
      <c r="P903" s="7" t="s">
        <v>6024</v>
      </c>
      <c r="Q903" s="7" t="s">
        <v>3344</v>
      </c>
      <c r="AC903" s="3" t="str">
        <f ca="1">HYPERLINK("#"&amp;재료비목록표!G2&amp;"!A"&amp;ROW(재료비목록표!A79),"자재76 →")</f>
        <v>자재76 →</v>
      </c>
    </row>
    <row r="904" spans="1:29" ht="30.6" customHeight="1" x14ac:dyDescent="0.3">
      <c r="A904" s="10"/>
      <c r="B904" s="10" t="s">
        <v>2251</v>
      </c>
      <c r="C904" s="41" t="s">
        <v>2260</v>
      </c>
      <c r="D904" s="43">
        <v>0</v>
      </c>
      <c r="E904" s="22" t="s">
        <v>1010</v>
      </c>
      <c r="F904" s="45">
        <f t="shared" si="70"/>
        <v>240000</v>
      </c>
      <c r="G904" s="48">
        <f t="shared" si="71"/>
        <v>0</v>
      </c>
      <c r="H904" s="51">
        <v>0</v>
      </c>
      <c r="I904" s="33">
        <f t="shared" si="72"/>
        <v>0</v>
      </c>
      <c r="J904" s="52">
        <f>재료비목록표!E80</f>
        <v>240000</v>
      </c>
      <c r="K904" s="13">
        <f t="shared" si="73"/>
        <v>0</v>
      </c>
      <c r="L904" s="55">
        <v>0</v>
      </c>
      <c r="M904" s="33">
        <f t="shared" si="74"/>
        <v>0</v>
      </c>
      <c r="N904" s="22" t="s">
        <v>6029</v>
      </c>
      <c r="O904" s="17" t="s">
        <v>6028</v>
      </c>
      <c r="P904" s="7" t="s">
        <v>6027</v>
      </c>
      <c r="Q904" s="7" t="s">
        <v>3344</v>
      </c>
      <c r="AC904" s="3" t="str">
        <f ca="1">HYPERLINK("#"&amp;재료비목록표!G2&amp;"!A"&amp;ROW(재료비목록표!A80),"자재77 →")</f>
        <v>자재77 →</v>
      </c>
    </row>
    <row r="905" spans="1:29" ht="30.6" customHeight="1" x14ac:dyDescent="0.3">
      <c r="A905" s="10"/>
      <c r="B905" s="10" t="s">
        <v>2985</v>
      </c>
      <c r="C905" s="41" t="s">
        <v>3001</v>
      </c>
      <c r="D905" s="43">
        <v>0</v>
      </c>
      <c r="E905" s="22" t="s">
        <v>1010</v>
      </c>
      <c r="F905" s="45">
        <f t="shared" si="70"/>
        <v>216000</v>
      </c>
      <c r="G905" s="48">
        <f t="shared" si="71"/>
        <v>0</v>
      </c>
      <c r="H905" s="51">
        <v>0</v>
      </c>
      <c r="I905" s="33">
        <f t="shared" si="72"/>
        <v>0</v>
      </c>
      <c r="J905" s="52">
        <f>재료비목록표!E347</f>
        <v>216000</v>
      </c>
      <c r="K905" s="13">
        <f t="shared" si="73"/>
        <v>0</v>
      </c>
      <c r="L905" s="55">
        <v>0</v>
      </c>
      <c r="M905" s="33">
        <f t="shared" si="74"/>
        <v>0</v>
      </c>
      <c r="N905" s="22" t="s">
        <v>6032</v>
      </c>
      <c r="O905" s="17" t="s">
        <v>6031</v>
      </c>
      <c r="P905" s="7" t="s">
        <v>6030</v>
      </c>
      <c r="Q905" s="7" t="s">
        <v>3344</v>
      </c>
      <c r="AC905" s="3" t="str">
        <f ca="1">HYPERLINK("#"&amp;재료비목록표!G2&amp;"!A"&amp;ROW(재료비목록표!A347),"자재344 →")</f>
        <v>자재344 →</v>
      </c>
    </row>
    <row r="906" spans="1:29" ht="30.6" customHeight="1" x14ac:dyDescent="0.3">
      <c r="A906" s="10"/>
      <c r="B906" s="10" t="s">
        <v>2985</v>
      </c>
      <c r="C906" s="41" t="s">
        <v>3004</v>
      </c>
      <c r="D906" s="43">
        <v>0</v>
      </c>
      <c r="E906" s="22" t="s">
        <v>1010</v>
      </c>
      <c r="F906" s="45">
        <f t="shared" si="70"/>
        <v>350000</v>
      </c>
      <c r="G906" s="48">
        <f t="shared" si="71"/>
        <v>0</v>
      </c>
      <c r="H906" s="51">
        <v>0</v>
      </c>
      <c r="I906" s="33">
        <f t="shared" si="72"/>
        <v>0</v>
      </c>
      <c r="J906" s="52">
        <f>재료비목록표!E348</f>
        <v>350000</v>
      </c>
      <c r="K906" s="13">
        <f t="shared" si="73"/>
        <v>0</v>
      </c>
      <c r="L906" s="55">
        <v>0</v>
      </c>
      <c r="M906" s="33">
        <f t="shared" si="74"/>
        <v>0</v>
      </c>
      <c r="N906" s="22" t="s">
        <v>6035</v>
      </c>
      <c r="O906" s="17" t="s">
        <v>6034</v>
      </c>
      <c r="P906" s="7" t="s">
        <v>6033</v>
      </c>
      <c r="Q906" s="7" t="s">
        <v>3344</v>
      </c>
      <c r="AC906" s="3" t="str">
        <f ca="1">HYPERLINK("#"&amp;재료비목록표!G2&amp;"!A"&amp;ROW(재료비목록표!A348),"자재345 →")</f>
        <v>자재345 →</v>
      </c>
    </row>
    <row r="907" spans="1:29" ht="30.6" customHeight="1" x14ac:dyDescent="0.3">
      <c r="A907" s="10"/>
      <c r="B907" s="10" t="s">
        <v>2985</v>
      </c>
      <c r="C907" s="41" t="s">
        <v>2986</v>
      </c>
      <c r="D907" s="43">
        <v>0</v>
      </c>
      <c r="E907" s="22" t="s">
        <v>1010</v>
      </c>
      <c r="F907" s="45">
        <f t="shared" si="70"/>
        <v>400000</v>
      </c>
      <c r="G907" s="48">
        <f t="shared" si="71"/>
        <v>0</v>
      </c>
      <c r="H907" s="51">
        <v>0</v>
      </c>
      <c r="I907" s="33">
        <f t="shared" si="72"/>
        <v>0</v>
      </c>
      <c r="J907" s="52">
        <f>재료비목록표!E342</f>
        <v>400000</v>
      </c>
      <c r="K907" s="13">
        <f t="shared" si="73"/>
        <v>0</v>
      </c>
      <c r="L907" s="55">
        <v>0</v>
      </c>
      <c r="M907" s="33">
        <f t="shared" si="74"/>
        <v>0</v>
      </c>
      <c r="N907" s="22" t="s">
        <v>6038</v>
      </c>
      <c r="O907" s="17" t="s">
        <v>6037</v>
      </c>
      <c r="P907" s="7" t="s">
        <v>6036</v>
      </c>
      <c r="Q907" s="7" t="s">
        <v>3344</v>
      </c>
      <c r="AC907" s="3" t="str">
        <f ca="1">HYPERLINK("#"&amp;재료비목록표!G2&amp;"!A"&amp;ROW(재료비목록표!A342),"자재339 →")</f>
        <v>자재339 →</v>
      </c>
    </row>
    <row r="908" spans="1:29" ht="30.6" customHeight="1" x14ac:dyDescent="0.3">
      <c r="A908" s="10"/>
      <c r="B908" s="10" t="s">
        <v>2985</v>
      </c>
      <c r="C908" s="41" t="s">
        <v>2989</v>
      </c>
      <c r="D908" s="43">
        <v>0</v>
      </c>
      <c r="E908" s="22" t="s">
        <v>1010</v>
      </c>
      <c r="F908" s="45">
        <f t="shared" si="70"/>
        <v>700000</v>
      </c>
      <c r="G908" s="48">
        <f t="shared" si="71"/>
        <v>0</v>
      </c>
      <c r="H908" s="51">
        <v>0</v>
      </c>
      <c r="I908" s="33">
        <f t="shared" si="72"/>
        <v>0</v>
      </c>
      <c r="J908" s="52">
        <f>재료비목록표!E343</f>
        <v>700000</v>
      </c>
      <c r="K908" s="13">
        <f t="shared" si="73"/>
        <v>0</v>
      </c>
      <c r="L908" s="55">
        <v>0</v>
      </c>
      <c r="M908" s="33">
        <f t="shared" si="74"/>
        <v>0</v>
      </c>
      <c r="N908" s="22" t="s">
        <v>6041</v>
      </c>
      <c r="O908" s="17" t="s">
        <v>6040</v>
      </c>
      <c r="P908" s="7" t="s">
        <v>6039</v>
      </c>
      <c r="Q908" s="7" t="s">
        <v>3344</v>
      </c>
      <c r="AC908" s="3" t="str">
        <f ca="1">HYPERLINK("#"&amp;재료비목록표!G2&amp;"!A"&amp;ROW(재료비목록표!A343),"자재340 →")</f>
        <v>자재340 →</v>
      </c>
    </row>
    <row r="909" spans="1:29" ht="30.6" customHeight="1" x14ac:dyDescent="0.3">
      <c r="A909" s="10"/>
      <c r="B909" s="10" t="s">
        <v>2985</v>
      </c>
      <c r="C909" s="41" t="s">
        <v>2992</v>
      </c>
      <c r="D909" s="43">
        <v>0</v>
      </c>
      <c r="E909" s="22" t="s">
        <v>1010</v>
      </c>
      <c r="F909" s="45">
        <f t="shared" si="70"/>
        <v>1000000</v>
      </c>
      <c r="G909" s="48">
        <f t="shared" si="71"/>
        <v>0</v>
      </c>
      <c r="H909" s="51">
        <v>0</v>
      </c>
      <c r="I909" s="33">
        <f t="shared" si="72"/>
        <v>0</v>
      </c>
      <c r="J909" s="52">
        <f>재료비목록표!E344</f>
        <v>1000000</v>
      </c>
      <c r="K909" s="13">
        <f t="shared" si="73"/>
        <v>0</v>
      </c>
      <c r="L909" s="55">
        <v>0</v>
      </c>
      <c r="M909" s="33">
        <f t="shared" si="74"/>
        <v>0</v>
      </c>
      <c r="N909" s="22" t="s">
        <v>6044</v>
      </c>
      <c r="O909" s="17" t="s">
        <v>6043</v>
      </c>
      <c r="P909" s="7" t="s">
        <v>6042</v>
      </c>
      <c r="Q909" s="7" t="s">
        <v>3344</v>
      </c>
      <c r="AC909" s="3" t="str">
        <f ca="1">HYPERLINK("#"&amp;재료비목록표!G2&amp;"!A"&amp;ROW(재료비목록표!A344),"자재341 →")</f>
        <v>자재341 →</v>
      </c>
    </row>
    <row r="910" spans="1:29" ht="30.6" customHeight="1" x14ac:dyDescent="0.3">
      <c r="A910" s="10"/>
      <c r="B910" s="10" t="s">
        <v>2985</v>
      </c>
      <c r="C910" s="41" t="s">
        <v>2995</v>
      </c>
      <c r="D910" s="43">
        <v>0</v>
      </c>
      <c r="E910" s="22" t="s">
        <v>1010</v>
      </c>
      <c r="F910" s="45">
        <f t="shared" si="70"/>
        <v>1600000</v>
      </c>
      <c r="G910" s="48">
        <f t="shared" si="71"/>
        <v>0</v>
      </c>
      <c r="H910" s="51">
        <v>0</v>
      </c>
      <c r="I910" s="33">
        <f t="shared" si="72"/>
        <v>0</v>
      </c>
      <c r="J910" s="52">
        <f>재료비목록표!E345</f>
        <v>1600000</v>
      </c>
      <c r="K910" s="13">
        <f t="shared" si="73"/>
        <v>0</v>
      </c>
      <c r="L910" s="55">
        <v>0</v>
      </c>
      <c r="M910" s="33">
        <f t="shared" si="74"/>
        <v>0</v>
      </c>
      <c r="N910" s="22" t="s">
        <v>6047</v>
      </c>
      <c r="O910" s="17" t="s">
        <v>6046</v>
      </c>
      <c r="P910" s="7" t="s">
        <v>6045</v>
      </c>
      <c r="Q910" s="7" t="s">
        <v>3344</v>
      </c>
      <c r="AC910" s="3" t="str">
        <f ca="1">HYPERLINK("#"&amp;재료비목록표!G2&amp;"!A"&amp;ROW(재료비목록표!A345),"자재342 →")</f>
        <v>자재342 →</v>
      </c>
    </row>
    <row r="911" spans="1:29" ht="30.6" customHeight="1" x14ac:dyDescent="0.3">
      <c r="A911" s="10"/>
      <c r="B911" s="10" t="s">
        <v>2985</v>
      </c>
      <c r="C911" s="41" t="s">
        <v>2998</v>
      </c>
      <c r="D911" s="43">
        <v>0</v>
      </c>
      <c r="E911" s="22" t="s">
        <v>1010</v>
      </c>
      <c r="F911" s="45">
        <f t="shared" si="70"/>
        <v>2200000</v>
      </c>
      <c r="G911" s="48">
        <f t="shared" si="71"/>
        <v>0</v>
      </c>
      <c r="H911" s="51">
        <v>0</v>
      </c>
      <c r="I911" s="33">
        <f t="shared" si="72"/>
        <v>0</v>
      </c>
      <c r="J911" s="52">
        <f>재료비목록표!E346</f>
        <v>2200000</v>
      </c>
      <c r="K911" s="13">
        <f t="shared" si="73"/>
        <v>0</v>
      </c>
      <c r="L911" s="55">
        <v>0</v>
      </c>
      <c r="M911" s="33">
        <f t="shared" si="74"/>
        <v>0</v>
      </c>
      <c r="N911" s="22" t="s">
        <v>6050</v>
      </c>
      <c r="O911" s="17" t="s">
        <v>6049</v>
      </c>
      <c r="P911" s="7" t="s">
        <v>6048</v>
      </c>
      <c r="Q911" s="7" t="s">
        <v>3344</v>
      </c>
      <c r="AC911" s="3" t="str">
        <f ca="1">HYPERLINK("#"&amp;재료비목록표!G2&amp;"!A"&amp;ROW(재료비목록표!A346),"자재343 →")</f>
        <v>자재343 →</v>
      </c>
    </row>
    <row r="912" spans="1:29" ht="30.6" customHeight="1" x14ac:dyDescent="0.3">
      <c r="A912" s="10"/>
      <c r="B912" s="10" t="s">
        <v>3007</v>
      </c>
      <c r="C912" s="41" t="s">
        <v>3004</v>
      </c>
      <c r="D912" s="43">
        <v>0</v>
      </c>
      <c r="E912" s="22" t="s">
        <v>1010</v>
      </c>
      <c r="F912" s="45">
        <f t="shared" si="70"/>
        <v>1000000</v>
      </c>
      <c r="G912" s="48">
        <f t="shared" si="71"/>
        <v>0</v>
      </c>
      <c r="H912" s="51">
        <v>0</v>
      </c>
      <c r="I912" s="33">
        <f t="shared" si="72"/>
        <v>0</v>
      </c>
      <c r="J912" s="52">
        <f>재료비목록표!E354</f>
        <v>1000000</v>
      </c>
      <c r="K912" s="13">
        <f t="shared" si="73"/>
        <v>0</v>
      </c>
      <c r="L912" s="55">
        <v>0</v>
      </c>
      <c r="M912" s="33">
        <f t="shared" si="74"/>
        <v>0</v>
      </c>
      <c r="N912" s="22" t="s">
        <v>6053</v>
      </c>
      <c r="O912" s="17" t="s">
        <v>6052</v>
      </c>
      <c r="P912" s="7" t="s">
        <v>6051</v>
      </c>
      <c r="Q912" s="7" t="s">
        <v>3344</v>
      </c>
      <c r="AC912" s="3" t="str">
        <f ca="1">HYPERLINK("#"&amp;재료비목록표!G2&amp;"!A"&amp;ROW(재료비목록표!A354),"자재351 →")</f>
        <v>자재351 →</v>
      </c>
    </row>
    <row r="913" spans="1:29" ht="30.6" customHeight="1" x14ac:dyDescent="0.3">
      <c r="A913" s="10"/>
      <c r="B913" s="10" t="s">
        <v>3007</v>
      </c>
      <c r="C913" s="41" t="s">
        <v>2986</v>
      </c>
      <c r="D913" s="43">
        <v>0</v>
      </c>
      <c r="E913" s="22" t="s">
        <v>1010</v>
      </c>
      <c r="F913" s="45">
        <f t="shared" si="70"/>
        <v>1300000</v>
      </c>
      <c r="G913" s="48">
        <f t="shared" si="71"/>
        <v>0</v>
      </c>
      <c r="H913" s="51">
        <v>0</v>
      </c>
      <c r="I913" s="33">
        <f t="shared" si="72"/>
        <v>0</v>
      </c>
      <c r="J913" s="52">
        <f>재료비목록표!E349</f>
        <v>1300000</v>
      </c>
      <c r="K913" s="13">
        <f t="shared" si="73"/>
        <v>0</v>
      </c>
      <c r="L913" s="55">
        <v>0</v>
      </c>
      <c r="M913" s="33">
        <f t="shared" si="74"/>
        <v>0</v>
      </c>
      <c r="N913" s="22" t="s">
        <v>6056</v>
      </c>
      <c r="O913" s="17" t="s">
        <v>6055</v>
      </c>
      <c r="P913" s="7" t="s">
        <v>6054</v>
      </c>
      <c r="Q913" s="7" t="s">
        <v>3344</v>
      </c>
      <c r="AC913" s="3" t="str">
        <f ca="1">HYPERLINK("#"&amp;재료비목록표!G2&amp;"!A"&amp;ROW(재료비목록표!A349),"자재346 →")</f>
        <v>자재346 →</v>
      </c>
    </row>
    <row r="914" spans="1:29" ht="30.6" customHeight="1" x14ac:dyDescent="0.3">
      <c r="A914" s="10"/>
      <c r="B914" s="10" t="s">
        <v>3007</v>
      </c>
      <c r="C914" s="41" t="s">
        <v>2989</v>
      </c>
      <c r="D914" s="43">
        <v>0</v>
      </c>
      <c r="E914" s="22" t="s">
        <v>1010</v>
      </c>
      <c r="F914" s="45">
        <f t="shared" si="70"/>
        <v>1800000</v>
      </c>
      <c r="G914" s="48">
        <f t="shared" si="71"/>
        <v>0</v>
      </c>
      <c r="H914" s="51">
        <v>0</v>
      </c>
      <c r="I914" s="33">
        <f t="shared" si="72"/>
        <v>0</v>
      </c>
      <c r="J914" s="52">
        <f>재료비목록표!E350</f>
        <v>1800000</v>
      </c>
      <c r="K914" s="13">
        <f t="shared" si="73"/>
        <v>0</v>
      </c>
      <c r="L914" s="55">
        <v>0</v>
      </c>
      <c r="M914" s="33">
        <f t="shared" si="74"/>
        <v>0</v>
      </c>
      <c r="N914" s="22" t="s">
        <v>6059</v>
      </c>
      <c r="O914" s="17" t="s">
        <v>6058</v>
      </c>
      <c r="P914" s="7" t="s">
        <v>6057</v>
      </c>
      <c r="Q914" s="7" t="s">
        <v>3344</v>
      </c>
      <c r="AC914" s="3" t="str">
        <f ca="1">HYPERLINK("#"&amp;재료비목록표!G2&amp;"!A"&amp;ROW(재료비목록표!A350),"자재347 →")</f>
        <v>자재347 →</v>
      </c>
    </row>
    <row r="915" spans="1:29" ht="30.6" customHeight="1" x14ac:dyDescent="0.3">
      <c r="A915" s="10"/>
      <c r="B915" s="10" t="s">
        <v>3007</v>
      </c>
      <c r="C915" s="41" t="s">
        <v>2992</v>
      </c>
      <c r="D915" s="43">
        <v>0</v>
      </c>
      <c r="E915" s="22" t="s">
        <v>1010</v>
      </c>
      <c r="F915" s="45">
        <f t="shared" si="70"/>
        <v>2300000</v>
      </c>
      <c r="G915" s="48">
        <f t="shared" si="71"/>
        <v>0</v>
      </c>
      <c r="H915" s="51">
        <v>0</v>
      </c>
      <c r="I915" s="33">
        <f t="shared" si="72"/>
        <v>0</v>
      </c>
      <c r="J915" s="52">
        <f>재료비목록표!E351</f>
        <v>2300000</v>
      </c>
      <c r="K915" s="13">
        <f t="shared" si="73"/>
        <v>0</v>
      </c>
      <c r="L915" s="55">
        <v>0</v>
      </c>
      <c r="M915" s="33">
        <f t="shared" si="74"/>
        <v>0</v>
      </c>
      <c r="N915" s="22" t="s">
        <v>6062</v>
      </c>
      <c r="O915" s="17" t="s">
        <v>6061</v>
      </c>
      <c r="P915" s="7" t="s">
        <v>6060</v>
      </c>
      <c r="Q915" s="7" t="s">
        <v>3344</v>
      </c>
      <c r="AC915" s="3" t="str">
        <f ca="1">HYPERLINK("#"&amp;재료비목록표!G2&amp;"!A"&amp;ROW(재료비목록표!A351),"자재348 →")</f>
        <v>자재348 →</v>
      </c>
    </row>
    <row r="916" spans="1:29" ht="30.6" customHeight="1" x14ac:dyDescent="0.3">
      <c r="A916" s="10"/>
      <c r="B916" s="10" t="s">
        <v>3007</v>
      </c>
      <c r="C916" s="41" t="s">
        <v>2995</v>
      </c>
      <c r="D916" s="43">
        <v>0</v>
      </c>
      <c r="E916" s="22" t="s">
        <v>1010</v>
      </c>
      <c r="F916" s="45">
        <f t="shared" si="70"/>
        <v>3500000</v>
      </c>
      <c r="G916" s="48">
        <f t="shared" si="71"/>
        <v>0</v>
      </c>
      <c r="H916" s="51">
        <v>0</v>
      </c>
      <c r="I916" s="33">
        <f t="shared" si="72"/>
        <v>0</v>
      </c>
      <c r="J916" s="52">
        <f>재료비목록표!E352</f>
        <v>3500000</v>
      </c>
      <c r="K916" s="13">
        <f t="shared" si="73"/>
        <v>0</v>
      </c>
      <c r="L916" s="55">
        <v>0</v>
      </c>
      <c r="M916" s="33">
        <f t="shared" si="74"/>
        <v>0</v>
      </c>
      <c r="N916" s="22" t="s">
        <v>6065</v>
      </c>
      <c r="O916" s="17" t="s">
        <v>6064</v>
      </c>
      <c r="P916" s="7" t="s">
        <v>6063</v>
      </c>
      <c r="Q916" s="7" t="s">
        <v>3344</v>
      </c>
      <c r="AC916" s="3" t="str">
        <f ca="1">HYPERLINK("#"&amp;재료비목록표!G2&amp;"!A"&amp;ROW(재료비목록표!A352),"자재349 →")</f>
        <v>자재349 →</v>
      </c>
    </row>
    <row r="917" spans="1:29" ht="30.6" customHeight="1" x14ac:dyDescent="0.3">
      <c r="A917" s="10"/>
      <c r="B917" s="10" t="s">
        <v>3007</v>
      </c>
      <c r="C917" s="41" t="s">
        <v>2998</v>
      </c>
      <c r="D917" s="43">
        <v>0</v>
      </c>
      <c r="E917" s="22" t="s">
        <v>1010</v>
      </c>
      <c r="F917" s="45">
        <f t="shared" si="70"/>
        <v>5000000</v>
      </c>
      <c r="G917" s="48">
        <f t="shared" si="71"/>
        <v>0</v>
      </c>
      <c r="H917" s="51">
        <v>0</v>
      </c>
      <c r="I917" s="33">
        <f t="shared" si="72"/>
        <v>0</v>
      </c>
      <c r="J917" s="52">
        <f>재료비목록표!E353</f>
        <v>5000000</v>
      </c>
      <c r="K917" s="13">
        <f t="shared" si="73"/>
        <v>0</v>
      </c>
      <c r="L917" s="55">
        <v>0</v>
      </c>
      <c r="M917" s="33">
        <f t="shared" si="74"/>
        <v>0</v>
      </c>
      <c r="N917" s="22" t="s">
        <v>6068</v>
      </c>
      <c r="O917" s="17" t="s">
        <v>6067</v>
      </c>
      <c r="P917" s="7" t="s">
        <v>6066</v>
      </c>
      <c r="Q917" s="7" t="s">
        <v>3344</v>
      </c>
      <c r="AC917" s="3" t="str">
        <f ca="1">HYPERLINK("#"&amp;재료비목록표!G2&amp;"!A"&amp;ROW(재료비목록표!A353),"자재350 →")</f>
        <v>자재350 →</v>
      </c>
    </row>
    <row r="918" spans="1:29" ht="30.6" customHeight="1" x14ac:dyDescent="0.3">
      <c r="A918" s="10"/>
      <c r="B918" s="10" t="s">
        <v>2922</v>
      </c>
      <c r="C918" s="41" t="s">
        <v>2923</v>
      </c>
      <c r="D918" s="43">
        <v>0</v>
      </c>
      <c r="E918" s="22" t="s">
        <v>1010</v>
      </c>
      <c r="F918" s="45">
        <f t="shared" si="70"/>
        <v>459000</v>
      </c>
      <c r="G918" s="48">
        <f t="shared" si="71"/>
        <v>0</v>
      </c>
      <c r="H918" s="51">
        <v>0</v>
      </c>
      <c r="I918" s="33">
        <f t="shared" si="72"/>
        <v>0</v>
      </c>
      <c r="J918" s="52">
        <f>재료비목록표!E321</f>
        <v>459000</v>
      </c>
      <c r="K918" s="13">
        <f t="shared" si="73"/>
        <v>0</v>
      </c>
      <c r="L918" s="55">
        <v>0</v>
      </c>
      <c r="M918" s="33">
        <f t="shared" si="74"/>
        <v>0</v>
      </c>
      <c r="N918" s="22" t="s">
        <v>6071</v>
      </c>
      <c r="O918" s="17" t="s">
        <v>6070</v>
      </c>
      <c r="P918" s="7" t="s">
        <v>6069</v>
      </c>
      <c r="Q918" s="7" t="s">
        <v>3344</v>
      </c>
      <c r="AC918" s="3" t="str">
        <f ca="1">HYPERLINK("#"&amp;재료비목록표!G2&amp;"!A"&amp;ROW(재료비목록표!A321),"자재318 →")</f>
        <v>자재318 →</v>
      </c>
    </row>
    <row r="919" spans="1:29" ht="30.6" customHeight="1" x14ac:dyDescent="0.3">
      <c r="A919" s="10"/>
      <c r="B919" s="10" t="s">
        <v>2922</v>
      </c>
      <c r="C919" s="41" t="s">
        <v>2926</v>
      </c>
      <c r="D919" s="43">
        <v>0</v>
      </c>
      <c r="E919" s="22" t="s">
        <v>1010</v>
      </c>
      <c r="F919" s="45">
        <f t="shared" si="70"/>
        <v>574000</v>
      </c>
      <c r="G919" s="48">
        <f t="shared" si="71"/>
        <v>0</v>
      </c>
      <c r="H919" s="51">
        <v>0</v>
      </c>
      <c r="I919" s="33">
        <f t="shared" si="72"/>
        <v>0</v>
      </c>
      <c r="J919" s="52">
        <f>재료비목록표!E322</f>
        <v>574000</v>
      </c>
      <c r="K919" s="13">
        <f t="shared" si="73"/>
        <v>0</v>
      </c>
      <c r="L919" s="55">
        <v>0</v>
      </c>
      <c r="M919" s="33">
        <f t="shared" si="74"/>
        <v>0</v>
      </c>
      <c r="N919" s="22" t="s">
        <v>6074</v>
      </c>
      <c r="O919" s="17" t="s">
        <v>6073</v>
      </c>
      <c r="P919" s="7" t="s">
        <v>6072</v>
      </c>
      <c r="Q919" s="7" t="s">
        <v>3344</v>
      </c>
      <c r="AC919" s="3" t="str">
        <f ca="1">HYPERLINK("#"&amp;재료비목록표!G2&amp;"!A"&amp;ROW(재료비목록표!A322),"자재319 →")</f>
        <v>자재319 →</v>
      </c>
    </row>
    <row r="920" spans="1:29" ht="30.6" customHeight="1" x14ac:dyDescent="0.3">
      <c r="A920" s="10"/>
      <c r="B920" s="10" t="s">
        <v>2922</v>
      </c>
      <c r="C920" s="41" t="s">
        <v>2929</v>
      </c>
      <c r="D920" s="43">
        <v>0</v>
      </c>
      <c r="E920" s="22" t="s">
        <v>1010</v>
      </c>
      <c r="F920" s="45">
        <f t="shared" si="70"/>
        <v>688000</v>
      </c>
      <c r="G920" s="48">
        <f t="shared" si="71"/>
        <v>0</v>
      </c>
      <c r="H920" s="51">
        <v>0</v>
      </c>
      <c r="I920" s="33">
        <f t="shared" si="72"/>
        <v>0</v>
      </c>
      <c r="J920" s="52">
        <f>재료비목록표!E323</f>
        <v>688000</v>
      </c>
      <c r="K920" s="13">
        <f t="shared" si="73"/>
        <v>0</v>
      </c>
      <c r="L920" s="55">
        <v>0</v>
      </c>
      <c r="M920" s="33">
        <f t="shared" si="74"/>
        <v>0</v>
      </c>
      <c r="N920" s="22" t="s">
        <v>6077</v>
      </c>
      <c r="O920" s="17" t="s">
        <v>6076</v>
      </c>
      <c r="P920" s="7" t="s">
        <v>6075</v>
      </c>
      <c r="Q920" s="7" t="s">
        <v>3344</v>
      </c>
      <c r="AC920" s="3" t="str">
        <f ca="1">HYPERLINK("#"&amp;재료비목록표!G2&amp;"!A"&amp;ROW(재료비목록표!A323),"자재320 →")</f>
        <v>자재320 →</v>
      </c>
    </row>
    <row r="921" spans="1:29" ht="30.6" customHeight="1" x14ac:dyDescent="0.3">
      <c r="A921" s="10"/>
      <c r="B921" s="10" t="s">
        <v>2922</v>
      </c>
      <c r="C921" s="41" t="s">
        <v>2932</v>
      </c>
      <c r="D921" s="43">
        <v>0</v>
      </c>
      <c r="E921" s="22" t="s">
        <v>1010</v>
      </c>
      <c r="F921" s="45">
        <f t="shared" ref="F921:F984" si="75">J921+H921+L921</f>
        <v>704000</v>
      </c>
      <c r="G921" s="48">
        <f t="shared" ref="G921:G984" si="76">K921+I921+M921</f>
        <v>0</v>
      </c>
      <c r="H921" s="51">
        <v>0</v>
      </c>
      <c r="I921" s="33">
        <f t="shared" ref="I921:I984" si="77">ROUNDDOWN(H921*D921,0)</f>
        <v>0</v>
      </c>
      <c r="J921" s="52">
        <f>재료비목록표!E324</f>
        <v>704000</v>
      </c>
      <c r="K921" s="13">
        <f t="shared" ref="K921:K984" si="78">ROUNDDOWN(J921*D921,0)</f>
        <v>0</v>
      </c>
      <c r="L921" s="55">
        <v>0</v>
      </c>
      <c r="M921" s="33">
        <f t="shared" ref="M921:M984" si="79">ROUNDDOWN(L921*D921,0)</f>
        <v>0</v>
      </c>
      <c r="N921" s="22" t="s">
        <v>6080</v>
      </c>
      <c r="O921" s="17" t="s">
        <v>6079</v>
      </c>
      <c r="P921" s="7" t="s">
        <v>6078</v>
      </c>
      <c r="Q921" s="7" t="s">
        <v>3344</v>
      </c>
      <c r="AC921" s="3" t="str">
        <f ca="1">HYPERLINK("#"&amp;재료비목록표!G2&amp;"!A"&amp;ROW(재료비목록표!A324),"자재321 →")</f>
        <v>자재321 →</v>
      </c>
    </row>
    <row r="922" spans="1:29" ht="30.6" customHeight="1" x14ac:dyDescent="0.3">
      <c r="A922" s="10"/>
      <c r="B922" s="10" t="s">
        <v>2922</v>
      </c>
      <c r="C922" s="41" t="s">
        <v>2935</v>
      </c>
      <c r="D922" s="43">
        <v>0</v>
      </c>
      <c r="E922" s="22" t="s">
        <v>1010</v>
      </c>
      <c r="F922" s="45">
        <f t="shared" si="75"/>
        <v>873000</v>
      </c>
      <c r="G922" s="48">
        <f t="shared" si="76"/>
        <v>0</v>
      </c>
      <c r="H922" s="51">
        <v>0</v>
      </c>
      <c r="I922" s="33">
        <f t="shared" si="77"/>
        <v>0</v>
      </c>
      <c r="J922" s="52">
        <f>재료비목록표!E325</f>
        <v>873000</v>
      </c>
      <c r="K922" s="13">
        <f t="shared" si="78"/>
        <v>0</v>
      </c>
      <c r="L922" s="55">
        <v>0</v>
      </c>
      <c r="M922" s="33">
        <f t="shared" si="79"/>
        <v>0</v>
      </c>
      <c r="N922" s="22" t="s">
        <v>6083</v>
      </c>
      <c r="O922" s="17" t="s">
        <v>6082</v>
      </c>
      <c r="P922" s="7" t="s">
        <v>6081</v>
      </c>
      <c r="Q922" s="7" t="s">
        <v>3344</v>
      </c>
      <c r="AC922" s="3" t="str">
        <f ca="1">HYPERLINK("#"&amp;재료비목록표!G2&amp;"!A"&amp;ROW(재료비목록표!A325),"자재322 →")</f>
        <v>자재322 →</v>
      </c>
    </row>
    <row r="923" spans="1:29" ht="30.6" customHeight="1" x14ac:dyDescent="0.3">
      <c r="A923" s="10"/>
      <c r="B923" s="10" t="s">
        <v>2922</v>
      </c>
      <c r="C923" s="41" t="s">
        <v>2938</v>
      </c>
      <c r="D923" s="43">
        <v>0</v>
      </c>
      <c r="E923" s="22" t="s">
        <v>1010</v>
      </c>
      <c r="F923" s="45">
        <f t="shared" si="75"/>
        <v>1042000</v>
      </c>
      <c r="G923" s="48">
        <f t="shared" si="76"/>
        <v>0</v>
      </c>
      <c r="H923" s="51">
        <v>0</v>
      </c>
      <c r="I923" s="33">
        <f t="shared" si="77"/>
        <v>0</v>
      </c>
      <c r="J923" s="52">
        <f>재료비목록표!E326</f>
        <v>1042000</v>
      </c>
      <c r="K923" s="13">
        <f t="shared" si="78"/>
        <v>0</v>
      </c>
      <c r="L923" s="55">
        <v>0</v>
      </c>
      <c r="M923" s="33">
        <f t="shared" si="79"/>
        <v>0</v>
      </c>
      <c r="N923" s="22" t="s">
        <v>6086</v>
      </c>
      <c r="O923" s="17" t="s">
        <v>6085</v>
      </c>
      <c r="P923" s="7" t="s">
        <v>6084</v>
      </c>
      <c r="Q923" s="7" t="s">
        <v>3344</v>
      </c>
      <c r="AC923" s="3" t="str">
        <f ca="1">HYPERLINK("#"&amp;재료비목록표!G2&amp;"!A"&amp;ROW(재료비목록표!A326),"자재323 →")</f>
        <v>자재323 →</v>
      </c>
    </row>
    <row r="924" spans="1:29" ht="30.6" customHeight="1" x14ac:dyDescent="0.3">
      <c r="A924" s="10"/>
      <c r="B924" s="10" t="s">
        <v>2922</v>
      </c>
      <c r="C924" s="41" t="s">
        <v>2941</v>
      </c>
      <c r="D924" s="43">
        <v>0</v>
      </c>
      <c r="E924" s="22" t="s">
        <v>1010</v>
      </c>
      <c r="F924" s="45">
        <f t="shared" si="75"/>
        <v>1002000</v>
      </c>
      <c r="G924" s="48">
        <f t="shared" si="76"/>
        <v>0</v>
      </c>
      <c r="H924" s="51">
        <v>0</v>
      </c>
      <c r="I924" s="33">
        <f t="shared" si="77"/>
        <v>0</v>
      </c>
      <c r="J924" s="52">
        <f>재료비목록표!E327</f>
        <v>1002000</v>
      </c>
      <c r="K924" s="13">
        <f t="shared" si="78"/>
        <v>0</v>
      </c>
      <c r="L924" s="55">
        <v>0</v>
      </c>
      <c r="M924" s="33">
        <f t="shared" si="79"/>
        <v>0</v>
      </c>
      <c r="N924" s="22" t="s">
        <v>6089</v>
      </c>
      <c r="O924" s="17" t="s">
        <v>6088</v>
      </c>
      <c r="P924" s="7" t="s">
        <v>6087</v>
      </c>
      <c r="Q924" s="7" t="s">
        <v>3344</v>
      </c>
      <c r="AC924" s="3" t="str">
        <f ca="1">HYPERLINK("#"&amp;재료비목록표!G2&amp;"!A"&amp;ROW(재료비목록표!A327),"자재324 →")</f>
        <v>자재324 →</v>
      </c>
    </row>
    <row r="925" spans="1:29" ht="30.6" customHeight="1" x14ac:dyDescent="0.3">
      <c r="A925" s="10"/>
      <c r="B925" s="10" t="s">
        <v>2922</v>
      </c>
      <c r="C925" s="41" t="s">
        <v>2944</v>
      </c>
      <c r="D925" s="43">
        <v>0</v>
      </c>
      <c r="E925" s="22" t="s">
        <v>1010</v>
      </c>
      <c r="F925" s="45">
        <f t="shared" si="75"/>
        <v>1315000</v>
      </c>
      <c r="G925" s="48">
        <f t="shared" si="76"/>
        <v>0</v>
      </c>
      <c r="H925" s="51">
        <v>0</v>
      </c>
      <c r="I925" s="33">
        <f t="shared" si="77"/>
        <v>0</v>
      </c>
      <c r="J925" s="52">
        <f>재료비목록표!E328</f>
        <v>1315000</v>
      </c>
      <c r="K925" s="13">
        <f t="shared" si="78"/>
        <v>0</v>
      </c>
      <c r="L925" s="55">
        <v>0</v>
      </c>
      <c r="M925" s="33">
        <f t="shared" si="79"/>
        <v>0</v>
      </c>
      <c r="N925" s="22" t="s">
        <v>6092</v>
      </c>
      <c r="O925" s="17" t="s">
        <v>6091</v>
      </c>
      <c r="P925" s="7" t="s">
        <v>6090</v>
      </c>
      <c r="Q925" s="7" t="s">
        <v>3344</v>
      </c>
      <c r="AC925" s="3" t="str">
        <f ca="1">HYPERLINK("#"&amp;재료비목록표!G2&amp;"!A"&amp;ROW(재료비목록표!A328),"자재325 →")</f>
        <v>자재325 →</v>
      </c>
    </row>
    <row r="926" spans="1:29" ht="30.6" customHeight="1" x14ac:dyDescent="0.3">
      <c r="A926" s="10"/>
      <c r="B926" s="10" t="s">
        <v>2922</v>
      </c>
      <c r="C926" s="41" t="s">
        <v>2947</v>
      </c>
      <c r="D926" s="43">
        <v>0</v>
      </c>
      <c r="E926" s="22" t="s">
        <v>1010</v>
      </c>
      <c r="F926" s="45">
        <f t="shared" si="75"/>
        <v>1627000</v>
      </c>
      <c r="G926" s="48">
        <f t="shared" si="76"/>
        <v>0</v>
      </c>
      <c r="H926" s="51">
        <v>0</v>
      </c>
      <c r="I926" s="33">
        <f t="shared" si="77"/>
        <v>0</v>
      </c>
      <c r="J926" s="52">
        <f>재료비목록표!E329</f>
        <v>1627000</v>
      </c>
      <c r="K926" s="13">
        <f t="shared" si="78"/>
        <v>0</v>
      </c>
      <c r="L926" s="55">
        <v>0</v>
      </c>
      <c r="M926" s="33">
        <f t="shared" si="79"/>
        <v>0</v>
      </c>
      <c r="N926" s="22" t="s">
        <v>6095</v>
      </c>
      <c r="O926" s="17" t="s">
        <v>6094</v>
      </c>
      <c r="P926" s="7" t="s">
        <v>6093</v>
      </c>
      <c r="Q926" s="7" t="s">
        <v>3344</v>
      </c>
      <c r="AC926" s="3" t="str">
        <f ca="1">HYPERLINK("#"&amp;재료비목록표!G2&amp;"!A"&amp;ROW(재료비목록표!A329),"자재326 →")</f>
        <v>자재326 →</v>
      </c>
    </row>
    <row r="927" spans="1:29" ht="30.6" customHeight="1" x14ac:dyDescent="0.3">
      <c r="A927" s="10"/>
      <c r="B927" s="10" t="s">
        <v>2922</v>
      </c>
      <c r="C927" s="41" t="s">
        <v>2950</v>
      </c>
      <c r="D927" s="43">
        <v>0</v>
      </c>
      <c r="E927" s="22" t="s">
        <v>1010</v>
      </c>
      <c r="F927" s="45">
        <f t="shared" si="75"/>
        <v>1340000</v>
      </c>
      <c r="G927" s="48">
        <f t="shared" si="76"/>
        <v>0</v>
      </c>
      <c r="H927" s="51">
        <v>0</v>
      </c>
      <c r="I927" s="33">
        <f t="shared" si="77"/>
        <v>0</v>
      </c>
      <c r="J927" s="52">
        <f>재료비목록표!E330</f>
        <v>1340000</v>
      </c>
      <c r="K927" s="13">
        <f t="shared" si="78"/>
        <v>0</v>
      </c>
      <c r="L927" s="55">
        <v>0</v>
      </c>
      <c r="M927" s="33">
        <f t="shared" si="79"/>
        <v>0</v>
      </c>
      <c r="N927" s="22" t="s">
        <v>6098</v>
      </c>
      <c r="O927" s="17" t="s">
        <v>6097</v>
      </c>
      <c r="P927" s="7" t="s">
        <v>6096</v>
      </c>
      <c r="Q927" s="7" t="s">
        <v>3344</v>
      </c>
      <c r="AC927" s="3" t="str">
        <f ca="1">HYPERLINK("#"&amp;재료비목록표!G2&amp;"!A"&amp;ROW(재료비목록표!A330),"자재327 →")</f>
        <v>자재327 →</v>
      </c>
    </row>
    <row r="928" spans="1:29" ht="30.6" customHeight="1" x14ac:dyDescent="0.3">
      <c r="A928" s="10"/>
      <c r="B928" s="10" t="s">
        <v>2922</v>
      </c>
      <c r="C928" s="41" t="s">
        <v>2953</v>
      </c>
      <c r="D928" s="43">
        <v>0</v>
      </c>
      <c r="E928" s="22" t="s">
        <v>1010</v>
      </c>
      <c r="F928" s="45">
        <f t="shared" si="75"/>
        <v>1710000</v>
      </c>
      <c r="G928" s="48">
        <f t="shared" si="76"/>
        <v>0</v>
      </c>
      <c r="H928" s="51">
        <v>0</v>
      </c>
      <c r="I928" s="33">
        <f t="shared" si="77"/>
        <v>0</v>
      </c>
      <c r="J928" s="52">
        <f>재료비목록표!E331</f>
        <v>1710000</v>
      </c>
      <c r="K928" s="13">
        <f t="shared" si="78"/>
        <v>0</v>
      </c>
      <c r="L928" s="55">
        <v>0</v>
      </c>
      <c r="M928" s="33">
        <f t="shared" si="79"/>
        <v>0</v>
      </c>
      <c r="N928" s="22" t="s">
        <v>6101</v>
      </c>
      <c r="O928" s="17" t="s">
        <v>6100</v>
      </c>
      <c r="P928" s="7" t="s">
        <v>6099</v>
      </c>
      <c r="Q928" s="7" t="s">
        <v>3344</v>
      </c>
      <c r="AC928" s="3" t="str">
        <f ca="1">HYPERLINK("#"&amp;재료비목록표!G2&amp;"!A"&amp;ROW(재료비목록표!A331),"자재328 →")</f>
        <v>자재328 →</v>
      </c>
    </row>
    <row r="929" spans="1:29" ht="30.6" customHeight="1" x14ac:dyDescent="0.3">
      <c r="A929" s="10"/>
      <c r="B929" s="10" t="s">
        <v>2922</v>
      </c>
      <c r="C929" s="41" t="s">
        <v>2956</v>
      </c>
      <c r="D929" s="43">
        <v>0</v>
      </c>
      <c r="E929" s="22" t="s">
        <v>1010</v>
      </c>
      <c r="F929" s="45">
        <f t="shared" si="75"/>
        <v>2078000</v>
      </c>
      <c r="G929" s="48">
        <f t="shared" si="76"/>
        <v>0</v>
      </c>
      <c r="H929" s="51">
        <v>0</v>
      </c>
      <c r="I929" s="33">
        <f t="shared" si="77"/>
        <v>0</v>
      </c>
      <c r="J929" s="52">
        <f>재료비목록표!E332</f>
        <v>2078000</v>
      </c>
      <c r="K929" s="13">
        <f t="shared" si="78"/>
        <v>0</v>
      </c>
      <c r="L929" s="55">
        <v>0</v>
      </c>
      <c r="M929" s="33">
        <f t="shared" si="79"/>
        <v>0</v>
      </c>
      <c r="N929" s="22" t="s">
        <v>6104</v>
      </c>
      <c r="O929" s="17" t="s">
        <v>6103</v>
      </c>
      <c r="P929" s="7" t="s">
        <v>6102</v>
      </c>
      <c r="Q929" s="7" t="s">
        <v>3344</v>
      </c>
      <c r="AC929" s="3" t="str">
        <f ca="1">HYPERLINK("#"&amp;재료비목록표!G2&amp;"!A"&amp;ROW(재료비목록표!A332),"자재329 →")</f>
        <v>자재329 →</v>
      </c>
    </row>
    <row r="930" spans="1:29" ht="30.6" customHeight="1" x14ac:dyDescent="0.3">
      <c r="A930" s="10"/>
      <c r="B930" s="10" t="s">
        <v>2922</v>
      </c>
      <c r="C930" s="41" t="s">
        <v>2959</v>
      </c>
      <c r="D930" s="43">
        <v>0</v>
      </c>
      <c r="E930" s="22" t="s">
        <v>1010</v>
      </c>
      <c r="F930" s="45">
        <f t="shared" si="75"/>
        <v>1678000</v>
      </c>
      <c r="G930" s="48">
        <f t="shared" si="76"/>
        <v>0</v>
      </c>
      <c r="H930" s="51">
        <v>0</v>
      </c>
      <c r="I930" s="33">
        <f t="shared" si="77"/>
        <v>0</v>
      </c>
      <c r="J930" s="52">
        <f>재료비목록표!E333</f>
        <v>1678000</v>
      </c>
      <c r="K930" s="13">
        <f t="shared" si="78"/>
        <v>0</v>
      </c>
      <c r="L930" s="55">
        <v>0</v>
      </c>
      <c r="M930" s="33">
        <f t="shared" si="79"/>
        <v>0</v>
      </c>
      <c r="N930" s="22" t="s">
        <v>6107</v>
      </c>
      <c r="O930" s="17" t="s">
        <v>6106</v>
      </c>
      <c r="P930" s="7" t="s">
        <v>6105</v>
      </c>
      <c r="Q930" s="7" t="s">
        <v>3344</v>
      </c>
      <c r="AC930" s="3" t="str">
        <f ca="1">HYPERLINK("#"&amp;재료비목록표!G2&amp;"!A"&amp;ROW(재료비목록표!A333),"자재330 →")</f>
        <v>자재330 →</v>
      </c>
    </row>
    <row r="931" spans="1:29" ht="30.6" customHeight="1" x14ac:dyDescent="0.3">
      <c r="A931" s="10"/>
      <c r="B931" s="10" t="s">
        <v>2922</v>
      </c>
      <c r="C931" s="41" t="s">
        <v>2962</v>
      </c>
      <c r="D931" s="43">
        <v>0</v>
      </c>
      <c r="E931" s="22" t="s">
        <v>1010</v>
      </c>
      <c r="F931" s="45">
        <f t="shared" si="75"/>
        <v>2122000</v>
      </c>
      <c r="G931" s="48">
        <f t="shared" si="76"/>
        <v>0</v>
      </c>
      <c r="H931" s="51">
        <v>0</v>
      </c>
      <c r="I931" s="33">
        <f t="shared" si="77"/>
        <v>0</v>
      </c>
      <c r="J931" s="52">
        <f>재료비목록표!E334</f>
        <v>2122000</v>
      </c>
      <c r="K931" s="13">
        <f t="shared" si="78"/>
        <v>0</v>
      </c>
      <c r="L931" s="55">
        <v>0</v>
      </c>
      <c r="M931" s="33">
        <f t="shared" si="79"/>
        <v>0</v>
      </c>
      <c r="N931" s="22" t="s">
        <v>6110</v>
      </c>
      <c r="O931" s="17" t="s">
        <v>6109</v>
      </c>
      <c r="P931" s="7" t="s">
        <v>6108</v>
      </c>
      <c r="Q931" s="7" t="s">
        <v>3344</v>
      </c>
      <c r="AC931" s="3" t="str">
        <f ca="1">HYPERLINK("#"&amp;재료비목록표!G2&amp;"!A"&amp;ROW(재료비목록표!A334),"자재331 →")</f>
        <v>자재331 →</v>
      </c>
    </row>
    <row r="932" spans="1:29" ht="30.6" customHeight="1" x14ac:dyDescent="0.3">
      <c r="A932" s="10"/>
      <c r="B932" s="10" t="s">
        <v>2922</v>
      </c>
      <c r="C932" s="41" t="s">
        <v>2965</v>
      </c>
      <c r="D932" s="43">
        <v>0</v>
      </c>
      <c r="E932" s="22" t="s">
        <v>1010</v>
      </c>
      <c r="F932" s="45">
        <f t="shared" si="75"/>
        <v>2565000</v>
      </c>
      <c r="G932" s="48">
        <f t="shared" si="76"/>
        <v>0</v>
      </c>
      <c r="H932" s="51">
        <v>0</v>
      </c>
      <c r="I932" s="33">
        <f t="shared" si="77"/>
        <v>0</v>
      </c>
      <c r="J932" s="52">
        <f>재료비목록표!E335</f>
        <v>2565000</v>
      </c>
      <c r="K932" s="13">
        <f t="shared" si="78"/>
        <v>0</v>
      </c>
      <c r="L932" s="55">
        <v>0</v>
      </c>
      <c r="M932" s="33">
        <f t="shared" si="79"/>
        <v>0</v>
      </c>
      <c r="N932" s="22" t="s">
        <v>6113</v>
      </c>
      <c r="O932" s="17" t="s">
        <v>6112</v>
      </c>
      <c r="P932" s="7" t="s">
        <v>6111</v>
      </c>
      <c r="Q932" s="7" t="s">
        <v>3344</v>
      </c>
      <c r="AC932" s="3" t="str">
        <f ca="1">HYPERLINK("#"&amp;재료비목록표!G2&amp;"!A"&amp;ROW(재료비목록표!A335),"자재332 →")</f>
        <v>자재332 →</v>
      </c>
    </row>
    <row r="933" spans="1:29" ht="30.6" customHeight="1" x14ac:dyDescent="0.3">
      <c r="A933" s="10"/>
      <c r="B933" s="10" t="s">
        <v>2716</v>
      </c>
      <c r="C933" s="41" t="s">
        <v>2449</v>
      </c>
      <c r="D933" s="43">
        <v>0</v>
      </c>
      <c r="E933" s="22" t="s">
        <v>1010</v>
      </c>
      <c r="F933" s="45">
        <f t="shared" si="75"/>
        <v>11590</v>
      </c>
      <c r="G933" s="48">
        <f t="shared" si="76"/>
        <v>0</v>
      </c>
      <c r="H933" s="51">
        <v>0</v>
      </c>
      <c r="I933" s="33">
        <f t="shared" si="77"/>
        <v>0</v>
      </c>
      <c r="J933" s="52">
        <f>재료비목록표!E244</f>
        <v>11590</v>
      </c>
      <c r="K933" s="13">
        <f t="shared" si="78"/>
        <v>0</v>
      </c>
      <c r="L933" s="55">
        <v>0</v>
      </c>
      <c r="M933" s="33">
        <f t="shared" si="79"/>
        <v>0</v>
      </c>
      <c r="N933" s="22" t="s">
        <v>6116</v>
      </c>
      <c r="O933" s="17" t="s">
        <v>6115</v>
      </c>
      <c r="P933" s="7" t="s">
        <v>6114</v>
      </c>
      <c r="Q933" s="7" t="s">
        <v>3344</v>
      </c>
      <c r="AC933" s="3" t="str">
        <f ca="1">HYPERLINK("#"&amp;재료비목록표!G2&amp;"!A"&amp;ROW(재료비목록표!A244),"자재241 →")</f>
        <v>자재241 →</v>
      </c>
    </row>
    <row r="934" spans="1:29" ht="30.6" customHeight="1" x14ac:dyDescent="0.3">
      <c r="A934" s="10"/>
      <c r="B934" s="10" t="s">
        <v>2716</v>
      </c>
      <c r="C934" s="41" t="s">
        <v>2452</v>
      </c>
      <c r="D934" s="43">
        <v>0</v>
      </c>
      <c r="E934" s="22" t="s">
        <v>1010</v>
      </c>
      <c r="F934" s="45">
        <f t="shared" si="75"/>
        <v>19570</v>
      </c>
      <c r="G934" s="48">
        <f t="shared" si="76"/>
        <v>0</v>
      </c>
      <c r="H934" s="51">
        <v>0</v>
      </c>
      <c r="I934" s="33">
        <f t="shared" si="77"/>
        <v>0</v>
      </c>
      <c r="J934" s="52">
        <f>재료비목록표!E245</f>
        <v>19570</v>
      </c>
      <c r="K934" s="13">
        <f t="shared" si="78"/>
        <v>0</v>
      </c>
      <c r="L934" s="55">
        <v>0</v>
      </c>
      <c r="M934" s="33">
        <f t="shared" si="79"/>
        <v>0</v>
      </c>
      <c r="N934" s="22" t="s">
        <v>6119</v>
      </c>
      <c r="O934" s="17" t="s">
        <v>6118</v>
      </c>
      <c r="P934" s="7" t="s">
        <v>6117</v>
      </c>
      <c r="Q934" s="7" t="s">
        <v>3344</v>
      </c>
      <c r="AC934" s="3" t="str">
        <f ca="1">HYPERLINK("#"&amp;재료비목록표!G2&amp;"!A"&amp;ROW(재료비목록표!A245),"자재242 →")</f>
        <v>자재242 →</v>
      </c>
    </row>
    <row r="935" spans="1:29" ht="30.6" customHeight="1" x14ac:dyDescent="0.3">
      <c r="A935" s="10"/>
      <c r="B935" s="10" t="s">
        <v>2716</v>
      </c>
      <c r="C935" s="41" t="s">
        <v>2455</v>
      </c>
      <c r="D935" s="43">
        <v>0</v>
      </c>
      <c r="E935" s="22" t="s">
        <v>1010</v>
      </c>
      <c r="F935" s="45">
        <f t="shared" si="75"/>
        <v>32260</v>
      </c>
      <c r="G935" s="48">
        <f t="shared" si="76"/>
        <v>0</v>
      </c>
      <c r="H935" s="51">
        <v>0</v>
      </c>
      <c r="I935" s="33">
        <f t="shared" si="77"/>
        <v>0</v>
      </c>
      <c r="J935" s="52">
        <f>재료비목록표!E246</f>
        <v>32260</v>
      </c>
      <c r="K935" s="13">
        <f t="shared" si="78"/>
        <v>0</v>
      </c>
      <c r="L935" s="55">
        <v>0</v>
      </c>
      <c r="M935" s="33">
        <f t="shared" si="79"/>
        <v>0</v>
      </c>
      <c r="N935" s="22" t="s">
        <v>6122</v>
      </c>
      <c r="O935" s="17" t="s">
        <v>6121</v>
      </c>
      <c r="P935" s="7" t="s">
        <v>6120</v>
      </c>
      <c r="Q935" s="7" t="s">
        <v>3344</v>
      </c>
      <c r="AC935" s="3" t="str">
        <f ca="1">HYPERLINK("#"&amp;재료비목록표!G2&amp;"!A"&amp;ROW(재료비목록표!A246),"자재243 →")</f>
        <v>자재243 →</v>
      </c>
    </row>
    <row r="936" spans="1:29" ht="30.6" customHeight="1" x14ac:dyDescent="0.3">
      <c r="A936" s="10"/>
      <c r="B936" s="10" t="s">
        <v>2716</v>
      </c>
      <c r="C936" s="41" t="s">
        <v>2458</v>
      </c>
      <c r="D936" s="43">
        <v>0</v>
      </c>
      <c r="E936" s="22" t="s">
        <v>1010</v>
      </c>
      <c r="F936" s="45">
        <f t="shared" si="75"/>
        <v>41450</v>
      </c>
      <c r="G936" s="48">
        <f t="shared" si="76"/>
        <v>0</v>
      </c>
      <c r="H936" s="51">
        <v>0</v>
      </c>
      <c r="I936" s="33">
        <f t="shared" si="77"/>
        <v>0</v>
      </c>
      <c r="J936" s="52">
        <f>재료비목록표!E247</f>
        <v>41450</v>
      </c>
      <c r="K936" s="13">
        <f t="shared" si="78"/>
        <v>0</v>
      </c>
      <c r="L936" s="55">
        <v>0</v>
      </c>
      <c r="M936" s="33">
        <f t="shared" si="79"/>
        <v>0</v>
      </c>
      <c r="N936" s="22" t="s">
        <v>6125</v>
      </c>
      <c r="O936" s="17" t="s">
        <v>6124</v>
      </c>
      <c r="P936" s="7" t="s">
        <v>6123</v>
      </c>
      <c r="Q936" s="7" t="s">
        <v>3344</v>
      </c>
      <c r="AC936" s="3" t="str">
        <f ca="1">HYPERLINK("#"&amp;재료비목록표!G2&amp;"!A"&amp;ROW(재료비목록표!A247),"자재244 →")</f>
        <v>자재244 →</v>
      </c>
    </row>
    <row r="937" spans="1:29" ht="30.6" customHeight="1" x14ac:dyDescent="0.3">
      <c r="A937" s="10"/>
      <c r="B937" s="10" t="s">
        <v>2448</v>
      </c>
      <c r="C937" s="41" t="s">
        <v>2449</v>
      </c>
      <c r="D937" s="43">
        <v>0</v>
      </c>
      <c r="E937" s="22" t="s">
        <v>1010</v>
      </c>
      <c r="F937" s="45">
        <f t="shared" si="75"/>
        <v>10630</v>
      </c>
      <c r="G937" s="48">
        <f t="shared" si="76"/>
        <v>0</v>
      </c>
      <c r="H937" s="51">
        <v>0</v>
      </c>
      <c r="I937" s="33">
        <f t="shared" si="77"/>
        <v>0</v>
      </c>
      <c r="J937" s="52">
        <f>재료비목록표!E138</f>
        <v>10630</v>
      </c>
      <c r="K937" s="13">
        <f t="shared" si="78"/>
        <v>0</v>
      </c>
      <c r="L937" s="55">
        <v>0</v>
      </c>
      <c r="M937" s="33">
        <f t="shared" si="79"/>
        <v>0</v>
      </c>
      <c r="N937" s="22" t="s">
        <v>6128</v>
      </c>
      <c r="O937" s="17" t="s">
        <v>6127</v>
      </c>
      <c r="P937" s="7" t="s">
        <v>6126</v>
      </c>
      <c r="Q937" s="7" t="s">
        <v>3344</v>
      </c>
      <c r="AC937" s="3" t="str">
        <f ca="1">HYPERLINK("#"&amp;재료비목록표!G2&amp;"!A"&amp;ROW(재료비목록표!A138),"자재135 →")</f>
        <v>자재135 →</v>
      </c>
    </row>
    <row r="938" spans="1:29" ht="30.6" customHeight="1" x14ac:dyDescent="0.3">
      <c r="A938" s="10"/>
      <c r="B938" s="10" t="s">
        <v>2448</v>
      </c>
      <c r="C938" s="41" t="s">
        <v>2452</v>
      </c>
      <c r="D938" s="43">
        <v>0</v>
      </c>
      <c r="E938" s="22" t="s">
        <v>1010</v>
      </c>
      <c r="F938" s="45">
        <f t="shared" si="75"/>
        <v>17200</v>
      </c>
      <c r="G938" s="48">
        <f t="shared" si="76"/>
        <v>0</v>
      </c>
      <c r="H938" s="51">
        <v>0</v>
      </c>
      <c r="I938" s="33">
        <f t="shared" si="77"/>
        <v>0</v>
      </c>
      <c r="J938" s="52">
        <f>재료비목록표!E139</f>
        <v>17200</v>
      </c>
      <c r="K938" s="13">
        <f t="shared" si="78"/>
        <v>0</v>
      </c>
      <c r="L938" s="55">
        <v>0</v>
      </c>
      <c r="M938" s="33">
        <f t="shared" si="79"/>
        <v>0</v>
      </c>
      <c r="N938" s="22" t="s">
        <v>6131</v>
      </c>
      <c r="O938" s="17" t="s">
        <v>6130</v>
      </c>
      <c r="P938" s="7" t="s">
        <v>6129</v>
      </c>
      <c r="Q938" s="7" t="s">
        <v>3344</v>
      </c>
      <c r="AC938" s="3" t="str">
        <f ca="1">HYPERLINK("#"&amp;재료비목록표!G2&amp;"!A"&amp;ROW(재료비목록표!A139),"자재136 →")</f>
        <v>자재136 →</v>
      </c>
    </row>
    <row r="939" spans="1:29" ht="30.6" customHeight="1" x14ac:dyDescent="0.3">
      <c r="A939" s="10"/>
      <c r="B939" s="10" t="s">
        <v>2448</v>
      </c>
      <c r="C939" s="41" t="s">
        <v>2455</v>
      </c>
      <c r="D939" s="43">
        <v>0</v>
      </c>
      <c r="E939" s="22" t="s">
        <v>1010</v>
      </c>
      <c r="F939" s="45">
        <f t="shared" si="75"/>
        <v>26170</v>
      </c>
      <c r="G939" s="48">
        <f t="shared" si="76"/>
        <v>0</v>
      </c>
      <c r="H939" s="51">
        <v>0</v>
      </c>
      <c r="I939" s="33">
        <f t="shared" si="77"/>
        <v>0</v>
      </c>
      <c r="J939" s="52">
        <f>재료비목록표!E140</f>
        <v>26170</v>
      </c>
      <c r="K939" s="13">
        <f t="shared" si="78"/>
        <v>0</v>
      </c>
      <c r="L939" s="55">
        <v>0</v>
      </c>
      <c r="M939" s="33">
        <f t="shared" si="79"/>
        <v>0</v>
      </c>
      <c r="N939" s="22" t="s">
        <v>6134</v>
      </c>
      <c r="O939" s="17" t="s">
        <v>6133</v>
      </c>
      <c r="P939" s="7" t="s">
        <v>6132</v>
      </c>
      <c r="Q939" s="7" t="s">
        <v>3344</v>
      </c>
      <c r="AC939" s="3" t="str">
        <f ca="1">HYPERLINK("#"&amp;재료비목록표!G2&amp;"!A"&amp;ROW(재료비목록표!A140),"자재137 →")</f>
        <v>자재137 →</v>
      </c>
    </row>
    <row r="940" spans="1:29" ht="30.6" customHeight="1" x14ac:dyDescent="0.3">
      <c r="A940" s="10"/>
      <c r="B940" s="10" t="s">
        <v>2448</v>
      </c>
      <c r="C940" s="41" t="s">
        <v>2458</v>
      </c>
      <c r="D940" s="43">
        <v>0</v>
      </c>
      <c r="E940" s="22" t="s">
        <v>1010</v>
      </c>
      <c r="F940" s="45">
        <f t="shared" si="75"/>
        <v>32730</v>
      </c>
      <c r="G940" s="48">
        <f t="shared" si="76"/>
        <v>0</v>
      </c>
      <c r="H940" s="51">
        <v>0</v>
      </c>
      <c r="I940" s="33">
        <f t="shared" si="77"/>
        <v>0</v>
      </c>
      <c r="J940" s="52">
        <f>재료비목록표!E141</f>
        <v>32730</v>
      </c>
      <c r="K940" s="13">
        <f t="shared" si="78"/>
        <v>0</v>
      </c>
      <c r="L940" s="55">
        <v>0</v>
      </c>
      <c r="M940" s="33">
        <f t="shared" si="79"/>
        <v>0</v>
      </c>
      <c r="N940" s="22" t="s">
        <v>6137</v>
      </c>
      <c r="O940" s="17" t="s">
        <v>6136</v>
      </c>
      <c r="P940" s="7" t="s">
        <v>6135</v>
      </c>
      <c r="Q940" s="7" t="s">
        <v>3344</v>
      </c>
      <c r="AC940" s="3" t="str">
        <f ca="1">HYPERLINK("#"&amp;재료비목록표!G2&amp;"!A"&amp;ROW(재료비목록표!A141),"자재138 →")</f>
        <v>자재138 →</v>
      </c>
    </row>
    <row r="941" spans="1:29" ht="30.6" customHeight="1" x14ac:dyDescent="0.3">
      <c r="A941" s="10"/>
      <c r="B941" s="10" t="s">
        <v>2703</v>
      </c>
      <c r="C941" s="41" t="s">
        <v>2449</v>
      </c>
      <c r="D941" s="43">
        <v>0</v>
      </c>
      <c r="E941" s="22" t="s">
        <v>1010</v>
      </c>
      <c r="F941" s="45">
        <f t="shared" si="75"/>
        <v>14100</v>
      </c>
      <c r="G941" s="48">
        <f t="shared" si="76"/>
        <v>0</v>
      </c>
      <c r="H941" s="51">
        <v>0</v>
      </c>
      <c r="I941" s="33">
        <f t="shared" si="77"/>
        <v>0</v>
      </c>
      <c r="J941" s="52">
        <f>재료비목록표!E239</f>
        <v>14100</v>
      </c>
      <c r="K941" s="13">
        <f t="shared" si="78"/>
        <v>0</v>
      </c>
      <c r="L941" s="55">
        <v>0</v>
      </c>
      <c r="M941" s="33">
        <f t="shared" si="79"/>
        <v>0</v>
      </c>
      <c r="N941" s="22" t="s">
        <v>6140</v>
      </c>
      <c r="O941" s="17" t="s">
        <v>6139</v>
      </c>
      <c r="P941" s="7" t="s">
        <v>6138</v>
      </c>
      <c r="Q941" s="7" t="s">
        <v>3344</v>
      </c>
      <c r="AC941" s="3" t="str">
        <f ca="1">HYPERLINK("#"&amp;재료비목록표!G2&amp;"!A"&amp;ROW(재료비목록표!A239),"자재236 →")</f>
        <v>자재236 →</v>
      </c>
    </row>
    <row r="942" spans="1:29" ht="30.6" customHeight="1" x14ac:dyDescent="0.3">
      <c r="A942" s="10"/>
      <c r="B942" s="10" t="s">
        <v>2703</v>
      </c>
      <c r="C942" s="41" t="s">
        <v>2452</v>
      </c>
      <c r="D942" s="43">
        <v>0</v>
      </c>
      <c r="E942" s="22" t="s">
        <v>1010</v>
      </c>
      <c r="F942" s="45">
        <f t="shared" si="75"/>
        <v>20660</v>
      </c>
      <c r="G942" s="48">
        <f t="shared" si="76"/>
        <v>0</v>
      </c>
      <c r="H942" s="51">
        <v>0</v>
      </c>
      <c r="I942" s="33">
        <f t="shared" si="77"/>
        <v>0</v>
      </c>
      <c r="J942" s="52">
        <f>재료비목록표!E240</f>
        <v>20660</v>
      </c>
      <c r="K942" s="13">
        <f t="shared" si="78"/>
        <v>0</v>
      </c>
      <c r="L942" s="55">
        <v>0</v>
      </c>
      <c r="M942" s="33">
        <f t="shared" si="79"/>
        <v>0</v>
      </c>
      <c r="N942" s="22" t="s">
        <v>6143</v>
      </c>
      <c r="O942" s="17" t="s">
        <v>6142</v>
      </c>
      <c r="P942" s="7" t="s">
        <v>6141</v>
      </c>
      <c r="Q942" s="7" t="s">
        <v>3344</v>
      </c>
      <c r="AC942" s="3" t="str">
        <f ca="1">HYPERLINK("#"&amp;재료비목록표!G2&amp;"!A"&amp;ROW(재료비목록표!A240),"자재237 →")</f>
        <v>자재237 →</v>
      </c>
    </row>
    <row r="943" spans="1:29" ht="30.6" customHeight="1" x14ac:dyDescent="0.3">
      <c r="A943" s="10"/>
      <c r="B943" s="10" t="s">
        <v>2703</v>
      </c>
      <c r="C943" s="41" t="s">
        <v>2455</v>
      </c>
      <c r="D943" s="43">
        <v>0</v>
      </c>
      <c r="E943" s="22" t="s">
        <v>1010</v>
      </c>
      <c r="F943" s="45">
        <f t="shared" si="75"/>
        <v>29900</v>
      </c>
      <c r="G943" s="48">
        <f t="shared" si="76"/>
        <v>0</v>
      </c>
      <c r="H943" s="51">
        <v>0</v>
      </c>
      <c r="I943" s="33">
        <f t="shared" si="77"/>
        <v>0</v>
      </c>
      <c r="J943" s="52">
        <f>재료비목록표!E241</f>
        <v>29900</v>
      </c>
      <c r="K943" s="13">
        <f t="shared" si="78"/>
        <v>0</v>
      </c>
      <c r="L943" s="55">
        <v>0</v>
      </c>
      <c r="M943" s="33">
        <f t="shared" si="79"/>
        <v>0</v>
      </c>
      <c r="N943" s="22" t="s">
        <v>6146</v>
      </c>
      <c r="O943" s="17" t="s">
        <v>6145</v>
      </c>
      <c r="P943" s="7" t="s">
        <v>6144</v>
      </c>
      <c r="Q943" s="7" t="s">
        <v>3344</v>
      </c>
      <c r="AC943" s="3" t="str">
        <f ca="1">HYPERLINK("#"&amp;재료비목록표!G2&amp;"!A"&amp;ROW(재료비목록표!A241),"자재238 →")</f>
        <v>자재238 →</v>
      </c>
    </row>
    <row r="944" spans="1:29" ht="30.6" customHeight="1" x14ac:dyDescent="0.3">
      <c r="A944" s="10"/>
      <c r="B944" s="10" t="s">
        <v>2703</v>
      </c>
      <c r="C944" s="41" t="s">
        <v>2458</v>
      </c>
      <c r="D944" s="43">
        <v>0</v>
      </c>
      <c r="E944" s="22" t="s">
        <v>1010</v>
      </c>
      <c r="F944" s="45">
        <f t="shared" si="75"/>
        <v>39490</v>
      </c>
      <c r="G944" s="48">
        <f t="shared" si="76"/>
        <v>0</v>
      </c>
      <c r="H944" s="51">
        <v>0</v>
      </c>
      <c r="I944" s="33">
        <f t="shared" si="77"/>
        <v>0</v>
      </c>
      <c r="J944" s="52">
        <f>재료비목록표!E242</f>
        <v>39490</v>
      </c>
      <c r="K944" s="13">
        <f t="shared" si="78"/>
        <v>0</v>
      </c>
      <c r="L944" s="55">
        <v>0</v>
      </c>
      <c r="M944" s="33">
        <f t="shared" si="79"/>
        <v>0</v>
      </c>
      <c r="N944" s="22" t="s">
        <v>6149</v>
      </c>
      <c r="O944" s="17" t="s">
        <v>6148</v>
      </c>
      <c r="P944" s="7" t="s">
        <v>6147</v>
      </c>
      <c r="Q944" s="7" t="s">
        <v>3344</v>
      </c>
      <c r="AC944" s="3" t="str">
        <f ca="1">HYPERLINK("#"&amp;재료비목록표!G2&amp;"!A"&amp;ROW(재료비목록표!A242),"자재239 →")</f>
        <v>자재239 →</v>
      </c>
    </row>
    <row r="945" spans="1:29" ht="30.6" customHeight="1" x14ac:dyDescent="0.3">
      <c r="A945" s="10"/>
      <c r="B945" s="10" t="s">
        <v>2393</v>
      </c>
      <c r="C945" s="41" t="s">
        <v>2394</v>
      </c>
      <c r="D945" s="43">
        <v>0</v>
      </c>
      <c r="E945" s="22" t="s">
        <v>1010</v>
      </c>
      <c r="F945" s="45">
        <f t="shared" si="75"/>
        <v>20000</v>
      </c>
      <c r="G945" s="48">
        <f t="shared" si="76"/>
        <v>0</v>
      </c>
      <c r="H945" s="51">
        <v>0</v>
      </c>
      <c r="I945" s="33">
        <f t="shared" si="77"/>
        <v>0</v>
      </c>
      <c r="J945" s="52">
        <f>재료비목록표!E120</f>
        <v>20000</v>
      </c>
      <c r="K945" s="13">
        <f t="shared" si="78"/>
        <v>0</v>
      </c>
      <c r="L945" s="55">
        <v>0</v>
      </c>
      <c r="M945" s="33">
        <f t="shared" si="79"/>
        <v>0</v>
      </c>
      <c r="N945" s="22" t="s">
        <v>6152</v>
      </c>
      <c r="O945" s="17" t="s">
        <v>6151</v>
      </c>
      <c r="P945" s="7" t="s">
        <v>6150</v>
      </c>
      <c r="Q945" s="7" t="s">
        <v>3344</v>
      </c>
      <c r="AC945" s="3" t="str">
        <f ca="1">HYPERLINK("#"&amp;재료비목록표!G2&amp;"!A"&amp;ROW(재료비목록표!A120),"자재117 →")</f>
        <v>자재117 →</v>
      </c>
    </row>
    <row r="946" spans="1:29" ht="30.6" customHeight="1" x14ac:dyDescent="0.3">
      <c r="A946" s="10"/>
      <c r="B946" s="10" t="s">
        <v>2393</v>
      </c>
      <c r="C946" s="41" t="s">
        <v>2397</v>
      </c>
      <c r="D946" s="43">
        <v>0</v>
      </c>
      <c r="E946" s="22" t="s">
        <v>1010</v>
      </c>
      <c r="F946" s="45">
        <f t="shared" si="75"/>
        <v>23000</v>
      </c>
      <c r="G946" s="48">
        <f t="shared" si="76"/>
        <v>0</v>
      </c>
      <c r="H946" s="51">
        <v>0</v>
      </c>
      <c r="I946" s="33">
        <f t="shared" si="77"/>
        <v>0</v>
      </c>
      <c r="J946" s="52">
        <f>재료비목록표!E121</f>
        <v>23000</v>
      </c>
      <c r="K946" s="13">
        <f t="shared" si="78"/>
        <v>0</v>
      </c>
      <c r="L946" s="55">
        <v>0</v>
      </c>
      <c r="M946" s="33">
        <f t="shared" si="79"/>
        <v>0</v>
      </c>
      <c r="N946" s="22" t="s">
        <v>6155</v>
      </c>
      <c r="O946" s="17" t="s">
        <v>6154</v>
      </c>
      <c r="P946" s="7" t="s">
        <v>6153</v>
      </c>
      <c r="Q946" s="7" t="s">
        <v>3344</v>
      </c>
      <c r="AC946" s="3" t="str">
        <f ca="1">HYPERLINK("#"&amp;재료비목록표!G2&amp;"!A"&amp;ROW(재료비목록표!A121),"자재118 →")</f>
        <v>자재118 →</v>
      </c>
    </row>
    <row r="947" spans="1:29" ht="30.6" customHeight="1" x14ac:dyDescent="0.3">
      <c r="A947" s="10"/>
      <c r="B947" s="10" t="s">
        <v>2393</v>
      </c>
      <c r="C947" s="41" t="s">
        <v>2400</v>
      </c>
      <c r="D947" s="43">
        <v>0</v>
      </c>
      <c r="E947" s="22" t="s">
        <v>1010</v>
      </c>
      <c r="F947" s="45">
        <f t="shared" si="75"/>
        <v>40000</v>
      </c>
      <c r="G947" s="48">
        <f t="shared" si="76"/>
        <v>0</v>
      </c>
      <c r="H947" s="51">
        <v>0</v>
      </c>
      <c r="I947" s="33">
        <f t="shared" si="77"/>
        <v>0</v>
      </c>
      <c r="J947" s="52">
        <f>재료비목록표!E122</f>
        <v>40000</v>
      </c>
      <c r="K947" s="13">
        <f t="shared" si="78"/>
        <v>0</v>
      </c>
      <c r="L947" s="55">
        <v>0</v>
      </c>
      <c r="M947" s="33">
        <f t="shared" si="79"/>
        <v>0</v>
      </c>
      <c r="N947" s="22" t="s">
        <v>6158</v>
      </c>
      <c r="O947" s="17" t="s">
        <v>6157</v>
      </c>
      <c r="P947" s="7" t="s">
        <v>6156</v>
      </c>
      <c r="Q947" s="7" t="s">
        <v>3344</v>
      </c>
      <c r="AC947" s="3" t="str">
        <f ca="1">HYPERLINK("#"&amp;재료비목록표!G2&amp;"!A"&amp;ROW(재료비목록표!A122),"자재119 →")</f>
        <v>자재119 →</v>
      </c>
    </row>
    <row r="948" spans="1:29" ht="30.6" customHeight="1" x14ac:dyDescent="0.3">
      <c r="A948" s="10"/>
      <c r="B948" s="10" t="s">
        <v>2393</v>
      </c>
      <c r="C948" s="41" t="s">
        <v>2403</v>
      </c>
      <c r="D948" s="43">
        <v>0</v>
      </c>
      <c r="E948" s="22" t="s">
        <v>1010</v>
      </c>
      <c r="F948" s="45">
        <f t="shared" si="75"/>
        <v>48000</v>
      </c>
      <c r="G948" s="48">
        <f t="shared" si="76"/>
        <v>0</v>
      </c>
      <c r="H948" s="51">
        <v>0</v>
      </c>
      <c r="I948" s="33">
        <f t="shared" si="77"/>
        <v>0</v>
      </c>
      <c r="J948" s="52">
        <f>재료비목록표!E123</f>
        <v>48000</v>
      </c>
      <c r="K948" s="13">
        <f t="shared" si="78"/>
        <v>0</v>
      </c>
      <c r="L948" s="55">
        <v>0</v>
      </c>
      <c r="M948" s="33">
        <f t="shared" si="79"/>
        <v>0</v>
      </c>
      <c r="N948" s="22" t="s">
        <v>6161</v>
      </c>
      <c r="O948" s="17" t="s">
        <v>6160</v>
      </c>
      <c r="P948" s="7" t="s">
        <v>6159</v>
      </c>
      <c r="Q948" s="7" t="s">
        <v>3344</v>
      </c>
      <c r="AC948" s="3" t="str">
        <f ca="1">HYPERLINK("#"&amp;재료비목록표!G2&amp;"!A"&amp;ROW(재료비목록표!A123),"자재120 →")</f>
        <v>자재120 →</v>
      </c>
    </row>
    <row r="949" spans="1:29" ht="30.6" customHeight="1" x14ac:dyDescent="0.3">
      <c r="A949" s="10"/>
      <c r="B949" s="10" t="s">
        <v>2393</v>
      </c>
      <c r="C949" s="41" t="s">
        <v>2406</v>
      </c>
      <c r="D949" s="43">
        <v>0</v>
      </c>
      <c r="E949" s="22" t="s">
        <v>1010</v>
      </c>
      <c r="F949" s="45">
        <f t="shared" si="75"/>
        <v>65000</v>
      </c>
      <c r="G949" s="48">
        <f t="shared" si="76"/>
        <v>0</v>
      </c>
      <c r="H949" s="51">
        <v>0</v>
      </c>
      <c r="I949" s="33">
        <f t="shared" si="77"/>
        <v>0</v>
      </c>
      <c r="J949" s="52">
        <f>재료비목록표!E124</f>
        <v>65000</v>
      </c>
      <c r="K949" s="13">
        <f t="shared" si="78"/>
        <v>0</v>
      </c>
      <c r="L949" s="55">
        <v>0</v>
      </c>
      <c r="M949" s="33">
        <f t="shared" si="79"/>
        <v>0</v>
      </c>
      <c r="N949" s="22" t="s">
        <v>6164</v>
      </c>
      <c r="O949" s="17" t="s">
        <v>6163</v>
      </c>
      <c r="P949" s="7" t="s">
        <v>6162</v>
      </c>
      <c r="Q949" s="7" t="s">
        <v>3344</v>
      </c>
      <c r="AC949" s="3" t="str">
        <f ca="1">HYPERLINK("#"&amp;재료비목록표!G2&amp;"!A"&amp;ROW(재료비목록표!A124),"자재121 →")</f>
        <v>자재121 →</v>
      </c>
    </row>
    <row r="950" spans="1:29" ht="30.6" customHeight="1" x14ac:dyDescent="0.3">
      <c r="A950" s="10"/>
      <c r="B950" s="10" t="s">
        <v>2978</v>
      </c>
      <c r="C950" s="41" t="s">
        <v>2969</v>
      </c>
      <c r="D950" s="43">
        <v>0</v>
      </c>
      <c r="E950" s="22" t="s">
        <v>1010</v>
      </c>
      <c r="F950" s="45">
        <f t="shared" si="75"/>
        <v>29700</v>
      </c>
      <c r="G950" s="48">
        <f t="shared" si="76"/>
        <v>0</v>
      </c>
      <c r="H950" s="51">
        <v>0</v>
      </c>
      <c r="I950" s="33">
        <f t="shared" si="77"/>
        <v>0</v>
      </c>
      <c r="J950" s="52">
        <f>재료비목록표!E339</f>
        <v>29700</v>
      </c>
      <c r="K950" s="13">
        <f t="shared" si="78"/>
        <v>0</v>
      </c>
      <c r="L950" s="55">
        <v>0</v>
      </c>
      <c r="M950" s="33">
        <f t="shared" si="79"/>
        <v>0</v>
      </c>
      <c r="N950" s="22" t="s">
        <v>6167</v>
      </c>
      <c r="O950" s="17" t="s">
        <v>6166</v>
      </c>
      <c r="P950" s="7" t="s">
        <v>6165</v>
      </c>
      <c r="Q950" s="7" t="s">
        <v>3344</v>
      </c>
      <c r="AC950" s="3" t="str">
        <f ca="1">HYPERLINK("#"&amp;재료비목록표!G2&amp;"!A"&amp;ROW(재료비목록표!A339),"자재336 →")</f>
        <v>자재336 →</v>
      </c>
    </row>
    <row r="951" spans="1:29" ht="30.6" customHeight="1" x14ac:dyDescent="0.3">
      <c r="A951" s="10"/>
      <c r="B951" s="10" t="s">
        <v>2978</v>
      </c>
      <c r="C951" s="41" t="s">
        <v>2972</v>
      </c>
      <c r="D951" s="43">
        <v>0</v>
      </c>
      <c r="E951" s="22" t="s">
        <v>1010</v>
      </c>
      <c r="F951" s="45">
        <f t="shared" si="75"/>
        <v>56400</v>
      </c>
      <c r="G951" s="48">
        <f t="shared" si="76"/>
        <v>0</v>
      </c>
      <c r="H951" s="51">
        <v>0</v>
      </c>
      <c r="I951" s="33">
        <f t="shared" si="77"/>
        <v>0</v>
      </c>
      <c r="J951" s="52">
        <f>재료비목록표!E340</f>
        <v>56400</v>
      </c>
      <c r="K951" s="13">
        <f t="shared" si="78"/>
        <v>0</v>
      </c>
      <c r="L951" s="55">
        <v>0</v>
      </c>
      <c r="M951" s="33">
        <f t="shared" si="79"/>
        <v>0</v>
      </c>
      <c r="N951" s="22" t="s">
        <v>6170</v>
      </c>
      <c r="O951" s="17" t="s">
        <v>6169</v>
      </c>
      <c r="P951" s="7" t="s">
        <v>6168</v>
      </c>
      <c r="Q951" s="7" t="s">
        <v>3344</v>
      </c>
      <c r="AC951" s="3" t="str">
        <f ca="1">HYPERLINK("#"&amp;재료비목록표!G2&amp;"!A"&amp;ROW(재료비목록표!A340),"자재337 →")</f>
        <v>자재337 →</v>
      </c>
    </row>
    <row r="952" spans="1:29" ht="30.6" customHeight="1" x14ac:dyDescent="0.3">
      <c r="A952" s="10"/>
      <c r="B952" s="10" t="s">
        <v>2978</v>
      </c>
      <c r="C952" s="41" t="s">
        <v>2975</v>
      </c>
      <c r="D952" s="43">
        <v>0</v>
      </c>
      <c r="E952" s="22" t="s">
        <v>1010</v>
      </c>
      <c r="F952" s="45">
        <f t="shared" si="75"/>
        <v>75000</v>
      </c>
      <c r="G952" s="48">
        <f t="shared" si="76"/>
        <v>0</v>
      </c>
      <c r="H952" s="51">
        <v>0</v>
      </c>
      <c r="I952" s="33">
        <f t="shared" si="77"/>
        <v>0</v>
      </c>
      <c r="J952" s="52">
        <f>재료비목록표!E341</f>
        <v>75000</v>
      </c>
      <c r="K952" s="13">
        <f t="shared" si="78"/>
        <v>0</v>
      </c>
      <c r="L952" s="55">
        <v>0</v>
      </c>
      <c r="M952" s="33">
        <f t="shared" si="79"/>
        <v>0</v>
      </c>
      <c r="N952" s="22" t="s">
        <v>6173</v>
      </c>
      <c r="O952" s="17" t="s">
        <v>6172</v>
      </c>
      <c r="P952" s="7" t="s">
        <v>6171</v>
      </c>
      <c r="Q952" s="7" t="s">
        <v>3344</v>
      </c>
      <c r="AC952" s="3" t="str">
        <f ca="1">HYPERLINK("#"&amp;재료비목록표!G2&amp;"!A"&amp;ROW(재료비목록표!A341),"자재338 →")</f>
        <v>자재338 →</v>
      </c>
    </row>
    <row r="953" spans="1:29" ht="30.6" customHeight="1" x14ac:dyDescent="0.3">
      <c r="A953" s="10"/>
      <c r="B953" s="10" t="s">
        <v>2968</v>
      </c>
      <c r="C953" s="41" t="s">
        <v>2969</v>
      </c>
      <c r="D953" s="43">
        <v>0</v>
      </c>
      <c r="E953" s="22" t="s">
        <v>1010</v>
      </c>
      <c r="F953" s="45">
        <f t="shared" si="75"/>
        <v>46320</v>
      </c>
      <c r="G953" s="48">
        <f t="shared" si="76"/>
        <v>0</v>
      </c>
      <c r="H953" s="51">
        <v>0</v>
      </c>
      <c r="I953" s="33">
        <f t="shared" si="77"/>
        <v>0</v>
      </c>
      <c r="J953" s="52">
        <f>재료비목록표!E336</f>
        <v>46320</v>
      </c>
      <c r="K953" s="13">
        <f t="shared" si="78"/>
        <v>0</v>
      </c>
      <c r="L953" s="55">
        <v>0</v>
      </c>
      <c r="M953" s="33">
        <f t="shared" si="79"/>
        <v>0</v>
      </c>
      <c r="N953" s="22" t="s">
        <v>6176</v>
      </c>
      <c r="O953" s="17" t="s">
        <v>6175</v>
      </c>
      <c r="P953" s="7" t="s">
        <v>6174</v>
      </c>
      <c r="Q953" s="7" t="s">
        <v>3344</v>
      </c>
      <c r="AC953" s="3" t="str">
        <f ca="1">HYPERLINK("#"&amp;재료비목록표!G2&amp;"!A"&amp;ROW(재료비목록표!A336),"자재333 →")</f>
        <v>자재333 →</v>
      </c>
    </row>
    <row r="954" spans="1:29" ht="30.6" customHeight="1" x14ac:dyDescent="0.3">
      <c r="A954" s="10"/>
      <c r="B954" s="10" t="s">
        <v>2968</v>
      </c>
      <c r="C954" s="41" t="s">
        <v>2972</v>
      </c>
      <c r="D954" s="43">
        <v>0</v>
      </c>
      <c r="E954" s="22" t="s">
        <v>1010</v>
      </c>
      <c r="F954" s="45">
        <f t="shared" si="75"/>
        <v>98580</v>
      </c>
      <c r="G954" s="48">
        <f t="shared" si="76"/>
        <v>0</v>
      </c>
      <c r="H954" s="51">
        <v>0</v>
      </c>
      <c r="I954" s="33">
        <f t="shared" si="77"/>
        <v>0</v>
      </c>
      <c r="J954" s="52">
        <f>재료비목록표!E337</f>
        <v>98580</v>
      </c>
      <c r="K954" s="13">
        <f t="shared" si="78"/>
        <v>0</v>
      </c>
      <c r="L954" s="55">
        <v>0</v>
      </c>
      <c r="M954" s="33">
        <f t="shared" si="79"/>
        <v>0</v>
      </c>
      <c r="N954" s="22" t="s">
        <v>6179</v>
      </c>
      <c r="O954" s="17" t="s">
        <v>6178</v>
      </c>
      <c r="P954" s="7" t="s">
        <v>6177</v>
      </c>
      <c r="Q954" s="7" t="s">
        <v>3344</v>
      </c>
      <c r="AC954" s="3" t="str">
        <f ca="1">HYPERLINK("#"&amp;재료비목록표!G2&amp;"!A"&amp;ROW(재료비목록표!A337),"자재334 →")</f>
        <v>자재334 →</v>
      </c>
    </row>
    <row r="955" spans="1:29" ht="30.6" customHeight="1" x14ac:dyDescent="0.3">
      <c r="A955" s="10"/>
      <c r="B955" s="10" t="s">
        <v>2968</v>
      </c>
      <c r="C955" s="41" t="s">
        <v>2975</v>
      </c>
      <c r="D955" s="43">
        <v>0</v>
      </c>
      <c r="E955" s="22" t="s">
        <v>1010</v>
      </c>
      <c r="F955" s="45">
        <f t="shared" si="75"/>
        <v>143400</v>
      </c>
      <c r="G955" s="48">
        <f t="shared" si="76"/>
        <v>0</v>
      </c>
      <c r="H955" s="51">
        <v>0</v>
      </c>
      <c r="I955" s="33">
        <f t="shared" si="77"/>
        <v>0</v>
      </c>
      <c r="J955" s="52">
        <f>재료비목록표!E338</f>
        <v>143400</v>
      </c>
      <c r="K955" s="13">
        <f t="shared" si="78"/>
        <v>0</v>
      </c>
      <c r="L955" s="55">
        <v>0</v>
      </c>
      <c r="M955" s="33">
        <f t="shared" si="79"/>
        <v>0</v>
      </c>
      <c r="N955" s="22" t="s">
        <v>6182</v>
      </c>
      <c r="O955" s="17" t="s">
        <v>6181</v>
      </c>
      <c r="P955" s="7" t="s">
        <v>6180</v>
      </c>
      <c r="Q955" s="7" t="s">
        <v>3344</v>
      </c>
      <c r="AC955" s="3" t="str">
        <f ca="1">HYPERLINK("#"&amp;재료비목록표!G2&amp;"!A"&amp;ROW(재료비목록표!A338),"자재335 →")</f>
        <v>자재335 →</v>
      </c>
    </row>
    <row r="956" spans="1:29" ht="30.6" customHeight="1" x14ac:dyDescent="0.3">
      <c r="A956" s="10"/>
      <c r="B956" s="10" t="s">
        <v>2892</v>
      </c>
      <c r="C956" s="41" t="s">
        <v>2893</v>
      </c>
      <c r="D956" s="43">
        <v>0</v>
      </c>
      <c r="E956" s="22" t="s">
        <v>1010</v>
      </c>
      <c r="F956" s="45">
        <f t="shared" si="75"/>
        <v>170000</v>
      </c>
      <c r="G956" s="48">
        <f t="shared" si="76"/>
        <v>0</v>
      </c>
      <c r="H956" s="51">
        <v>0</v>
      </c>
      <c r="I956" s="33">
        <f t="shared" si="77"/>
        <v>0</v>
      </c>
      <c r="J956" s="52">
        <f>재료비목록표!E312</f>
        <v>170000</v>
      </c>
      <c r="K956" s="13">
        <f t="shared" si="78"/>
        <v>0</v>
      </c>
      <c r="L956" s="55">
        <v>0</v>
      </c>
      <c r="M956" s="33">
        <f t="shared" si="79"/>
        <v>0</v>
      </c>
      <c r="N956" s="22" t="s">
        <v>6185</v>
      </c>
      <c r="O956" s="17" t="s">
        <v>6184</v>
      </c>
      <c r="P956" s="7" t="s">
        <v>6183</v>
      </c>
      <c r="Q956" s="7" t="s">
        <v>3344</v>
      </c>
      <c r="AC956" s="3" t="str">
        <f ca="1">HYPERLINK("#"&amp;재료비목록표!G2&amp;"!A"&amp;ROW(재료비목록표!A312),"자재309 →")</f>
        <v>자재309 →</v>
      </c>
    </row>
    <row r="957" spans="1:29" ht="30.6" customHeight="1" x14ac:dyDescent="0.3">
      <c r="A957" s="10"/>
      <c r="B957" s="10" t="s">
        <v>2037</v>
      </c>
      <c r="C957" s="41" t="s">
        <v>2038</v>
      </c>
      <c r="D957" s="43">
        <v>0</v>
      </c>
      <c r="E957" s="22" t="s">
        <v>2039</v>
      </c>
      <c r="F957" s="45">
        <f t="shared" si="75"/>
        <v>1030</v>
      </c>
      <c r="G957" s="48">
        <f t="shared" si="76"/>
        <v>0</v>
      </c>
      <c r="H957" s="51">
        <v>0</v>
      </c>
      <c r="I957" s="33">
        <f t="shared" si="77"/>
        <v>0</v>
      </c>
      <c r="J957" s="52">
        <f>재료비목록표!E4</f>
        <v>1030</v>
      </c>
      <c r="K957" s="13">
        <f t="shared" si="78"/>
        <v>0</v>
      </c>
      <c r="L957" s="55">
        <v>0</v>
      </c>
      <c r="M957" s="33">
        <f t="shared" si="79"/>
        <v>0</v>
      </c>
      <c r="N957" s="22" t="s">
        <v>6188</v>
      </c>
      <c r="O957" s="17" t="s">
        <v>6187</v>
      </c>
      <c r="P957" s="7" t="s">
        <v>6186</v>
      </c>
      <c r="Q957" s="7" t="s">
        <v>3344</v>
      </c>
      <c r="AC957" s="3" t="str">
        <f ca="1">HYPERLINK("#"&amp;재료비목록표!G2&amp;"!A"&amp;ROW(재료비목록표!A4),"자재1 →")</f>
        <v>자재1 →</v>
      </c>
    </row>
    <row r="958" spans="1:29" ht="30.6" customHeight="1" x14ac:dyDescent="0.3">
      <c r="A958" s="10"/>
      <c r="B958" s="10" t="s">
        <v>2729</v>
      </c>
      <c r="C958" s="41" t="s">
        <v>2730</v>
      </c>
      <c r="D958" s="43">
        <v>0</v>
      </c>
      <c r="E958" s="22" t="s">
        <v>2039</v>
      </c>
      <c r="F958" s="45">
        <f t="shared" si="75"/>
        <v>930</v>
      </c>
      <c r="G958" s="48">
        <f t="shared" si="76"/>
        <v>0</v>
      </c>
      <c r="H958" s="51">
        <v>0</v>
      </c>
      <c r="I958" s="33">
        <f t="shared" si="77"/>
        <v>0</v>
      </c>
      <c r="J958" s="52">
        <f>재료비목록표!E249</f>
        <v>930</v>
      </c>
      <c r="K958" s="13">
        <f t="shared" si="78"/>
        <v>0</v>
      </c>
      <c r="L958" s="55">
        <v>0</v>
      </c>
      <c r="M958" s="33">
        <f t="shared" si="79"/>
        <v>0</v>
      </c>
      <c r="N958" s="22" t="s">
        <v>6191</v>
      </c>
      <c r="O958" s="17" t="s">
        <v>6190</v>
      </c>
      <c r="P958" s="7" t="s">
        <v>6189</v>
      </c>
      <c r="Q958" s="7" t="s">
        <v>3344</v>
      </c>
      <c r="AC958" s="3" t="str">
        <f ca="1">HYPERLINK("#"&amp;재료비목록표!G2&amp;"!A"&amp;ROW(재료비목록표!A249),"자재246 →")</f>
        <v>자재246 →</v>
      </c>
    </row>
    <row r="959" spans="1:29" ht="30.6" customHeight="1" x14ac:dyDescent="0.3">
      <c r="A959" s="10"/>
      <c r="B959" s="10" t="s">
        <v>2632</v>
      </c>
      <c r="C959" s="41" t="s">
        <v>2633</v>
      </c>
      <c r="D959" s="43">
        <v>0</v>
      </c>
      <c r="E959" s="22" t="s">
        <v>1010</v>
      </c>
      <c r="F959" s="45">
        <f t="shared" si="75"/>
        <v>2940</v>
      </c>
      <c r="G959" s="48">
        <f t="shared" si="76"/>
        <v>0</v>
      </c>
      <c r="H959" s="51">
        <v>0</v>
      </c>
      <c r="I959" s="33">
        <f t="shared" si="77"/>
        <v>0</v>
      </c>
      <c r="J959" s="52">
        <f>재료비목록표!E212</f>
        <v>2940</v>
      </c>
      <c r="K959" s="13">
        <f t="shared" si="78"/>
        <v>0</v>
      </c>
      <c r="L959" s="55">
        <v>0</v>
      </c>
      <c r="M959" s="33">
        <f t="shared" si="79"/>
        <v>0</v>
      </c>
      <c r="N959" s="22" t="s">
        <v>6194</v>
      </c>
      <c r="O959" s="17" t="s">
        <v>6193</v>
      </c>
      <c r="P959" s="7" t="s">
        <v>6192</v>
      </c>
      <c r="Q959" s="7" t="s">
        <v>3344</v>
      </c>
      <c r="AC959" s="3" t="str">
        <f ca="1">HYPERLINK("#"&amp;재료비목록표!G2&amp;"!A"&amp;ROW(재료비목록표!A212),"자재209 →")</f>
        <v>자재209 →</v>
      </c>
    </row>
    <row r="960" spans="1:29" ht="30.6" customHeight="1" x14ac:dyDescent="0.3">
      <c r="A960" s="10"/>
      <c r="B960" s="10" t="s">
        <v>2699</v>
      </c>
      <c r="C960" s="41" t="s">
        <v>2700</v>
      </c>
      <c r="D960" s="43">
        <v>0</v>
      </c>
      <c r="E960" s="22" t="s">
        <v>2212</v>
      </c>
      <c r="F960" s="45">
        <f t="shared" si="75"/>
        <v>64970</v>
      </c>
      <c r="G960" s="48">
        <f t="shared" si="76"/>
        <v>0</v>
      </c>
      <c r="H960" s="51">
        <v>0</v>
      </c>
      <c r="I960" s="33">
        <f t="shared" si="77"/>
        <v>0</v>
      </c>
      <c r="J960" s="52">
        <f>재료비목록표!E238</f>
        <v>64970</v>
      </c>
      <c r="K960" s="13">
        <f t="shared" si="78"/>
        <v>0</v>
      </c>
      <c r="L960" s="55">
        <v>0</v>
      </c>
      <c r="M960" s="33">
        <f t="shared" si="79"/>
        <v>0</v>
      </c>
      <c r="N960" s="22" t="s">
        <v>6197</v>
      </c>
      <c r="O960" s="17" t="s">
        <v>6196</v>
      </c>
      <c r="P960" s="7" t="s">
        <v>6195</v>
      </c>
      <c r="Q960" s="7" t="s">
        <v>3344</v>
      </c>
      <c r="AC960" s="3" t="str">
        <f ca="1">HYPERLINK("#"&amp;재료비목록표!G2&amp;"!A"&amp;ROW(재료비목록표!A238),"자재235 →")</f>
        <v>자재235 →</v>
      </c>
    </row>
    <row r="961" spans="1:29" ht="30.6" customHeight="1" x14ac:dyDescent="0.3">
      <c r="A961" s="10"/>
      <c r="B961" s="10" t="s">
        <v>2914</v>
      </c>
      <c r="C961" s="41" t="s">
        <v>2915</v>
      </c>
      <c r="D961" s="43">
        <v>0</v>
      </c>
      <c r="E961" s="22" t="s">
        <v>2279</v>
      </c>
      <c r="F961" s="45">
        <f t="shared" si="75"/>
        <v>22000</v>
      </c>
      <c r="G961" s="48">
        <f t="shared" si="76"/>
        <v>0</v>
      </c>
      <c r="H961" s="51">
        <v>0</v>
      </c>
      <c r="I961" s="33">
        <f t="shared" si="77"/>
        <v>0</v>
      </c>
      <c r="J961" s="52">
        <f>재료비목록표!E319</f>
        <v>22000</v>
      </c>
      <c r="K961" s="13">
        <f t="shared" si="78"/>
        <v>0</v>
      </c>
      <c r="L961" s="55">
        <v>0</v>
      </c>
      <c r="M961" s="33">
        <f t="shared" si="79"/>
        <v>0</v>
      </c>
      <c r="N961" s="22" t="s">
        <v>6200</v>
      </c>
      <c r="O961" s="17" t="s">
        <v>6199</v>
      </c>
      <c r="P961" s="7" t="s">
        <v>6198</v>
      </c>
      <c r="Q961" s="7" t="s">
        <v>3344</v>
      </c>
      <c r="AC961" s="3" t="str">
        <f ca="1">HYPERLINK("#"&amp;재료비목록표!G2&amp;"!A"&amp;ROW(재료비목록표!A319),"자재316 →")</f>
        <v>자재316 →</v>
      </c>
    </row>
    <row r="962" spans="1:29" ht="30.6" customHeight="1" x14ac:dyDescent="0.3">
      <c r="A962" s="10"/>
      <c r="B962" s="10" t="s">
        <v>2097</v>
      </c>
      <c r="C962" s="41" t="s">
        <v>2098</v>
      </c>
      <c r="D962" s="43">
        <v>0</v>
      </c>
      <c r="E962" s="22" t="s">
        <v>2099</v>
      </c>
      <c r="F962" s="45">
        <f t="shared" si="75"/>
        <v>-435</v>
      </c>
      <c r="G962" s="48">
        <f t="shared" si="76"/>
        <v>0</v>
      </c>
      <c r="H962" s="51">
        <v>0</v>
      </c>
      <c r="I962" s="33">
        <f t="shared" si="77"/>
        <v>0</v>
      </c>
      <c r="J962" s="52">
        <f>재료비목록표!E22</f>
        <v>-435</v>
      </c>
      <c r="K962" s="13">
        <f t="shared" si="78"/>
        <v>0</v>
      </c>
      <c r="L962" s="55">
        <v>0</v>
      </c>
      <c r="M962" s="33">
        <f t="shared" si="79"/>
        <v>0</v>
      </c>
      <c r="N962" s="22" t="s">
        <v>6203</v>
      </c>
      <c r="O962" s="17" t="s">
        <v>6202</v>
      </c>
      <c r="P962" s="7" t="s">
        <v>6201</v>
      </c>
      <c r="Q962" s="7" t="s">
        <v>3344</v>
      </c>
      <c r="AC962" s="3" t="str">
        <f ca="1">HYPERLINK("#"&amp;재료비목록표!G2&amp;"!A"&amp;ROW(재료비목록표!A22),"자재19 →")</f>
        <v>자재19 →</v>
      </c>
    </row>
    <row r="963" spans="1:29" ht="30.6" customHeight="1" x14ac:dyDescent="0.3">
      <c r="A963" s="10"/>
      <c r="B963" s="10" t="s">
        <v>2102</v>
      </c>
      <c r="C963" s="41"/>
      <c r="D963" s="43">
        <v>0</v>
      </c>
      <c r="E963" s="22" t="s">
        <v>2039</v>
      </c>
      <c r="F963" s="45">
        <f t="shared" si="75"/>
        <v>-1850</v>
      </c>
      <c r="G963" s="48">
        <f t="shared" si="76"/>
        <v>0</v>
      </c>
      <c r="H963" s="51">
        <v>0</v>
      </c>
      <c r="I963" s="33">
        <f t="shared" si="77"/>
        <v>0</v>
      </c>
      <c r="J963" s="52">
        <f>재료비목록표!E23</f>
        <v>-1850</v>
      </c>
      <c r="K963" s="13">
        <f t="shared" si="78"/>
        <v>0</v>
      </c>
      <c r="L963" s="55">
        <v>0</v>
      </c>
      <c r="M963" s="33">
        <f t="shared" si="79"/>
        <v>0</v>
      </c>
      <c r="N963" s="22" t="s">
        <v>6206</v>
      </c>
      <c r="O963" s="17" t="s">
        <v>6205</v>
      </c>
      <c r="P963" s="7" t="s">
        <v>6204</v>
      </c>
      <c r="Q963" s="7" t="s">
        <v>3344</v>
      </c>
      <c r="AC963" s="3" t="str">
        <f ca="1">HYPERLINK("#"&amp;재료비목록표!G2&amp;"!A"&amp;ROW(재료비목록표!A23),"자재20 →")</f>
        <v>자재20 →</v>
      </c>
    </row>
    <row r="964" spans="1:29" ht="30.6" customHeight="1" x14ac:dyDescent="0.3">
      <c r="A964" s="10"/>
      <c r="B964" s="10" t="s">
        <v>2627</v>
      </c>
      <c r="C964" s="41" t="s">
        <v>2628</v>
      </c>
      <c r="D964" s="43">
        <v>0</v>
      </c>
      <c r="E964" s="22" t="s">
        <v>2629</v>
      </c>
      <c r="F964" s="45">
        <f t="shared" si="75"/>
        <v>3850</v>
      </c>
      <c r="G964" s="48">
        <f t="shared" si="76"/>
        <v>0</v>
      </c>
      <c r="H964" s="51">
        <v>0</v>
      </c>
      <c r="I964" s="33">
        <f t="shared" si="77"/>
        <v>0</v>
      </c>
      <c r="J964" s="52">
        <f>재료비목록표!E211</f>
        <v>3850</v>
      </c>
      <c r="K964" s="13">
        <f t="shared" si="78"/>
        <v>0</v>
      </c>
      <c r="L964" s="55">
        <v>0</v>
      </c>
      <c r="M964" s="33">
        <f t="shared" si="79"/>
        <v>0</v>
      </c>
      <c r="N964" s="22" t="s">
        <v>6209</v>
      </c>
      <c r="O964" s="17" t="s">
        <v>6208</v>
      </c>
      <c r="P964" s="7" t="s">
        <v>6207</v>
      </c>
      <c r="Q964" s="7" t="s">
        <v>3344</v>
      </c>
      <c r="AC964" s="3" t="str">
        <f ca="1">HYPERLINK("#"&amp;재료비목록표!G2&amp;"!A"&amp;ROW(재료비목록표!A211),"자재208 →")</f>
        <v>자재208 →</v>
      </c>
    </row>
    <row r="965" spans="1:29" ht="30.6" customHeight="1" x14ac:dyDescent="0.3">
      <c r="A965" s="10"/>
      <c r="B965" s="10" t="s">
        <v>3020</v>
      </c>
      <c r="C965" s="41" t="s">
        <v>1641</v>
      </c>
      <c r="D965" s="43">
        <v>0</v>
      </c>
      <c r="E965" s="22" t="s">
        <v>3021</v>
      </c>
      <c r="F965" s="45">
        <f t="shared" si="75"/>
        <v>2228000</v>
      </c>
      <c r="G965" s="48">
        <f t="shared" si="76"/>
        <v>0</v>
      </c>
      <c r="H965" s="51">
        <v>0</v>
      </c>
      <c r="I965" s="33">
        <f t="shared" si="77"/>
        <v>0</v>
      </c>
      <c r="J965" s="52">
        <f>재료비목록표!E355</f>
        <v>2228000</v>
      </c>
      <c r="K965" s="13">
        <f t="shared" si="78"/>
        <v>0</v>
      </c>
      <c r="L965" s="55">
        <v>0</v>
      </c>
      <c r="M965" s="33">
        <f t="shared" si="79"/>
        <v>0</v>
      </c>
      <c r="N965" s="22" t="s">
        <v>6212</v>
      </c>
      <c r="O965" s="17" t="s">
        <v>6211</v>
      </c>
      <c r="P965" s="7" t="s">
        <v>6210</v>
      </c>
      <c r="Q965" s="7" t="s">
        <v>3344</v>
      </c>
      <c r="AC965" s="3" t="str">
        <f ca="1">HYPERLINK("#"&amp;재료비목록표!G2&amp;"!A"&amp;ROW(재료비목록표!A355),"자재352 →")</f>
        <v>자재352 →</v>
      </c>
    </row>
    <row r="966" spans="1:29" ht="30.6" customHeight="1" x14ac:dyDescent="0.3">
      <c r="A966" s="10"/>
      <c r="B966" s="10" t="s">
        <v>2445</v>
      </c>
      <c r="C966" s="41"/>
      <c r="D966" s="43">
        <v>0</v>
      </c>
      <c r="E966" s="22" t="s">
        <v>2212</v>
      </c>
      <c r="F966" s="45">
        <f t="shared" si="75"/>
        <v>143000</v>
      </c>
      <c r="G966" s="48">
        <f t="shared" si="76"/>
        <v>0</v>
      </c>
      <c r="H966" s="51">
        <v>0</v>
      </c>
      <c r="I966" s="33">
        <f t="shared" si="77"/>
        <v>0</v>
      </c>
      <c r="J966" s="52">
        <f>재료비목록표!E137</f>
        <v>143000</v>
      </c>
      <c r="K966" s="13">
        <f t="shared" si="78"/>
        <v>0</v>
      </c>
      <c r="L966" s="55">
        <v>0</v>
      </c>
      <c r="M966" s="33">
        <f t="shared" si="79"/>
        <v>0</v>
      </c>
      <c r="N966" s="22" t="s">
        <v>6215</v>
      </c>
      <c r="O966" s="17" t="s">
        <v>6214</v>
      </c>
      <c r="P966" s="7" t="s">
        <v>6213</v>
      </c>
      <c r="Q966" s="7" t="s">
        <v>3344</v>
      </c>
      <c r="AC966" s="3" t="str">
        <f ca="1">HYPERLINK("#"&amp;재료비목록표!G2&amp;"!A"&amp;ROW(재료비목록표!A137),"자재134 →")</f>
        <v>자재134 →</v>
      </c>
    </row>
    <row r="967" spans="1:29" ht="30.6" customHeight="1" x14ac:dyDescent="0.3">
      <c r="A967" s="10"/>
      <c r="B967" s="10" t="s">
        <v>2211</v>
      </c>
      <c r="C967" s="41"/>
      <c r="D967" s="43">
        <v>0</v>
      </c>
      <c r="E967" s="22" t="s">
        <v>2212</v>
      </c>
      <c r="F967" s="45">
        <f t="shared" si="75"/>
        <v>788000</v>
      </c>
      <c r="G967" s="48">
        <f t="shared" si="76"/>
        <v>0</v>
      </c>
      <c r="H967" s="51">
        <v>0</v>
      </c>
      <c r="I967" s="33">
        <f t="shared" si="77"/>
        <v>0</v>
      </c>
      <c r="J967" s="52">
        <f>재료비목록표!E64</f>
        <v>788000</v>
      </c>
      <c r="K967" s="13">
        <f t="shared" si="78"/>
        <v>0</v>
      </c>
      <c r="L967" s="55">
        <v>0</v>
      </c>
      <c r="M967" s="33">
        <f t="shared" si="79"/>
        <v>0</v>
      </c>
      <c r="N967" s="22" t="s">
        <v>6218</v>
      </c>
      <c r="O967" s="17" t="s">
        <v>6217</v>
      </c>
      <c r="P967" s="7" t="s">
        <v>6216</v>
      </c>
      <c r="Q967" s="7" t="s">
        <v>3344</v>
      </c>
      <c r="AC967" s="3" t="str">
        <f ca="1">HYPERLINK("#"&amp;재료비목록표!G2&amp;"!A"&amp;ROW(재료비목록표!A64),"자재61 →")</f>
        <v>자재61 →</v>
      </c>
    </row>
    <row r="968" spans="1:29" ht="30.6" customHeight="1" x14ac:dyDescent="0.3">
      <c r="A968" s="10"/>
      <c r="B968" s="10" t="s">
        <v>2860</v>
      </c>
      <c r="C968" s="41"/>
      <c r="D968" s="43">
        <v>0</v>
      </c>
      <c r="E968" s="22" t="s">
        <v>2212</v>
      </c>
      <c r="F968" s="45">
        <f t="shared" si="75"/>
        <v>754000</v>
      </c>
      <c r="G968" s="48">
        <f t="shared" si="76"/>
        <v>0</v>
      </c>
      <c r="H968" s="51">
        <v>0</v>
      </c>
      <c r="I968" s="33">
        <f t="shared" si="77"/>
        <v>0</v>
      </c>
      <c r="J968" s="52">
        <f>재료비목록표!E301</f>
        <v>754000</v>
      </c>
      <c r="K968" s="13">
        <f t="shared" si="78"/>
        <v>0</v>
      </c>
      <c r="L968" s="55">
        <v>0</v>
      </c>
      <c r="M968" s="33">
        <f t="shared" si="79"/>
        <v>0</v>
      </c>
      <c r="N968" s="22" t="s">
        <v>6221</v>
      </c>
      <c r="O968" s="17" t="s">
        <v>6220</v>
      </c>
      <c r="P968" s="7" t="s">
        <v>6219</v>
      </c>
      <c r="Q968" s="7" t="s">
        <v>3344</v>
      </c>
      <c r="AC968" s="3" t="str">
        <f ca="1">HYPERLINK("#"&amp;재료비목록표!G2&amp;"!A"&amp;ROW(재료비목록표!A301),"자재298 →")</f>
        <v>자재298 →</v>
      </c>
    </row>
    <row r="969" spans="1:29" ht="30.6" customHeight="1" x14ac:dyDescent="0.3">
      <c r="A969" s="10"/>
      <c r="B969" s="10" t="s">
        <v>2274</v>
      </c>
      <c r="C969" s="41"/>
      <c r="D969" s="43">
        <v>0</v>
      </c>
      <c r="E969" s="22" t="s">
        <v>1010</v>
      </c>
      <c r="F969" s="45">
        <f t="shared" si="75"/>
        <v>53000</v>
      </c>
      <c r="G969" s="48">
        <f t="shared" si="76"/>
        <v>0</v>
      </c>
      <c r="H969" s="51">
        <v>0</v>
      </c>
      <c r="I969" s="33">
        <f t="shared" si="77"/>
        <v>0</v>
      </c>
      <c r="J969" s="52">
        <f>재료비목록표!E84</f>
        <v>53000</v>
      </c>
      <c r="K969" s="13">
        <f t="shared" si="78"/>
        <v>0</v>
      </c>
      <c r="L969" s="55">
        <v>0</v>
      </c>
      <c r="M969" s="33">
        <f t="shared" si="79"/>
        <v>0</v>
      </c>
      <c r="N969" s="22" t="s">
        <v>6224</v>
      </c>
      <c r="O969" s="17" t="s">
        <v>6223</v>
      </c>
      <c r="P969" s="7" t="s">
        <v>6222</v>
      </c>
      <c r="Q969" s="7" t="s">
        <v>3344</v>
      </c>
      <c r="AC969" s="3" t="str">
        <f ca="1">HYPERLINK("#"&amp;재료비목록표!G2&amp;"!A"&amp;ROW(재료비목록표!A84),"자재81 →")</f>
        <v>자재81 →</v>
      </c>
    </row>
    <row r="970" spans="1:29" ht="30.6" customHeight="1" x14ac:dyDescent="0.3">
      <c r="A970" s="10"/>
      <c r="B970" s="10" t="s">
        <v>2215</v>
      </c>
      <c r="C970" s="41"/>
      <c r="D970" s="43">
        <v>0</v>
      </c>
      <c r="E970" s="22" t="s">
        <v>1010</v>
      </c>
      <c r="F970" s="45">
        <f t="shared" si="75"/>
        <v>128000</v>
      </c>
      <c r="G970" s="48">
        <f t="shared" si="76"/>
        <v>0</v>
      </c>
      <c r="H970" s="51">
        <v>0</v>
      </c>
      <c r="I970" s="33">
        <f t="shared" si="77"/>
        <v>0</v>
      </c>
      <c r="J970" s="52">
        <f>재료비목록표!E65</f>
        <v>128000</v>
      </c>
      <c r="K970" s="13">
        <f t="shared" si="78"/>
        <v>0</v>
      </c>
      <c r="L970" s="55">
        <v>0</v>
      </c>
      <c r="M970" s="33">
        <f t="shared" si="79"/>
        <v>0</v>
      </c>
      <c r="N970" s="22" t="s">
        <v>6227</v>
      </c>
      <c r="O970" s="17" t="s">
        <v>6226</v>
      </c>
      <c r="P970" s="7" t="s">
        <v>6225</v>
      </c>
      <c r="Q970" s="7" t="s">
        <v>3344</v>
      </c>
      <c r="AC970" s="3" t="str">
        <f ca="1">HYPERLINK("#"&amp;재료비목록표!G2&amp;"!A"&amp;ROW(재료비목록표!A65),"자재62 →")</f>
        <v>자재62 →</v>
      </c>
    </row>
    <row r="971" spans="1:29" ht="30.6" customHeight="1" x14ac:dyDescent="0.3">
      <c r="A971" s="10"/>
      <c r="B971" s="10" t="s">
        <v>2055</v>
      </c>
      <c r="C971" s="41" t="s">
        <v>2056</v>
      </c>
      <c r="D971" s="43">
        <v>0</v>
      </c>
      <c r="E971" s="22" t="s">
        <v>1010</v>
      </c>
      <c r="F971" s="45">
        <f t="shared" si="75"/>
        <v>47900</v>
      </c>
      <c r="G971" s="48">
        <f t="shared" si="76"/>
        <v>0</v>
      </c>
      <c r="H971" s="51">
        <v>0</v>
      </c>
      <c r="I971" s="33">
        <f t="shared" si="77"/>
        <v>0</v>
      </c>
      <c r="J971" s="52">
        <f>재료비목록표!E9</f>
        <v>47900</v>
      </c>
      <c r="K971" s="13">
        <f t="shared" si="78"/>
        <v>0</v>
      </c>
      <c r="L971" s="55">
        <v>0</v>
      </c>
      <c r="M971" s="33">
        <f t="shared" si="79"/>
        <v>0</v>
      </c>
      <c r="N971" s="22" t="s">
        <v>6230</v>
      </c>
      <c r="O971" s="17" t="s">
        <v>6229</v>
      </c>
      <c r="P971" s="7" t="s">
        <v>6228</v>
      </c>
      <c r="Q971" s="7" t="s">
        <v>3344</v>
      </c>
      <c r="AC971" s="3" t="str">
        <f ca="1">HYPERLINK("#"&amp;재료비목록표!G2&amp;"!A"&amp;ROW(재료비목록표!A9),"자재6 →")</f>
        <v>자재6 →</v>
      </c>
    </row>
    <row r="972" spans="1:29" ht="30.6" customHeight="1" x14ac:dyDescent="0.3">
      <c r="A972" s="10"/>
      <c r="B972" s="10" t="s">
        <v>2055</v>
      </c>
      <c r="C972" s="41" t="s">
        <v>1553</v>
      </c>
      <c r="D972" s="43">
        <v>0</v>
      </c>
      <c r="E972" s="22" t="s">
        <v>1010</v>
      </c>
      <c r="F972" s="45">
        <f t="shared" si="75"/>
        <v>50000</v>
      </c>
      <c r="G972" s="48">
        <f t="shared" si="76"/>
        <v>0</v>
      </c>
      <c r="H972" s="51">
        <v>0</v>
      </c>
      <c r="I972" s="33">
        <f t="shared" si="77"/>
        <v>0</v>
      </c>
      <c r="J972" s="52">
        <f>재료비목록표!E10</f>
        <v>50000</v>
      </c>
      <c r="K972" s="13">
        <f t="shared" si="78"/>
        <v>0</v>
      </c>
      <c r="L972" s="55">
        <v>0</v>
      </c>
      <c r="M972" s="33">
        <f t="shared" si="79"/>
        <v>0</v>
      </c>
      <c r="N972" s="22" t="s">
        <v>6233</v>
      </c>
      <c r="O972" s="17" t="s">
        <v>6232</v>
      </c>
      <c r="P972" s="7" t="s">
        <v>6231</v>
      </c>
      <c r="Q972" s="7" t="s">
        <v>3344</v>
      </c>
      <c r="AC972" s="3" t="str">
        <f ca="1">HYPERLINK("#"&amp;재료비목록표!G2&amp;"!A"&amp;ROW(재료비목록표!A10),"자재7 →")</f>
        <v>자재7 →</v>
      </c>
    </row>
    <row r="973" spans="1:29" ht="30.6" customHeight="1" x14ac:dyDescent="0.3">
      <c r="A973" s="10"/>
      <c r="B973" s="10" t="s">
        <v>2055</v>
      </c>
      <c r="C973" s="41" t="s">
        <v>2061</v>
      </c>
      <c r="D973" s="43">
        <v>0</v>
      </c>
      <c r="E973" s="22" t="s">
        <v>1010</v>
      </c>
      <c r="F973" s="45">
        <f t="shared" si="75"/>
        <v>274000</v>
      </c>
      <c r="G973" s="48">
        <f t="shared" si="76"/>
        <v>0</v>
      </c>
      <c r="H973" s="51">
        <v>0</v>
      </c>
      <c r="I973" s="33">
        <f t="shared" si="77"/>
        <v>0</v>
      </c>
      <c r="J973" s="52">
        <f>재료비목록표!E11</f>
        <v>274000</v>
      </c>
      <c r="K973" s="13">
        <f t="shared" si="78"/>
        <v>0</v>
      </c>
      <c r="L973" s="55">
        <v>0</v>
      </c>
      <c r="M973" s="33">
        <f t="shared" si="79"/>
        <v>0</v>
      </c>
      <c r="N973" s="22" t="s">
        <v>6236</v>
      </c>
      <c r="O973" s="17" t="s">
        <v>6235</v>
      </c>
      <c r="P973" s="7" t="s">
        <v>6234</v>
      </c>
      <c r="Q973" s="7" t="s">
        <v>3344</v>
      </c>
      <c r="AC973" s="3" t="str">
        <f ca="1">HYPERLINK("#"&amp;재료비목록표!G2&amp;"!A"&amp;ROW(재료비목록표!A11),"자재8 →")</f>
        <v>자재8 →</v>
      </c>
    </row>
    <row r="974" spans="1:29" ht="30.6" customHeight="1" x14ac:dyDescent="0.3">
      <c r="A974" s="10"/>
      <c r="B974" s="10" t="s">
        <v>2055</v>
      </c>
      <c r="C974" s="41" t="s">
        <v>1556</v>
      </c>
      <c r="D974" s="43">
        <v>0</v>
      </c>
      <c r="E974" s="22" t="s">
        <v>1010</v>
      </c>
      <c r="F974" s="45">
        <f t="shared" si="75"/>
        <v>319929</v>
      </c>
      <c r="G974" s="48">
        <f t="shared" si="76"/>
        <v>0</v>
      </c>
      <c r="H974" s="51">
        <v>0</v>
      </c>
      <c r="I974" s="33">
        <f t="shared" si="77"/>
        <v>0</v>
      </c>
      <c r="J974" s="52">
        <f>재료비목록표!E12</f>
        <v>319929</v>
      </c>
      <c r="K974" s="13">
        <f t="shared" si="78"/>
        <v>0</v>
      </c>
      <c r="L974" s="55">
        <v>0</v>
      </c>
      <c r="M974" s="33">
        <f t="shared" si="79"/>
        <v>0</v>
      </c>
      <c r="N974" s="22" t="s">
        <v>6239</v>
      </c>
      <c r="O974" s="17" t="s">
        <v>6238</v>
      </c>
      <c r="P974" s="7" t="s">
        <v>6237</v>
      </c>
      <c r="Q974" s="7" t="s">
        <v>3344</v>
      </c>
      <c r="AC974" s="3" t="str">
        <f ca="1">HYPERLINK("#"&amp;재료비목록표!G2&amp;"!A"&amp;ROW(재료비목록표!A12),"자재9 →")</f>
        <v>자재9 →</v>
      </c>
    </row>
    <row r="975" spans="1:29" ht="30.6" customHeight="1" x14ac:dyDescent="0.3">
      <c r="A975" s="10"/>
      <c r="B975" s="10" t="s">
        <v>2218</v>
      </c>
      <c r="C975" s="41" t="s">
        <v>2225</v>
      </c>
      <c r="D975" s="43">
        <v>0</v>
      </c>
      <c r="E975" s="22" t="s">
        <v>1010</v>
      </c>
      <c r="F975" s="45">
        <f t="shared" si="75"/>
        <v>13500</v>
      </c>
      <c r="G975" s="48">
        <f t="shared" si="76"/>
        <v>0</v>
      </c>
      <c r="H975" s="51">
        <v>0</v>
      </c>
      <c r="I975" s="33">
        <f t="shared" si="77"/>
        <v>0</v>
      </c>
      <c r="J975" s="52">
        <f>재료비목록표!E68</f>
        <v>13500</v>
      </c>
      <c r="K975" s="13">
        <f t="shared" si="78"/>
        <v>0</v>
      </c>
      <c r="L975" s="55">
        <v>0</v>
      </c>
      <c r="M975" s="33">
        <f t="shared" si="79"/>
        <v>0</v>
      </c>
      <c r="N975" s="22" t="s">
        <v>6242</v>
      </c>
      <c r="O975" s="17" t="s">
        <v>6241</v>
      </c>
      <c r="P975" s="7" t="s">
        <v>6240</v>
      </c>
      <c r="Q975" s="7" t="s">
        <v>3344</v>
      </c>
      <c r="AC975" s="3" t="str">
        <f ca="1">HYPERLINK("#"&amp;재료비목록표!G2&amp;"!A"&amp;ROW(재료비목록표!A68),"자재65 →")</f>
        <v>자재65 →</v>
      </c>
    </row>
    <row r="976" spans="1:29" ht="30.6" customHeight="1" x14ac:dyDescent="0.3">
      <c r="A976" s="10"/>
      <c r="B976" s="10" t="s">
        <v>2218</v>
      </c>
      <c r="C976" s="41" t="s">
        <v>1416</v>
      </c>
      <c r="D976" s="43">
        <v>0</v>
      </c>
      <c r="E976" s="22" t="s">
        <v>1010</v>
      </c>
      <c r="F976" s="45">
        <f t="shared" si="75"/>
        <v>14500</v>
      </c>
      <c r="G976" s="48">
        <f t="shared" si="76"/>
        <v>0</v>
      </c>
      <c r="H976" s="51">
        <v>0</v>
      </c>
      <c r="I976" s="33">
        <f t="shared" si="77"/>
        <v>0</v>
      </c>
      <c r="J976" s="52">
        <f>재료비목록표!E70</f>
        <v>14500</v>
      </c>
      <c r="K976" s="13">
        <f t="shared" si="78"/>
        <v>0</v>
      </c>
      <c r="L976" s="55">
        <v>0</v>
      </c>
      <c r="M976" s="33">
        <f t="shared" si="79"/>
        <v>0</v>
      </c>
      <c r="N976" s="22" t="s">
        <v>6245</v>
      </c>
      <c r="O976" s="17" t="s">
        <v>6244</v>
      </c>
      <c r="P976" s="7" t="s">
        <v>6243</v>
      </c>
      <c r="Q976" s="7" t="s">
        <v>3344</v>
      </c>
      <c r="AC976" s="3" t="str">
        <f ca="1">HYPERLINK("#"&amp;재료비목록표!G2&amp;"!A"&amp;ROW(재료비목록표!A70),"자재67 →")</f>
        <v>자재67 →</v>
      </c>
    </row>
    <row r="977" spans="1:29" ht="30.6" customHeight="1" x14ac:dyDescent="0.3">
      <c r="A977" s="10"/>
      <c r="B977" s="10" t="s">
        <v>2218</v>
      </c>
      <c r="C977" s="41" t="s">
        <v>2233</v>
      </c>
      <c r="D977" s="43">
        <v>0</v>
      </c>
      <c r="E977" s="22" t="s">
        <v>1010</v>
      </c>
      <c r="F977" s="45">
        <f t="shared" si="75"/>
        <v>16000</v>
      </c>
      <c r="G977" s="48">
        <f t="shared" si="76"/>
        <v>0</v>
      </c>
      <c r="H977" s="51">
        <v>0</v>
      </c>
      <c r="I977" s="33">
        <f t="shared" si="77"/>
        <v>0</v>
      </c>
      <c r="J977" s="52">
        <f>재료비목록표!E71</f>
        <v>16000</v>
      </c>
      <c r="K977" s="13">
        <f t="shared" si="78"/>
        <v>0</v>
      </c>
      <c r="L977" s="55">
        <v>0</v>
      </c>
      <c r="M977" s="33">
        <f t="shared" si="79"/>
        <v>0</v>
      </c>
      <c r="N977" s="22" t="s">
        <v>6248</v>
      </c>
      <c r="O977" s="17" t="s">
        <v>6247</v>
      </c>
      <c r="P977" s="7" t="s">
        <v>6246</v>
      </c>
      <c r="Q977" s="7" t="s">
        <v>3344</v>
      </c>
      <c r="AC977" s="3" t="str">
        <f ca="1">HYPERLINK("#"&amp;재료비목록표!G2&amp;"!A"&amp;ROW(재료비목록표!A71),"자재68 →")</f>
        <v>자재68 →</v>
      </c>
    </row>
    <row r="978" spans="1:29" ht="30.6" customHeight="1" x14ac:dyDescent="0.3">
      <c r="A978" s="10"/>
      <c r="B978" s="10" t="s">
        <v>2218</v>
      </c>
      <c r="C978" s="41" t="s">
        <v>1419</v>
      </c>
      <c r="D978" s="43">
        <v>0</v>
      </c>
      <c r="E978" s="22" t="s">
        <v>1010</v>
      </c>
      <c r="F978" s="45">
        <f t="shared" si="75"/>
        <v>17000</v>
      </c>
      <c r="G978" s="48">
        <f t="shared" si="76"/>
        <v>0</v>
      </c>
      <c r="H978" s="51">
        <v>0</v>
      </c>
      <c r="I978" s="33">
        <f t="shared" si="77"/>
        <v>0</v>
      </c>
      <c r="J978" s="52">
        <f>재료비목록표!E72</f>
        <v>17000</v>
      </c>
      <c r="K978" s="13">
        <f t="shared" si="78"/>
        <v>0</v>
      </c>
      <c r="L978" s="55">
        <v>0</v>
      </c>
      <c r="M978" s="33">
        <f t="shared" si="79"/>
        <v>0</v>
      </c>
      <c r="N978" s="22" t="s">
        <v>6251</v>
      </c>
      <c r="O978" s="17" t="s">
        <v>6250</v>
      </c>
      <c r="P978" s="7" t="s">
        <v>6249</v>
      </c>
      <c r="Q978" s="7" t="s">
        <v>3344</v>
      </c>
      <c r="AC978" s="3" t="str">
        <f ca="1">HYPERLINK("#"&amp;재료비목록표!G2&amp;"!A"&amp;ROW(재료비목록표!A72),"자재69 →")</f>
        <v>자재69 →</v>
      </c>
    </row>
    <row r="979" spans="1:29" ht="30.6" customHeight="1" x14ac:dyDescent="0.3">
      <c r="A979" s="10"/>
      <c r="B979" s="10" t="s">
        <v>2218</v>
      </c>
      <c r="C979" s="41" t="s">
        <v>2238</v>
      </c>
      <c r="D979" s="43">
        <v>0</v>
      </c>
      <c r="E979" s="22" t="s">
        <v>1010</v>
      </c>
      <c r="F979" s="45">
        <f t="shared" si="75"/>
        <v>18000</v>
      </c>
      <c r="G979" s="48">
        <f t="shared" si="76"/>
        <v>0</v>
      </c>
      <c r="H979" s="51">
        <v>0</v>
      </c>
      <c r="I979" s="33">
        <f t="shared" si="77"/>
        <v>0</v>
      </c>
      <c r="J979" s="52">
        <f>재료비목록표!E73</f>
        <v>18000</v>
      </c>
      <c r="K979" s="13">
        <f t="shared" si="78"/>
        <v>0</v>
      </c>
      <c r="L979" s="55">
        <v>0</v>
      </c>
      <c r="M979" s="33">
        <f t="shared" si="79"/>
        <v>0</v>
      </c>
      <c r="N979" s="22" t="s">
        <v>6254</v>
      </c>
      <c r="O979" s="17" t="s">
        <v>6253</v>
      </c>
      <c r="P979" s="7" t="s">
        <v>6252</v>
      </c>
      <c r="Q979" s="7" t="s">
        <v>3344</v>
      </c>
      <c r="AC979" s="3" t="str">
        <f ca="1">HYPERLINK("#"&amp;재료비목록표!G2&amp;"!A"&amp;ROW(재료비목록표!A73),"자재70 →")</f>
        <v>자재70 →</v>
      </c>
    </row>
    <row r="980" spans="1:29" ht="30.6" customHeight="1" x14ac:dyDescent="0.3">
      <c r="A980" s="10"/>
      <c r="B980" s="10" t="s">
        <v>2218</v>
      </c>
      <c r="C980" s="41" t="s">
        <v>2241</v>
      </c>
      <c r="D980" s="43">
        <v>0</v>
      </c>
      <c r="E980" s="22" t="s">
        <v>1010</v>
      </c>
      <c r="F980" s="45">
        <f t="shared" si="75"/>
        <v>27000</v>
      </c>
      <c r="G980" s="48">
        <f t="shared" si="76"/>
        <v>0</v>
      </c>
      <c r="H980" s="51">
        <v>0</v>
      </c>
      <c r="I980" s="33">
        <f t="shared" si="77"/>
        <v>0</v>
      </c>
      <c r="J980" s="52">
        <f>재료비목록표!E74</f>
        <v>27000</v>
      </c>
      <c r="K980" s="13">
        <f t="shared" si="78"/>
        <v>0</v>
      </c>
      <c r="L980" s="55">
        <v>0</v>
      </c>
      <c r="M980" s="33">
        <f t="shared" si="79"/>
        <v>0</v>
      </c>
      <c r="N980" s="22" t="s">
        <v>6257</v>
      </c>
      <c r="O980" s="17" t="s">
        <v>6256</v>
      </c>
      <c r="P980" s="7" t="s">
        <v>6255</v>
      </c>
      <c r="Q980" s="7" t="s">
        <v>3344</v>
      </c>
      <c r="AC980" s="3" t="str">
        <f ca="1">HYPERLINK("#"&amp;재료비목록표!G2&amp;"!A"&amp;ROW(재료비목록표!A74),"자재71 →")</f>
        <v>자재71 →</v>
      </c>
    </row>
    <row r="981" spans="1:29" ht="30.6" customHeight="1" x14ac:dyDescent="0.3">
      <c r="A981" s="10"/>
      <c r="B981" s="10" t="s">
        <v>2218</v>
      </c>
      <c r="C981" s="41" t="s">
        <v>2244</v>
      </c>
      <c r="D981" s="43">
        <v>0</v>
      </c>
      <c r="E981" s="22" t="s">
        <v>1010</v>
      </c>
      <c r="F981" s="45">
        <f t="shared" si="75"/>
        <v>47000</v>
      </c>
      <c r="G981" s="48">
        <f t="shared" si="76"/>
        <v>0</v>
      </c>
      <c r="H981" s="51">
        <v>0</v>
      </c>
      <c r="I981" s="33">
        <f t="shared" si="77"/>
        <v>0</v>
      </c>
      <c r="J981" s="52">
        <f>재료비목록표!E75</f>
        <v>47000</v>
      </c>
      <c r="K981" s="13">
        <f t="shared" si="78"/>
        <v>0</v>
      </c>
      <c r="L981" s="55">
        <v>0</v>
      </c>
      <c r="M981" s="33">
        <f t="shared" si="79"/>
        <v>0</v>
      </c>
      <c r="N981" s="22" t="s">
        <v>6260</v>
      </c>
      <c r="O981" s="17" t="s">
        <v>6259</v>
      </c>
      <c r="P981" s="7" t="s">
        <v>6258</v>
      </c>
      <c r="Q981" s="7" t="s">
        <v>3344</v>
      </c>
      <c r="AC981" s="3" t="str">
        <f ca="1">HYPERLINK("#"&amp;재료비목록표!G2&amp;"!A"&amp;ROW(재료비목록표!A75),"자재72 →")</f>
        <v>자재72 →</v>
      </c>
    </row>
    <row r="982" spans="1:29" ht="30.6" customHeight="1" x14ac:dyDescent="0.3">
      <c r="A982" s="10"/>
      <c r="B982" s="10" t="s">
        <v>2218</v>
      </c>
      <c r="C982" s="41" t="s">
        <v>2219</v>
      </c>
      <c r="D982" s="43">
        <v>0</v>
      </c>
      <c r="E982" s="22" t="s">
        <v>1010</v>
      </c>
      <c r="F982" s="45">
        <f t="shared" si="75"/>
        <v>54000</v>
      </c>
      <c r="G982" s="48">
        <f t="shared" si="76"/>
        <v>0</v>
      </c>
      <c r="H982" s="51">
        <v>0</v>
      </c>
      <c r="I982" s="33">
        <f t="shared" si="77"/>
        <v>0</v>
      </c>
      <c r="J982" s="52">
        <f>재료비목록표!E66</f>
        <v>54000</v>
      </c>
      <c r="K982" s="13">
        <f t="shared" si="78"/>
        <v>0</v>
      </c>
      <c r="L982" s="55">
        <v>0</v>
      </c>
      <c r="M982" s="33">
        <f t="shared" si="79"/>
        <v>0</v>
      </c>
      <c r="N982" s="22" t="s">
        <v>6263</v>
      </c>
      <c r="O982" s="17" t="s">
        <v>6262</v>
      </c>
      <c r="P982" s="7" t="s">
        <v>6261</v>
      </c>
      <c r="Q982" s="7" t="s">
        <v>3344</v>
      </c>
      <c r="AC982" s="3" t="str">
        <f ca="1">HYPERLINK("#"&amp;재료비목록표!G2&amp;"!A"&amp;ROW(재료비목록표!A66),"자재63 →")</f>
        <v>자재63 →</v>
      </c>
    </row>
    <row r="983" spans="1:29" ht="30.6" customHeight="1" x14ac:dyDescent="0.3">
      <c r="A983" s="10"/>
      <c r="B983" s="10" t="s">
        <v>2218</v>
      </c>
      <c r="C983" s="41" t="s">
        <v>2222</v>
      </c>
      <c r="D983" s="43">
        <v>0</v>
      </c>
      <c r="E983" s="22" t="s">
        <v>1010</v>
      </c>
      <c r="F983" s="45">
        <f t="shared" si="75"/>
        <v>76000</v>
      </c>
      <c r="G983" s="48">
        <f t="shared" si="76"/>
        <v>0</v>
      </c>
      <c r="H983" s="51">
        <v>0</v>
      </c>
      <c r="I983" s="33">
        <f t="shared" si="77"/>
        <v>0</v>
      </c>
      <c r="J983" s="52">
        <f>재료비목록표!E67</f>
        <v>76000</v>
      </c>
      <c r="K983" s="13">
        <f t="shared" si="78"/>
        <v>0</v>
      </c>
      <c r="L983" s="55">
        <v>0</v>
      </c>
      <c r="M983" s="33">
        <f t="shared" si="79"/>
        <v>0</v>
      </c>
      <c r="N983" s="22" t="s">
        <v>6266</v>
      </c>
      <c r="O983" s="17" t="s">
        <v>6265</v>
      </c>
      <c r="P983" s="7" t="s">
        <v>6264</v>
      </c>
      <c r="Q983" s="7" t="s">
        <v>3344</v>
      </c>
      <c r="AC983" s="3" t="str">
        <f ca="1">HYPERLINK("#"&amp;재료비목록표!G2&amp;"!A"&amp;ROW(재료비목록표!A67),"자재64 →")</f>
        <v>자재64 →</v>
      </c>
    </row>
    <row r="984" spans="1:29" ht="30.6" customHeight="1" x14ac:dyDescent="0.3">
      <c r="A984" s="10"/>
      <c r="B984" s="10" t="s">
        <v>2218</v>
      </c>
      <c r="C984" s="41" t="s">
        <v>2228</v>
      </c>
      <c r="D984" s="43">
        <v>0</v>
      </c>
      <c r="E984" s="22" t="s">
        <v>1010</v>
      </c>
      <c r="F984" s="45">
        <f t="shared" si="75"/>
        <v>141000</v>
      </c>
      <c r="G984" s="48">
        <f t="shared" si="76"/>
        <v>0</v>
      </c>
      <c r="H984" s="51">
        <v>0</v>
      </c>
      <c r="I984" s="33">
        <f t="shared" si="77"/>
        <v>0</v>
      </c>
      <c r="J984" s="52">
        <f>재료비목록표!E69</f>
        <v>141000</v>
      </c>
      <c r="K984" s="13">
        <f t="shared" si="78"/>
        <v>0</v>
      </c>
      <c r="L984" s="55">
        <v>0</v>
      </c>
      <c r="M984" s="33">
        <f t="shared" si="79"/>
        <v>0</v>
      </c>
      <c r="N984" s="22" t="s">
        <v>6269</v>
      </c>
      <c r="O984" s="17" t="s">
        <v>6268</v>
      </c>
      <c r="P984" s="7" t="s">
        <v>6267</v>
      </c>
      <c r="Q984" s="7" t="s">
        <v>3344</v>
      </c>
      <c r="AC984" s="3" t="str">
        <f ca="1">HYPERLINK("#"&amp;재료비목록표!G2&amp;"!A"&amp;ROW(재료비목록표!A69),"자재66 →")</f>
        <v>자재66 →</v>
      </c>
    </row>
    <row r="985" spans="1:29" ht="30.6" customHeight="1" x14ac:dyDescent="0.3">
      <c r="A985" s="10"/>
      <c r="B985" s="10" t="s">
        <v>2277</v>
      </c>
      <c r="C985" s="41" t="s">
        <v>2278</v>
      </c>
      <c r="D985" s="43">
        <v>0</v>
      </c>
      <c r="E985" s="22" t="s">
        <v>2279</v>
      </c>
      <c r="F985" s="45">
        <f t="shared" ref="F985:F993" si="80">J985+H985+L985</f>
        <v>5600</v>
      </c>
      <c r="G985" s="48">
        <f t="shared" ref="G985:G993" si="81">K985+I985+M985</f>
        <v>0</v>
      </c>
      <c r="H985" s="51">
        <v>0</v>
      </c>
      <c r="I985" s="33">
        <f t="shared" ref="I985:I993" si="82">ROUNDDOWN(H985*D985,0)</f>
        <v>0</v>
      </c>
      <c r="J985" s="52">
        <f>재료비목록표!E85</f>
        <v>5600</v>
      </c>
      <c r="K985" s="13">
        <f t="shared" ref="K985:K993" si="83">ROUNDDOWN(J985*D985,0)</f>
        <v>0</v>
      </c>
      <c r="L985" s="55">
        <v>0</v>
      </c>
      <c r="M985" s="33">
        <f t="shared" ref="M985:M993" si="84">ROUNDDOWN(L985*D985,0)</f>
        <v>0</v>
      </c>
      <c r="N985" s="22" t="s">
        <v>6272</v>
      </c>
      <c r="O985" s="17" t="s">
        <v>6271</v>
      </c>
      <c r="P985" s="7" t="s">
        <v>6270</v>
      </c>
      <c r="Q985" s="7" t="s">
        <v>3344</v>
      </c>
      <c r="AC985" s="3" t="str">
        <f ca="1">HYPERLINK("#"&amp;재료비목록표!G2&amp;"!A"&amp;ROW(재료비목록표!A85),"자재82 →")</f>
        <v>자재82 →</v>
      </c>
    </row>
    <row r="986" spans="1:29" ht="30.6" customHeight="1" x14ac:dyDescent="0.3">
      <c r="A986" s="10"/>
      <c r="B986" s="10" t="s">
        <v>2863</v>
      </c>
      <c r="C986" s="41" t="s">
        <v>2864</v>
      </c>
      <c r="D986" s="43">
        <v>0</v>
      </c>
      <c r="E986" s="22" t="s">
        <v>1010</v>
      </c>
      <c r="F986" s="45">
        <f t="shared" si="80"/>
        <v>1400</v>
      </c>
      <c r="G986" s="48">
        <f t="shared" si="81"/>
        <v>0</v>
      </c>
      <c r="H986" s="51">
        <v>0</v>
      </c>
      <c r="I986" s="33">
        <f t="shared" si="82"/>
        <v>0</v>
      </c>
      <c r="J986" s="52">
        <f>재료비목록표!E302</f>
        <v>1400</v>
      </c>
      <c r="K986" s="13">
        <f t="shared" si="83"/>
        <v>0</v>
      </c>
      <c r="L986" s="55">
        <v>0</v>
      </c>
      <c r="M986" s="33">
        <f t="shared" si="84"/>
        <v>0</v>
      </c>
      <c r="N986" s="22" t="s">
        <v>6275</v>
      </c>
      <c r="O986" s="17" t="s">
        <v>6274</v>
      </c>
      <c r="P986" s="7" t="s">
        <v>6273</v>
      </c>
      <c r="Q986" s="7" t="s">
        <v>3344</v>
      </c>
      <c r="AC986" s="3" t="str">
        <f ca="1">HYPERLINK("#"&amp;재료비목록표!G2&amp;"!A"&amp;ROW(재료비목록표!A302),"자재299 →")</f>
        <v>자재299 →</v>
      </c>
    </row>
    <row r="987" spans="1:29" ht="30.6" customHeight="1" x14ac:dyDescent="0.3">
      <c r="A987" s="10"/>
      <c r="B987" s="10" t="s">
        <v>2301</v>
      </c>
      <c r="C987" s="41"/>
      <c r="D987" s="43">
        <v>0</v>
      </c>
      <c r="E987" s="22" t="s">
        <v>2302</v>
      </c>
      <c r="F987" s="45">
        <f t="shared" si="80"/>
        <v>7200</v>
      </c>
      <c r="G987" s="48">
        <f t="shared" si="81"/>
        <v>0</v>
      </c>
      <c r="H987" s="51">
        <v>0</v>
      </c>
      <c r="I987" s="33">
        <f t="shared" si="82"/>
        <v>0</v>
      </c>
      <c r="J987" s="52">
        <f>재료비목록표!E92</f>
        <v>7200</v>
      </c>
      <c r="K987" s="13">
        <f t="shared" si="83"/>
        <v>0</v>
      </c>
      <c r="L987" s="55">
        <v>0</v>
      </c>
      <c r="M987" s="33">
        <f t="shared" si="84"/>
        <v>0</v>
      </c>
      <c r="N987" s="22" t="s">
        <v>6278</v>
      </c>
      <c r="O987" s="17" t="s">
        <v>6277</v>
      </c>
      <c r="P987" s="7" t="s">
        <v>6276</v>
      </c>
      <c r="Q987" s="7" t="s">
        <v>3344</v>
      </c>
      <c r="AC987" s="3" t="str">
        <f ca="1">HYPERLINK("#"&amp;재료비목록표!G2&amp;"!A"&amp;ROW(재료비목록표!A92),"자재89 →")</f>
        <v>자재89 →</v>
      </c>
    </row>
    <row r="988" spans="1:29" ht="30.6" customHeight="1" x14ac:dyDescent="0.3">
      <c r="A988" s="10"/>
      <c r="B988" s="10" t="s">
        <v>2119</v>
      </c>
      <c r="C988" s="41" t="s">
        <v>2120</v>
      </c>
      <c r="D988" s="43">
        <v>0</v>
      </c>
      <c r="E988" s="22" t="s">
        <v>2121</v>
      </c>
      <c r="F988" s="45">
        <f t="shared" si="80"/>
        <v>65000</v>
      </c>
      <c r="G988" s="48">
        <f t="shared" si="81"/>
        <v>0</v>
      </c>
      <c r="H988" s="51">
        <v>0</v>
      </c>
      <c r="I988" s="33">
        <f t="shared" si="82"/>
        <v>0</v>
      </c>
      <c r="J988" s="52">
        <f>재료비목록표!E30</f>
        <v>65000</v>
      </c>
      <c r="K988" s="13">
        <f t="shared" si="83"/>
        <v>0</v>
      </c>
      <c r="L988" s="55">
        <v>0</v>
      </c>
      <c r="M988" s="33">
        <f t="shared" si="84"/>
        <v>0</v>
      </c>
      <c r="N988" s="22" t="s">
        <v>6281</v>
      </c>
      <c r="O988" s="17" t="s">
        <v>6280</v>
      </c>
      <c r="P988" s="7" t="s">
        <v>6279</v>
      </c>
      <c r="Q988" s="7" t="s">
        <v>3344</v>
      </c>
      <c r="AC988" s="3" t="str">
        <f ca="1">HYPERLINK("#"&amp;재료비목록표!G2&amp;"!A"&amp;ROW(재료비목록표!A30),"자재27 →")</f>
        <v>자재27 →</v>
      </c>
    </row>
    <row r="989" spans="1:29" ht="30.6" customHeight="1" x14ac:dyDescent="0.3">
      <c r="A989" s="10"/>
      <c r="B989" s="10" t="s">
        <v>2305</v>
      </c>
      <c r="C989" s="41" t="s">
        <v>2306</v>
      </c>
      <c r="D989" s="43">
        <v>0</v>
      </c>
      <c r="E989" s="22" t="s">
        <v>2307</v>
      </c>
      <c r="F989" s="45">
        <f t="shared" si="80"/>
        <v>2944</v>
      </c>
      <c r="G989" s="48">
        <f t="shared" si="81"/>
        <v>0</v>
      </c>
      <c r="H989" s="51">
        <v>0</v>
      </c>
      <c r="I989" s="33">
        <f t="shared" si="82"/>
        <v>0</v>
      </c>
      <c r="J989" s="52">
        <f>재료비목록표!E93</f>
        <v>2944</v>
      </c>
      <c r="K989" s="13">
        <f t="shared" si="83"/>
        <v>0</v>
      </c>
      <c r="L989" s="55">
        <v>0</v>
      </c>
      <c r="M989" s="33">
        <f t="shared" si="84"/>
        <v>0</v>
      </c>
      <c r="N989" s="22" t="s">
        <v>6284</v>
      </c>
      <c r="O989" s="17" t="s">
        <v>6283</v>
      </c>
      <c r="P989" s="7" t="s">
        <v>6282</v>
      </c>
      <c r="Q989" s="7" t="s">
        <v>3344</v>
      </c>
      <c r="AC989" s="3" t="str">
        <f ca="1">HYPERLINK("#"&amp;재료비목록표!G2&amp;"!A"&amp;ROW(재료비목록표!A93),"자재90 →")</f>
        <v>자재90 →</v>
      </c>
    </row>
    <row r="990" spans="1:29" ht="30.6" customHeight="1" x14ac:dyDescent="0.3">
      <c r="A990" s="10"/>
      <c r="B990" s="10" t="s">
        <v>2773</v>
      </c>
      <c r="C990" s="41" t="s">
        <v>2774</v>
      </c>
      <c r="D990" s="43">
        <v>0</v>
      </c>
      <c r="E990" s="22" t="s">
        <v>2302</v>
      </c>
      <c r="F990" s="45">
        <f t="shared" si="80"/>
        <v>5110</v>
      </c>
      <c r="G990" s="48">
        <f t="shared" si="81"/>
        <v>0</v>
      </c>
      <c r="H990" s="51">
        <v>0</v>
      </c>
      <c r="I990" s="33">
        <f t="shared" si="82"/>
        <v>0</v>
      </c>
      <c r="J990" s="52">
        <f>재료비목록표!E263</f>
        <v>5110</v>
      </c>
      <c r="K990" s="13">
        <f t="shared" si="83"/>
        <v>0</v>
      </c>
      <c r="L990" s="55">
        <v>0</v>
      </c>
      <c r="M990" s="33">
        <f t="shared" si="84"/>
        <v>0</v>
      </c>
      <c r="N990" s="22" t="s">
        <v>6287</v>
      </c>
      <c r="O990" s="17" t="s">
        <v>6286</v>
      </c>
      <c r="P990" s="7" t="s">
        <v>6285</v>
      </c>
      <c r="Q990" s="7" t="s">
        <v>3344</v>
      </c>
      <c r="AC990" s="3" t="str">
        <f ca="1">HYPERLINK("#"&amp;재료비목록표!G2&amp;"!A"&amp;ROW(재료비목록표!A263),"자재260 →")</f>
        <v>자재260 →</v>
      </c>
    </row>
    <row r="991" spans="1:29" ht="30.6" customHeight="1" x14ac:dyDescent="0.3">
      <c r="A991" s="10"/>
      <c r="B991" s="10" t="s">
        <v>2684</v>
      </c>
      <c r="C991" s="41" t="s">
        <v>2685</v>
      </c>
      <c r="D991" s="43">
        <v>0</v>
      </c>
      <c r="E991" s="22" t="s">
        <v>2121</v>
      </c>
      <c r="F991" s="45">
        <f t="shared" si="80"/>
        <v>4500</v>
      </c>
      <c r="G991" s="48">
        <f t="shared" si="81"/>
        <v>0</v>
      </c>
      <c r="H991" s="51">
        <v>0</v>
      </c>
      <c r="I991" s="33">
        <f t="shared" si="82"/>
        <v>0</v>
      </c>
      <c r="J991" s="52">
        <f>재료비목록표!E233</f>
        <v>4500</v>
      </c>
      <c r="K991" s="13">
        <f t="shared" si="83"/>
        <v>0</v>
      </c>
      <c r="L991" s="55">
        <v>0</v>
      </c>
      <c r="M991" s="33">
        <f t="shared" si="84"/>
        <v>0</v>
      </c>
      <c r="N991" s="22" t="s">
        <v>6290</v>
      </c>
      <c r="O991" s="17" t="s">
        <v>6289</v>
      </c>
      <c r="P991" s="7" t="s">
        <v>6288</v>
      </c>
      <c r="Q991" s="7" t="s">
        <v>3344</v>
      </c>
      <c r="AC991" s="3" t="str">
        <f ca="1">HYPERLINK("#"&amp;재료비목록표!G2&amp;"!A"&amp;ROW(재료비목록표!A233),"자재230 →")</f>
        <v>자재230 →</v>
      </c>
    </row>
    <row r="992" spans="1:29" ht="30.6" customHeight="1" x14ac:dyDescent="0.3">
      <c r="A992" s="10"/>
      <c r="B992" s="10" t="s">
        <v>2918</v>
      </c>
      <c r="C992" s="41" t="s">
        <v>2919</v>
      </c>
      <c r="D992" s="43">
        <v>0</v>
      </c>
      <c r="E992" s="22" t="s">
        <v>2121</v>
      </c>
      <c r="F992" s="45">
        <f t="shared" si="80"/>
        <v>7000</v>
      </c>
      <c r="G992" s="48">
        <f t="shared" si="81"/>
        <v>0</v>
      </c>
      <c r="H992" s="51">
        <v>0</v>
      </c>
      <c r="I992" s="33">
        <f t="shared" si="82"/>
        <v>0</v>
      </c>
      <c r="J992" s="52">
        <f>재료비목록표!E320</f>
        <v>7000</v>
      </c>
      <c r="K992" s="13">
        <f t="shared" si="83"/>
        <v>0</v>
      </c>
      <c r="L992" s="55">
        <v>0</v>
      </c>
      <c r="M992" s="33">
        <f t="shared" si="84"/>
        <v>0</v>
      </c>
      <c r="N992" s="22" t="s">
        <v>6293</v>
      </c>
      <c r="O992" s="17" t="s">
        <v>6292</v>
      </c>
      <c r="P992" s="7" t="s">
        <v>6291</v>
      </c>
      <c r="Q992" s="7" t="s">
        <v>3344</v>
      </c>
      <c r="AC992" s="3" t="str">
        <f ca="1">HYPERLINK("#"&amp;재료비목록표!G2&amp;"!A"&amp;ROW(재료비목록표!A320),"자재317 →")</f>
        <v>자재317 →</v>
      </c>
    </row>
    <row r="993" spans="1:29" ht="30.6" customHeight="1" x14ac:dyDescent="0.3">
      <c r="A993" s="10"/>
      <c r="B993" s="10" t="s">
        <v>2071</v>
      </c>
      <c r="C993" s="41" t="s">
        <v>2072</v>
      </c>
      <c r="D993" s="43">
        <v>0</v>
      </c>
      <c r="E993" s="22" t="s">
        <v>1010</v>
      </c>
      <c r="F993" s="45">
        <f t="shared" si="80"/>
        <v>19670</v>
      </c>
      <c r="G993" s="48">
        <f t="shared" si="81"/>
        <v>0</v>
      </c>
      <c r="H993" s="51">
        <v>0</v>
      </c>
      <c r="I993" s="33">
        <f t="shared" si="82"/>
        <v>0</v>
      </c>
      <c r="J993" s="52">
        <f>재료비목록표!E14</f>
        <v>19670</v>
      </c>
      <c r="K993" s="13">
        <f t="shared" si="83"/>
        <v>0</v>
      </c>
      <c r="L993" s="55">
        <v>0</v>
      </c>
      <c r="M993" s="33">
        <f t="shared" si="84"/>
        <v>0</v>
      </c>
      <c r="N993" s="22" t="s">
        <v>6296</v>
      </c>
      <c r="O993" s="17" t="s">
        <v>6295</v>
      </c>
      <c r="P993" s="7" t="s">
        <v>6294</v>
      </c>
      <c r="Q993" s="7" t="s">
        <v>3344</v>
      </c>
      <c r="AC993" s="3" t="str">
        <f ca="1">HYPERLINK("#"&amp;재료비목록표!G2&amp;"!A"&amp;ROW(재료비목록표!A14),"자재11 →")</f>
        <v>자재11 →</v>
      </c>
    </row>
    <row r="994" spans="1:29" ht="30.6" customHeight="1" x14ac:dyDescent="0.3">
      <c r="A994" s="10"/>
      <c r="B994" s="10"/>
      <c r="C994" s="10"/>
      <c r="D994" s="44"/>
      <c r="E994" s="31"/>
      <c r="F994" s="46"/>
      <c r="G994" s="46"/>
      <c r="H994" s="46"/>
      <c r="I994" s="46"/>
      <c r="J994" s="46"/>
      <c r="K994" s="46"/>
      <c r="L994" s="46"/>
      <c r="M994" s="46"/>
      <c r="N994" s="22"/>
    </row>
    <row r="995" spans="1:29" ht="30.6" customHeight="1" x14ac:dyDescent="0.3">
      <c r="A995" s="10"/>
      <c r="B995" s="10"/>
      <c r="C995" s="10"/>
      <c r="D995" s="44"/>
      <c r="E995" s="31"/>
      <c r="F995" s="46"/>
      <c r="G995" s="46"/>
      <c r="H995" s="46"/>
      <c r="I995" s="46"/>
      <c r="J995" s="46"/>
      <c r="K995" s="46"/>
      <c r="L995" s="46"/>
      <c r="M995" s="46"/>
      <c r="N995" s="22"/>
    </row>
    <row r="996" spans="1:29" ht="30.6" customHeight="1" x14ac:dyDescent="0.3">
      <c r="A996" s="10"/>
      <c r="B996" s="10"/>
      <c r="C996" s="10"/>
      <c r="D996" s="44"/>
      <c r="E996" s="31"/>
      <c r="F996" s="46"/>
      <c r="G996" s="46"/>
      <c r="H996" s="46"/>
      <c r="I996" s="46"/>
      <c r="J996" s="46"/>
      <c r="K996" s="46"/>
      <c r="L996" s="46"/>
      <c r="M996" s="46"/>
      <c r="N996" s="22"/>
    </row>
    <row r="997" spans="1:29" ht="30.6" customHeight="1" x14ac:dyDescent="0.3">
      <c r="A997" s="10"/>
      <c r="B997" s="10"/>
      <c r="C997" s="10"/>
      <c r="D997" s="44"/>
      <c r="E997" s="31"/>
      <c r="F997" s="46"/>
      <c r="G997" s="46"/>
      <c r="H997" s="46"/>
      <c r="I997" s="46"/>
      <c r="J997" s="46"/>
      <c r="K997" s="46"/>
      <c r="L997" s="46"/>
      <c r="M997" s="46"/>
      <c r="N997" s="22"/>
    </row>
    <row r="998" spans="1:29" ht="30.6" customHeight="1" x14ac:dyDescent="0.3">
      <c r="A998" s="10"/>
      <c r="B998" s="10"/>
      <c r="C998" s="10"/>
      <c r="D998" s="44"/>
      <c r="E998" s="31"/>
      <c r="F998" s="46"/>
      <c r="G998" s="46"/>
      <c r="H998" s="46"/>
      <c r="I998" s="46"/>
      <c r="J998" s="46"/>
      <c r="K998" s="46"/>
      <c r="L998" s="46"/>
      <c r="M998" s="46"/>
      <c r="N998" s="22"/>
    </row>
    <row r="999" spans="1:29" ht="30.6" customHeight="1" x14ac:dyDescent="0.3">
      <c r="A999" s="10"/>
      <c r="B999" s="10"/>
      <c r="C999" s="10"/>
      <c r="D999" s="44"/>
      <c r="E999" s="31"/>
      <c r="F999" s="46"/>
      <c r="G999" s="46"/>
      <c r="H999" s="46"/>
      <c r="I999" s="46"/>
      <c r="J999" s="46"/>
      <c r="K999" s="46"/>
      <c r="L999" s="46"/>
      <c r="M999" s="46"/>
      <c r="N999" s="22"/>
    </row>
    <row r="1000" spans="1:29" ht="30.6" customHeight="1" x14ac:dyDescent="0.3">
      <c r="A1000" s="10"/>
      <c r="B1000" s="10"/>
      <c r="C1000" s="10"/>
      <c r="D1000" s="44"/>
      <c r="E1000" s="31"/>
      <c r="F1000" s="46"/>
      <c r="G1000" s="46"/>
      <c r="H1000" s="46"/>
      <c r="I1000" s="46"/>
      <c r="J1000" s="46"/>
      <c r="K1000" s="46"/>
      <c r="L1000" s="46"/>
      <c r="M1000" s="46"/>
      <c r="N1000" s="22"/>
    </row>
    <row r="1001" spans="1:29" ht="30.6" customHeight="1" x14ac:dyDescent="0.3">
      <c r="A1001" s="10"/>
      <c r="B1001" s="10"/>
      <c r="C1001" s="10"/>
      <c r="D1001" s="44"/>
      <c r="E1001" s="31"/>
      <c r="F1001" s="46"/>
      <c r="G1001" s="46"/>
      <c r="H1001" s="46"/>
      <c r="I1001" s="46"/>
      <c r="J1001" s="46"/>
      <c r="K1001" s="46"/>
      <c r="L1001" s="46"/>
      <c r="M1001" s="46"/>
      <c r="N1001" s="22"/>
    </row>
    <row r="1002" spans="1:29" ht="30.6" customHeight="1" x14ac:dyDescent="0.3">
      <c r="A1002" s="10"/>
      <c r="B1002" s="10"/>
      <c r="C1002" s="10"/>
      <c r="D1002" s="44"/>
      <c r="E1002" s="31"/>
      <c r="F1002" s="46"/>
      <c r="G1002" s="46"/>
      <c r="H1002" s="46"/>
      <c r="I1002" s="46"/>
      <c r="J1002" s="46"/>
      <c r="K1002" s="46"/>
      <c r="L1002" s="46"/>
      <c r="M1002" s="46"/>
      <c r="N1002" s="22"/>
    </row>
    <row r="1003" spans="1:29" ht="30.6" customHeight="1" x14ac:dyDescent="0.3">
      <c r="A1003" s="10"/>
      <c r="B1003" s="10"/>
      <c r="C1003" s="10"/>
      <c r="D1003" s="44"/>
      <c r="E1003" s="31"/>
      <c r="F1003" s="46"/>
      <c r="G1003" s="46"/>
      <c r="H1003" s="46"/>
      <c r="I1003" s="46"/>
      <c r="J1003" s="46"/>
      <c r="K1003" s="46"/>
      <c r="L1003" s="46"/>
      <c r="M1003" s="46"/>
      <c r="N1003" s="22"/>
    </row>
    <row r="1004" spans="1:29" ht="30.6" customHeight="1" x14ac:dyDescent="0.3">
      <c r="A1004" s="10"/>
      <c r="B1004" s="10"/>
      <c r="C1004" s="10"/>
      <c r="D1004" s="44"/>
      <c r="E1004" s="31"/>
      <c r="F1004" s="46"/>
      <c r="G1004" s="46"/>
      <c r="H1004" s="46"/>
      <c r="I1004" s="46"/>
      <c r="J1004" s="46"/>
      <c r="K1004" s="46"/>
      <c r="L1004" s="46"/>
      <c r="M1004" s="46"/>
      <c r="N1004" s="22"/>
    </row>
    <row r="1005" spans="1:29" ht="30.6" customHeight="1" x14ac:dyDescent="0.3">
      <c r="A1005" s="10" t="s">
        <v>5314</v>
      </c>
      <c r="B1005" s="10" t="s">
        <v>3339</v>
      </c>
      <c r="C1005" s="41"/>
      <c r="D1005" s="42"/>
      <c r="E1005" s="22"/>
      <c r="F1005" s="12">
        <v>0</v>
      </c>
      <c r="G1005" s="47">
        <f>SUMIF(Q1006:Q1011,P1005,G1006:G1011)</f>
        <v>0</v>
      </c>
      <c r="H1005" s="13">
        <v>0</v>
      </c>
      <c r="I1005" s="48">
        <f>SUMIF(Q1006:Q1011,P1005,I1006:I1011)</f>
        <v>0</v>
      </c>
      <c r="J1005" s="13">
        <v>0</v>
      </c>
      <c r="K1005" s="53">
        <f>SUMIF(Q1006:Q1011,P1005,K1006:K1011)</f>
        <v>0</v>
      </c>
      <c r="L1005" s="33">
        <v>0</v>
      </c>
      <c r="M1005" s="53">
        <f>SUMIF(Q1006:Q1011,P1005,M1006:M1011)</f>
        <v>0</v>
      </c>
      <c r="N1005" s="22" t="s">
        <v>6297</v>
      </c>
      <c r="O1005" s="17" t="str">
        <f>"_x0007_`COD|C2_x0005_`QTY1|1_x0005_`EXI|1_x0005_`ITT|0_x0005_`END|"&amp;ROW(M1012)&amp;"_x0005_`"</f>
        <v>_x0007_`COD|C2_x0005_`QTY1|1_x0005_`EXI|1_x0005_`ITT|0_x0005_`END|1012_x0005_`</v>
      </c>
      <c r="P1005" s="7" t="s">
        <v>6316</v>
      </c>
    </row>
    <row r="1006" spans="1:29" ht="30.6" customHeight="1" x14ac:dyDescent="0.3">
      <c r="A1006" s="10"/>
      <c r="B1006" s="10" t="s">
        <v>3149</v>
      </c>
      <c r="C1006" s="41" t="s">
        <v>3150</v>
      </c>
      <c r="D1006" s="43">
        <v>0</v>
      </c>
      <c r="E1006" s="22" t="s">
        <v>3143</v>
      </c>
      <c r="F1006" s="45">
        <f t="shared" ref="F1006:G1011" si="85">J1006+H1006+L1006</f>
        <v>38000</v>
      </c>
      <c r="G1006" s="48">
        <f t="shared" si="85"/>
        <v>0</v>
      </c>
      <c r="H1006" s="50">
        <f>일식견적목록표!F18</f>
        <v>0</v>
      </c>
      <c r="I1006" s="13">
        <f t="shared" ref="I1006:I1011" si="86">ROUNDDOWN(H1006*D1006,0)</f>
        <v>0</v>
      </c>
      <c r="J1006" s="52">
        <f>일식견적목록표!G18</f>
        <v>0</v>
      </c>
      <c r="K1006" s="13">
        <f t="shared" ref="K1006:K1011" si="87">ROUNDDOWN(J1006*D1006,0)</f>
        <v>0</v>
      </c>
      <c r="L1006" s="54">
        <f>일식견적목록표!H18</f>
        <v>38000</v>
      </c>
      <c r="M1006" s="33">
        <f t="shared" ref="M1006:M1011" si="88">ROUNDDOWN(L1006*D1006,0)</f>
        <v>0</v>
      </c>
      <c r="N1006" s="22" t="s">
        <v>6300</v>
      </c>
      <c r="O1006" s="17" t="s">
        <v>6299</v>
      </c>
      <c r="P1006" s="7" t="s">
        <v>6298</v>
      </c>
      <c r="Q1006" s="7" t="s">
        <v>6316</v>
      </c>
      <c r="AC1006" s="3" t="str">
        <f ca="1">HYPERLINK("#"&amp;일식견적목록표!J2&amp;"!A"&amp;ROW(일식견적목록표!A18),"기타15 →")</f>
        <v>기타15 →</v>
      </c>
    </row>
    <row r="1007" spans="1:29" ht="30.6" customHeight="1" x14ac:dyDescent="0.3">
      <c r="A1007" s="10"/>
      <c r="B1007" s="10" t="s">
        <v>3149</v>
      </c>
      <c r="C1007" s="41" t="s">
        <v>3152</v>
      </c>
      <c r="D1007" s="43">
        <v>0</v>
      </c>
      <c r="E1007" s="22" t="s">
        <v>3143</v>
      </c>
      <c r="F1007" s="45">
        <f t="shared" si="85"/>
        <v>36000</v>
      </c>
      <c r="G1007" s="48">
        <f t="shared" si="85"/>
        <v>0</v>
      </c>
      <c r="H1007" s="50">
        <f>일식견적목록표!F19</f>
        <v>0</v>
      </c>
      <c r="I1007" s="13">
        <f t="shared" si="86"/>
        <v>0</v>
      </c>
      <c r="J1007" s="52">
        <f>일식견적목록표!G19</f>
        <v>0</v>
      </c>
      <c r="K1007" s="13">
        <f t="shared" si="87"/>
        <v>0</v>
      </c>
      <c r="L1007" s="54">
        <f>일식견적목록표!H19</f>
        <v>36000</v>
      </c>
      <c r="M1007" s="33">
        <f t="shared" si="88"/>
        <v>0</v>
      </c>
      <c r="N1007" s="22" t="s">
        <v>6303</v>
      </c>
      <c r="O1007" s="17" t="s">
        <v>6302</v>
      </c>
      <c r="P1007" s="7" t="s">
        <v>6301</v>
      </c>
      <c r="Q1007" s="7" t="s">
        <v>6316</v>
      </c>
      <c r="AC1007" s="3" t="str">
        <f ca="1">HYPERLINK("#"&amp;일식견적목록표!J2&amp;"!A"&amp;ROW(일식견적목록표!A19),"기타16 →")</f>
        <v>기타16 →</v>
      </c>
    </row>
    <row r="1008" spans="1:29" ht="30.6" customHeight="1" x14ac:dyDescent="0.3">
      <c r="A1008" s="10"/>
      <c r="B1008" s="10" t="s">
        <v>3149</v>
      </c>
      <c r="C1008" s="41" t="s">
        <v>3154</v>
      </c>
      <c r="D1008" s="43">
        <v>0</v>
      </c>
      <c r="E1008" s="22" t="s">
        <v>3143</v>
      </c>
      <c r="F1008" s="45">
        <f t="shared" si="85"/>
        <v>170000</v>
      </c>
      <c r="G1008" s="48">
        <f t="shared" si="85"/>
        <v>0</v>
      </c>
      <c r="H1008" s="50">
        <f>일식견적목록표!F20</f>
        <v>0</v>
      </c>
      <c r="I1008" s="13">
        <f t="shared" si="86"/>
        <v>0</v>
      </c>
      <c r="J1008" s="52">
        <f>일식견적목록표!G20</f>
        <v>0</v>
      </c>
      <c r="K1008" s="13">
        <f t="shared" si="87"/>
        <v>0</v>
      </c>
      <c r="L1008" s="54">
        <f>일식견적목록표!H20</f>
        <v>170000</v>
      </c>
      <c r="M1008" s="33">
        <f t="shared" si="88"/>
        <v>0</v>
      </c>
      <c r="N1008" s="22" t="s">
        <v>6306</v>
      </c>
      <c r="O1008" s="17" t="s">
        <v>6305</v>
      </c>
      <c r="P1008" s="7" t="s">
        <v>6304</v>
      </c>
      <c r="Q1008" s="7" t="s">
        <v>6316</v>
      </c>
      <c r="AC1008" s="3" t="str">
        <f ca="1">HYPERLINK("#"&amp;일식견적목록표!J2&amp;"!A"&amp;ROW(일식견적목록표!A20),"기타17 →")</f>
        <v>기타17 →</v>
      </c>
    </row>
    <row r="1009" spans="1:29" ht="30.6" customHeight="1" x14ac:dyDescent="0.3">
      <c r="A1009" s="10"/>
      <c r="B1009" s="10" t="s">
        <v>3141</v>
      </c>
      <c r="C1009" s="41" t="s">
        <v>3142</v>
      </c>
      <c r="D1009" s="43">
        <v>0</v>
      </c>
      <c r="E1009" s="22" t="s">
        <v>3143</v>
      </c>
      <c r="F1009" s="45">
        <f t="shared" si="85"/>
        <v>58000</v>
      </c>
      <c r="G1009" s="48">
        <f t="shared" si="85"/>
        <v>0</v>
      </c>
      <c r="H1009" s="50">
        <f>일식견적목록표!F15</f>
        <v>0</v>
      </c>
      <c r="I1009" s="13">
        <f t="shared" si="86"/>
        <v>0</v>
      </c>
      <c r="J1009" s="52">
        <f>일식견적목록표!G15</f>
        <v>0</v>
      </c>
      <c r="K1009" s="13">
        <f t="shared" si="87"/>
        <v>0</v>
      </c>
      <c r="L1009" s="54">
        <f>일식견적목록표!H15</f>
        <v>58000</v>
      </c>
      <c r="M1009" s="33">
        <f t="shared" si="88"/>
        <v>0</v>
      </c>
      <c r="N1009" s="22" t="s">
        <v>6309</v>
      </c>
      <c r="O1009" s="17" t="s">
        <v>6308</v>
      </c>
      <c r="P1009" s="7" t="s">
        <v>6307</v>
      </c>
      <c r="Q1009" s="7" t="s">
        <v>6316</v>
      </c>
      <c r="AC1009" s="3" t="str">
        <f ca="1">HYPERLINK("#"&amp;일식견적목록표!J2&amp;"!A"&amp;ROW(일식견적목록표!A15),"기타12 →")</f>
        <v>기타12 →</v>
      </c>
    </row>
    <row r="1010" spans="1:29" ht="30.6" customHeight="1" x14ac:dyDescent="0.3">
      <c r="A1010" s="10"/>
      <c r="B1010" s="10" t="s">
        <v>3141</v>
      </c>
      <c r="C1010" s="41" t="s">
        <v>3145</v>
      </c>
      <c r="D1010" s="43">
        <v>0</v>
      </c>
      <c r="E1010" s="22" t="s">
        <v>3143</v>
      </c>
      <c r="F1010" s="45">
        <f t="shared" si="85"/>
        <v>50000</v>
      </c>
      <c r="G1010" s="48">
        <f t="shared" si="85"/>
        <v>0</v>
      </c>
      <c r="H1010" s="50">
        <f>일식견적목록표!F16</f>
        <v>0</v>
      </c>
      <c r="I1010" s="13">
        <f t="shared" si="86"/>
        <v>0</v>
      </c>
      <c r="J1010" s="52">
        <f>일식견적목록표!G16</f>
        <v>0</v>
      </c>
      <c r="K1010" s="13">
        <f t="shared" si="87"/>
        <v>0</v>
      </c>
      <c r="L1010" s="54">
        <f>일식견적목록표!H16</f>
        <v>50000</v>
      </c>
      <c r="M1010" s="33">
        <f t="shared" si="88"/>
        <v>0</v>
      </c>
      <c r="N1010" s="22" t="s">
        <v>6312</v>
      </c>
      <c r="O1010" s="17" t="s">
        <v>6311</v>
      </c>
      <c r="P1010" s="7" t="s">
        <v>6310</v>
      </c>
      <c r="Q1010" s="7" t="s">
        <v>6316</v>
      </c>
      <c r="AC1010" s="3" t="str">
        <f ca="1">HYPERLINK("#"&amp;일식견적목록표!J2&amp;"!A"&amp;ROW(일식견적목록표!A16),"기타13 →")</f>
        <v>기타13 →</v>
      </c>
    </row>
    <row r="1011" spans="1:29" ht="30.6" customHeight="1" x14ac:dyDescent="0.3">
      <c r="A1011" s="10"/>
      <c r="B1011" s="10" t="s">
        <v>3141</v>
      </c>
      <c r="C1011" s="41" t="s">
        <v>3147</v>
      </c>
      <c r="D1011" s="43">
        <v>0</v>
      </c>
      <c r="E1011" s="22" t="s">
        <v>3143</v>
      </c>
      <c r="F1011" s="45">
        <f t="shared" si="85"/>
        <v>40000</v>
      </c>
      <c r="G1011" s="48">
        <f t="shared" si="85"/>
        <v>0</v>
      </c>
      <c r="H1011" s="50">
        <f>일식견적목록표!F17</f>
        <v>0</v>
      </c>
      <c r="I1011" s="13">
        <f t="shared" si="86"/>
        <v>0</v>
      </c>
      <c r="J1011" s="52">
        <f>일식견적목록표!G17</f>
        <v>0</v>
      </c>
      <c r="K1011" s="13">
        <f t="shared" si="87"/>
        <v>0</v>
      </c>
      <c r="L1011" s="54">
        <f>일식견적목록표!H17</f>
        <v>40000</v>
      </c>
      <c r="M1011" s="33">
        <f t="shared" si="88"/>
        <v>0</v>
      </c>
      <c r="N1011" s="22" t="s">
        <v>6315</v>
      </c>
      <c r="O1011" s="17" t="s">
        <v>6314</v>
      </c>
      <c r="P1011" s="7" t="s">
        <v>6313</v>
      </c>
      <c r="Q1011" s="7" t="s">
        <v>6316</v>
      </c>
      <c r="AC1011" s="3" t="str">
        <f ca="1">HYPERLINK("#"&amp;일식견적목록표!J2&amp;"!A"&amp;ROW(일식견적목록표!A17),"기타14 →")</f>
        <v>기타14 →</v>
      </c>
    </row>
    <row r="1012" spans="1:29" ht="30.6" customHeight="1" x14ac:dyDescent="0.3">
      <c r="A1012" s="10"/>
      <c r="B1012" s="10"/>
      <c r="C1012" s="10"/>
      <c r="D1012" s="44"/>
      <c r="E1012" s="31"/>
      <c r="F1012" s="46"/>
      <c r="G1012" s="46"/>
      <c r="H1012" s="46"/>
      <c r="I1012" s="46"/>
      <c r="J1012" s="46"/>
      <c r="K1012" s="46"/>
      <c r="L1012" s="46"/>
      <c r="M1012" s="46"/>
      <c r="N1012" s="22"/>
    </row>
    <row r="1013" spans="1:29" ht="30.6" customHeight="1" x14ac:dyDescent="0.3">
      <c r="A1013" s="10"/>
      <c r="B1013" s="10"/>
      <c r="C1013" s="10"/>
      <c r="D1013" s="44"/>
      <c r="E1013" s="31"/>
      <c r="F1013" s="46"/>
      <c r="G1013" s="46"/>
      <c r="H1013" s="46"/>
      <c r="I1013" s="46"/>
      <c r="J1013" s="46"/>
      <c r="K1013" s="46"/>
      <c r="L1013" s="46"/>
      <c r="M1013" s="46"/>
      <c r="N1013" s="22"/>
    </row>
    <row r="1014" spans="1:29" ht="30.6" customHeight="1" x14ac:dyDescent="0.3">
      <c r="A1014" s="10"/>
      <c r="B1014" s="10"/>
      <c r="C1014" s="10"/>
      <c r="D1014" s="44"/>
      <c r="E1014" s="31"/>
      <c r="F1014" s="46"/>
      <c r="G1014" s="46"/>
      <c r="H1014" s="46"/>
      <c r="I1014" s="46"/>
      <c r="J1014" s="46"/>
      <c r="K1014" s="46"/>
      <c r="L1014" s="46"/>
      <c r="M1014" s="46"/>
      <c r="N1014" s="22"/>
    </row>
    <row r="1015" spans="1:29" ht="30.6" customHeight="1" x14ac:dyDescent="0.3">
      <c r="A1015" s="10"/>
      <c r="B1015" s="10"/>
      <c r="C1015" s="10"/>
      <c r="D1015" s="44"/>
      <c r="E1015" s="31"/>
      <c r="F1015" s="46"/>
      <c r="G1015" s="46"/>
      <c r="H1015" s="46"/>
      <c r="I1015" s="46"/>
      <c r="J1015" s="46"/>
      <c r="K1015" s="46"/>
      <c r="L1015" s="46"/>
      <c r="M1015" s="46"/>
      <c r="N1015" s="22"/>
    </row>
    <row r="1016" spans="1:29" ht="30.6" customHeight="1" x14ac:dyDescent="0.3">
      <c r="A1016" s="10"/>
      <c r="B1016" s="10"/>
      <c r="C1016" s="10"/>
      <c r="D1016" s="44"/>
      <c r="E1016" s="31"/>
      <c r="F1016" s="46"/>
      <c r="G1016" s="46"/>
      <c r="H1016" s="46"/>
      <c r="I1016" s="46"/>
      <c r="J1016" s="46"/>
      <c r="K1016" s="46"/>
      <c r="L1016" s="46"/>
      <c r="M1016" s="46"/>
      <c r="N1016" s="22"/>
    </row>
    <row r="1017" spans="1:29" ht="30.6" customHeight="1" x14ac:dyDescent="0.3">
      <c r="A1017" s="10"/>
      <c r="B1017" s="10"/>
      <c r="C1017" s="10"/>
      <c r="D1017" s="44"/>
      <c r="E1017" s="31"/>
      <c r="F1017" s="46"/>
      <c r="G1017" s="46"/>
      <c r="H1017" s="46"/>
      <c r="I1017" s="46"/>
      <c r="J1017" s="46"/>
      <c r="K1017" s="46"/>
      <c r="L1017" s="46"/>
      <c r="M1017" s="46"/>
      <c r="N1017" s="22"/>
    </row>
    <row r="1018" spans="1:29" ht="30.6" customHeight="1" x14ac:dyDescent="0.3">
      <c r="A1018" s="10"/>
      <c r="B1018" s="10"/>
      <c r="C1018" s="10"/>
      <c r="D1018" s="44"/>
      <c r="E1018" s="31"/>
      <c r="F1018" s="46"/>
      <c r="G1018" s="46"/>
      <c r="H1018" s="46"/>
      <c r="I1018" s="46"/>
      <c r="J1018" s="46"/>
      <c r="K1018" s="46"/>
      <c r="L1018" s="46"/>
      <c r="M1018" s="46"/>
      <c r="N1018" s="22"/>
    </row>
    <row r="1019" spans="1:29" ht="30.6" customHeight="1" x14ac:dyDescent="0.3">
      <c r="A1019" s="10"/>
      <c r="B1019" s="10"/>
      <c r="C1019" s="10"/>
      <c r="D1019" s="44"/>
      <c r="E1019" s="31"/>
      <c r="F1019" s="46"/>
      <c r="G1019" s="46"/>
      <c r="H1019" s="46"/>
      <c r="I1019" s="46"/>
      <c r="J1019" s="46"/>
      <c r="K1019" s="46"/>
      <c r="L1019" s="46"/>
      <c r="M1019" s="46"/>
      <c r="N1019" s="22"/>
    </row>
    <row r="1020" spans="1:29" ht="30.6" customHeight="1" x14ac:dyDescent="0.3">
      <c r="A1020" s="10"/>
      <c r="B1020" s="10"/>
      <c r="C1020" s="10"/>
      <c r="D1020" s="44"/>
      <c r="E1020" s="31"/>
      <c r="F1020" s="46"/>
      <c r="G1020" s="46"/>
      <c r="H1020" s="46"/>
      <c r="I1020" s="46"/>
      <c r="J1020" s="46"/>
      <c r="K1020" s="46"/>
      <c r="L1020" s="46"/>
      <c r="M1020" s="46"/>
      <c r="N1020" s="22"/>
    </row>
    <row r="1021" spans="1:29" ht="30.6" customHeight="1" x14ac:dyDescent="0.3">
      <c r="A1021" s="10"/>
      <c r="B1021" s="10"/>
      <c r="C1021" s="10"/>
      <c r="D1021" s="44"/>
      <c r="E1021" s="31"/>
      <c r="F1021" s="46"/>
      <c r="G1021" s="46"/>
      <c r="H1021" s="46"/>
      <c r="I1021" s="46"/>
      <c r="J1021" s="46"/>
      <c r="K1021" s="46"/>
      <c r="L1021" s="46"/>
      <c r="M1021" s="46"/>
      <c r="N1021" s="22"/>
    </row>
    <row r="1022" spans="1:29" ht="30.6" customHeight="1" x14ac:dyDescent="0.3">
      <c r="A1022" s="10"/>
      <c r="B1022" s="10"/>
      <c r="C1022" s="10"/>
      <c r="D1022" s="44"/>
      <c r="E1022" s="31"/>
      <c r="F1022" s="46"/>
      <c r="G1022" s="46"/>
      <c r="H1022" s="46"/>
      <c r="I1022" s="46"/>
      <c r="J1022" s="46"/>
      <c r="K1022" s="46"/>
      <c r="L1022" s="46"/>
      <c r="M1022" s="46"/>
      <c r="N1022" s="22"/>
    </row>
    <row r="1023" spans="1:29" ht="30.6" customHeight="1" x14ac:dyDescent="0.3">
      <c r="A1023" s="10"/>
      <c r="B1023" s="10"/>
      <c r="C1023" s="10"/>
      <c r="D1023" s="44"/>
      <c r="E1023" s="31"/>
      <c r="F1023" s="46"/>
      <c r="G1023" s="46"/>
      <c r="H1023" s="46"/>
      <c r="I1023" s="46"/>
      <c r="J1023" s="46"/>
      <c r="K1023" s="46"/>
      <c r="L1023" s="46"/>
      <c r="M1023" s="46"/>
      <c r="N1023" s="22"/>
    </row>
    <row r="1024" spans="1:29" ht="30.6" customHeight="1" x14ac:dyDescent="0.3">
      <c r="A1024" s="10"/>
      <c r="B1024" s="10"/>
      <c r="C1024" s="10"/>
      <c r="D1024" s="44"/>
      <c r="E1024" s="31"/>
      <c r="F1024" s="46"/>
      <c r="G1024" s="46"/>
      <c r="H1024" s="46"/>
      <c r="I1024" s="46"/>
      <c r="J1024" s="46"/>
      <c r="K1024" s="46"/>
      <c r="L1024" s="46"/>
      <c r="M1024" s="46"/>
      <c r="N1024" s="22"/>
    </row>
    <row r="1025" spans="2:13" hidden="1" x14ac:dyDescent="0.3">
      <c r="B1025" s="7" t="s">
        <v>5313</v>
      </c>
      <c r="G1025" s="49">
        <f>SUMIF(Q5:Q1024,"E10_1",G5:G1024)</f>
        <v>30784144</v>
      </c>
      <c r="I1025" s="49">
        <f>SUMIF(Q5:Q1024,"E10_1",I5:I1024)</f>
        <v>20883787</v>
      </c>
      <c r="K1025" s="49">
        <f>SUMIF(Q5:Q1024,"E10_1",K5:K1024)</f>
        <v>9620799</v>
      </c>
      <c r="M1025" s="49">
        <f>SUMIF(Q5:Q1024,"E10_1",M5:M1024)</f>
        <v>279558</v>
      </c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25" type="noConversion"/>
  <conditionalFormatting sqref="D5:D1025">
    <cfRule type="expression" dxfId="5" priority="1" stopIfTrue="1">
      <formula>AND(D5&lt;&gt;0,INT(D5)=D5)</formula>
    </cfRule>
  </conditionalFormatting>
  <conditionalFormatting sqref="F5:N1025">
    <cfRule type="expression" dxfId="4" priority="2" stopIfTrue="1">
      <formula>AND(F5&lt;&gt;0,INT(F5)=F5)</formula>
    </cfRule>
  </conditionalFormatting>
  <hyperlinks>
    <hyperlink ref="AC1" r:id="rId1" tooltip="설계예산시스템(STmate w26.07)으로 작성 하였으며,_x000a_엑셀 인쇄품질 600 dpi에 최적화 되어 있습니다._x000a_경영정보(주) http://www.stma.co.kr_x000a_Tel) 070-4350-0040_x000a_Fax) 0505-300-3948" xr:uid="{C9D066D2-47C5-4FAC-894D-79650416ABFA}"/>
    <hyperlink ref="O1" r:id="rId2" tooltip="설계예산시스템(STmate w26.07)으로 작성 하였으며,_x000a_엑셀 인쇄품질 600 dpi에 최적화 되어 있습니다._x000a_경영정보(주) http://www.stma.co.kr_x000a_Tel) 070-4350-0040_x000a_Fax) 0505-300-3948" xr:uid="{AED57052-6C1E-4A26-8F21-20CF70A607A0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E1967-935E-4FB7-92DF-F2D1CE2DDCC2}">
  <dimension ref="A1:K764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8" width="11.5" style="6" customWidth="1"/>
    <col min="9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1" t="s">
        <v>0</v>
      </c>
      <c r="B1" s="121"/>
      <c r="C1" s="121"/>
      <c r="D1" s="121"/>
      <c r="E1" s="121"/>
      <c r="F1" s="121"/>
      <c r="G1" s="121"/>
      <c r="H1" s="121"/>
      <c r="I1" s="121"/>
      <c r="J1" s="5" t="s">
        <v>1982</v>
      </c>
      <c r="K1" s="19" t="s">
        <v>1982</v>
      </c>
    </row>
    <row r="2" spans="1:11" ht="22.35" customHeight="1" x14ac:dyDescent="0.3">
      <c r="A2" s="1" t="s">
        <v>1</v>
      </c>
      <c r="J2" s="20" t="str">
        <f ca="1">MID(CELL("filename",$A$1),FIND("]",CELL("filename",$A$1))+1,LEN(CELL("filename",$A$1)))</f>
        <v>일위대가목록표</v>
      </c>
    </row>
    <row r="3" spans="1:11" ht="22.3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2.35" customHeight="1" x14ac:dyDescent="0.3">
      <c r="A4" s="9" t="s">
        <v>11</v>
      </c>
      <c r="B4" s="10" t="s">
        <v>12</v>
      </c>
      <c r="C4" s="10" t="s">
        <v>13</v>
      </c>
      <c r="D4" s="9" t="s">
        <v>14</v>
      </c>
      <c r="E4" s="48">
        <f>일위대가표!F9</f>
        <v>8365273</v>
      </c>
      <c r="F4" s="47">
        <f>일위대가표!H9</f>
        <v>354635</v>
      </c>
      <c r="G4" s="56">
        <f>일위대가표!J9</f>
        <v>8000000</v>
      </c>
      <c r="H4" s="48">
        <f>일위대가표!L9</f>
        <v>10638</v>
      </c>
      <c r="I4" s="15" t="s">
        <v>11</v>
      </c>
      <c r="J4" s="17" t="str">
        <f>"_x0007_`COD|B04896_x0005_`QTY1|1_x0005_`BQC|_x0005_`EQC|_x0005_`JDC|_x0005_`WQC|_x0005_`EDT|_x0005_`ADJ|F_x0005_`DET|"&amp;ROW(일위대가표!A6)&amp;"_x0005_`"</f>
        <v>_x0007_`COD|B04896_x0005_`QTY1|1_x0005_`BQC|_x0005_`EQC|_x0005_`JDC|_x0005_`WQC|_x0005_`EDT|_x0005_`ADJ|F_x0005_`DET|6_x0005_`</v>
      </c>
      <c r="K4" s="3" t="str">
        <f ca="1">HYPERLINK("#"&amp;일위대가표!N2&amp;"!A"&amp;ROW(일위대가표!A6),"대가1 →")</f>
        <v>대가1 →</v>
      </c>
    </row>
    <row r="5" spans="1:11" ht="22.35" customHeight="1" x14ac:dyDescent="0.3">
      <c r="A5" s="9" t="s">
        <v>16</v>
      </c>
      <c r="B5" s="10" t="s">
        <v>12</v>
      </c>
      <c r="C5" s="10" t="s">
        <v>17</v>
      </c>
      <c r="D5" s="9" t="s">
        <v>14</v>
      </c>
      <c r="E5" s="48">
        <f>일위대가표!F14</f>
        <v>9920901</v>
      </c>
      <c r="F5" s="47">
        <f>일위대가표!H14</f>
        <v>408643</v>
      </c>
      <c r="G5" s="56">
        <f>일위대가표!J14</f>
        <v>9500000</v>
      </c>
      <c r="H5" s="48">
        <f>일위대가표!L14</f>
        <v>12258</v>
      </c>
      <c r="I5" s="15" t="s">
        <v>16</v>
      </c>
      <c r="J5" s="17" t="str">
        <f>"_x0007_`COD|B04897_x0005_`QTY1|1_x0005_`BQC|_x0005_`EQC|_x0005_`JDC|_x0005_`WQC|_x0005_`EDT|_x0005_`ADJ|F_x0005_`DET|"&amp;ROW(일위대가표!A11)&amp;"_x0005_`"</f>
        <v>_x0007_`COD|B04897_x0005_`QTY1|1_x0005_`BQC|_x0005_`EQC|_x0005_`JDC|_x0005_`WQC|_x0005_`EDT|_x0005_`ADJ|F_x0005_`DET|11_x0005_`</v>
      </c>
      <c r="K5" s="3" t="str">
        <f ca="1">HYPERLINK("#"&amp;일위대가표!N2&amp;"!A"&amp;ROW(일위대가표!A11),"대가2 →")</f>
        <v>대가2 →</v>
      </c>
    </row>
    <row r="6" spans="1:11" ht="22.35" customHeight="1" x14ac:dyDescent="0.3">
      <c r="A6" s="9" t="s">
        <v>19</v>
      </c>
      <c r="B6" s="10" t="s">
        <v>12</v>
      </c>
      <c r="C6" s="10" t="s">
        <v>20</v>
      </c>
      <c r="D6" s="9" t="s">
        <v>14</v>
      </c>
      <c r="E6" s="48">
        <f>일위대가표!F19</f>
        <v>11483348</v>
      </c>
      <c r="F6" s="47">
        <f>일위대가표!H19</f>
        <v>469271</v>
      </c>
      <c r="G6" s="56">
        <f>일위대가표!J19</f>
        <v>11000000</v>
      </c>
      <c r="H6" s="48">
        <f>일위대가표!L19</f>
        <v>14077</v>
      </c>
      <c r="I6" s="15" t="s">
        <v>19</v>
      </c>
      <c r="J6" s="17" t="str">
        <f>"_x0007_`COD|B04898_x0005_`QTY1|1_x0005_`BQC|_x0005_`EQC|_x0005_`JDC|_x0005_`WQC|_x0005_`EDT|_x0005_`ADJ|F_x0005_`DET|"&amp;ROW(일위대가표!A16)&amp;"_x0005_`"</f>
        <v>_x0007_`COD|B04898_x0005_`QTY1|1_x0005_`BQC|_x0005_`EQC|_x0005_`JDC|_x0005_`WQC|_x0005_`EDT|_x0005_`ADJ|F_x0005_`DET|16_x0005_`</v>
      </c>
      <c r="K6" s="3" t="str">
        <f ca="1">HYPERLINK("#"&amp;일위대가표!N2&amp;"!A"&amp;ROW(일위대가표!A16),"대가3 →")</f>
        <v>대가3 →</v>
      </c>
    </row>
    <row r="7" spans="1:11" ht="22.35" customHeight="1" x14ac:dyDescent="0.3">
      <c r="A7" s="9" t="s">
        <v>22</v>
      </c>
      <c r="B7" s="10" t="s">
        <v>12</v>
      </c>
      <c r="C7" s="10" t="s">
        <v>23</v>
      </c>
      <c r="D7" s="9" t="s">
        <v>14</v>
      </c>
      <c r="E7" s="48">
        <f>일위대가표!F24</f>
        <v>13082367</v>
      </c>
      <c r="F7" s="47">
        <f>일위대가표!H24</f>
        <v>565406</v>
      </c>
      <c r="G7" s="56">
        <f>일위대가표!J24</f>
        <v>12500000</v>
      </c>
      <c r="H7" s="48">
        <f>일위대가표!L24</f>
        <v>16961</v>
      </c>
      <c r="I7" s="15" t="s">
        <v>22</v>
      </c>
      <c r="J7" s="17" t="str">
        <f>"_x0007_`COD|B04899_x0005_`QTY1|1_x0005_`BQC|_x0005_`EQC|_x0005_`JDC|_x0005_`WQC|_x0005_`EDT|_x0005_`ADJ|F_x0005_`DET|"&amp;ROW(일위대가표!A21)&amp;"_x0005_`"</f>
        <v>_x0007_`COD|B04899_x0005_`QTY1|1_x0005_`BQC|_x0005_`EQC|_x0005_`JDC|_x0005_`WQC|_x0005_`EDT|_x0005_`ADJ|F_x0005_`DET|21_x0005_`</v>
      </c>
      <c r="K7" s="3" t="str">
        <f ca="1">HYPERLINK("#"&amp;일위대가표!N2&amp;"!A"&amp;ROW(일위대가표!A21),"대가4 →")</f>
        <v>대가4 →</v>
      </c>
    </row>
    <row r="8" spans="1:11" ht="22.35" customHeight="1" x14ac:dyDescent="0.3">
      <c r="A8" s="9" t="s">
        <v>25</v>
      </c>
      <c r="B8" s="10" t="s">
        <v>12</v>
      </c>
      <c r="C8" s="10" t="s">
        <v>26</v>
      </c>
      <c r="D8" s="9" t="s">
        <v>14</v>
      </c>
      <c r="E8" s="48">
        <f>일위대가표!F29</f>
        <v>14734777</v>
      </c>
      <c r="F8" s="47">
        <f>일위대가표!H29</f>
        <v>713377</v>
      </c>
      <c r="G8" s="56">
        <f>일위대가표!J29</f>
        <v>14000000</v>
      </c>
      <c r="H8" s="48">
        <f>일위대가표!L29</f>
        <v>21400</v>
      </c>
      <c r="I8" s="15" t="s">
        <v>25</v>
      </c>
      <c r="J8" s="17" t="str">
        <f>"_x0007_`COD|B04900_x0005_`QTY1|1_x0005_`BQC|_x0005_`EQC|_x0005_`JDC|_x0005_`WQC|_x0005_`EDT|_x0005_`ADJ|F_x0005_`DET|"&amp;ROW(일위대가표!A26)&amp;"_x0005_`"</f>
        <v>_x0007_`COD|B04900_x0005_`QTY1|1_x0005_`BQC|_x0005_`EQC|_x0005_`JDC|_x0005_`WQC|_x0005_`EDT|_x0005_`ADJ|F_x0005_`DET|26_x0005_`</v>
      </c>
      <c r="K8" s="3" t="str">
        <f ca="1">HYPERLINK("#"&amp;일위대가표!N2&amp;"!A"&amp;ROW(일위대가표!A26),"대가5 →")</f>
        <v>대가5 →</v>
      </c>
    </row>
    <row r="9" spans="1:11" ht="22.35" customHeight="1" x14ac:dyDescent="0.3">
      <c r="A9" s="9" t="s">
        <v>28</v>
      </c>
      <c r="B9" s="10" t="s">
        <v>12</v>
      </c>
      <c r="C9" s="10" t="s">
        <v>29</v>
      </c>
      <c r="D9" s="9" t="s">
        <v>14</v>
      </c>
      <c r="E9" s="48">
        <f>일위대가표!F34</f>
        <v>16923410</v>
      </c>
      <c r="F9" s="47">
        <f>일위대가표!H34</f>
        <v>896515</v>
      </c>
      <c r="G9" s="56">
        <f>일위대가표!J34</f>
        <v>16000000</v>
      </c>
      <c r="H9" s="48">
        <f>일위대가표!L34</f>
        <v>26895</v>
      </c>
      <c r="I9" s="15" t="s">
        <v>28</v>
      </c>
      <c r="J9" s="17" t="str">
        <f>"_x0007_`COD|B04901_x0005_`QTY1|1_x0005_`BQC|_x0005_`EQC|_x0005_`JDC|_x0005_`WQC|_x0005_`EDT|_x0005_`ADJ|F_x0005_`DET|"&amp;ROW(일위대가표!A31)&amp;"_x0005_`"</f>
        <v>_x0007_`COD|B04901_x0005_`QTY1|1_x0005_`BQC|_x0005_`EQC|_x0005_`JDC|_x0005_`WQC|_x0005_`EDT|_x0005_`ADJ|F_x0005_`DET|31_x0005_`</v>
      </c>
      <c r="K9" s="3" t="str">
        <f ca="1">HYPERLINK("#"&amp;일위대가표!N2&amp;"!A"&amp;ROW(일위대가표!A31),"대가6 →")</f>
        <v>대가6 →</v>
      </c>
    </row>
    <row r="10" spans="1:11" ht="22.35" customHeight="1" x14ac:dyDescent="0.3">
      <c r="A10" s="9" t="s">
        <v>31</v>
      </c>
      <c r="B10" s="10" t="s">
        <v>12</v>
      </c>
      <c r="C10" s="10" t="s">
        <v>32</v>
      </c>
      <c r="D10" s="9" t="s">
        <v>14</v>
      </c>
      <c r="E10" s="48">
        <f>일위대가표!F39</f>
        <v>19480333</v>
      </c>
      <c r="F10" s="47">
        <f>일위대가표!H39</f>
        <v>951780</v>
      </c>
      <c r="G10" s="56">
        <f>일위대가표!J39</f>
        <v>18500000</v>
      </c>
      <c r="H10" s="48">
        <f>일위대가표!L39</f>
        <v>28553</v>
      </c>
      <c r="I10" s="15" t="s">
        <v>31</v>
      </c>
      <c r="J10" s="17" t="str">
        <f>"_x0007_`COD|B04902_x0005_`QTY1|1_x0005_`BQC|_x0005_`EQC|_x0005_`JDC|_x0005_`WQC|_x0005_`EDT|_x0005_`ADJ|F_x0005_`DET|"&amp;ROW(일위대가표!A36)&amp;"_x0005_`"</f>
        <v>_x0007_`COD|B04902_x0005_`QTY1|1_x0005_`BQC|_x0005_`EQC|_x0005_`JDC|_x0005_`WQC|_x0005_`EDT|_x0005_`ADJ|F_x0005_`DET|36_x0005_`</v>
      </c>
      <c r="K10" s="3" t="str">
        <f ca="1">HYPERLINK("#"&amp;일위대가표!N2&amp;"!A"&amp;ROW(일위대가표!A36),"대가7 →")</f>
        <v>대가7 →</v>
      </c>
    </row>
    <row r="11" spans="1:11" ht="22.35" customHeight="1" x14ac:dyDescent="0.3">
      <c r="A11" s="9" t="s">
        <v>34</v>
      </c>
      <c r="B11" s="10" t="s">
        <v>12</v>
      </c>
      <c r="C11" s="10" t="s">
        <v>35</v>
      </c>
      <c r="D11" s="9" t="s">
        <v>14</v>
      </c>
      <c r="E11" s="48">
        <f>일위대가표!F44</f>
        <v>22760750</v>
      </c>
      <c r="F11" s="47">
        <f>일위대가표!H44</f>
        <v>1537622</v>
      </c>
      <c r="G11" s="56">
        <f>일위대가표!J44</f>
        <v>21177000</v>
      </c>
      <c r="H11" s="48">
        <f>일위대가표!L44</f>
        <v>46128</v>
      </c>
      <c r="I11" s="15" t="s">
        <v>34</v>
      </c>
      <c r="J11" s="17" t="str">
        <f>"_x0007_`COD|B04903_x0005_`QTY1|1_x0005_`BQC|_x0005_`EQC|_x0005_`JDC|_x0005_`WQC|_x0005_`EDT|_x0005_`ADJ|F_x0005_`DET|"&amp;ROW(일위대가표!A41)&amp;"_x0005_`"</f>
        <v>_x0007_`COD|B04903_x0005_`QTY1|1_x0005_`BQC|_x0005_`EQC|_x0005_`JDC|_x0005_`WQC|_x0005_`EDT|_x0005_`ADJ|F_x0005_`DET|41_x0005_`</v>
      </c>
      <c r="K11" s="3" t="str">
        <f ca="1">HYPERLINK("#"&amp;일위대가표!N2&amp;"!A"&amp;ROW(일위대가표!A41),"대가8 →")</f>
        <v>대가8 →</v>
      </c>
    </row>
    <row r="12" spans="1:11" ht="22.35" customHeight="1" x14ac:dyDescent="0.3">
      <c r="A12" s="9" t="s">
        <v>37</v>
      </c>
      <c r="B12" s="10" t="s">
        <v>12</v>
      </c>
      <c r="C12" s="10" t="s">
        <v>38</v>
      </c>
      <c r="D12" s="9" t="s">
        <v>14</v>
      </c>
      <c r="E12" s="48">
        <f>일위대가표!F49</f>
        <v>28044858</v>
      </c>
      <c r="F12" s="47">
        <f>일위대가표!H49</f>
        <v>1985300</v>
      </c>
      <c r="G12" s="56">
        <f>일위대가표!J49</f>
        <v>26000000</v>
      </c>
      <c r="H12" s="48">
        <f>일위대가표!L49</f>
        <v>59558</v>
      </c>
      <c r="I12" s="15" t="s">
        <v>37</v>
      </c>
      <c r="J12" s="17" t="str">
        <f>"_x0007_`COD|B04904_x0005_`QTY1|1_x0005_`BQC|_x0005_`EQC|_x0005_`JDC|_x0005_`WQC|_x0005_`EDT|_x0005_`ADJ|F_x0005_`DET|"&amp;ROW(일위대가표!A46)&amp;"_x0005_`"</f>
        <v>_x0007_`COD|B04904_x0005_`QTY1|1_x0005_`BQC|_x0005_`EQC|_x0005_`JDC|_x0005_`WQC|_x0005_`EDT|_x0005_`ADJ|F_x0005_`DET|46_x0005_`</v>
      </c>
      <c r="K12" s="3" t="str">
        <f ca="1">HYPERLINK("#"&amp;일위대가표!N2&amp;"!A"&amp;ROW(일위대가표!A46),"대가9 →")</f>
        <v>대가9 →</v>
      </c>
    </row>
    <row r="13" spans="1:11" ht="22.35" customHeight="1" x14ac:dyDescent="0.3">
      <c r="A13" s="9" t="s">
        <v>40</v>
      </c>
      <c r="B13" s="10" t="s">
        <v>12</v>
      </c>
      <c r="C13" s="10" t="s">
        <v>41</v>
      </c>
      <c r="D13" s="9" t="s">
        <v>14</v>
      </c>
      <c r="E13" s="48">
        <f>일위대가표!F54</f>
        <v>35289807</v>
      </c>
      <c r="F13" s="47">
        <f>일위대가표!H54</f>
        <v>3193989</v>
      </c>
      <c r="G13" s="56">
        <f>일위대가표!J54</f>
        <v>32000000</v>
      </c>
      <c r="H13" s="48">
        <f>일위대가표!L54</f>
        <v>95818</v>
      </c>
      <c r="I13" s="15" t="s">
        <v>40</v>
      </c>
      <c r="J13" s="17" t="str">
        <f>"_x0007_`COD|B04905_x0005_`QTY1|1_x0005_`BQC|_x0005_`EQC|_x0005_`JDC|_x0005_`WQC|_x0005_`EDT|_x0005_`ADJ|F_x0005_`DET|"&amp;ROW(일위대가표!A51)&amp;"_x0005_`"</f>
        <v>_x0007_`COD|B04905_x0005_`QTY1|1_x0005_`BQC|_x0005_`EQC|_x0005_`JDC|_x0005_`WQC|_x0005_`EDT|_x0005_`ADJ|F_x0005_`DET|51_x0005_`</v>
      </c>
      <c r="K13" s="3" t="str">
        <f ca="1">HYPERLINK("#"&amp;일위대가표!N2&amp;"!A"&amp;ROW(일위대가표!A51),"대가10 →")</f>
        <v>대가10 →</v>
      </c>
    </row>
    <row r="14" spans="1:11" ht="22.35" customHeight="1" x14ac:dyDescent="0.3">
      <c r="A14" s="9" t="s">
        <v>43</v>
      </c>
      <c r="B14" s="10" t="s">
        <v>12</v>
      </c>
      <c r="C14" s="10" t="s">
        <v>44</v>
      </c>
      <c r="D14" s="9" t="s">
        <v>14</v>
      </c>
      <c r="E14" s="48">
        <f>일위대가표!F59</f>
        <v>42289807</v>
      </c>
      <c r="F14" s="47">
        <f>일위대가표!H59</f>
        <v>3193989</v>
      </c>
      <c r="G14" s="56">
        <f>일위대가표!J59</f>
        <v>39000000</v>
      </c>
      <c r="H14" s="48">
        <f>일위대가표!L59</f>
        <v>95818</v>
      </c>
      <c r="I14" s="15" t="s">
        <v>43</v>
      </c>
      <c r="J14" s="17" t="str">
        <f>"_x0007_`COD|B04906_x0005_`QTY1|1_x0005_`BQC|_x0005_`EQC|_x0005_`JDC|_x0005_`WQC|_x0005_`EDT|_x0005_`ADJ|F_x0005_`DET|"&amp;ROW(일위대가표!A56)&amp;"_x0005_`"</f>
        <v>_x0007_`COD|B04906_x0005_`QTY1|1_x0005_`BQC|_x0005_`EQC|_x0005_`JDC|_x0005_`WQC|_x0005_`EDT|_x0005_`ADJ|F_x0005_`DET|56_x0005_`</v>
      </c>
      <c r="K14" s="3" t="str">
        <f ca="1">HYPERLINK("#"&amp;일위대가표!N2&amp;"!A"&amp;ROW(일위대가표!A56),"대가11 →")</f>
        <v>대가11 →</v>
      </c>
    </row>
    <row r="15" spans="1:11" ht="22.35" customHeight="1" x14ac:dyDescent="0.3">
      <c r="A15" s="9" t="s">
        <v>46</v>
      </c>
      <c r="B15" s="10" t="s">
        <v>12</v>
      </c>
      <c r="C15" s="10" t="s">
        <v>47</v>
      </c>
      <c r="D15" s="9" t="s">
        <v>14</v>
      </c>
      <c r="E15" s="48">
        <f>일위대가표!F64</f>
        <v>103530109</v>
      </c>
      <c r="F15" s="47">
        <f>일위대가표!H64</f>
        <v>3912728</v>
      </c>
      <c r="G15" s="56">
        <f>일위대가표!J64</f>
        <v>99500000</v>
      </c>
      <c r="H15" s="48">
        <f>일위대가표!L64</f>
        <v>117381</v>
      </c>
      <c r="I15" s="15" t="s">
        <v>46</v>
      </c>
      <c r="J15" s="17" t="str">
        <f>"_x0007_`COD|B04907_x0005_`QTY1|1_x0005_`BQC|_x0005_`EQC|_x0005_`JDC|_x0005_`WQC|_x0005_`EDT|_x0005_`ADJ|F_x0005_`DET|"&amp;ROW(일위대가표!A61)&amp;"_x0005_`"</f>
        <v>_x0007_`COD|B04907_x0005_`QTY1|1_x0005_`BQC|_x0005_`EQC|_x0005_`JDC|_x0005_`WQC|_x0005_`EDT|_x0005_`ADJ|F_x0005_`DET|61_x0005_`</v>
      </c>
      <c r="K15" s="3" t="str">
        <f ca="1">HYPERLINK("#"&amp;일위대가표!N2&amp;"!A"&amp;ROW(일위대가표!A61),"대가12 →")</f>
        <v>대가12 →</v>
      </c>
    </row>
    <row r="16" spans="1:11" ht="22.35" customHeight="1" x14ac:dyDescent="0.3">
      <c r="A16" s="9" t="s">
        <v>49</v>
      </c>
      <c r="B16" s="10" t="s">
        <v>50</v>
      </c>
      <c r="C16" s="10" t="s">
        <v>13</v>
      </c>
      <c r="D16" s="9" t="s">
        <v>14</v>
      </c>
      <c r="E16" s="48">
        <f>일위대가표!F68</f>
        <v>365273</v>
      </c>
      <c r="F16" s="47">
        <f>일위대가표!H68</f>
        <v>354635</v>
      </c>
      <c r="G16" s="56">
        <f>일위대가표!J68</f>
        <v>0</v>
      </c>
      <c r="H16" s="48">
        <f>일위대가표!L68</f>
        <v>10638</v>
      </c>
      <c r="I16" s="15" t="s">
        <v>49</v>
      </c>
      <c r="J16" s="17" t="str">
        <f>"_x0007_`COD|B05105_x0005_`QTY1|1_x0005_`BQC|_x0005_`EQC|_x0005_`JDC|_x0005_`WQC|_x0005_`EDT|_x0005_`ADJ|F_x0005_`DET|"&amp;ROW(일위대가표!A66)&amp;"_x0005_`"</f>
        <v>_x0007_`COD|B05105_x0005_`QTY1|1_x0005_`BQC|_x0005_`EQC|_x0005_`JDC|_x0005_`WQC|_x0005_`EDT|_x0005_`ADJ|F_x0005_`DET|66_x0005_`</v>
      </c>
      <c r="K16" s="3" t="str">
        <f ca="1">HYPERLINK("#"&amp;일위대가표!N2&amp;"!A"&amp;ROW(일위대가표!A66),"대가13 →")</f>
        <v>대가13 →</v>
      </c>
    </row>
    <row r="17" spans="1:11" ht="22.35" customHeight="1" x14ac:dyDescent="0.3">
      <c r="A17" s="9" t="s">
        <v>52</v>
      </c>
      <c r="B17" s="10" t="s">
        <v>50</v>
      </c>
      <c r="C17" s="10" t="s">
        <v>17</v>
      </c>
      <c r="D17" s="9" t="s">
        <v>14</v>
      </c>
      <c r="E17" s="48">
        <f>일위대가표!F72</f>
        <v>420901</v>
      </c>
      <c r="F17" s="47">
        <f>일위대가표!H72</f>
        <v>408643</v>
      </c>
      <c r="G17" s="56">
        <f>일위대가표!J72</f>
        <v>0</v>
      </c>
      <c r="H17" s="48">
        <f>일위대가표!L72</f>
        <v>12258</v>
      </c>
      <c r="I17" s="15" t="s">
        <v>52</v>
      </c>
      <c r="J17" s="17" t="str">
        <f>"_x0007_`COD|B05106_x0005_`QTY1|1_x0005_`BQC|_x0005_`EQC|_x0005_`JDC|_x0005_`WQC|_x0005_`EDT|_x0005_`ADJ|F_x0005_`DET|"&amp;ROW(일위대가표!A70)&amp;"_x0005_`"</f>
        <v>_x0007_`COD|B05106_x0005_`QTY1|1_x0005_`BQC|_x0005_`EQC|_x0005_`JDC|_x0005_`WQC|_x0005_`EDT|_x0005_`ADJ|F_x0005_`DET|70_x0005_`</v>
      </c>
      <c r="K17" s="3" t="str">
        <f ca="1">HYPERLINK("#"&amp;일위대가표!N2&amp;"!A"&amp;ROW(일위대가표!A70),"대가14 →")</f>
        <v>대가14 →</v>
      </c>
    </row>
    <row r="18" spans="1:11" ht="22.35" customHeight="1" x14ac:dyDescent="0.3">
      <c r="A18" s="9" t="s">
        <v>54</v>
      </c>
      <c r="B18" s="10" t="s">
        <v>50</v>
      </c>
      <c r="C18" s="10" t="s">
        <v>20</v>
      </c>
      <c r="D18" s="9" t="s">
        <v>14</v>
      </c>
      <c r="E18" s="48">
        <f>일위대가표!F76</f>
        <v>483348</v>
      </c>
      <c r="F18" s="47">
        <f>일위대가표!H76</f>
        <v>469271</v>
      </c>
      <c r="G18" s="56">
        <f>일위대가표!J76</f>
        <v>0</v>
      </c>
      <c r="H18" s="48">
        <f>일위대가표!L76</f>
        <v>14077</v>
      </c>
      <c r="I18" s="15" t="s">
        <v>54</v>
      </c>
      <c r="J18" s="17" t="str">
        <f>"_x0007_`COD|B05107_x0005_`QTY1|1_x0005_`BQC|_x0005_`EQC|_x0005_`JDC|_x0005_`WQC|_x0005_`EDT|_x0005_`ADJ|F_x0005_`DET|"&amp;ROW(일위대가표!A74)&amp;"_x0005_`"</f>
        <v>_x0007_`COD|B05107_x0005_`QTY1|1_x0005_`BQC|_x0005_`EQC|_x0005_`JDC|_x0005_`WQC|_x0005_`EDT|_x0005_`ADJ|F_x0005_`DET|74_x0005_`</v>
      </c>
      <c r="K18" s="3" t="str">
        <f ca="1">HYPERLINK("#"&amp;일위대가표!N2&amp;"!A"&amp;ROW(일위대가표!A74),"대가15 →")</f>
        <v>대가15 →</v>
      </c>
    </row>
    <row r="19" spans="1:11" ht="22.35" customHeight="1" x14ac:dyDescent="0.3">
      <c r="A19" s="9" t="s">
        <v>56</v>
      </c>
      <c r="B19" s="10" t="s">
        <v>50</v>
      </c>
      <c r="C19" s="10" t="s">
        <v>23</v>
      </c>
      <c r="D19" s="9" t="s">
        <v>14</v>
      </c>
      <c r="E19" s="48">
        <f>일위대가표!F80</f>
        <v>582367</v>
      </c>
      <c r="F19" s="47">
        <f>일위대가표!H80</f>
        <v>565406</v>
      </c>
      <c r="G19" s="56">
        <f>일위대가표!J80</f>
        <v>0</v>
      </c>
      <c r="H19" s="48">
        <f>일위대가표!L80</f>
        <v>16961</v>
      </c>
      <c r="I19" s="15" t="s">
        <v>56</v>
      </c>
      <c r="J19" s="17" t="str">
        <f>"_x0007_`COD|B05108_x0005_`QTY1|1_x0005_`BQC|_x0005_`EQC|_x0005_`JDC|_x0005_`WQC|_x0005_`EDT|_x0005_`ADJ|F_x0005_`DET|"&amp;ROW(일위대가표!A78)&amp;"_x0005_`"</f>
        <v>_x0007_`COD|B05108_x0005_`QTY1|1_x0005_`BQC|_x0005_`EQC|_x0005_`JDC|_x0005_`WQC|_x0005_`EDT|_x0005_`ADJ|F_x0005_`DET|78_x0005_`</v>
      </c>
      <c r="K19" s="3" t="str">
        <f ca="1">HYPERLINK("#"&amp;일위대가표!N2&amp;"!A"&amp;ROW(일위대가표!A78),"대가16 →")</f>
        <v>대가16 →</v>
      </c>
    </row>
    <row r="20" spans="1:11" ht="22.35" customHeight="1" x14ac:dyDescent="0.3">
      <c r="A20" s="9" t="s">
        <v>58</v>
      </c>
      <c r="B20" s="10" t="s">
        <v>50</v>
      </c>
      <c r="C20" s="10" t="s">
        <v>26</v>
      </c>
      <c r="D20" s="9" t="s">
        <v>14</v>
      </c>
      <c r="E20" s="48">
        <f>일위대가표!F84</f>
        <v>734777</v>
      </c>
      <c r="F20" s="47">
        <f>일위대가표!H84</f>
        <v>713377</v>
      </c>
      <c r="G20" s="56">
        <f>일위대가표!J84</f>
        <v>0</v>
      </c>
      <c r="H20" s="48">
        <f>일위대가표!L84</f>
        <v>21400</v>
      </c>
      <c r="I20" s="15" t="s">
        <v>58</v>
      </c>
      <c r="J20" s="17" t="str">
        <f>"_x0007_`COD|B05109_x0005_`QTY1|1_x0005_`BQC|_x0005_`EQC|_x0005_`JDC|_x0005_`WQC|_x0005_`EDT|_x0005_`ADJ|F_x0005_`DET|"&amp;ROW(일위대가표!A82)&amp;"_x0005_`"</f>
        <v>_x0007_`COD|B05109_x0005_`QTY1|1_x0005_`BQC|_x0005_`EQC|_x0005_`JDC|_x0005_`WQC|_x0005_`EDT|_x0005_`ADJ|F_x0005_`DET|82_x0005_`</v>
      </c>
      <c r="K20" s="3" t="str">
        <f ca="1">HYPERLINK("#"&amp;일위대가표!N2&amp;"!A"&amp;ROW(일위대가표!A82),"대가17 →")</f>
        <v>대가17 →</v>
      </c>
    </row>
    <row r="21" spans="1:11" ht="22.35" customHeight="1" x14ac:dyDescent="0.3">
      <c r="A21" s="9" t="s">
        <v>60</v>
      </c>
      <c r="B21" s="10" t="s">
        <v>50</v>
      </c>
      <c r="C21" s="10" t="s">
        <v>29</v>
      </c>
      <c r="D21" s="9" t="s">
        <v>14</v>
      </c>
      <c r="E21" s="48">
        <f>일위대가표!F88</f>
        <v>923410</v>
      </c>
      <c r="F21" s="47">
        <f>일위대가표!H88</f>
        <v>896515</v>
      </c>
      <c r="G21" s="56">
        <f>일위대가표!J88</f>
        <v>0</v>
      </c>
      <c r="H21" s="48">
        <f>일위대가표!L88</f>
        <v>26895</v>
      </c>
      <c r="I21" s="15" t="s">
        <v>60</v>
      </c>
      <c r="J21" s="17" t="str">
        <f>"_x0007_`COD|B05110_x0005_`QTY1|1_x0005_`BQC|_x0005_`EQC|_x0005_`JDC|_x0005_`WQC|_x0005_`EDT|_x0005_`ADJ|F_x0005_`DET|"&amp;ROW(일위대가표!A86)&amp;"_x0005_`"</f>
        <v>_x0007_`COD|B05110_x0005_`QTY1|1_x0005_`BQC|_x0005_`EQC|_x0005_`JDC|_x0005_`WQC|_x0005_`EDT|_x0005_`ADJ|F_x0005_`DET|86_x0005_`</v>
      </c>
      <c r="K21" s="3" t="str">
        <f ca="1">HYPERLINK("#"&amp;일위대가표!N2&amp;"!A"&amp;ROW(일위대가표!A86),"대가18 →")</f>
        <v>대가18 →</v>
      </c>
    </row>
    <row r="22" spans="1:11" ht="22.35" customHeight="1" x14ac:dyDescent="0.3">
      <c r="A22" s="9" t="s">
        <v>62</v>
      </c>
      <c r="B22" s="10" t="s">
        <v>50</v>
      </c>
      <c r="C22" s="10" t="s">
        <v>32</v>
      </c>
      <c r="D22" s="9" t="s">
        <v>14</v>
      </c>
      <c r="E22" s="48">
        <f>일위대가표!F92</f>
        <v>980333</v>
      </c>
      <c r="F22" s="47">
        <f>일위대가표!H92</f>
        <v>951780</v>
      </c>
      <c r="G22" s="56">
        <f>일위대가표!J92</f>
        <v>0</v>
      </c>
      <c r="H22" s="48">
        <f>일위대가표!L92</f>
        <v>28553</v>
      </c>
      <c r="I22" s="15" t="s">
        <v>62</v>
      </c>
      <c r="J22" s="17" t="str">
        <f>"_x0007_`COD|B05111_x0005_`QTY1|1_x0005_`BQC|_x0005_`EQC|_x0005_`JDC|_x0005_`WQC|_x0005_`EDT|_x0005_`ADJ|F_x0005_`DET|"&amp;ROW(일위대가표!A90)&amp;"_x0005_`"</f>
        <v>_x0007_`COD|B05111_x0005_`QTY1|1_x0005_`BQC|_x0005_`EQC|_x0005_`JDC|_x0005_`WQC|_x0005_`EDT|_x0005_`ADJ|F_x0005_`DET|90_x0005_`</v>
      </c>
      <c r="K22" s="3" t="str">
        <f ca="1">HYPERLINK("#"&amp;일위대가표!N2&amp;"!A"&amp;ROW(일위대가표!A90),"대가19 →")</f>
        <v>대가19 →</v>
      </c>
    </row>
    <row r="23" spans="1:11" ht="22.35" customHeight="1" x14ac:dyDescent="0.3">
      <c r="A23" s="9" t="s">
        <v>64</v>
      </c>
      <c r="B23" s="10" t="s">
        <v>50</v>
      </c>
      <c r="C23" s="10" t="s">
        <v>35</v>
      </c>
      <c r="D23" s="9" t="s">
        <v>14</v>
      </c>
      <c r="E23" s="48">
        <f>일위대가표!F96</f>
        <v>1583750</v>
      </c>
      <c r="F23" s="47">
        <f>일위대가표!H96</f>
        <v>1537622</v>
      </c>
      <c r="G23" s="56">
        <f>일위대가표!J96</f>
        <v>0</v>
      </c>
      <c r="H23" s="48">
        <f>일위대가표!L96</f>
        <v>46128</v>
      </c>
      <c r="I23" s="15" t="s">
        <v>64</v>
      </c>
      <c r="J23" s="17" t="str">
        <f>"_x0007_`COD|B05112_x0005_`QTY1|1_x0005_`BQC|_x0005_`EQC|_x0005_`JDC|_x0005_`WQC|_x0005_`EDT|_x0005_`ADJ|F_x0005_`DET|"&amp;ROW(일위대가표!A94)&amp;"_x0005_`"</f>
        <v>_x0007_`COD|B05112_x0005_`QTY1|1_x0005_`BQC|_x0005_`EQC|_x0005_`JDC|_x0005_`WQC|_x0005_`EDT|_x0005_`ADJ|F_x0005_`DET|94_x0005_`</v>
      </c>
      <c r="K23" s="3" t="str">
        <f ca="1">HYPERLINK("#"&amp;일위대가표!N2&amp;"!A"&amp;ROW(일위대가표!A94),"대가20 →")</f>
        <v>대가20 →</v>
      </c>
    </row>
    <row r="24" spans="1:11" ht="22.35" customHeight="1" x14ac:dyDescent="0.3">
      <c r="A24" s="9" t="s">
        <v>66</v>
      </c>
      <c r="B24" s="10" t="s">
        <v>50</v>
      </c>
      <c r="C24" s="10" t="s">
        <v>38</v>
      </c>
      <c r="D24" s="9" t="s">
        <v>14</v>
      </c>
      <c r="E24" s="48">
        <f>일위대가표!F100</f>
        <v>2044858</v>
      </c>
      <c r="F24" s="47">
        <f>일위대가표!H100</f>
        <v>1985300</v>
      </c>
      <c r="G24" s="56">
        <f>일위대가표!J100</f>
        <v>0</v>
      </c>
      <c r="H24" s="48">
        <f>일위대가표!L100</f>
        <v>59558</v>
      </c>
      <c r="I24" s="15" t="s">
        <v>66</v>
      </c>
      <c r="J24" s="17" t="str">
        <f>"_x0007_`COD|B05113_x0005_`QTY1|1_x0005_`BQC|_x0005_`EQC|_x0005_`JDC|_x0005_`WQC|_x0005_`EDT|_x0005_`ADJ|F_x0005_`DET|"&amp;ROW(일위대가표!A98)&amp;"_x0005_`"</f>
        <v>_x0007_`COD|B05113_x0005_`QTY1|1_x0005_`BQC|_x0005_`EQC|_x0005_`JDC|_x0005_`WQC|_x0005_`EDT|_x0005_`ADJ|F_x0005_`DET|98_x0005_`</v>
      </c>
      <c r="K24" s="3" t="str">
        <f ca="1">HYPERLINK("#"&amp;일위대가표!N2&amp;"!A"&amp;ROW(일위대가표!A98),"대가21 →")</f>
        <v>대가21 →</v>
      </c>
    </row>
    <row r="25" spans="1:11" ht="22.35" customHeight="1" x14ac:dyDescent="0.3">
      <c r="A25" s="9" t="s">
        <v>68</v>
      </c>
      <c r="B25" s="10" t="s">
        <v>50</v>
      </c>
      <c r="C25" s="10" t="s">
        <v>41</v>
      </c>
      <c r="D25" s="9" t="s">
        <v>14</v>
      </c>
      <c r="E25" s="48">
        <f>일위대가표!F104</f>
        <v>3289807</v>
      </c>
      <c r="F25" s="47">
        <f>일위대가표!H104</f>
        <v>3193989</v>
      </c>
      <c r="G25" s="56">
        <f>일위대가표!J104</f>
        <v>0</v>
      </c>
      <c r="H25" s="48">
        <f>일위대가표!L104</f>
        <v>95818</v>
      </c>
      <c r="I25" s="15" t="s">
        <v>68</v>
      </c>
      <c r="J25" s="17" t="str">
        <f>"_x0007_`COD|B05114_x0005_`QTY1|1_x0005_`BQC|_x0005_`EQC|_x0005_`JDC|_x0005_`WQC|_x0005_`EDT|_x0005_`ADJ|F_x0005_`DET|"&amp;ROW(일위대가표!A102)&amp;"_x0005_`"</f>
        <v>_x0007_`COD|B05114_x0005_`QTY1|1_x0005_`BQC|_x0005_`EQC|_x0005_`JDC|_x0005_`WQC|_x0005_`EDT|_x0005_`ADJ|F_x0005_`DET|102_x0005_`</v>
      </c>
      <c r="K25" s="3" t="str">
        <f ca="1">HYPERLINK("#"&amp;일위대가표!N2&amp;"!A"&amp;ROW(일위대가표!A102),"대가22 →")</f>
        <v>대가22 →</v>
      </c>
    </row>
    <row r="26" spans="1:11" ht="22.35" customHeight="1" x14ac:dyDescent="0.3">
      <c r="A26" s="9" t="s">
        <v>70</v>
      </c>
      <c r="B26" s="10" t="s">
        <v>50</v>
      </c>
      <c r="C26" s="10" t="s">
        <v>44</v>
      </c>
      <c r="D26" s="9" t="s">
        <v>14</v>
      </c>
      <c r="E26" s="48">
        <f>일위대가표!F108</f>
        <v>3289807</v>
      </c>
      <c r="F26" s="47">
        <f>일위대가표!H108</f>
        <v>3193989</v>
      </c>
      <c r="G26" s="56">
        <f>일위대가표!J108</f>
        <v>0</v>
      </c>
      <c r="H26" s="48">
        <f>일위대가표!L108</f>
        <v>95818</v>
      </c>
      <c r="I26" s="15" t="s">
        <v>70</v>
      </c>
      <c r="J26" s="17" t="str">
        <f>"_x0007_`COD|B05115_x0005_`QTY1|1_x0005_`BQC|_x0005_`EQC|_x0005_`JDC|_x0005_`WQC|_x0005_`EDT|_x0005_`ADJ|F_x0005_`DET|"&amp;ROW(일위대가표!A106)&amp;"_x0005_`"</f>
        <v>_x0007_`COD|B05115_x0005_`QTY1|1_x0005_`BQC|_x0005_`EQC|_x0005_`JDC|_x0005_`WQC|_x0005_`EDT|_x0005_`ADJ|F_x0005_`DET|106_x0005_`</v>
      </c>
      <c r="K26" s="3" t="str">
        <f ca="1">HYPERLINK("#"&amp;일위대가표!N2&amp;"!A"&amp;ROW(일위대가표!A106),"대가23 →")</f>
        <v>대가23 →</v>
      </c>
    </row>
    <row r="27" spans="1:11" ht="22.35" customHeight="1" x14ac:dyDescent="0.3">
      <c r="A27" s="9" t="s">
        <v>72</v>
      </c>
      <c r="B27" s="10" t="s">
        <v>50</v>
      </c>
      <c r="C27" s="10" t="s">
        <v>47</v>
      </c>
      <c r="D27" s="9" t="s">
        <v>14</v>
      </c>
      <c r="E27" s="48">
        <f>일위대가표!F112</f>
        <v>4030109</v>
      </c>
      <c r="F27" s="47">
        <f>일위대가표!H112</f>
        <v>3912728</v>
      </c>
      <c r="G27" s="56">
        <f>일위대가표!J112</f>
        <v>0</v>
      </c>
      <c r="H27" s="48">
        <f>일위대가표!L112</f>
        <v>117381</v>
      </c>
      <c r="I27" s="15" t="s">
        <v>72</v>
      </c>
      <c r="J27" s="17" t="str">
        <f>"_x0007_`COD|B05116_x0005_`QTY1|1_x0005_`BQC|_x0005_`EQC|_x0005_`JDC|_x0005_`WQC|_x0005_`EDT|_x0005_`ADJ|F_x0005_`DET|"&amp;ROW(일위대가표!A110)&amp;"_x0005_`"</f>
        <v>_x0007_`COD|B05116_x0005_`QTY1|1_x0005_`BQC|_x0005_`EQC|_x0005_`JDC|_x0005_`WQC|_x0005_`EDT|_x0005_`ADJ|F_x0005_`DET|110_x0005_`</v>
      </c>
      <c r="K27" s="3" t="str">
        <f ca="1">HYPERLINK("#"&amp;일위대가표!N2&amp;"!A"&amp;ROW(일위대가표!A110),"대가24 →")</f>
        <v>대가24 →</v>
      </c>
    </row>
    <row r="28" spans="1:11" ht="22.35" customHeight="1" x14ac:dyDescent="0.3">
      <c r="A28" s="9" t="s">
        <v>74</v>
      </c>
      <c r="B28" s="10" t="s">
        <v>75</v>
      </c>
      <c r="C28" s="10" t="s">
        <v>13</v>
      </c>
      <c r="D28" s="9" t="s">
        <v>14</v>
      </c>
      <c r="E28" s="48">
        <f>일위대가표!F117</f>
        <v>260910</v>
      </c>
      <c r="F28" s="47">
        <f>일위대가표!H117</f>
        <v>253311</v>
      </c>
      <c r="G28" s="56">
        <f>일위대가표!J117</f>
        <v>0</v>
      </c>
      <c r="H28" s="48">
        <f>일위대가표!L117</f>
        <v>7599</v>
      </c>
      <c r="I28" s="15" t="s">
        <v>74</v>
      </c>
      <c r="J28" s="17" t="str">
        <f>"_x0007_`COD|B05129_x0005_`QTY1|1_x0005_`BQC|_x0005_`EQC|_x0005_`JDC|_x0005_`WQC|_x0005_`EDT|_x0005_`ADJ|F_x0005_`DET|"&amp;ROW(일위대가표!A114)&amp;"_x0005_`"</f>
        <v>_x0007_`COD|B05129_x0005_`QTY1|1_x0005_`BQC|_x0005_`EQC|_x0005_`JDC|_x0005_`WQC|_x0005_`EDT|_x0005_`ADJ|F_x0005_`DET|114_x0005_`</v>
      </c>
      <c r="K28" s="3" t="str">
        <f ca="1">HYPERLINK("#"&amp;일위대가표!N2&amp;"!A"&amp;ROW(일위대가표!A114),"대가25 →")</f>
        <v>대가25 →</v>
      </c>
    </row>
    <row r="29" spans="1:11" ht="22.35" customHeight="1" x14ac:dyDescent="0.3">
      <c r="A29" s="9" t="s">
        <v>77</v>
      </c>
      <c r="B29" s="10" t="s">
        <v>75</v>
      </c>
      <c r="C29" s="10" t="s">
        <v>17</v>
      </c>
      <c r="D29" s="9" t="s">
        <v>14</v>
      </c>
      <c r="E29" s="48">
        <f>일위대가표!F122</f>
        <v>300644</v>
      </c>
      <c r="F29" s="47">
        <f>일위대가표!H122</f>
        <v>291888</v>
      </c>
      <c r="G29" s="56">
        <f>일위대가표!J122</f>
        <v>0</v>
      </c>
      <c r="H29" s="48">
        <f>일위대가표!L122</f>
        <v>8756</v>
      </c>
      <c r="I29" s="15" t="s">
        <v>77</v>
      </c>
      <c r="J29" s="17" t="str">
        <f>"_x0007_`COD|B05130_x0005_`QTY1|1_x0005_`BQC|_x0005_`EQC|_x0005_`JDC|_x0005_`WQC|_x0005_`EDT|_x0005_`ADJ|F_x0005_`DET|"&amp;ROW(일위대가표!A119)&amp;"_x0005_`"</f>
        <v>_x0007_`COD|B05130_x0005_`QTY1|1_x0005_`BQC|_x0005_`EQC|_x0005_`JDC|_x0005_`WQC|_x0005_`EDT|_x0005_`ADJ|F_x0005_`DET|119_x0005_`</v>
      </c>
      <c r="K29" s="3" t="str">
        <f ca="1">HYPERLINK("#"&amp;일위대가표!N2&amp;"!A"&amp;ROW(일위대가표!A119),"대가26 →")</f>
        <v>대가26 →</v>
      </c>
    </row>
    <row r="30" spans="1:11" ht="22.35" customHeight="1" x14ac:dyDescent="0.3">
      <c r="A30" s="9" t="s">
        <v>79</v>
      </c>
      <c r="B30" s="10" t="s">
        <v>75</v>
      </c>
      <c r="C30" s="10" t="s">
        <v>20</v>
      </c>
      <c r="D30" s="9" t="s">
        <v>14</v>
      </c>
      <c r="E30" s="48">
        <f>일위대가표!F126</f>
        <v>483348</v>
      </c>
      <c r="F30" s="47">
        <f>일위대가표!H126</f>
        <v>469271</v>
      </c>
      <c r="G30" s="56">
        <f>일위대가표!J126</f>
        <v>0</v>
      </c>
      <c r="H30" s="48">
        <f>일위대가표!L126</f>
        <v>14077</v>
      </c>
      <c r="I30" s="15" t="s">
        <v>79</v>
      </c>
      <c r="J30" s="17" t="str">
        <f>"_x0007_`COD|B05131_x0005_`QTY1|1_x0005_`BQC|_x0005_`EQC|_x0005_`JDC|_x0005_`WQC|_x0005_`EDT|_x0005_`ADJ|F_x0005_`DET|"&amp;ROW(일위대가표!A124)&amp;"_x0005_`"</f>
        <v>_x0007_`COD|B05131_x0005_`QTY1|1_x0005_`BQC|_x0005_`EQC|_x0005_`JDC|_x0005_`WQC|_x0005_`EDT|_x0005_`ADJ|F_x0005_`DET|124_x0005_`</v>
      </c>
      <c r="K30" s="3" t="str">
        <f ca="1">HYPERLINK("#"&amp;일위대가표!N2&amp;"!A"&amp;ROW(일위대가표!A124),"대가27 →")</f>
        <v>대가27 →</v>
      </c>
    </row>
    <row r="31" spans="1:11" ht="22.35" customHeight="1" x14ac:dyDescent="0.3">
      <c r="A31" s="9" t="s">
        <v>81</v>
      </c>
      <c r="B31" s="10" t="s">
        <v>75</v>
      </c>
      <c r="C31" s="10" t="s">
        <v>26</v>
      </c>
      <c r="D31" s="9" t="s">
        <v>14</v>
      </c>
      <c r="E31" s="48">
        <f>일위대가표!F130</f>
        <v>734777</v>
      </c>
      <c r="F31" s="47">
        <f>일위대가표!H130</f>
        <v>713377</v>
      </c>
      <c r="G31" s="56">
        <f>일위대가표!J130</f>
        <v>0</v>
      </c>
      <c r="H31" s="48">
        <f>일위대가표!L130</f>
        <v>21400</v>
      </c>
      <c r="I31" s="15" t="s">
        <v>81</v>
      </c>
      <c r="J31" s="17" t="str">
        <f>"_x0007_`COD|B05133_x0005_`QTY1|1_x0005_`BQC|_x0005_`EQC|_x0005_`JDC|_x0005_`WQC|_x0005_`EDT|_x0005_`ADJ|F_x0005_`DET|"&amp;ROW(일위대가표!A128)&amp;"_x0005_`"</f>
        <v>_x0007_`COD|B05133_x0005_`QTY1|1_x0005_`BQC|_x0005_`EQC|_x0005_`JDC|_x0005_`WQC|_x0005_`EDT|_x0005_`ADJ|F_x0005_`DET|128_x0005_`</v>
      </c>
      <c r="K31" s="3" t="str">
        <f ca="1">HYPERLINK("#"&amp;일위대가표!N2&amp;"!A"&amp;ROW(일위대가표!A128),"대가28 →")</f>
        <v>대가28 →</v>
      </c>
    </row>
    <row r="32" spans="1:11" ht="22.35" customHeight="1" x14ac:dyDescent="0.3">
      <c r="A32" s="9" t="s">
        <v>83</v>
      </c>
      <c r="B32" s="10" t="s">
        <v>75</v>
      </c>
      <c r="C32" s="10" t="s">
        <v>29</v>
      </c>
      <c r="D32" s="9" t="s">
        <v>14</v>
      </c>
      <c r="E32" s="48">
        <f>일위대가표!F134</f>
        <v>923410</v>
      </c>
      <c r="F32" s="47">
        <f>일위대가표!H134</f>
        <v>896515</v>
      </c>
      <c r="G32" s="56">
        <f>일위대가표!J134</f>
        <v>0</v>
      </c>
      <c r="H32" s="48">
        <f>일위대가표!L134</f>
        <v>26895</v>
      </c>
      <c r="I32" s="15" t="s">
        <v>83</v>
      </c>
      <c r="J32" s="17" t="str">
        <f>"_x0007_`COD|B05134_x0005_`QTY1|1_x0005_`BQC|_x0005_`EQC|_x0005_`JDC|_x0005_`WQC|_x0005_`EDT|_x0005_`ADJ|F_x0005_`DET|"&amp;ROW(일위대가표!A132)&amp;"_x0005_`"</f>
        <v>_x0007_`COD|B05134_x0005_`QTY1|1_x0005_`BQC|_x0005_`EQC|_x0005_`JDC|_x0005_`WQC|_x0005_`EDT|_x0005_`ADJ|F_x0005_`DET|132_x0005_`</v>
      </c>
      <c r="K32" s="3" t="str">
        <f ca="1">HYPERLINK("#"&amp;일위대가표!N2&amp;"!A"&amp;ROW(일위대가표!A132),"대가29 →")</f>
        <v>대가29 →</v>
      </c>
    </row>
    <row r="33" spans="1:11" ht="22.35" customHeight="1" x14ac:dyDescent="0.3">
      <c r="A33" s="9" t="s">
        <v>85</v>
      </c>
      <c r="B33" s="10" t="s">
        <v>75</v>
      </c>
      <c r="C33" s="10" t="s">
        <v>32</v>
      </c>
      <c r="D33" s="9" t="s">
        <v>14</v>
      </c>
      <c r="E33" s="48">
        <f>일위대가표!F138</f>
        <v>980333</v>
      </c>
      <c r="F33" s="47">
        <f>일위대가표!H138</f>
        <v>951780</v>
      </c>
      <c r="G33" s="56">
        <f>일위대가표!J138</f>
        <v>0</v>
      </c>
      <c r="H33" s="48">
        <f>일위대가표!L138</f>
        <v>28553</v>
      </c>
      <c r="I33" s="15" t="s">
        <v>85</v>
      </c>
      <c r="J33" s="17" t="str">
        <f>"_x0007_`COD|B05135_x0005_`QTY1|1_x0005_`BQC|_x0005_`EQC|_x0005_`JDC|_x0005_`WQC|_x0005_`EDT|_x0005_`ADJ|F_x0005_`DET|"&amp;ROW(일위대가표!A136)&amp;"_x0005_`"</f>
        <v>_x0007_`COD|B05135_x0005_`QTY1|1_x0005_`BQC|_x0005_`EQC|_x0005_`JDC|_x0005_`WQC|_x0005_`EDT|_x0005_`ADJ|F_x0005_`DET|136_x0005_`</v>
      </c>
      <c r="K33" s="3" t="str">
        <f ca="1">HYPERLINK("#"&amp;일위대가표!N2&amp;"!A"&amp;ROW(일위대가표!A136),"대가30 →")</f>
        <v>대가30 →</v>
      </c>
    </row>
    <row r="34" spans="1:11" ht="22.35" customHeight="1" x14ac:dyDescent="0.3">
      <c r="A34" s="9" t="s">
        <v>87</v>
      </c>
      <c r="B34" s="10" t="s">
        <v>75</v>
      </c>
      <c r="C34" s="10" t="s">
        <v>35</v>
      </c>
      <c r="D34" s="9" t="s">
        <v>14</v>
      </c>
      <c r="E34" s="48">
        <f>일위대가표!F142</f>
        <v>1583750</v>
      </c>
      <c r="F34" s="47">
        <f>일위대가표!H142</f>
        <v>1537622</v>
      </c>
      <c r="G34" s="56">
        <f>일위대가표!J142</f>
        <v>0</v>
      </c>
      <c r="H34" s="48">
        <f>일위대가표!L142</f>
        <v>46128</v>
      </c>
      <c r="I34" s="15" t="s">
        <v>87</v>
      </c>
      <c r="J34" s="17" t="str">
        <f>"_x0007_`COD|B05136_x0005_`QTY1|1_x0005_`BQC|_x0005_`EQC|_x0005_`JDC|_x0005_`WQC|_x0005_`EDT|_x0005_`ADJ|F_x0005_`DET|"&amp;ROW(일위대가표!A140)&amp;"_x0005_`"</f>
        <v>_x0007_`COD|B05136_x0005_`QTY1|1_x0005_`BQC|_x0005_`EQC|_x0005_`JDC|_x0005_`WQC|_x0005_`EDT|_x0005_`ADJ|F_x0005_`DET|140_x0005_`</v>
      </c>
      <c r="K34" s="3" t="str">
        <f ca="1">HYPERLINK("#"&amp;일위대가표!N2&amp;"!A"&amp;ROW(일위대가표!A140),"대가31 →")</f>
        <v>대가31 →</v>
      </c>
    </row>
    <row r="35" spans="1:11" ht="22.35" customHeight="1" x14ac:dyDescent="0.3">
      <c r="A35" s="9" t="s">
        <v>89</v>
      </c>
      <c r="B35" s="10" t="s">
        <v>75</v>
      </c>
      <c r="C35" s="10" t="s">
        <v>38</v>
      </c>
      <c r="D35" s="9" t="s">
        <v>14</v>
      </c>
      <c r="E35" s="48">
        <f>일위대가표!F146</f>
        <v>2044858</v>
      </c>
      <c r="F35" s="47">
        <f>일위대가표!H146</f>
        <v>1985300</v>
      </c>
      <c r="G35" s="56">
        <f>일위대가표!J146</f>
        <v>0</v>
      </c>
      <c r="H35" s="48">
        <f>일위대가표!L146</f>
        <v>59558</v>
      </c>
      <c r="I35" s="15" t="s">
        <v>89</v>
      </c>
      <c r="J35" s="17" t="str">
        <f>"_x0007_`COD|B05137_x0005_`QTY1|1_x0005_`BQC|_x0005_`EQC|_x0005_`JDC|_x0005_`WQC|_x0005_`EDT|_x0005_`ADJ|F_x0005_`DET|"&amp;ROW(일위대가표!A144)&amp;"_x0005_`"</f>
        <v>_x0007_`COD|B05137_x0005_`QTY1|1_x0005_`BQC|_x0005_`EQC|_x0005_`JDC|_x0005_`WQC|_x0005_`EDT|_x0005_`ADJ|F_x0005_`DET|144_x0005_`</v>
      </c>
      <c r="K35" s="3" t="str">
        <f ca="1">HYPERLINK("#"&amp;일위대가표!N2&amp;"!A"&amp;ROW(일위대가표!A144),"대가32 →")</f>
        <v>대가32 →</v>
      </c>
    </row>
    <row r="36" spans="1:11" ht="22.35" customHeight="1" x14ac:dyDescent="0.3">
      <c r="A36" s="9" t="s">
        <v>91</v>
      </c>
      <c r="B36" s="10" t="s">
        <v>75</v>
      </c>
      <c r="C36" s="10" t="s">
        <v>41</v>
      </c>
      <c r="D36" s="9" t="s">
        <v>14</v>
      </c>
      <c r="E36" s="48">
        <f>일위대가표!F150</f>
        <v>3289807</v>
      </c>
      <c r="F36" s="47">
        <f>일위대가표!H150</f>
        <v>3193989</v>
      </c>
      <c r="G36" s="56">
        <f>일위대가표!J150</f>
        <v>0</v>
      </c>
      <c r="H36" s="48">
        <f>일위대가표!L150</f>
        <v>95818</v>
      </c>
      <c r="I36" s="15" t="s">
        <v>91</v>
      </c>
      <c r="J36" s="17" t="str">
        <f>"_x0007_`COD|B05138_x0005_`QTY1|1_x0005_`BQC|_x0005_`EQC|_x0005_`JDC|_x0005_`WQC|_x0005_`EDT|_x0005_`ADJ|F_x0005_`DET|"&amp;ROW(일위대가표!A148)&amp;"_x0005_`"</f>
        <v>_x0007_`COD|B05138_x0005_`QTY1|1_x0005_`BQC|_x0005_`EQC|_x0005_`JDC|_x0005_`WQC|_x0005_`EDT|_x0005_`ADJ|F_x0005_`DET|148_x0005_`</v>
      </c>
      <c r="K36" s="3" t="str">
        <f ca="1">HYPERLINK("#"&amp;일위대가표!N2&amp;"!A"&amp;ROW(일위대가표!A148),"대가33 →")</f>
        <v>대가33 →</v>
      </c>
    </row>
    <row r="37" spans="1:11" ht="22.35" customHeight="1" x14ac:dyDescent="0.3">
      <c r="A37" s="9" t="s">
        <v>93</v>
      </c>
      <c r="B37" s="10" t="s">
        <v>75</v>
      </c>
      <c r="C37" s="10" t="s">
        <v>44</v>
      </c>
      <c r="D37" s="9" t="s">
        <v>14</v>
      </c>
      <c r="E37" s="48">
        <f>일위대가표!F154</f>
        <v>3289807</v>
      </c>
      <c r="F37" s="47">
        <f>일위대가표!H154</f>
        <v>3193989</v>
      </c>
      <c r="G37" s="56">
        <f>일위대가표!J154</f>
        <v>0</v>
      </c>
      <c r="H37" s="48">
        <f>일위대가표!L154</f>
        <v>95818</v>
      </c>
      <c r="I37" s="15" t="s">
        <v>93</v>
      </c>
      <c r="J37" s="17" t="str">
        <f>"_x0007_`COD|B05139_x0005_`QTY1|1_x0005_`BQC|_x0005_`EQC|_x0005_`JDC|_x0005_`WQC|_x0005_`EDT|_x0005_`ADJ|F_x0005_`DET|"&amp;ROW(일위대가표!A152)&amp;"_x0005_`"</f>
        <v>_x0007_`COD|B05139_x0005_`QTY1|1_x0005_`BQC|_x0005_`EQC|_x0005_`JDC|_x0005_`WQC|_x0005_`EDT|_x0005_`ADJ|F_x0005_`DET|152_x0005_`</v>
      </c>
      <c r="K37" s="3" t="str">
        <f ca="1">HYPERLINK("#"&amp;일위대가표!N2&amp;"!A"&amp;ROW(일위대가표!A152),"대가34 →")</f>
        <v>대가34 →</v>
      </c>
    </row>
    <row r="38" spans="1:11" ht="22.35" customHeight="1" x14ac:dyDescent="0.3">
      <c r="A38" s="9" t="s">
        <v>95</v>
      </c>
      <c r="B38" s="10" t="s">
        <v>75</v>
      </c>
      <c r="C38" s="10" t="s">
        <v>47</v>
      </c>
      <c r="D38" s="9" t="s">
        <v>14</v>
      </c>
      <c r="E38" s="48">
        <f>일위대가표!F158</f>
        <v>4030109</v>
      </c>
      <c r="F38" s="47">
        <f>일위대가표!H158</f>
        <v>3912728</v>
      </c>
      <c r="G38" s="56">
        <f>일위대가표!J158</f>
        <v>0</v>
      </c>
      <c r="H38" s="48">
        <f>일위대가표!L158</f>
        <v>117381</v>
      </c>
      <c r="I38" s="15" t="s">
        <v>95</v>
      </c>
      <c r="J38" s="17" t="str">
        <f>"_x0007_`COD|B05140_x0005_`QTY1|1_x0005_`BQC|_x0005_`EQC|_x0005_`JDC|_x0005_`WQC|_x0005_`EDT|_x0005_`ADJ|F_x0005_`DET|"&amp;ROW(일위대가표!A156)&amp;"_x0005_`"</f>
        <v>_x0007_`COD|B05140_x0005_`QTY1|1_x0005_`BQC|_x0005_`EQC|_x0005_`JDC|_x0005_`WQC|_x0005_`EDT|_x0005_`ADJ|F_x0005_`DET|156_x0005_`</v>
      </c>
      <c r="K38" s="3" t="str">
        <f ca="1">HYPERLINK("#"&amp;일위대가표!N2&amp;"!A"&amp;ROW(일위대가표!A156),"대가35 →")</f>
        <v>대가35 →</v>
      </c>
    </row>
    <row r="39" spans="1:11" ht="22.35" customHeight="1" x14ac:dyDescent="0.3">
      <c r="A39" s="9" t="s">
        <v>97</v>
      </c>
      <c r="B39" s="10" t="s">
        <v>98</v>
      </c>
      <c r="C39" s="10" t="s">
        <v>13</v>
      </c>
      <c r="D39" s="9" t="s">
        <v>14</v>
      </c>
      <c r="E39" s="48">
        <f>일위대가표!F162</f>
        <v>104363</v>
      </c>
      <c r="F39" s="47">
        <f>일위대가표!H162</f>
        <v>101324</v>
      </c>
      <c r="G39" s="56">
        <f>일위대가표!J162</f>
        <v>0</v>
      </c>
      <c r="H39" s="48">
        <f>일위대가표!L162</f>
        <v>3039</v>
      </c>
      <c r="I39" s="15" t="s">
        <v>97</v>
      </c>
      <c r="J39" s="17" t="str">
        <f>"_x0007_`COD|B05141_x0005_`QTY1|1_x0005_`BQC|_x0005_`EQC|_x0005_`JDC|_x0005_`WQC|_x0005_`EDT|_x0005_`ADJ|F_x0005_`DET|"&amp;ROW(일위대가표!A160)&amp;"_x0005_`"</f>
        <v>_x0007_`COD|B05141_x0005_`QTY1|1_x0005_`BQC|_x0005_`EQC|_x0005_`JDC|_x0005_`WQC|_x0005_`EDT|_x0005_`ADJ|F_x0005_`DET|160_x0005_`</v>
      </c>
      <c r="K39" s="3" t="str">
        <f ca="1">HYPERLINK("#"&amp;일위대가표!N2&amp;"!A"&amp;ROW(일위대가표!A160),"대가36 →")</f>
        <v>대가36 →</v>
      </c>
    </row>
    <row r="40" spans="1:11" ht="22.35" customHeight="1" x14ac:dyDescent="0.3">
      <c r="A40" s="9" t="s">
        <v>100</v>
      </c>
      <c r="B40" s="10" t="s">
        <v>98</v>
      </c>
      <c r="C40" s="10" t="s">
        <v>17</v>
      </c>
      <c r="D40" s="9" t="s">
        <v>14</v>
      </c>
      <c r="E40" s="48">
        <f>일위대가표!F166</f>
        <v>120257</v>
      </c>
      <c r="F40" s="47">
        <f>일위대가표!H166</f>
        <v>116755</v>
      </c>
      <c r="G40" s="56">
        <f>일위대가표!J166</f>
        <v>0</v>
      </c>
      <c r="H40" s="48">
        <f>일위대가표!L166</f>
        <v>3502</v>
      </c>
      <c r="I40" s="15" t="s">
        <v>100</v>
      </c>
      <c r="J40" s="17" t="str">
        <f>"_x0007_`COD|B05142_x0005_`QTY1|1_x0005_`BQC|_x0005_`EQC|_x0005_`JDC|_x0005_`WQC|_x0005_`EDT|_x0005_`ADJ|F_x0005_`DET|"&amp;ROW(일위대가표!A164)&amp;"_x0005_`"</f>
        <v>_x0007_`COD|B05142_x0005_`QTY1|1_x0005_`BQC|_x0005_`EQC|_x0005_`JDC|_x0005_`WQC|_x0005_`EDT|_x0005_`ADJ|F_x0005_`DET|164_x0005_`</v>
      </c>
      <c r="K40" s="3" t="str">
        <f ca="1">HYPERLINK("#"&amp;일위대가표!N2&amp;"!A"&amp;ROW(일위대가표!A164),"대가37 →")</f>
        <v>대가37 →</v>
      </c>
    </row>
    <row r="41" spans="1:11" ht="22.35" customHeight="1" x14ac:dyDescent="0.3">
      <c r="A41" s="9" t="s">
        <v>102</v>
      </c>
      <c r="B41" s="10" t="s">
        <v>98</v>
      </c>
      <c r="C41" s="10" t="s">
        <v>20</v>
      </c>
      <c r="D41" s="9" t="s">
        <v>14</v>
      </c>
      <c r="E41" s="48">
        <f>일위대가표!F170</f>
        <v>138099</v>
      </c>
      <c r="F41" s="47">
        <f>일위대가표!H170</f>
        <v>134077</v>
      </c>
      <c r="G41" s="56">
        <f>일위대가표!J170</f>
        <v>0</v>
      </c>
      <c r="H41" s="48">
        <f>일위대가표!L170</f>
        <v>4022</v>
      </c>
      <c r="I41" s="15" t="s">
        <v>102</v>
      </c>
      <c r="J41" s="17" t="str">
        <f>"_x0007_`COD|B05143_x0005_`QTY1|1_x0005_`BQC|_x0005_`EQC|_x0005_`JDC|_x0005_`WQC|_x0005_`EDT|_x0005_`ADJ|F_x0005_`DET|"&amp;ROW(일위대가표!A168)&amp;"_x0005_`"</f>
        <v>_x0007_`COD|B05143_x0005_`QTY1|1_x0005_`BQC|_x0005_`EQC|_x0005_`JDC|_x0005_`WQC|_x0005_`EDT|_x0005_`ADJ|F_x0005_`DET|168_x0005_`</v>
      </c>
      <c r="K41" s="3" t="str">
        <f ca="1">HYPERLINK("#"&amp;일위대가표!N2&amp;"!A"&amp;ROW(일위대가표!A168),"대가38 →")</f>
        <v>대가38 →</v>
      </c>
    </row>
    <row r="42" spans="1:11" ht="22.35" customHeight="1" x14ac:dyDescent="0.3">
      <c r="A42" s="9" t="s">
        <v>104</v>
      </c>
      <c r="B42" s="10" t="s">
        <v>98</v>
      </c>
      <c r="C42" s="10" t="s">
        <v>23</v>
      </c>
      <c r="D42" s="9" t="s">
        <v>14</v>
      </c>
      <c r="E42" s="48">
        <f>일위대가표!F174</f>
        <v>166390</v>
      </c>
      <c r="F42" s="47">
        <f>일위대가표!H174</f>
        <v>161544</v>
      </c>
      <c r="G42" s="56">
        <f>일위대가표!J174</f>
        <v>0</v>
      </c>
      <c r="H42" s="48">
        <f>일위대가표!L174</f>
        <v>4846</v>
      </c>
      <c r="I42" s="15" t="s">
        <v>104</v>
      </c>
      <c r="J42" s="17" t="str">
        <f>"_x0007_`COD|B05144_x0005_`QTY1|1_x0005_`BQC|_x0005_`EQC|_x0005_`JDC|_x0005_`WQC|_x0005_`EDT|_x0005_`ADJ|F_x0005_`DET|"&amp;ROW(일위대가표!A172)&amp;"_x0005_`"</f>
        <v>_x0007_`COD|B05144_x0005_`QTY1|1_x0005_`BQC|_x0005_`EQC|_x0005_`JDC|_x0005_`WQC|_x0005_`EDT|_x0005_`ADJ|F_x0005_`DET|172_x0005_`</v>
      </c>
      <c r="K42" s="3" t="str">
        <f ca="1">HYPERLINK("#"&amp;일위대가표!N2&amp;"!A"&amp;ROW(일위대가표!A172),"대가39 →")</f>
        <v>대가39 →</v>
      </c>
    </row>
    <row r="43" spans="1:11" ht="22.35" customHeight="1" x14ac:dyDescent="0.3">
      <c r="A43" s="9" t="s">
        <v>106</v>
      </c>
      <c r="B43" s="10" t="s">
        <v>98</v>
      </c>
      <c r="C43" s="10" t="s">
        <v>26</v>
      </c>
      <c r="D43" s="9" t="s">
        <v>14</v>
      </c>
      <c r="E43" s="48">
        <f>일위대가표!F178</f>
        <v>209936</v>
      </c>
      <c r="F43" s="47">
        <f>일위대가표!H178</f>
        <v>203822</v>
      </c>
      <c r="G43" s="56">
        <f>일위대가표!J178</f>
        <v>0</v>
      </c>
      <c r="H43" s="48">
        <f>일위대가표!L178</f>
        <v>6114</v>
      </c>
      <c r="I43" s="15" t="s">
        <v>106</v>
      </c>
      <c r="J43" s="17" t="str">
        <f>"_x0007_`COD|B05145_x0005_`QTY1|1_x0005_`BQC|_x0005_`EQC|_x0005_`JDC|_x0005_`WQC|_x0005_`EDT|_x0005_`ADJ|F_x0005_`DET|"&amp;ROW(일위대가표!A176)&amp;"_x0005_`"</f>
        <v>_x0007_`COD|B05145_x0005_`QTY1|1_x0005_`BQC|_x0005_`EQC|_x0005_`JDC|_x0005_`WQC|_x0005_`EDT|_x0005_`ADJ|F_x0005_`DET|176_x0005_`</v>
      </c>
      <c r="K43" s="3" t="str">
        <f ca="1">HYPERLINK("#"&amp;일위대가표!N2&amp;"!A"&amp;ROW(일위대가표!A176),"대가40 →")</f>
        <v>대가40 →</v>
      </c>
    </row>
    <row r="44" spans="1:11" ht="22.35" customHeight="1" x14ac:dyDescent="0.3">
      <c r="A44" s="9" t="s">
        <v>108</v>
      </c>
      <c r="B44" s="10" t="s">
        <v>98</v>
      </c>
      <c r="C44" s="10" t="s">
        <v>29</v>
      </c>
      <c r="D44" s="9" t="s">
        <v>14</v>
      </c>
      <c r="E44" s="48">
        <f>일위대가표!F182</f>
        <v>263831</v>
      </c>
      <c r="F44" s="47">
        <f>일위대가표!H182</f>
        <v>256147</v>
      </c>
      <c r="G44" s="56">
        <f>일위대가표!J182</f>
        <v>0</v>
      </c>
      <c r="H44" s="48">
        <f>일위대가표!L182</f>
        <v>7684</v>
      </c>
      <c r="I44" s="15" t="s">
        <v>108</v>
      </c>
      <c r="J44" s="17" t="str">
        <f>"_x0007_`COD|B05146_x0005_`QTY1|1_x0005_`BQC|_x0005_`EQC|_x0005_`JDC|_x0005_`WQC|_x0005_`EDT|_x0005_`ADJ|F_x0005_`DET|"&amp;ROW(일위대가표!A180)&amp;"_x0005_`"</f>
        <v>_x0007_`COD|B05146_x0005_`QTY1|1_x0005_`BQC|_x0005_`EQC|_x0005_`JDC|_x0005_`WQC|_x0005_`EDT|_x0005_`ADJ|F_x0005_`DET|180_x0005_`</v>
      </c>
      <c r="K44" s="3" t="str">
        <f ca="1">HYPERLINK("#"&amp;일위대가표!N2&amp;"!A"&amp;ROW(일위대가표!A180),"대가41 →")</f>
        <v>대가41 →</v>
      </c>
    </row>
    <row r="45" spans="1:11" ht="22.35" customHeight="1" x14ac:dyDescent="0.3">
      <c r="A45" s="9" t="s">
        <v>110</v>
      </c>
      <c r="B45" s="10" t="s">
        <v>98</v>
      </c>
      <c r="C45" s="10" t="s">
        <v>32</v>
      </c>
      <c r="D45" s="9" t="s">
        <v>14</v>
      </c>
      <c r="E45" s="48">
        <f>일위대가표!F186</f>
        <v>280095</v>
      </c>
      <c r="F45" s="47">
        <f>일위대가표!H186</f>
        <v>271937</v>
      </c>
      <c r="G45" s="56">
        <f>일위대가표!J186</f>
        <v>0</v>
      </c>
      <c r="H45" s="48">
        <f>일위대가표!L186</f>
        <v>8158</v>
      </c>
      <c r="I45" s="15" t="s">
        <v>110</v>
      </c>
      <c r="J45" s="17" t="str">
        <f>"_x0007_`COD|B05147_x0005_`QTY1|1_x0005_`BQC|_x0005_`EQC|_x0005_`JDC|_x0005_`WQC|_x0005_`EDT|_x0005_`ADJ|F_x0005_`DET|"&amp;ROW(일위대가표!A184)&amp;"_x0005_`"</f>
        <v>_x0007_`COD|B05147_x0005_`QTY1|1_x0005_`BQC|_x0005_`EQC|_x0005_`JDC|_x0005_`WQC|_x0005_`EDT|_x0005_`ADJ|F_x0005_`DET|184_x0005_`</v>
      </c>
      <c r="K45" s="3" t="str">
        <f ca="1">HYPERLINK("#"&amp;일위대가표!N2&amp;"!A"&amp;ROW(일위대가표!A184),"대가42 →")</f>
        <v>대가42 →</v>
      </c>
    </row>
    <row r="46" spans="1:11" ht="22.35" customHeight="1" x14ac:dyDescent="0.3">
      <c r="A46" s="9" t="s">
        <v>112</v>
      </c>
      <c r="B46" s="10" t="s">
        <v>98</v>
      </c>
      <c r="C46" s="10" t="s">
        <v>35</v>
      </c>
      <c r="D46" s="9" t="s">
        <v>14</v>
      </c>
      <c r="E46" s="48">
        <f>일위대가표!F190</f>
        <v>452499</v>
      </c>
      <c r="F46" s="47">
        <f>일위대가표!H190</f>
        <v>439320</v>
      </c>
      <c r="G46" s="56">
        <f>일위대가표!J190</f>
        <v>0</v>
      </c>
      <c r="H46" s="48">
        <f>일위대가표!L190</f>
        <v>13179</v>
      </c>
      <c r="I46" s="15" t="s">
        <v>112</v>
      </c>
      <c r="J46" s="17" t="str">
        <f>"_x0007_`COD|B05148_x0005_`QTY1|1_x0005_`BQC|_x0005_`EQC|_x0005_`JDC|_x0005_`WQC|_x0005_`EDT|_x0005_`ADJ|F_x0005_`DET|"&amp;ROW(일위대가표!A188)&amp;"_x0005_`"</f>
        <v>_x0007_`COD|B05148_x0005_`QTY1|1_x0005_`BQC|_x0005_`EQC|_x0005_`JDC|_x0005_`WQC|_x0005_`EDT|_x0005_`ADJ|F_x0005_`DET|188_x0005_`</v>
      </c>
      <c r="K46" s="3" t="str">
        <f ca="1">HYPERLINK("#"&amp;일위대가표!N2&amp;"!A"&amp;ROW(일위대가표!A188),"대가43 →")</f>
        <v>대가43 →</v>
      </c>
    </row>
    <row r="47" spans="1:11" ht="22.35" customHeight="1" x14ac:dyDescent="0.3">
      <c r="A47" s="9" t="s">
        <v>114</v>
      </c>
      <c r="B47" s="10" t="s">
        <v>98</v>
      </c>
      <c r="C47" s="10" t="s">
        <v>38</v>
      </c>
      <c r="D47" s="9" t="s">
        <v>14</v>
      </c>
      <c r="E47" s="48">
        <f>일위대가표!F194</f>
        <v>584244</v>
      </c>
      <c r="F47" s="47">
        <f>일위대가표!H194</f>
        <v>567228</v>
      </c>
      <c r="G47" s="56">
        <f>일위대가표!J194</f>
        <v>0</v>
      </c>
      <c r="H47" s="48">
        <f>일위대가표!L194</f>
        <v>17016</v>
      </c>
      <c r="I47" s="15" t="s">
        <v>114</v>
      </c>
      <c r="J47" s="17" t="str">
        <f>"_x0007_`COD|B05149_x0005_`QTY1|1_x0005_`BQC|_x0005_`EQC|_x0005_`JDC|_x0005_`WQC|_x0005_`EDT|_x0005_`ADJ|F_x0005_`DET|"&amp;ROW(일위대가표!A192)&amp;"_x0005_`"</f>
        <v>_x0007_`COD|B05149_x0005_`QTY1|1_x0005_`BQC|_x0005_`EQC|_x0005_`JDC|_x0005_`WQC|_x0005_`EDT|_x0005_`ADJ|F_x0005_`DET|192_x0005_`</v>
      </c>
      <c r="K47" s="3" t="str">
        <f ca="1">HYPERLINK("#"&amp;일위대가표!N2&amp;"!A"&amp;ROW(일위대가표!A192),"대가44 →")</f>
        <v>대가44 →</v>
      </c>
    </row>
    <row r="48" spans="1:11" ht="22.35" customHeight="1" x14ac:dyDescent="0.3">
      <c r="A48" s="9" t="s">
        <v>116</v>
      </c>
      <c r="B48" s="10" t="s">
        <v>98</v>
      </c>
      <c r="C48" s="10" t="s">
        <v>41</v>
      </c>
      <c r="D48" s="9" t="s">
        <v>14</v>
      </c>
      <c r="E48" s="48">
        <f>일위대가표!F198</f>
        <v>939944</v>
      </c>
      <c r="F48" s="47">
        <f>일위대가표!H198</f>
        <v>912568</v>
      </c>
      <c r="G48" s="56">
        <f>일위대가표!J198</f>
        <v>0</v>
      </c>
      <c r="H48" s="48">
        <f>일위대가표!L198</f>
        <v>27376</v>
      </c>
      <c r="I48" s="15" t="s">
        <v>116</v>
      </c>
      <c r="J48" s="17" t="str">
        <f>"_x0007_`COD|B05150_x0005_`QTY1|1_x0005_`BQC|_x0005_`EQC|_x0005_`JDC|_x0005_`WQC|_x0005_`EDT|_x0005_`ADJ|F_x0005_`DET|"&amp;ROW(일위대가표!A196)&amp;"_x0005_`"</f>
        <v>_x0007_`COD|B05150_x0005_`QTY1|1_x0005_`BQC|_x0005_`EQC|_x0005_`JDC|_x0005_`WQC|_x0005_`EDT|_x0005_`ADJ|F_x0005_`DET|196_x0005_`</v>
      </c>
      <c r="K48" s="3" t="str">
        <f ca="1">HYPERLINK("#"&amp;일위대가표!N2&amp;"!A"&amp;ROW(일위대가표!A196),"대가45 →")</f>
        <v>대가45 →</v>
      </c>
    </row>
    <row r="49" spans="1:11" ht="22.35" customHeight="1" x14ac:dyDescent="0.3">
      <c r="A49" s="9" t="s">
        <v>118</v>
      </c>
      <c r="B49" s="10" t="s">
        <v>98</v>
      </c>
      <c r="C49" s="10" t="s">
        <v>44</v>
      </c>
      <c r="D49" s="9" t="s">
        <v>14</v>
      </c>
      <c r="E49" s="48">
        <f>일위대가표!F202</f>
        <v>939944</v>
      </c>
      <c r="F49" s="47">
        <f>일위대가표!H202</f>
        <v>912568</v>
      </c>
      <c r="G49" s="56">
        <f>일위대가표!J202</f>
        <v>0</v>
      </c>
      <c r="H49" s="48">
        <f>일위대가표!L202</f>
        <v>27376</v>
      </c>
      <c r="I49" s="15" t="s">
        <v>118</v>
      </c>
      <c r="J49" s="17" t="str">
        <f>"_x0007_`COD|B05151_x0005_`QTY1|1_x0005_`BQC|_x0005_`EQC|_x0005_`JDC|_x0005_`WQC|_x0005_`EDT|_x0005_`ADJ|F_x0005_`DET|"&amp;ROW(일위대가표!A200)&amp;"_x0005_`"</f>
        <v>_x0007_`COD|B05151_x0005_`QTY1|1_x0005_`BQC|_x0005_`EQC|_x0005_`JDC|_x0005_`WQC|_x0005_`EDT|_x0005_`ADJ|F_x0005_`DET|200_x0005_`</v>
      </c>
      <c r="K49" s="3" t="str">
        <f ca="1">HYPERLINK("#"&amp;일위대가표!N2&amp;"!A"&amp;ROW(일위대가표!A200),"대가46 →")</f>
        <v>대가46 →</v>
      </c>
    </row>
    <row r="50" spans="1:11" ht="22.35" customHeight="1" x14ac:dyDescent="0.3">
      <c r="A50" s="9" t="s">
        <v>120</v>
      </c>
      <c r="B50" s="10" t="s">
        <v>98</v>
      </c>
      <c r="C50" s="10" t="s">
        <v>47</v>
      </c>
      <c r="D50" s="9" t="s">
        <v>14</v>
      </c>
      <c r="E50" s="48">
        <f>일위대가표!F206</f>
        <v>1151459</v>
      </c>
      <c r="F50" s="47">
        <f>일위대가표!H206</f>
        <v>1117922</v>
      </c>
      <c r="G50" s="56">
        <f>일위대가표!J206</f>
        <v>0</v>
      </c>
      <c r="H50" s="48">
        <f>일위대가표!L206</f>
        <v>33537</v>
      </c>
      <c r="I50" s="15" t="s">
        <v>120</v>
      </c>
      <c r="J50" s="17" t="str">
        <f>"_x0007_`COD|B05152_x0005_`QTY1|1_x0005_`BQC|_x0005_`EQC|_x0005_`JDC|_x0005_`WQC|_x0005_`EDT|_x0005_`ADJ|F_x0005_`DET|"&amp;ROW(일위대가표!A204)&amp;"_x0005_`"</f>
        <v>_x0007_`COD|B05152_x0005_`QTY1|1_x0005_`BQC|_x0005_`EQC|_x0005_`JDC|_x0005_`WQC|_x0005_`EDT|_x0005_`ADJ|F_x0005_`DET|204_x0005_`</v>
      </c>
      <c r="K50" s="3" t="str">
        <f ca="1">HYPERLINK("#"&amp;일위대가표!N2&amp;"!A"&amp;ROW(일위대가표!A204),"대가47 →")</f>
        <v>대가47 →</v>
      </c>
    </row>
    <row r="51" spans="1:11" ht="22.35" customHeight="1" x14ac:dyDescent="0.3">
      <c r="A51" s="9" t="s">
        <v>122</v>
      </c>
      <c r="B51" s="10" t="s">
        <v>123</v>
      </c>
      <c r="C51" s="10" t="s">
        <v>13</v>
      </c>
      <c r="D51" s="9" t="s">
        <v>14</v>
      </c>
      <c r="E51" s="48">
        <f>일위대가표!F211</f>
        <v>2265273</v>
      </c>
      <c r="F51" s="47">
        <f>일위대가표!H211</f>
        <v>354635</v>
      </c>
      <c r="G51" s="56">
        <f>일위대가표!J211</f>
        <v>1900000</v>
      </c>
      <c r="H51" s="48">
        <f>일위대가표!L211</f>
        <v>10638</v>
      </c>
      <c r="I51" s="15" t="s">
        <v>122</v>
      </c>
      <c r="J51" s="17" t="str">
        <f>"_x0007_`COD|B04908_x0005_`QTY1|1_x0005_`BQC|_x0005_`EQC|_x0005_`JDC|_x0005_`WQC|_x0005_`EDT|_x0005_`ADJ|F_x0005_`DET|"&amp;ROW(일위대가표!A208)&amp;"_x0005_`"</f>
        <v>_x0007_`COD|B04908_x0005_`QTY1|1_x0005_`BQC|_x0005_`EQC|_x0005_`JDC|_x0005_`WQC|_x0005_`EDT|_x0005_`ADJ|F_x0005_`DET|208_x0005_`</v>
      </c>
      <c r="K51" s="3" t="str">
        <f ca="1">HYPERLINK("#"&amp;일위대가표!N2&amp;"!A"&amp;ROW(일위대가표!A208),"대가48 →")</f>
        <v>대가48 →</v>
      </c>
    </row>
    <row r="52" spans="1:11" ht="22.35" customHeight="1" x14ac:dyDescent="0.3">
      <c r="A52" s="9" t="s">
        <v>125</v>
      </c>
      <c r="B52" s="10" t="s">
        <v>123</v>
      </c>
      <c r="C52" s="10" t="s">
        <v>17</v>
      </c>
      <c r="D52" s="9" t="s">
        <v>14</v>
      </c>
      <c r="E52" s="48">
        <f>일위대가표!F216</f>
        <v>3220901</v>
      </c>
      <c r="F52" s="47">
        <f>일위대가표!H216</f>
        <v>408643</v>
      </c>
      <c r="G52" s="56">
        <f>일위대가표!J216</f>
        <v>2800000</v>
      </c>
      <c r="H52" s="48">
        <f>일위대가표!L216</f>
        <v>12258</v>
      </c>
      <c r="I52" s="15" t="s">
        <v>125</v>
      </c>
      <c r="J52" s="17" t="str">
        <f>"_x0007_`COD|B04909_x0005_`QTY1|1_x0005_`BQC|_x0005_`EQC|_x0005_`JDC|_x0005_`WQC|_x0005_`EDT|_x0005_`ADJ|F_x0005_`DET|"&amp;ROW(일위대가표!A213)&amp;"_x0005_`"</f>
        <v>_x0007_`COD|B04909_x0005_`QTY1|1_x0005_`BQC|_x0005_`EQC|_x0005_`JDC|_x0005_`WQC|_x0005_`EDT|_x0005_`ADJ|F_x0005_`DET|213_x0005_`</v>
      </c>
      <c r="K52" s="3" t="str">
        <f ca="1">HYPERLINK("#"&amp;일위대가표!N2&amp;"!A"&amp;ROW(일위대가표!A213),"대가49 →")</f>
        <v>대가49 →</v>
      </c>
    </row>
    <row r="53" spans="1:11" ht="22.35" customHeight="1" x14ac:dyDescent="0.3">
      <c r="A53" s="9" t="s">
        <v>127</v>
      </c>
      <c r="B53" s="10" t="s">
        <v>123</v>
      </c>
      <c r="C53" s="10" t="s">
        <v>20</v>
      </c>
      <c r="D53" s="9" t="s">
        <v>14</v>
      </c>
      <c r="E53" s="48">
        <f>일위대가표!F221</f>
        <v>5183348</v>
      </c>
      <c r="F53" s="47">
        <f>일위대가표!H221</f>
        <v>469271</v>
      </c>
      <c r="G53" s="56">
        <f>일위대가표!J221</f>
        <v>4700000</v>
      </c>
      <c r="H53" s="48">
        <f>일위대가표!L221</f>
        <v>14077</v>
      </c>
      <c r="I53" s="15" t="s">
        <v>127</v>
      </c>
      <c r="J53" s="17" t="str">
        <f>"_x0007_`COD|B04910_x0005_`QTY1|1_x0005_`BQC|_x0005_`EQC|_x0005_`JDC|_x0005_`WQC|_x0005_`EDT|_x0005_`ADJ|F_x0005_`DET|"&amp;ROW(일위대가표!A218)&amp;"_x0005_`"</f>
        <v>_x0007_`COD|B04910_x0005_`QTY1|1_x0005_`BQC|_x0005_`EQC|_x0005_`JDC|_x0005_`WQC|_x0005_`EDT|_x0005_`ADJ|F_x0005_`DET|218_x0005_`</v>
      </c>
      <c r="K53" s="3" t="str">
        <f ca="1">HYPERLINK("#"&amp;일위대가표!N2&amp;"!A"&amp;ROW(일위대가표!A218),"대가50 →")</f>
        <v>대가50 →</v>
      </c>
    </row>
    <row r="54" spans="1:11" ht="22.35" customHeight="1" x14ac:dyDescent="0.3">
      <c r="A54" s="9" t="s">
        <v>129</v>
      </c>
      <c r="B54" s="10" t="s">
        <v>123</v>
      </c>
      <c r="C54" s="10" t="s">
        <v>23</v>
      </c>
      <c r="D54" s="9" t="s">
        <v>14</v>
      </c>
      <c r="E54" s="48">
        <f>일위대가표!F226</f>
        <v>7282367</v>
      </c>
      <c r="F54" s="47">
        <f>일위대가표!H226</f>
        <v>565406</v>
      </c>
      <c r="G54" s="56">
        <f>일위대가표!J226</f>
        <v>6700000</v>
      </c>
      <c r="H54" s="48">
        <f>일위대가표!L226</f>
        <v>16961</v>
      </c>
      <c r="I54" s="15" t="s">
        <v>129</v>
      </c>
      <c r="J54" s="17" t="str">
        <f>"_x0007_`COD|B04911_x0005_`QTY1|1_x0005_`BQC|_x0005_`EQC|_x0005_`JDC|_x0005_`WQC|_x0005_`EDT|_x0005_`ADJ|F_x0005_`DET|"&amp;ROW(일위대가표!A223)&amp;"_x0005_`"</f>
        <v>_x0007_`COD|B04911_x0005_`QTY1|1_x0005_`BQC|_x0005_`EQC|_x0005_`JDC|_x0005_`WQC|_x0005_`EDT|_x0005_`ADJ|F_x0005_`DET|223_x0005_`</v>
      </c>
      <c r="K54" s="3" t="str">
        <f ca="1">HYPERLINK("#"&amp;일위대가표!N2&amp;"!A"&amp;ROW(일위대가표!A223),"대가51 →")</f>
        <v>대가51 →</v>
      </c>
    </row>
    <row r="55" spans="1:11" ht="22.35" customHeight="1" x14ac:dyDescent="0.3">
      <c r="A55" s="9" t="s">
        <v>131</v>
      </c>
      <c r="B55" s="10" t="s">
        <v>123</v>
      </c>
      <c r="C55" s="10" t="s">
        <v>26</v>
      </c>
      <c r="D55" s="9" t="s">
        <v>14</v>
      </c>
      <c r="E55" s="48">
        <f>일위대가표!F231</f>
        <v>8234777</v>
      </c>
      <c r="F55" s="47">
        <f>일위대가표!H231</f>
        <v>713377</v>
      </c>
      <c r="G55" s="56">
        <f>일위대가표!J231</f>
        <v>7500000</v>
      </c>
      <c r="H55" s="48">
        <f>일위대가표!L231</f>
        <v>21400</v>
      </c>
      <c r="I55" s="15" t="s">
        <v>131</v>
      </c>
      <c r="J55" s="17" t="str">
        <f>"_x0007_`COD|B04912_x0005_`QTY1|1_x0005_`BQC|_x0005_`EQC|_x0005_`JDC|_x0005_`WQC|_x0005_`EDT|_x0005_`ADJ|F_x0005_`DET|"&amp;ROW(일위대가표!A228)&amp;"_x0005_`"</f>
        <v>_x0007_`COD|B04912_x0005_`QTY1|1_x0005_`BQC|_x0005_`EQC|_x0005_`JDC|_x0005_`WQC|_x0005_`EDT|_x0005_`ADJ|F_x0005_`DET|228_x0005_`</v>
      </c>
      <c r="K55" s="3" t="str">
        <f ca="1">HYPERLINK("#"&amp;일위대가표!N2&amp;"!A"&amp;ROW(일위대가표!A228),"대가52 →")</f>
        <v>대가52 →</v>
      </c>
    </row>
    <row r="56" spans="1:11" ht="22.35" customHeight="1" x14ac:dyDescent="0.3">
      <c r="A56" s="9" t="s">
        <v>133</v>
      </c>
      <c r="B56" s="10" t="s">
        <v>123</v>
      </c>
      <c r="C56" s="10" t="s">
        <v>29</v>
      </c>
      <c r="D56" s="9" t="s">
        <v>14</v>
      </c>
      <c r="E56" s="48">
        <f>일위대가표!F236</f>
        <v>10523410</v>
      </c>
      <c r="F56" s="47">
        <f>일위대가표!H236</f>
        <v>896515</v>
      </c>
      <c r="G56" s="56">
        <f>일위대가표!J236</f>
        <v>9600000</v>
      </c>
      <c r="H56" s="48">
        <f>일위대가표!L236</f>
        <v>26895</v>
      </c>
      <c r="I56" s="15" t="s">
        <v>133</v>
      </c>
      <c r="J56" s="17" t="str">
        <f>"_x0007_`COD|B04913_x0005_`QTY1|1_x0005_`BQC|_x0005_`EQC|_x0005_`JDC|_x0005_`WQC|_x0005_`EDT|_x0005_`ADJ|F_x0005_`DET|"&amp;ROW(일위대가표!A233)&amp;"_x0005_`"</f>
        <v>_x0007_`COD|B04913_x0005_`QTY1|1_x0005_`BQC|_x0005_`EQC|_x0005_`JDC|_x0005_`WQC|_x0005_`EDT|_x0005_`ADJ|F_x0005_`DET|233_x0005_`</v>
      </c>
      <c r="K56" s="3" t="str">
        <f ca="1">HYPERLINK("#"&amp;일위대가표!N2&amp;"!A"&amp;ROW(일위대가표!A233),"대가53 →")</f>
        <v>대가53 →</v>
      </c>
    </row>
    <row r="57" spans="1:11" ht="22.35" customHeight="1" x14ac:dyDescent="0.3">
      <c r="A57" s="9" t="s">
        <v>135</v>
      </c>
      <c r="B57" s="10" t="s">
        <v>123</v>
      </c>
      <c r="C57" s="10" t="s">
        <v>32</v>
      </c>
      <c r="D57" s="9" t="s">
        <v>14</v>
      </c>
      <c r="E57" s="48">
        <f>일위대가표!F241</f>
        <v>12980333</v>
      </c>
      <c r="F57" s="47">
        <f>일위대가표!H241</f>
        <v>951780</v>
      </c>
      <c r="G57" s="56">
        <f>일위대가표!J241</f>
        <v>12000000</v>
      </c>
      <c r="H57" s="48">
        <f>일위대가표!L241</f>
        <v>28553</v>
      </c>
      <c r="I57" s="15" t="s">
        <v>135</v>
      </c>
      <c r="J57" s="17" t="str">
        <f>"_x0007_`COD|B04914_x0005_`QTY1|1_x0005_`BQC|_x0005_`EQC|_x0005_`JDC|_x0005_`WQC|_x0005_`EDT|_x0005_`ADJ|F_x0005_`DET|"&amp;ROW(일위대가표!A238)&amp;"_x0005_`"</f>
        <v>_x0007_`COD|B04914_x0005_`QTY1|1_x0005_`BQC|_x0005_`EQC|_x0005_`JDC|_x0005_`WQC|_x0005_`EDT|_x0005_`ADJ|F_x0005_`DET|238_x0005_`</v>
      </c>
      <c r="K57" s="3" t="str">
        <f ca="1">HYPERLINK("#"&amp;일위대가표!N2&amp;"!A"&amp;ROW(일위대가표!A238),"대가54 →")</f>
        <v>대가54 →</v>
      </c>
    </row>
    <row r="58" spans="1:11" ht="22.35" customHeight="1" x14ac:dyDescent="0.3">
      <c r="A58" s="9" t="s">
        <v>137</v>
      </c>
      <c r="B58" s="10" t="s">
        <v>123</v>
      </c>
      <c r="C58" s="10" t="s">
        <v>35</v>
      </c>
      <c r="D58" s="9" t="s">
        <v>14</v>
      </c>
      <c r="E58" s="48">
        <f>일위대가표!F246</f>
        <v>15083750</v>
      </c>
      <c r="F58" s="47">
        <f>일위대가표!H246</f>
        <v>1537622</v>
      </c>
      <c r="G58" s="56">
        <f>일위대가표!J246</f>
        <v>13500000</v>
      </c>
      <c r="H58" s="48">
        <f>일위대가표!L246</f>
        <v>46128</v>
      </c>
      <c r="I58" s="15" t="s">
        <v>137</v>
      </c>
      <c r="J58" s="17" t="str">
        <f>"_x0007_`COD|B04915_x0005_`QTY1|1_x0005_`BQC|_x0005_`EQC|_x0005_`JDC|_x0005_`WQC|_x0005_`EDT|_x0005_`ADJ|F_x0005_`DET|"&amp;ROW(일위대가표!A243)&amp;"_x0005_`"</f>
        <v>_x0007_`COD|B04915_x0005_`QTY1|1_x0005_`BQC|_x0005_`EQC|_x0005_`JDC|_x0005_`WQC|_x0005_`EDT|_x0005_`ADJ|F_x0005_`DET|243_x0005_`</v>
      </c>
      <c r="K58" s="3" t="str">
        <f ca="1">HYPERLINK("#"&amp;일위대가표!N2&amp;"!A"&amp;ROW(일위대가표!A243),"대가55 →")</f>
        <v>대가55 →</v>
      </c>
    </row>
    <row r="59" spans="1:11" ht="22.35" customHeight="1" x14ac:dyDescent="0.3">
      <c r="A59" s="9" t="s">
        <v>139</v>
      </c>
      <c r="B59" s="10" t="s">
        <v>123</v>
      </c>
      <c r="C59" s="10" t="s">
        <v>38</v>
      </c>
      <c r="D59" s="9" t="s">
        <v>14</v>
      </c>
      <c r="E59" s="48">
        <f>일위대가표!F251</f>
        <v>17044858</v>
      </c>
      <c r="F59" s="47">
        <f>일위대가표!H251</f>
        <v>1985300</v>
      </c>
      <c r="G59" s="56">
        <f>일위대가표!J251</f>
        <v>15000000</v>
      </c>
      <c r="H59" s="48">
        <f>일위대가표!L251</f>
        <v>59558</v>
      </c>
      <c r="I59" s="15" t="s">
        <v>139</v>
      </c>
      <c r="J59" s="17" t="str">
        <f>"_x0007_`COD|B04916_x0005_`QTY1|1_x0005_`BQC|_x0005_`EQC|_x0005_`JDC|_x0005_`WQC|_x0005_`EDT|_x0005_`ADJ|F_x0005_`DET|"&amp;ROW(일위대가표!A248)&amp;"_x0005_`"</f>
        <v>_x0007_`COD|B04916_x0005_`QTY1|1_x0005_`BQC|_x0005_`EQC|_x0005_`JDC|_x0005_`WQC|_x0005_`EDT|_x0005_`ADJ|F_x0005_`DET|248_x0005_`</v>
      </c>
      <c r="K59" s="3" t="str">
        <f ca="1">HYPERLINK("#"&amp;일위대가표!N2&amp;"!A"&amp;ROW(일위대가표!A248),"대가56 →")</f>
        <v>대가56 →</v>
      </c>
    </row>
    <row r="60" spans="1:11" ht="22.35" customHeight="1" x14ac:dyDescent="0.3">
      <c r="A60" s="9" t="s">
        <v>141</v>
      </c>
      <c r="B60" s="10" t="s">
        <v>123</v>
      </c>
      <c r="C60" s="10" t="s">
        <v>41</v>
      </c>
      <c r="D60" s="9" t="s">
        <v>14</v>
      </c>
      <c r="E60" s="48">
        <f>일위대가표!F256</f>
        <v>20289807</v>
      </c>
      <c r="F60" s="47">
        <f>일위대가표!H256</f>
        <v>3193989</v>
      </c>
      <c r="G60" s="56">
        <f>일위대가표!J256</f>
        <v>17000000</v>
      </c>
      <c r="H60" s="48">
        <f>일위대가표!L256</f>
        <v>95818</v>
      </c>
      <c r="I60" s="15" t="s">
        <v>141</v>
      </c>
      <c r="J60" s="17" t="str">
        <f>"_x0007_`COD|B04917_x0005_`QTY1|1_x0005_`BQC|_x0005_`EQC|_x0005_`JDC|_x0005_`WQC|_x0005_`EDT|_x0005_`ADJ|F_x0005_`DET|"&amp;ROW(일위대가표!A253)&amp;"_x0005_`"</f>
        <v>_x0007_`COD|B04917_x0005_`QTY1|1_x0005_`BQC|_x0005_`EQC|_x0005_`JDC|_x0005_`WQC|_x0005_`EDT|_x0005_`ADJ|F_x0005_`DET|253_x0005_`</v>
      </c>
      <c r="K60" s="3" t="str">
        <f ca="1">HYPERLINK("#"&amp;일위대가표!N2&amp;"!A"&amp;ROW(일위대가표!A253),"대가57 →")</f>
        <v>대가57 →</v>
      </c>
    </row>
    <row r="61" spans="1:11" ht="22.35" customHeight="1" x14ac:dyDescent="0.3">
      <c r="A61" s="9" t="s">
        <v>143</v>
      </c>
      <c r="B61" s="10" t="s">
        <v>123</v>
      </c>
      <c r="C61" s="10" t="s">
        <v>44</v>
      </c>
      <c r="D61" s="9" t="s">
        <v>14</v>
      </c>
      <c r="E61" s="48">
        <f>일위대가표!F261</f>
        <v>20989807</v>
      </c>
      <c r="F61" s="47">
        <f>일위대가표!H261</f>
        <v>3193989</v>
      </c>
      <c r="G61" s="56">
        <f>일위대가표!J261</f>
        <v>17700000</v>
      </c>
      <c r="H61" s="48">
        <f>일위대가표!L261</f>
        <v>95818</v>
      </c>
      <c r="I61" s="15" t="s">
        <v>143</v>
      </c>
      <c r="J61" s="17" t="str">
        <f>"_x0007_`COD|B04918_x0005_`QTY1|1_x0005_`BQC|_x0005_`EQC|_x0005_`JDC|_x0005_`WQC|_x0005_`EDT|_x0005_`ADJ|F_x0005_`DET|"&amp;ROW(일위대가표!A258)&amp;"_x0005_`"</f>
        <v>_x0007_`COD|B04918_x0005_`QTY1|1_x0005_`BQC|_x0005_`EQC|_x0005_`JDC|_x0005_`WQC|_x0005_`EDT|_x0005_`ADJ|F_x0005_`DET|258_x0005_`</v>
      </c>
      <c r="K61" s="3" t="str">
        <f ca="1">HYPERLINK("#"&amp;일위대가표!N2&amp;"!A"&amp;ROW(일위대가표!A258),"대가58 →")</f>
        <v>대가58 →</v>
      </c>
    </row>
    <row r="62" spans="1:11" ht="22.35" customHeight="1" x14ac:dyDescent="0.3">
      <c r="A62" s="9" t="s">
        <v>145</v>
      </c>
      <c r="B62" s="10" t="s">
        <v>123</v>
      </c>
      <c r="C62" s="10" t="s">
        <v>47</v>
      </c>
      <c r="D62" s="9" t="s">
        <v>14</v>
      </c>
      <c r="E62" s="48">
        <f>일위대가표!F266</f>
        <v>66030109</v>
      </c>
      <c r="F62" s="47">
        <f>일위대가표!H266</f>
        <v>3912728</v>
      </c>
      <c r="G62" s="56">
        <f>일위대가표!J266</f>
        <v>62000000</v>
      </c>
      <c r="H62" s="48">
        <f>일위대가표!L266</f>
        <v>117381</v>
      </c>
      <c r="I62" s="15" t="s">
        <v>145</v>
      </c>
      <c r="J62" s="17" t="str">
        <f>"_x0007_`COD|B04919_x0005_`QTY1|1_x0005_`BQC|_x0005_`EQC|_x0005_`JDC|_x0005_`WQC|_x0005_`EDT|_x0005_`ADJ|F_x0005_`DET|"&amp;ROW(일위대가표!A263)&amp;"_x0005_`"</f>
        <v>_x0007_`COD|B04919_x0005_`QTY1|1_x0005_`BQC|_x0005_`EQC|_x0005_`JDC|_x0005_`WQC|_x0005_`EDT|_x0005_`ADJ|F_x0005_`DET|263_x0005_`</v>
      </c>
      <c r="K62" s="3" t="str">
        <f ca="1">HYPERLINK("#"&amp;일위대가표!N2&amp;"!A"&amp;ROW(일위대가표!A263),"대가59 →")</f>
        <v>대가59 →</v>
      </c>
    </row>
    <row r="63" spans="1:11" ht="22.35" customHeight="1" x14ac:dyDescent="0.3">
      <c r="A63" s="9" t="s">
        <v>147</v>
      </c>
      <c r="B63" s="10" t="s">
        <v>148</v>
      </c>
      <c r="C63" s="10" t="s">
        <v>13</v>
      </c>
      <c r="D63" s="9" t="s">
        <v>14</v>
      </c>
      <c r="E63" s="48">
        <f>일위대가표!F270</f>
        <v>365273</v>
      </c>
      <c r="F63" s="47">
        <f>일위대가표!H270</f>
        <v>354635</v>
      </c>
      <c r="G63" s="56">
        <f>일위대가표!J270</f>
        <v>0</v>
      </c>
      <c r="H63" s="48">
        <f>일위대가표!L270</f>
        <v>10638</v>
      </c>
      <c r="I63" s="15" t="s">
        <v>147</v>
      </c>
      <c r="J63" s="17" t="str">
        <f>"_x0007_`COD|B05117_x0005_`QTY1|1_x0005_`BQC|_x0005_`EQC|_x0005_`JDC|_x0005_`WQC|_x0005_`EDT|_x0005_`ADJ|F_x0005_`DET|"&amp;ROW(일위대가표!A268)&amp;"_x0005_`"</f>
        <v>_x0007_`COD|B05117_x0005_`QTY1|1_x0005_`BQC|_x0005_`EQC|_x0005_`JDC|_x0005_`WQC|_x0005_`EDT|_x0005_`ADJ|F_x0005_`DET|268_x0005_`</v>
      </c>
      <c r="K63" s="3" t="str">
        <f ca="1">HYPERLINK("#"&amp;일위대가표!N2&amp;"!A"&amp;ROW(일위대가표!A268),"대가60 →")</f>
        <v>대가60 →</v>
      </c>
    </row>
    <row r="64" spans="1:11" ht="22.35" customHeight="1" x14ac:dyDescent="0.3">
      <c r="A64" s="9" t="s">
        <v>150</v>
      </c>
      <c r="B64" s="10" t="s">
        <v>148</v>
      </c>
      <c r="C64" s="10" t="s">
        <v>17</v>
      </c>
      <c r="D64" s="9" t="s">
        <v>14</v>
      </c>
      <c r="E64" s="48">
        <f>일위대가표!F274</f>
        <v>420901</v>
      </c>
      <c r="F64" s="47">
        <f>일위대가표!H274</f>
        <v>408643</v>
      </c>
      <c r="G64" s="56">
        <f>일위대가표!J274</f>
        <v>0</v>
      </c>
      <c r="H64" s="48">
        <f>일위대가표!L274</f>
        <v>12258</v>
      </c>
      <c r="I64" s="15" t="s">
        <v>150</v>
      </c>
      <c r="J64" s="17" t="str">
        <f>"_x0007_`COD|B05118_x0005_`QTY1|1_x0005_`BQC|_x0005_`EQC|_x0005_`JDC|_x0005_`WQC|_x0005_`EDT|_x0005_`ADJ|F_x0005_`DET|"&amp;ROW(일위대가표!A272)&amp;"_x0005_`"</f>
        <v>_x0007_`COD|B05118_x0005_`QTY1|1_x0005_`BQC|_x0005_`EQC|_x0005_`JDC|_x0005_`WQC|_x0005_`EDT|_x0005_`ADJ|F_x0005_`DET|272_x0005_`</v>
      </c>
      <c r="K64" s="3" t="str">
        <f ca="1">HYPERLINK("#"&amp;일위대가표!N2&amp;"!A"&amp;ROW(일위대가표!A272),"대가61 →")</f>
        <v>대가61 →</v>
      </c>
    </row>
    <row r="65" spans="1:11" ht="22.35" customHeight="1" x14ac:dyDescent="0.3">
      <c r="A65" s="9" t="s">
        <v>152</v>
      </c>
      <c r="B65" s="10" t="s">
        <v>148</v>
      </c>
      <c r="C65" s="10" t="s">
        <v>20</v>
      </c>
      <c r="D65" s="9" t="s">
        <v>14</v>
      </c>
      <c r="E65" s="48">
        <f>일위대가표!F278</f>
        <v>483348</v>
      </c>
      <c r="F65" s="47">
        <f>일위대가표!H278</f>
        <v>469271</v>
      </c>
      <c r="G65" s="56">
        <f>일위대가표!J278</f>
        <v>0</v>
      </c>
      <c r="H65" s="48">
        <f>일위대가표!L278</f>
        <v>14077</v>
      </c>
      <c r="I65" s="15" t="s">
        <v>152</v>
      </c>
      <c r="J65" s="17" t="str">
        <f>"_x0007_`COD|B05119_x0005_`QTY1|1_x0005_`BQC|_x0005_`EQC|_x0005_`JDC|_x0005_`WQC|_x0005_`EDT|_x0005_`ADJ|F_x0005_`DET|"&amp;ROW(일위대가표!A276)&amp;"_x0005_`"</f>
        <v>_x0007_`COD|B05119_x0005_`QTY1|1_x0005_`BQC|_x0005_`EQC|_x0005_`JDC|_x0005_`WQC|_x0005_`EDT|_x0005_`ADJ|F_x0005_`DET|276_x0005_`</v>
      </c>
      <c r="K65" s="3" t="str">
        <f ca="1">HYPERLINK("#"&amp;일위대가표!N2&amp;"!A"&amp;ROW(일위대가표!A276),"대가62 →")</f>
        <v>대가62 →</v>
      </c>
    </row>
    <row r="66" spans="1:11" ht="22.35" customHeight="1" x14ac:dyDescent="0.3">
      <c r="A66" s="9" t="s">
        <v>154</v>
      </c>
      <c r="B66" s="10" t="s">
        <v>148</v>
      </c>
      <c r="C66" s="10" t="s">
        <v>23</v>
      </c>
      <c r="D66" s="9" t="s">
        <v>14</v>
      </c>
      <c r="E66" s="48">
        <f>일위대가표!F282</f>
        <v>582367</v>
      </c>
      <c r="F66" s="47">
        <f>일위대가표!H282</f>
        <v>565406</v>
      </c>
      <c r="G66" s="56">
        <f>일위대가표!J282</f>
        <v>0</v>
      </c>
      <c r="H66" s="48">
        <f>일위대가표!L282</f>
        <v>16961</v>
      </c>
      <c r="I66" s="15" t="s">
        <v>154</v>
      </c>
      <c r="J66" s="17" t="str">
        <f>"_x0007_`COD|B05120_x0005_`QTY1|1_x0005_`BQC|_x0005_`EQC|_x0005_`JDC|_x0005_`WQC|_x0005_`EDT|_x0005_`ADJ|F_x0005_`DET|"&amp;ROW(일위대가표!A280)&amp;"_x0005_`"</f>
        <v>_x0007_`COD|B05120_x0005_`QTY1|1_x0005_`BQC|_x0005_`EQC|_x0005_`JDC|_x0005_`WQC|_x0005_`EDT|_x0005_`ADJ|F_x0005_`DET|280_x0005_`</v>
      </c>
      <c r="K66" s="3" t="str">
        <f ca="1">HYPERLINK("#"&amp;일위대가표!N2&amp;"!A"&amp;ROW(일위대가표!A280),"대가63 →")</f>
        <v>대가63 →</v>
      </c>
    </row>
    <row r="67" spans="1:11" ht="22.35" customHeight="1" x14ac:dyDescent="0.3">
      <c r="A67" s="9" t="s">
        <v>156</v>
      </c>
      <c r="B67" s="10" t="s">
        <v>148</v>
      </c>
      <c r="C67" s="10" t="s">
        <v>26</v>
      </c>
      <c r="D67" s="9" t="s">
        <v>14</v>
      </c>
      <c r="E67" s="48">
        <f>일위대가표!F286</f>
        <v>734777</v>
      </c>
      <c r="F67" s="47">
        <f>일위대가표!H286</f>
        <v>713377</v>
      </c>
      <c r="G67" s="56">
        <f>일위대가표!J286</f>
        <v>0</v>
      </c>
      <c r="H67" s="48">
        <f>일위대가표!L286</f>
        <v>21400</v>
      </c>
      <c r="I67" s="15" t="s">
        <v>156</v>
      </c>
      <c r="J67" s="17" t="str">
        <f>"_x0007_`COD|B05121_x0005_`QTY1|1_x0005_`BQC|_x0005_`EQC|_x0005_`JDC|_x0005_`WQC|_x0005_`EDT|_x0005_`ADJ|F_x0005_`DET|"&amp;ROW(일위대가표!A284)&amp;"_x0005_`"</f>
        <v>_x0007_`COD|B05121_x0005_`QTY1|1_x0005_`BQC|_x0005_`EQC|_x0005_`JDC|_x0005_`WQC|_x0005_`EDT|_x0005_`ADJ|F_x0005_`DET|284_x0005_`</v>
      </c>
      <c r="K67" s="3" t="str">
        <f ca="1">HYPERLINK("#"&amp;일위대가표!N2&amp;"!A"&amp;ROW(일위대가표!A284),"대가64 →")</f>
        <v>대가64 →</v>
      </c>
    </row>
    <row r="68" spans="1:11" ht="22.35" customHeight="1" x14ac:dyDescent="0.3">
      <c r="A68" s="9" t="s">
        <v>158</v>
      </c>
      <c r="B68" s="10" t="s">
        <v>148</v>
      </c>
      <c r="C68" s="10" t="s">
        <v>29</v>
      </c>
      <c r="D68" s="9" t="s">
        <v>14</v>
      </c>
      <c r="E68" s="48">
        <f>일위대가표!F290</f>
        <v>923410</v>
      </c>
      <c r="F68" s="47">
        <f>일위대가표!H290</f>
        <v>896515</v>
      </c>
      <c r="G68" s="56">
        <f>일위대가표!J290</f>
        <v>0</v>
      </c>
      <c r="H68" s="48">
        <f>일위대가표!L290</f>
        <v>26895</v>
      </c>
      <c r="I68" s="15" t="s">
        <v>158</v>
      </c>
      <c r="J68" s="17" t="str">
        <f>"_x0007_`COD|B05122_x0005_`QTY1|1_x0005_`BQC|_x0005_`EQC|_x0005_`JDC|_x0005_`WQC|_x0005_`EDT|_x0005_`ADJ|F_x0005_`DET|"&amp;ROW(일위대가표!A288)&amp;"_x0005_`"</f>
        <v>_x0007_`COD|B05122_x0005_`QTY1|1_x0005_`BQC|_x0005_`EQC|_x0005_`JDC|_x0005_`WQC|_x0005_`EDT|_x0005_`ADJ|F_x0005_`DET|288_x0005_`</v>
      </c>
      <c r="K68" s="3" t="str">
        <f ca="1">HYPERLINK("#"&amp;일위대가표!N2&amp;"!A"&amp;ROW(일위대가표!A288),"대가65 →")</f>
        <v>대가65 →</v>
      </c>
    </row>
    <row r="69" spans="1:11" ht="22.35" customHeight="1" x14ac:dyDescent="0.3">
      <c r="A69" s="9" t="s">
        <v>160</v>
      </c>
      <c r="B69" s="10" t="s">
        <v>148</v>
      </c>
      <c r="C69" s="10" t="s">
        <v>32</v>
      </c>
      <c r="D69" s="9" t="s">
        <v>14</v>
      </c>
      <c r="E69" s="48">
        <f>일위대가표!F294</f>
        <v>980333</v>
      </c>
      <c r="F69" s="47">
        <f>일위대가표!H294</f>
        <v>951780</v>
      </c>
      <c r="G69" s="56">
        <f>일위대가표!J294</f>
        <v>0</v>
      </c>
      <c r="H69" s="48">
        <f>일위대가표!L294</f>
        <v>28553</v>
      </c>
      <c r="I69" s="15" t="s">
        <v>160</v>
      </c>
      <c r="J69" s="17" t="str">
        <f>"_x0007_`COD|B05123_x0005_`QTY1|1_x0005_`BQC|_x0005_`EQC|_x0005_`JDC|_x0005_`WQC|_x0005_`EDT|_x0005_`ADJ|F_x0005_`DET|"&amp;ROW(일위대가표!A292)&amp;"_x0005_`"</f>
        <v>_x0007_`COD|B05123_x0005_`QTY1|1_x0005_`BQC|_x0005_`EQC|_x0005_`JDC|_x0005_`WQC|_x0005_`EDT|_x0005_`ADJ|F_x0005_`DET|292_x0005_`</v>
      </c>
      <c r="K69" s="3" t="str">
        <f ca="1">HYPERLINK("#"&amp;일위대가표!N2&amp;"!A"&amp;ROW(일위대가표!A292),"대가66 →")</f>
        <v>대가66 →</v>
      </c>
    </row>
    <row r="70" spans="1:11" ht="22.35" customHeight="1" x14ac:dyDescent="0.3">
      <c r="A70" s="9" t="s">
        <v>162</v>
      </c>
      <c r="B70" s="10" t="s">
        <v>148</v>
      </c>
      <c r="C70" s="10" t="s">
        <v>35</v>
      </c>
      <c r="D70" s="9" t="s">
        <v>14</v>
      </c>
      <c r="E70" s="48">
        <f>일위대가표!F298</f>
        <v>1583750</v>
      </c>
      <c r="F70" s="47">
        <f>일위대가표!H298</f>
        <v>1537622</v>
      </c>
      <c r="G70" s="56">
        <f>일위대가표!J298</f>
        <v>0</v>
      </c>
      <c r="H70" s="48">
        <f>일위대가표!L298</f>
        <v>46128</v>
      </c>
      <c r="I70" s="15" t="s">
        <v>162</v>
      </c>
      <c r="J70" s="17" t="str">
        <f>"_x0007_`COD|B05124_x0005_`QTY1|1_x0005_`BQC|_x0005_`EQC|_x0005_`JDC|_x0005_`WQC|_x0005_`EDT|_x0005_`ADJ|F_x0005_`DET|"&amp;ROW(일위대가표!A296)&amp;"_x0005_`"</f>
        <v>_x0007_`COD|B05124_x0005_`QTY1|1_x0005_`BQC|_x0005_`EQC|_x0005_`JDC|_x0005_`WQC|_x0005_`EDT|_x0005_`ADJ|F_x0005_`DET|296_x0005_`</v>
      </c>
      <c r="K70" s="3" t="str">
        <f ca="1">HYPERLINK("#"&amp;일위대가표!N2&amp;"!A"&amp;ROW(일위대가표!A296),"대가67 →")</f>
        <v>대가67 →</v>
      </c>
    </row>
    <row r="71" spans="1:11" ht="22.35" customHeight="1" x14ac:dyDescent="0.3">
      <c r="A71" s="9" t="s">
        <v>164</v>
      </c>
      <c r="B71" s="10" t="s">
        <v>148</v>
      </c>
      <c r="C71" s="10" t="s">
        <v>38</v>
      </c>
      <c r="D71" s="9" t="s">
        <v>14</v>
      </c>
      <c r="E71" s="48">
        <f>일위대가표!F302</f>
        <v>2044858</v>
      </c>
      <c r="F71" s="47">
        <f>일위대가표!H302</f>
        <v>1985300</v>
      </c>
      <c r="G71" s="56">
        <f>일위대가표!J302</f>
        <v>0</v>
      </c>
      <c r="H71" s="48">
        <f>일위대가표!L302</f>
        <v>59558</v>
      </c>
      <c r="I71" s="15" t="s">
        <v>164</v>
      </c>
      <c r="J71" s="17" t="str">
        <f>"_x0007_`COD|B05125_x0005_`QTY1|1_x0005_`BQC|_x0005_`EQC|_x0005_`JDC|_x0005_`WQC|_x0005_`EDT|_x0005_`ADJ|F_x0005_`DET|"&amp;ROW(일위대가표!A300)&amp;"_x0005_`"</f>
        <v>_x0007_`COD|B05125_x0005_`QTY1|1_x0005_`BQC|_x0005_`EQC|_x0005_`JDC|_x0005_`WQC|_x0005_`EDT|_x0005_`ADJ|F_x0005_`DET|300_x0005_`</v>
      </c>
      <c r="K71" s="3" t="str">
        <f ca="1">HYPERLINK("#"&amp;일위대가표!N2&amp;"!A"&amp;ROW(일위대가표!A300),"대가68 →")</f>
        <v>대가68 →</v>
      </c>
    </row>
    <row r="72" spans="1:11" ht="22.35" customHeight="1" x14ac:dyDescent="0.3">
      <c r="A72" s="9" t="s">
        <v>166</v>
      </c>
      <c r="B72" s="10" t="s">
        <v>148</v>
      </c>
      <c r="C72" s="10" t="s">
        <v>41</v>
      </c>
      <c r="D72" s="9" t="s">
        <v>14</v>
      </c>
      <c r="E72" s="48">
        <f>일위대가표!F306</f>
        <v>3289807</v>
      </c>
      <c r="F72" s="47">
        <f>일위대가표!H306</f>
        <v>3193989</v>
      </c>
      <c r="G72" s="56">
        <f>일위대가표!J306</f>
        <v>0</v>
      </c>
      <c r="H72" s="48">
        <f>일위대가표!L306</f>
        <v>95818</v>
      </c>
      <c r="I72" s="15" t="s">
        <v>166</v>
      </c>
      <c r="J72" s="17" t="str">
        <f>"_x0007_`COD|B05126_x0005_`QTY1|1_x0005_`BQC|_x0005_`EQC|_x0005_`JDC|_x0005_`WQC|_x0005_`EDT|_x0005_`ADJ|F_x0005_`DET|"&amp;ROW(일위대가표!A304)&amp;"_x0005_`"</f>
        <v>_x0007_`COD|B05126_x0005_`QTY1|1_x0005_`BQC|_x0005_`EQC|_x0005_`JDC|_x0005_`WQC|_x0005_`EDT|_x0005_`ADJ|F_x0005_`DET|304_x0005_`</v>
      </c>
      <c r="K72" s="3" t="str">
        <f ca="1">HYPERLINK("#"&amp;일위대가표!N2&amp;"!A"&amp;ROW(일위대가표!A304),"대가69 →")</f>
        <v>대가69 →</v>
      </c>
    </row>
    <row r="73" spans="1:11" ht="22.35" customHeight="1" x14ac:dyDescent="0.3">
      <c r="A73" s="9" t="s">
        <v>168</v>
      </c>
      <c r="B73" s="10" t="s">
        <v>148</v>
      </c>
      <c r="C73" s="10" t="s">
        <v>44</v>
      </c>
      <c r="D73" s="9" t="s">
        <v>14</v>
      </c>
      <c r="E73" s="48">
        <f>일위대가표!F310</f>
        <v>3289807</v>
      </c>
      <c r="F73" s="47">
        <f>일위대가표!H310</f>
        <v>3193989</v>
      </c>
      <c r="G73" s="56">
        <f>일위대가표!J310</f>
        <v>0</v>
      </c>
      <c r="H73" s="48">
        <f>일위대가표!L310</f>
        <v>95818</v>
      </c>
      <c r="I73" s="15" t="s">
        <v>168</v>
      </c>
      <c r="J73" s="17" t="str">
        <f>"_x0007_`COD|B05127_x0005_`QTY1|1_x0005_`BQC|_x0005_`EQC|_x0005_`JDC|_x0005_`WQC|_x0005_`EDT|_x0005_`ADJ|F_x0005_`DET|"&amp;ROW(일위대가표!A308)&amp;"_x0005_`"</f>
        <v>_x0007_`COD|B05127_x0005_`QTY1|1_x0005_`BQC|_x0005_`EQC|_x0005_`JDC|_x0005_`WQC|_x0005_`EDT|_x0005_`ADJ|F_x0005_`DET|308_x0005_`</v>
      </c>
      <c r="K73" s="3" t="str">
        <f ca="1">HYPERLINK("#"&amp;일위대가표!N2&amp;"!A"&amp;ROW(일위대가표!A308),"대가70 →")</f>
        <v>대가70 →</v>
      </c>
    </row>
    <row r="74" spans="1:11" ht="22.35" customHeight="1" x14ac:dyDescent="0.3">
      <c r="A74" s="9" t="s">
        <v>170</v>
      </c>
      <c r="B74" s="10" t="s">
        <v>148</v>
      </c>
      <c r="C74" s="10" t="s">
        <v>47</v>
      </c>
      <c r="D74" s="9" t="s">
        <v>14</v>
      </c>
      <c r="E74" s="48">
        <f>일위대가표!F314</f>
        <v>4030109</v>
      </c>
      <c r="F74" s="47">
        <f>일위대가표!H314</f>
        <v>3912728</v>
      </c>
      <c r="G74" s="56">
        <f>일위대가표!J314</f>
        <v>0</v>
      </c>
      <c r="H74" s="48">
        <f>일위대가표!L314</f>
        <v>117381</v>
      </c>
      <c r="I74" s="15" t="s">
        <v>170</v>
      </c>
      <c r="J74" s="17" t="str">
        <f>"_x0007_`COD|B05128_x0005_`QTY1|1_x0005_`BQC|_x0005_`EQC|_x0005_`JDC|_x0005_`WQC|_x0005_`EDT|_x0005_`ADJ|F_x0005_`DET|"&amp;ROW(일위대가표!A312)&amp;"_x0005_`"</f>
        <v>_x0007_`COD|B05128_x0005_`QTY1|1_x0005_`BQC|_x0005_`EQC|_x0005_`JDC|_x0005_`WQC|_x0005_`EDT|_x0005_`ADJ|F_x0005_`DET|312_x0005_`</v>
      </c>
      <c r="K74" s="3" t="str">
        <f ca="1">HYPERLINK("#"&amp;일위대가표!N2&amp;"!A"&amp;ROW(일위대가표!A312),"대가71 →")</f>
        <v>대가71 →</v>
      </c>
    </row>
    <row r="75" spans="1:11" ht="22.35" customHeight="1" x14ac:dyDescent="0.3">
      <c r="A75" s="9" t="s">
        <v>172</v>
      </c>
      <c r="B75" s="10" t="s">
        <v>173</v>
      </c>
      <c r="C75" s="10" t="s">
        <v>13</v>
      </c>
      <c r="D75" s="9" t="s">
        <v>14</v>
      </c>
      <c r="E75" s="48">
        <f>일위대가표!F318</f>
        <v>260910</v>
      </c>
      <c r="F75" s="47">
        <f>일위대가표!H318</f>
        <v>253311</v>
      </c>
      <c r="G75" s="56">
        <f>일위대가표!J318</f>
        <v>0</v>
      </c>
      <c r="H75" s="48">
        <f>일위대가표!L318</f>
        <v>7599</v>
      </c>
      <c r="I75" s="15" t="s">
        <v>172</v>
      </c>
      <c r="J75" s="17" t="str">
        <f>"_x0007_`COD|B05153_x0005_`QTY1|1_x0005_`BQC|_x0005_`EQC|_x0005_`JDC|_x0005_`WQC|_x0005_`EDT|_x0005_`ADJ|F_x0005_`DET|"&amp;ROW(일위대가표!A316)&amp;"_x0005_`"</f>
        <v>_x0007_`COD|B05153_x0005_`QTY1|1_x0005_`BQC|_x0005_`EQC|_x0005_`JDC|_x0005_`WQC|_x0005_`EDT|_x0005_`ADJ|F_x0005_`DET|316_x0005_`</v>
      </c>
      <c r="K75" s="3" t="str">
        <f ca="1">HYPERLINK("#"&amp;일위대가표!N2&amp;"!A"&amp;ROW(일위대가표!A316),"대가72 →")</f>
        <v>대가72 →</v>
      </c>
    </row>
    <row r="76" spans="1:11" ht="22.35" customHeight="1" x14ac:dyDescent="0.3">
      <c r="A76" s="9" t="s">
        <v>175</v>
      </c>
      <c r="B76" s="10" t="s">
        <v>173</v>
      </c>
      <c r="C76" s="10" t="s">
        <v>17</v>
      </c>
      <c r="D76" s="9" t="s">
        <v>14</v>
      </c>
      <c r="E76" s="48">
        <f>일위대가표!F322</f>
        <v>300644</v>
      </c>
      <c r="F76" s="47">
        <f>일위대가표!H322</f>
        <v>291888</v>
      </c>
      <c r="G76" s="56">
        <f>일위대가표!J322</f>
        <v>0</v>
      </c>
      <c r="H76" s="48">
        <f>일위대가표!L322</f>
        <v>8756</v>
      </c>
      <c r="I76" s="15" t="s">
        <v>175</v>
      </c>
      <c r="J76" s="17" t="str">
        <f>"_x0007_`COD|B05154_x0005_`QTY1|1_x0005_`BQC|_x0005_`EQC|_x0005_`JDC|_x0005_`WQC|_x0005_`EDT|_x0005_`ADJ|F_x0005_`DET|"&amp;ROW(일위대가표!A320)&amp;"_x0005_`"</f>
        <v>_x0007_`COD|B05154_x0005_`QTY1|1_x0005_`BQC|_x0005_`EQC|_x0005_`JDC|_x0005_`WQC|_x0005_`EDT|_x0005_`ADJ|F_x0005_`DET|320_x0005_`</v>
      </c>
      <c r="K76" s="3" t="str">
        <f ca="1">HYPERLINK("#"&amp;일위대가표!N2&amp;"!A"&amp;ROW(일위대가표!A320),"대가73 →")</f>
        <v>대가73 →</v>
      </c>
    </row>
    <row r="77" spans="1:11" ht="22.35" customHeight="1" x14ac:dyDescent="0.3">
      <c r="A77" s="9" t="s">
        <v>177</v>
      </c>
      <c r="B77" s="10" t="s">
        <v>173</v>
      </c>
      <c r="C77" s="10" t="s">
        <v>20</v>
      </c>
      <c r="D77" s="9" t="s">
        <v>14</v>
      </c>
      <c r="E77" s="48">
        <f>일위대가표!F326</f>
        <v>345249</v>
      </c>
      <c r="F77" s="47">
        <f>일위대가표!H326</f>
        <v>335194</v>
      </c>
      <c r="G77" s="56">
        <f>일위대가표!J326</f>
        <v>0</v>
      </c>
      <c r="H77" s="48">
        <f>일위대가표!L326</f>
        <v>10055</v>
      </c>
      <c r="I77" s="15" t="s">
        <v>177</v>
      </c>
      <c r="J77" s="17" t="str">
        <f>"_x0007_`COD|B05155_x0005_`QTY1|1_x0005_`BQC|_x0005_`EQC|_x0005_`JDC|_x0005_`WQC|_x0005_`EDT|_x0005_`ADJ|F_x0005_`DET|"&amp;ROW(일위대가표!A324)&amp;"_x0005_`"</f>
        <v>_x0007_`COD|B05155_x0005_`QTY1|1_x0005_`BQC|_x0005_`EQC|_x0005_`JDC|_x0005_`WQC|_x0005_`EDT|_x0005_`ADJ|F_x0005_`DET|324_x0005_`</v>
      </c>
      <c r="K77" s="3" t="str">
        <f ca="1">HYPERLINK("#"&amp;일위대가표!N2&amp;"!A"&amp;ROW(일위대가표!A324),"대가74 →")</f>
        <v>대가74 →</v>
      </c>
    </row>
    <row r="78" spans="1:11" ht="22.35" customHeight="1" x14ac:dyDescent="0.3">
      <c r="A78" s="9" t="s">
        <v>179</v>
      </c>
      <c r="B78" s="10" t="s">
        <v>173</v>
      </c>
      <c r="C78" s="10" t="s">
        <v>23</v>
      </c>
      <c r="D78" s="9" t="s">
        <v>14</v>
      </c>
      <c r="E78" s="48">
        <f>일위대가표!F330</f>
        <v>415977</v>
      </c>
      <c r="F78" s="47">
        <f>일위대가표!H330</f>
        <v>403862</v>
      </c>
      <c r="G78" s="56">
        <f>일위대가표!J330</f>
        <v>0</v>
      </c>
      <c r="H78" s="48">
        <f>일위대가표!L330</f>
        <v>12115</v>
      </c>
      <c r="I78" s="15" t="s">
        <v>179</v>
      </c>
      <c r="J78" s="17" t="str">
        <f>"_x0007_`COD|B05156_x0005_`QTY1|1_x0005_`BQC|_x0005_`EQC|_x0005_`JDC|_x0005_`WQC|_x0005_`EDT|_x0005_`ADJ|F_x0005_`DET|"&amp;ROW(일위대가표!A328)&amp;"_x0005_`"</f>
        <v>_x0007_`COD|B05156_x0005_`QTY1|1_x0005_`BQC|_x0005_`EQC|_x0005_`JDC|_x0005_`WQC|_x0005_`EDT|_x0005_`ADJ|F_x0005_`DET|328_x0005_`</v>
      </c>
      <c r="K78" s="3" t="str">
        <f ca="1">HYPERLINK("#"&amp;일위대가표!N2&amp;"!A"&amp;ROW(일위대가표!A328),"대가75 →")</f>
        <v>대가75 →</v>
      </c>
    </row>
    <row r="79" spans="1:11" ht="22.35" customHeight="1" x14ac:dyDescent="0.3">
      <c r="A79" s="9" t="s">
        <v>181</v>
      </c>
      <c r="B79" s="10" t="s">
        <v>173</v>
      </c>
      <c r="C79" s="10" t="s">
        <v>26</v>
      </c>
      <c r="D79" s="9" t="s">
        <v>14</v>
      </c>
      <c r="E79" s="48">
        <f>일위대가표!F334</f>
        <v>524841</v>
      </c>
      <c r="F79" s="47">
        <f>일위대가표!H334</f>
        <v>509555</v>
      </c>
      <c r="G79" s="56">
        <f>일위대가표!J334</f>
        <v>0</v>
      </c>
      <c r="H79" s="48">
        <f>일위대가표!L334</f>
        <v>15286</v>
      </c>
      <c r="I79" s="15" t="s">
        <v>181</v>
      </c>
      <c r="J79" s="17" t="str">
        <f>"_x0007_`COD|B05157_x0005_`QTY1|1_x0005_`BQC|_x0005_`EQC|_x0005_`JDC|_x0005_`WQC|_x0005_`EDT|_x0005_`ADJ|F_x0005_`DET|"&amp;ROW(일위대가표!A332)&amp;"_x0005_`"</f>
        <v>_x0007_`COD|B05157_x0005_`QTY1|1_x0005_`BQC|_x0005_`EQC|_x0005_`JDC|_x0005_`WQC|_x0005_`EDT|_x0005_`ADJ|F_x0005_`DET|332_x0005_`</v>
      </c>
      <c r="K79" s="3" t="str">
        <f ca="1">HYPERLINK("#"&amp;일위대가표!N2&amp;"!A"&amp;ROW(일위대가표!A332),"대가76 →")</f>
        <v>대가76 →</v>
      </c>
    </row>
    <row r="80" spans="1:11" ht="22.35" customHeight="1" x14ac:dyDescent="0.3">
      <c r="A80" s="9" t="s">
        <v>183</v>
      </c>
      <c r="B80" s="10" t="s">
        <v>173</v>
      </c>
      <c r="C80" s="10" t="s">
        <v>29</v>
      </c>
      <c r="D80" s="9" t="s">
        <v>14</v>
      </c>
      <c r="E80" s="48">
        <f>일위대가표!F338</f>
        <v>659579</v>
      </c>
      <c r="F80" s="47">
        <f>일위대가표!H338</f>
        <v>640368</v>
      </c>
      <c r="G80" s="56">
        <f>일위대가표!J338</f>
        <v>0</v>
      </c>
      <c r="H80" s="48">
        <f>일위대가표!L338</f>
        <v>19211</v>
      </c>
      <c r="I80" s="15" t="s">
        <v>183</v>
      </c>
      <c r="J80" s="17" t="str">
        <f>"_x0007_`COD|B05158_x0005_`QTY1|1_x0005_`BQC|_x0005_`EQC|_x0005_`JDC|_x0005_`WQC|_x0005_`EDT|_x0005_`ADJ|F_x0005_`DET|"&amp;ROW(일위대가표!A336)&amp;"_x0005_`"</f>
        <v>_x0007_`COD|B05158_x0005_`QTY1|1_x0005_`BQC|_x0005_`EQC|_x0005_`JDC|_x0005_`WQC|_x0005_`EDT|_x0005_`ADJ|F_x0005_`DET|336_x0005_`</v>
      </c>
      <c r="K80" s="3" t="str">
        <f ca="1">HYPERLINK("#"&amp;일위대가표!N2&amp;"!A"&amp;ROW(일위대가표!A336),"대가77 →")</f>
        <v>대가77 →</v>
      </c>
    </row>
    <row r="81" spans="1:11" ht="22.35" customHeight="1" x14ac:dyDescent="0.3">
      <c r="A81" s="9" t="s">
        <v>185</v>
      </c>
      <c r="B81" s="10" t="s">
        <v>173</v>
      </c>
      <c r="C81" s="10" t="s">
        <v>32</v>
      </c>
      <c r="D81" s="9" t="s">
        <v>14</v>
      </c>
      <c r="E81" s="48">
        <f>일위대가표!F342</f>
        <v>700238</v>
      </c>
      <c r="F81" s="47">
        <f>일위대가표!H342</f>
        <v>679843</v>
      </c>
      <c r="G81" s="56">
        <f>일위대가표!J342</f>
        <v>0</v>
      </c>
      <c r="H81" s="48">
        <f>일위대가표!L342</f>
        <v>20395</v>
      </c>
      <c r="I81" s="15" t="s">
        <v>185</v>
      </c>
      <c r="J81" s="17" t="str">
        <f>"_x0007_`COD|B05159_x0005_`QTY1|1_x0005_`BQC|_x0005_`EQC|_x0005_`JDC|_x0005_`WQC|_x0005_`EDT|_x0005_`ADJ|F_x0005_`DET|"&amp;ROW(일위대가표!A340)&amp;"_x0005_`"</f>
        <v>_x0007_`COD|B05159_x0005_`QTY1|1_x0005_`BQC|_x0005_`EQC|_x0005_`JDC|_x0005_`WQC|_x0005_`EDT|_x0005_`ADJ|F_x0005_`DET|340_x0005_`</v>
      </c>
      <c r="K81" s="3" t="str">
        <f ca="1">HYPERLINK("#"&amp;일위대가표!N2&amp;"!A"&amp;ROW(일위대가표!A340),"대가78 →")</f>
        <v>대가78 →</v>
      </c>
    </row>
    <row r="82" spans="1:11" ht="22.35" customHeight="1" x14ac:dyDescent="0.3">
      <c r="A82" s="9" t="s">
        <v>187</v>
      </c>
      <c r="B82" s="10" t="s">
        <v>173</v>
      </c>
      <c r="C82" s="10" t="s">
        <v>35</v>
      </c>
      <c r="D82" s="9" t="s">
        <v>14</v>
      </c>
      <c r="E82" s="48">
        <f>일위대가표!F346</f>
        <v>1131251</v>
      </c>
      <c r="F82" s="47">
        <f>일위대가표!H346</f>
        <v>1098302</v>
      </c>
      <c r="G82" s="56">
        <f>일위대가표!J346</f>
        <v>0</v>
      </c>
      <c r="H82" s="48">
        <f>일위대가표!L346</f>
        <v>32949</v>
      </c>
      <c r="I82" s="15" t="s">
        <v>187</v>
      </c>
      <c r="J82" s="17" t="str">
        <f>"_x0007_`COD|B05160_x0005_`QTY1|1_x0005_`BQC|_x0005_`EQC|_x0005_`JDC|_x0005_`WQC|_x0005_`EDT|_x0005_`ADJ|F_x0005_`DET|"&amp;ROW(일위대가표!A344)&amp;"_x0005_`"</f>
        <v>_x0007_`COD|B05160_x0005_`QTY1|1_x0005_`BQC|_x0005_`EQC|_x0005_`JDC|_x0005_`WQC|_x0005_`EDT|_x0005_`ADJ|F_x0005_`DET|344_x0005_`</v>
      </c>
      <c r="K82" s="3" t="str">
        <f ca="1">HYPERLINK("#"&amp;일위대가표!N2&amp;"!A"&amp;ROW(일위대가표!A344),"대가79 →")</f>
        <v>대가79 →</v>
      </c>
    </row>
    <row r="83" spans="1:11" ht="22.35" customHeight="1" x14ac:dyDescent="0.3">
      <c r="A83" s="9" t="s">
        <v>189</v>
      </c>
      <c r="B83" s="10" t="s">
        <v>173</v>
      </c>
      <c r="C83" s="10" t="s">
        <v>38</v>
      </c>
      <c r="D83" s="9" t="s">
        <v>14</v>
      </c>
      <c r="E83" s="48">
        <f>일위대가표!F350</f>
        <v>1460614</v>
      </c>
      <c r="F83" s="47">
        <f>일위대가표!H350</f>
        <v>1418072</v>
      </c>
      <c r="G83" s="56">
        <f>일위대가표!J350</f>
        <v>0</v>
      </c>
      <c r="H83" s="48">
        <f>일위대가표!L350</f>
        <v>42542</v>
      </c>
      <c r="I83" s="15" t="s">
        <v>189</v>
      </c>
      <c r="J83" s="17" t="str">
        <f>"_x0007_`COD|B05161_x0005_`QTY1|1_x0005_`BQC|_x0005_`EQC|_x0005_`JDC|_x0005_`WQC|_x0005_`EDT|_x0005_`ADJ|F_x0005_`DET|"&amp;ROW(일위대가표!A348)&amp;"_x0005_`"</f>
        <v>_x0007_`COD|B05161_x0005_`QTY1|1_x0005_`BQC|_x0005_`EQC|_x0005_`JDC|_x0005_`WQC|_x0005_`EDT|_x0005_`ADJ|F_x0005_`DET|348_x0005_`</v>
      </c>
      <c r="K83" s="3" t="str">
        <f ca="1">HYPERLINK("#"&amp;일위대가표!N2&amp;"!A"&amp;ROW(일위대가표!A348),"대가80 →")</f>
        <v>대가80 →</v>
      </c>
    </row>
    <row r="84" spans="1:11" ht="22.35" customHeight="1" x14ac:dyDescent="0.3">
      <c r="A84" s="9" t="s">
        <v>191</v>
      </c>
      <c r="B84" s="10" t="s">
        <v>173</v>
      </c>
      <c r="C84" s="10" t="s">
        <v>41</v>
      </c>
      <c r="D84" s="9" t="s">
        <v>14</v>
      </c>
      <c r="E84" s="48">
        <f>일위대가표!F354</f>
        <v>2349863</v>
      </c>
      <c r="F84" s="47">
        <f>일위대가표!H354</f>
        <v>2281421</v>
      </c>
      <c r="G84" s="56">
        <f>일위대가표!J354</f>
        <v>0</v>
      </c>
      <c r="H84" s="48">
        <f>일위대가표!L354</f>
        <v>68442</v>
      </c>
      <c r="I84" s="15" t="s">
        <v>191</v>
      </c>
      <c r="J84" s="17" t="str">
        <f>"_x0007_`COD|B05162_x0005_`QTY1|1_x0005_`BQC|_x0005_`EQC|_x0005_`JDC|_x0005_`WQC|_x0005_`EDT|_x0005_`ADJ|F_x0005_`DET|"&amp;ROW(일위대가표!A352)&amp;"_x0005_`"</f>
        <v>_x0007_`COD|B05162_x0005_`QTY1|1_x0005_`BQC|_x0005_`EQC|_x0005_`JDC|_x0005_`WQC|_x0005_`EDT|_x0005_`ADJ|F_x0005_`DET|352_x0005_`</v>
      </c>
      <c r="K84" s="3" t="str">
        <f ca="1">HYPERLINK("#"&amp;일위대가표!N2&amp;"!A"&amp;ROW(일위대가표!A352),"대가81 →")</f>
        <v>대가81 →</v>
      </c>
    </row>
    <row r="85" spans="1:11" ht="22.35" customHeight="1" x14ac:dyDescent="0.3">
      <c r="A85" s="9" t="s">
        <v>193</v>
      </c>
      <c r="B85" s="10" t="s">
        <v>173</v>
      </c>
      <c r="C85" s="10" t="s">
        <v>44</v>
      </c>
      <c r="D85" s="9" t="s">
        <v>14</v>
      </c>
      <c r="E85" s="48">
        <f>일위대가표!F358</f>
        <v>2349863</v>
      </c>
      <c r="F85" s="47">
        <f>일위대가표!H358</f>
        <v>2281421</v>
      </c>
      <c r="G85" s="56">
        <f>일위대가표!J358</f>
        <v>0</v>
      </c>
      <c r="H85" s="48">
        <f>일위대가표!L358</f>
        <v>68442</v>
      </c>
      <c r="I85" s="15" t="s">
        <v>193</v>
      </c>
      <c r="J85" s="17" t="str">
        <f>"_x0007_`COD|B05163_x0005_`QTY1|1_x0005_`BQC|_x0005_`EQC|_x0005_`JDC|_x0005_`WQC|_x0005_`EDT|_x0005_`ADJ|F_x0005_`DET|"&amp;ROW(일위대가표!A356)&amp;"_x0005_`"</f>
        <v>_x0007_`COD|B05163_x0005_`QTY1|1_x0005_`BQC|_x0005_`EQC|_x0005_`JDC|_x0005_`WQC|_x0005_`EDT|_x0005_`ADJ|F_x0005_`DET|356_x0005_`</v>
      </c>
      <c r="K85" s="3" t="str">
        <f ca="1">HYPERLINK("#"&amp;일위대가표!N2&amp;"!A"&amp;ROW(일위대가표!A356),"대가82 →")</f>
        <v>대가82 →</v>
      </c>
    </row>
    <row r="86" spans="1:11" ht="22.35" customHeight="1" x14ac:dyDescent="0.3">
      <c r="A86" s="9" t="s">
        <v>195</v>
      </c>
      <c r="B86" s="10" t="s">
        <v>173</v>
      </c>
      <c r="C86" s="10" t="s">
        <v>47</v>
      </c>
      <c r="D86" s="9" t="s">
        <v>14</v>
      </c>
      <c r="E86" s="48">
        <f>일위대가표!F362</f>
        <v>2878650</v>
      </c>
      <c r="F86" s="47">
        <f>일위대가표!H362</f>
        <v>2794806</v>
      </c>
      <c r="G86" s="56">
        <f>일위대가표!J362</f>
        <v>0</v>
      </c>
      <c r="H86" s="48">
        <f>일위대가표!L362</f>
        <v>83844</v>
      </c>
      <c r="I86" s="15" t="s">
        <v>195</v>
      </c>
      <c r="J86" s="17" t="str">
        <f>"_x0007_`COD|B05164_x0005_`QTY1|1_x0005_`BQC|_x0005_`EQC|_x0005_`JDC|_x0005_`WQC|_x0005_`EDT|_x0005_`ADJ|F_x0005_`DET|"&amp;ROW(일위대가표!A360)&amp;"_x0005_`"</f>
        <v>_x0007_`COD|B05164_x0005_`QTY1|1_x0005_`BQC|_x0005_`EQC|_x0005_`JDC|_x0005_`WQC|_x0005_`EDT|_x0005_`ADJ|F_x0005_`DET|360_x0005_`</v>
      </c>
      <c r="K86" s="3" t="str">
        <f ca="1">HYPERLINK("#"&amp;일위대가표!N2&amp;"!A"&amp;ROW(일위대가표!A360),"대가83 →")</f>
        <v>대가83 →</v>
      </c>
    </row>
    <row r="87" spans="1:11" ht="22.35" customHeight="1" x14ac:dyDescent="0.3">
      <c r="A87" s="9" t="s">
        <v>197</v>
      </c>
      <c r="B87" s="10" t="s">
        <v>198</v>
      </c>
      <c r="C87" s="10" t="s">
        <v>13</v>
      </c>
      <c r="D87" s="9" t="s">
        <v>14</v>
      </c>
      <c r="E87" s="48">
        <f>일위대가표!F366</f>
        <v>104363</v>
      </c>
      <c r="F87" s="47">
        <f>일위대가표!H366</f>
        <v>101324</v>
      </c>
      <c r="G87" s="56">
        <f>일위대가표!J366</f>
        <v>0</v>
      </c>
      <c r="H87" s="48">
        <f>일위대가표!L366</f>
        <v>3039</v>
      </c>
      <c r="I87" s="15" t="s">
        <v>197</v>
      </c>
      <c r="J87" s="17" t="str">
        <f>"_x0007_`COD|B05165_x0005_`QTY1|1_x0005_`BQC|_x0005_`EQC|_x0005_`JDC|_x0005_`WQC|_x0005_`EDT|_x0005_`ADJ|F_x0005_`DET|"&amp;ROW(일위대가표!A364)&amp;"_x0005_`"</f>
        <v>_x0007_`COD|B05165_x0005_`QTY1|1_x0005_`BQC|_x0005_`EQC|_x0005_`JDC|_x0005_`WQC|_x0005_`EDT|_x0005_`ADJ|F_x0005_`DET|364_x0005_`</v>
      </c>
      <c r="K87" s="3" t="str">
        <f ca="1">HYPERLINK("#"&amp;일위대가표!N2&amp;"!A"&amp;ROW(일위대가표!A364),"대가84 →")</f>
        <v>대가84 →</v>
      </c>
    </row>
    <row r="88" spans="1:11" ht="22.35" customHeight="1" x14ac:dyDescent="0.3">
      <c r="A88" s="9" t="s">
        <v>200</v>
      </c>
      <c r="B88" s="10" t="s">
        <v>198</v>
      </c>
      <c r="C88" s="10" t="s">
        <v>17</v>
      </c>
      <c r="D88" s="9" t="s">
        <v>14</v>
      </c>
      <c r="E88" s="48">
        <f>일위대가표!F370</f>
        <v>120257</v>
      </c>
      <c r="F88" s="47">
        <f>일위대가표!H370</f>
        <v>116755</v>
      </c>
      <c r="G88" s="56">
        <f>일위대가표!J370</f>
        <v>0</v>
      </c>
      <c r="H88" s="48">
        <f>일위대가표!L370</f>
        <v>3502</v>
      </c>
      <c r="I88" s="15" t="s">
        <v>200</v>
      </c>
      <c r="J88" s="17" t="str">
        <f>"_x0007_`COD|B05166_x0005_`QTY1|1_x0005_`BQC|_x0005_`EQC|_x0005_`JDC|_x0005_`WQC|_x0005_`EDT|_x0005_`ADJ|F_x0005_`DET|"&amp;ROW(일위대가표!A368)&amp;"_x0005_`"</f>
        <v>_x0007_`COD|B05166_x0005_`QTY1|1_x0005_`BQC|_x0005_`EQC|_x0005_`JDC|_x0005_`WQC|_x0005_`EDT|_x0005_`ADJ|F_x0005_`DET|368_x0005_`</v>
      </c>
      <c r="K88" s="3" t="str">
        <f ca="1">HYPERLINK("#"&amp;일위대가표!N2&amp;"!A"&amp;ROW(일위대가표!A368),"대가85 →")</f>
        <v>대가85 →</v>
      </c>
    </row>
    <row r="89" spans="1:11" ht="22.35" customHeight="1" x14ac:dyDescent="0.3">
      <c r="A89" s="9" t="s">
        <v>202</v>
      </c>
      <c r="B89" s="10" t="s">
        <v>198</v>
      </c>
      <c r="C89" s="10" t="s">
        <v>20</v>
      </c>
      <c r="D89" s="9" t="s">
        <v>14</v>
      </c>
      <c r="E89" s="48">
        <f>일위대가표!F374</f>
        <v>138099</v>
      </c>
      <c r="F89" s="47">
        <f>일위대가표!H374</f>
        <v>134077</v>
      </c>
      <c r="G89" s="56">
        <f>일위대가표!J374</f>
        <v>0</v>
      </c>
      <c r="H89" s="48">
        <f>일위대가표!L374</f>
        <v>4022</v>
      </c>
      <c r="I89" s="15" t="s">
        <v>202</v>
      </c>
      <c r="J89" s="17" t="str">
        <f>"_x0007_`COD|B05167_x0005_`QTY1|1_x0005_`BQC|_x0005_`EQC|_x0005_`JDC|_x0005_`WQC|_x0005_`EDT|_x0005_`ADJ|F_x0005_`DET|"&amp;ROW(일위대가표!A372)&amp;"_x0005_`"</f>
        <v>_x0007_`COD|B05167_x0005_`QTY1|1_x0005_`BQC|_x0005_`EQC|_x0005_`JDC|_x0005_`WQC|_x0005_`EDT|_x0005_`ADJ|F_x0005_`DET|372_x0005_`</v>
      </c>
      <c r="K89" s="3" t="str">
        <f ca="1">HYPERLINK("#"&amp;일위대가표!N2&amp;"!A"&amp;ROW(일위대가표!A372),"대가86 →")</f>
        <v>대가86 →</v>
      </c>
    </row>
    <row r="90" spans="1:11" ht="22.35" customHeight="1" x14ac:dyDescent="0.3">
      <c r="A90" s="9" t="s">
        <v>204</v>
      </c>
      <c r="B90" s="10" t="s">
        <v>198</v>
      </c>
      <c r="C90" s="10" t="s">
        <v>23</v>
      </c>
      <c r="D90" s="9" t="s">
        <v>14</v>
      </c>
      <c r="E90" s="48">
        <f>일위대가표!F378</f>
        <v>166390</v>
      </c>
      <c r="F90" s="47">
        <f>일위대가표!H378</f>
        <v>161544</v>
      </c>
      <c r="G90" s="56">
        <f>일위대가표!J378</f>
        <v>0</v>
      </c>
      <c r="H90" s="48">
        <f>일위대가표!L378</f>
        <v>4846</v>
      </c>
      <c r="I90" s="15" t="s">
        <v>204</v>
      </c>
      <c r="J90" s="17" t="str">
        <f>"_x0007_`COD|B05168_x0005_`QTY1|1_x0005_`BQC|_x0005_`EQC|_x0005_`JDC|_x0005_`WQC|_x0005_`EDT|_x0005_`ADJ|F_x0005_`DET|"&amp;ROW(일위대가표!A376)&amp;"_x0005_`"</f>
        <v>_x0007_`COD|B05168_x0005_`QTY1|1_x0005_`BQC|_x0005_`EQC|_x0005_`JDC|_x0005_`WQC|_x0005_`EDT|_x0005_`ADJ|F_x0005_`DET|376_x0005_`</v>
      </c>
      <c r="K90" s="3" t="str">
        <f ca="1">HYPERLINK("#"&amp;일위대가표!N2&amp;"!A"&amp;ROW(일위대가표!A376),"대가87 →")</f>
        <v>대가87 →</v>
      </c>
    </row>
    <row r="91" spans="1:11" ht="22.35" customHeight="1" x14ac:dyDescent="0.3">
      <c r="A91" s="9" t="s">
        <v>206</v>
      </c>
      <c r="B91" s="10" t="s">
        <v>198</v>
      </c>
      <c r="C91" s="10" t="s">
        <v>26</v>
      </c>
      <c r="D91" s="9" t="s">
        <v>14</v>
      </c>
      <c r="E91" s="48">
        <f>일위대가표!F382</f>
        <v>209936</v>
      </c>
      <c r="F91" s="47">
        <f>일위대가표!H382</f>
        <v>203822</v>
      </c>
      <c r="G91" s="56">
        <f>일위대가표!J382</f>
        <v>0</v>
      </c>
      <c r="H91" s="48">
        <f>일위대가표!L382</f>
        <v>6114</v>
      </c>
      <c r="I91" s="15" t="s">
        <v>206</v>
      </c>
      <c r="J91" s="17" t="str">
        <f>"_x0007_`COD|B05169_x0005_`QTY1|1_x0005_`BQC|_x0005_`EQC|_x0005_`JDC|_x0005_`WQC|_x0005_`EDT|_x0005_`ADJ|F_x0005_`DET|"&amp;ROW(일위대가표!A380)&amp;"_x0005_`"</f>
        <v>_x0007_`COD|B05169_x0005_`QTY1|1_x0005_`BQC|_x0005_`EQC|_x0005_`JDC|_x0005_`WQC|_x0005_`EDT|_x0005_`ADJ|F_x0005_`DET|380_x0005_`</v>
      </c>
      <c r="K91" s="3" t="str">
        <f ca="1">HYPERLINK("#"&amp;일위대가표!N2&amp;"!A"&amp;ROW(일위대가표!A380),"대가88 →")</f>
        <v>대가88 →</v>
      </c>
    </row>
    <row r="92" spans="1:11" ht="22.35" customHeight="1" x14ac:dyDescent="0.3">
      <c r="A92" s="9" t="s">
        <v>208</v>
      </c>
      <c r="B92" s="10" t="s">
        <v>198</v>
      </c>
      <c r="C92" s="10" t="s">
        <v>29</v>
      </c>
      <c r="D92" s="9" t="s">
        <v>14</v>
      </c>
      <c r="E92" s="48">
        <f>일위대가표!F386</f>
        <v>263831</v>
      </c>
      <c r="F92" s="47">
        <f>일위대가표!H386</f>
        <v>256147</v>
      </c>
      <c r="G92" s="56">
        <f>일위대가표!J386</f>
        <v>0</v>
      </c>
      <c r="H92" s="48">
        <f>일위대가표!L386</f>
        <v>7684</v>
      </c>
      <c r="I92" s="15" t="s">
        <v>208</v>
      </c>
      <c r="J92" s="17" t="str">
        <f>"_x0007_`COD|B05170_x0005_`QTY1|1_x0005_`BQC|_x0005_`EQC|_x0005_`JDC|_x0005_`WQC|_x0005_`EDT|_x0005_`ADJ|F_x0005_`DET|"&amp;ROW(일위대가표!A384)&amp;"_x0005_`"</f>
        <v>_x0007_`COD|B05170_x0005_`QTY1|1_x0005_`BQC|_x0005_`EQC|_x0005_`JDC|_x0005_`WQC|_x0005_`EDT|_x0005_`ADJ|F_x0005_`DET|384_x0005_`</v>
      </c>
      <c r="K92" s="3" t="str">
        <f ca="1">HYPERLINK("#"&amp;일위대가표!N2&amp;"!A"&amp;ROW(일위대가표!A384),"대가89 →")</f>
        <v>대가89 →</v>
      </c>
    </row>
    <row r="93" spans="1:11" ht="22.35" customHeight="1" x14ac:dyDescent="0.3">
      <c r="A93" s="9" t="s">
        <v>210</v>
      </c>
      <c r="B93" s="10" t="s">
        <v>198</v>
      </c>
      <c r="C93" s="10" t="s">
        <v>32</v>
      </c>
      <c r="D93" s="9" t="s">
        <v>14</v>
      </c>
      <c r="E93" s="48">
        <f>일위대가표!F390</f>
        <v>280095</v>
      </c>
      <c r="F93" s="47">
        <f>일위대가표!H390</f>
        <v>271937</v>
      </c>
      <c r="G93" s="56">
        <f>일위대가표!J390</f>
        <v>0</v>
      </c>
      <c r="H93" s="48">
        <f>일위대가표!L390</f>
        <v>8158</v>
      </c>
      <c r="I93" s="15" t="s">
        <v>210</v>
      </c>
      <c r="J93" s="17" t="str">
        <f>"_x0007_`COD|B05171_x0005_`QTY1|1_x0005_`BQC|_x0005_`EQC|_x0005_`JDC|_x0005_`WQC|_x0005_`EDT|_x0005_`ADJ|F_x0005_`DET|"&amp;ROW(일위대가표!A388)&amp;"_x0005_`"</f>
        <v>_x0007_`COD|B05171_x0005_`QTY1|1_x0005_`BQC|_x0005_`EQC|_x0005_`JDC|_x0005_`WQC|_x0005_`EDT|_x0005_`ADJ|F_x0005_`DET|388_x0005_`</v>
      </c>
      <c r="K93" s="3" t="str">
        <f ca="1">HYPERLINK("#"&amp;일위대가표!N2&amp;"!A"&amp;ROW(일위대가표!A388),"대가90 →")</f>
        <v>대가90 →</v>
      </c>
    </row>
    <row r="94" spans="1:11" ht="22.35" customHeight="1" x14ac:dyDescent="0.3">
      <c r="A94" s="9" t="s">
        <v>212</v>
      </c>
      <c r="B94" s="10" t="s">
        <v>198</v>
      </c>
      <c r="C94" s="10" t="s">
        <v>35</v>
      </c>
      <c r="D94" s="9" t="s">
        <v>14</v>
      </c>
      <c r="E94" s="48">
        <f>일위대가표!F394</f>
        <v>452499</v>
      </c>
      <c r="F94" s="47">
        <f>일위대가표!H394</f>
        <v>439320</v>
      </c>
      <c r="G94" s="56">
        <f>일위대가표!J394</f>
        <v>0</v>
      </c>
      <c r="H94" s="48">
        <f>일위대가표!L394</f>
        <v>13179</v>
      </c>
      <c r="I94" s="15" t="s">
        <v>212</v>
      </c>
      <c r="J94" s="17" t="str">
        <f>"_x0007_`COD|B05172_x0005_`QTY1|1_x0005_`BQC|_x0005_`EQC|_x0005_`JDC|_x0005_`WQC|_x0005_`EDT|_x0005_`ADJ|F_x0005_`DET|"&amp;ROW(일위대가표!A392)&amp;"_x0005_`"</f>
        <v>_x0007_`COD|B05172_x0005_`QTY1|1_x0005_`BQC|_x0005_`EQC|_x0005_`JDC|_x0005_`WQC|_x0005_`EDT|_x0005_`ADJ|F_x0005_`DET|392_x0005_`</v>
      </c>
      <c r="K94" s="3" t="str">
        <f ca="1">HYPERLINK("#"&amp;일위대가표!N2&amp;"!A"&amp;ROW(일위대가표!A392),"대가91 →")</f>
        <v>대가91 →</v>
      </c>
    </row>
    <row r="95" spans="1:11" ht="22.35" customHeight="1" x14ac:dyDescent="0.3">
      <c r="A95" s="9" t="s">
        <v>214</v>
      </c>
      <c r="B95" s="10" t="s">
        <v>198</v>
      </c>
      <c r="C95" s="10" t="s">
        <v>38</v>
      </c>
      <c r="D95" s="9" t="s">
        <v>14</v>
      </c>
      <c r="E95" s="48">
        <f>일위대가표!F398</f>
        <v>584244</v>
      </c>
      <c r="F95" s="47">
        <f>일위대가표!H398</f>
        <v>567228</v>
      </c>
      <c r="G95" s="56">
        <f>일위대가표!J398</f>
        <v>0</v>
      </c>
      <c r="H95" s="48">
        <f>일위대가표!L398</f>
        <v>17016</v>
      </c>
      <c r="I95" s="15" t="s">
        <v>214</v>
      </c>
      <c r="J95" s="17" t="str">
        <f>"_x0007_`COD|B05173_x0005_`QTY1|1_x0005_`BQC|_x0005_`EQC|_x0005_`JDC|_x0005_`WQC|_x0005_`EDT|_x0005_`ADJ|F_x0005_`DET|"&amp;ROW(일위대가표!A396)&amp;"_x0005_`"</f>
        <v>_x0007_`COD|B05173_x0005_`QTY1|1_x0005_`BQC|_x0005_`EQC|_x0005_`JDC|_x0005_`WQC|_x0005_`EDT|_x0005_`ADJ|F_x0005_`DET|396_x0005_`</v>
      </c>
      <c r="K95" s="3" t="str">
        <f ca="1">HYPERLINK("#"&amp;일위대가표!N2&amp;"!A"&amp;ROW(일위대가표!A396),"대가92 →")</f>
        <v>대가92 →</v>
      </c>
    </row>
    <row r="96" spans="1:11" ht="22.35" customHeight="1" x14ac:dyDescent="0.3">
      <c r="A96" s="9" t="s">
        <v>216</v>
      </c>
      <c r="B96" s="10" t="s">
        <v>198</v>
      </c>
      <c r="C96" s="10" t="s">
        <v>41</v>
      </c>
      <c r="D96" s="9" t="s">
        <v>14</v>
      </c>
      <c r="E96" s="48">
        <f>일위대가표!F402</f>
        <v>939944</v>
      </c>
      <c r="F96" s="47">
        <f>일위대가표!H402</f>
        <v>912568</v>
      </c>
      <c r="G96" s="56">
        <f>일위대가표!J402</f>
        <v>0</v>
      </c>
      <c r="H96" s="48">
        <f>일위대가표!L402</f>
        <v>27376</v>
      </c>
      <c r="I96" s="15" t="s">
        <v>216</v>
      </c>
      <c r="J96" s="17" t="str">
        <f>"_x0007_`COD|B05174_x0005_`QTY1|1_x0005_`BQC|_x0005_`EQC|_x0005_`JDC|_x0005_`WQC|_x0005_`EDT|_x0005_`ADJ|F_x0005_`DET|"&amp;ROW(일위대가표!A400)&amp;"_x0005_`"</f>
        <v>_x0007_`COD|B05174_x0005_`QTY1|1_x0005_`BQC|_x0005_`EQC|_x0005_`JDC|_x0005_`WQC|_x0005_`EDT|_x0005_`ADJ|F_x0005_`DET|400_x0005_`</v>
      </c>
      <c r="K96" s="3" t="str">
        <f ca="1">HYPERLINK("#"&amp;일위대가표!N2&amp;"!A"&amp;ROW(일위대가표!A400),"대가93 →")</f>
        <v>대가93 →</v>
      </c>
    </row>
    <row r="97" spans="1:11" ht="22.35" customHeight="1" x14ac:dyDescent="0.3">
      <c r="A97" s="9" t="s">
        <v>218</v>
      </c>
      <c r="B97" s="10" t="s">
        <v>198</v>
      </c>
      <c r="C97" s="10" t="s">
        <v>44</v>
      </c>
      <c r="D97" s="9" t="s">
        <v>14</v>
      </c>
      <c r="E97" s="48">
        <f>일위대가표!F406</f>
        <v>939944</v>
      </c>
      <c r="F97" s="47">
        <f>일위대가표!H406</f>
        <v>912568</v>
      </c>
      <c r="G97" s="56">
        <f>일위대가표!J406</f>
        <v>0</v>
      </c>
      <c r="H97" s="48">
        <f>일위대가표!L406</f>
        <v>27376</v>
      </c>
      <c r="I97" s="15" t="s">
        <v>218</v>
      </c>
      <c r="J97" s="17" t="str">
        <f>"_x0007_`COD|B05175_x0005_`QTY1|1_x0005_`BQC|_x0005_`EQC|_x0005_`JDC|_x0005_`WQC|_x0005_`EDT|_x0005_`ADJ|F_x0005_`DET|"&amp;ROW(일위대가표!A404)&amp;"_x0005_`"</f>
        <v>_x0007_`COD|B05175_x0005_`QTY1|1_x0005_`BQC|_x0005_`EQC|_x0005_`JDC|_x0005_`WQC|_x0005_`EDT|_x0005_`ADJ|F_x0005_`DET|404_x0005_`</v>
      </c>
      <c r="K97" s="3" t="str">
        <f ca="1">HYPERLINK("#"&amp;일위대가표!N2&amp;"!A"&amp;ROW(일위대가표!A404),"대가94 →")</f>
        <v>대가94 →</v>
      </c>
    </row>
    <row r="98" spans="1:11" ht="22.35" customHeight="1" x14ac:dyDescent="0.3">
      <c r="A98" s="9" t="s">
        <v>220</v>
      </c>
      <c r="B98" s="10" t="s">
        <v>198</v>
      </c>
      <c r="C98" s="10" t="s">
        <v>47</v>
      </c>
      <c r="D98" s="9" t="s">
        <v>14</v>
      </c>
      <c r="E98" s="48">
        <f>일위대가표!F410</f>
        <v>1151459</v>
      </c>
      <c r="F98" s="47">
        <f>일위대가표!H410</f>
        <v>1117922</v>
      </c>
      <c r="G98" s="56">
        <f>일위대가표!J410</f>
        <v>0</v>
      </c>
      <c r="H98" s="48">
        <f>일위대가표!L410</f>
        <v>33537</v>
      </c>
      <c r="I98" s="15" t="s">
        <v>220</v>
      </c>
      <c r="J98" s="17" t="str">
        <f>"_x0007_`COD|B05176_x0005_`QTY1|1_x0005_`BQC|_x0005_`EQC|_x0005_`JDC|_x0005_`WQC|_x0005_`EDT|_x0005_`ADJ|F_x0005_`DET|"&amp;ROW(일위대가표!A408)&amp;"_x0005_`"</f>
        <v>_x0007_`COD|B05176_x0005_`QTY1|1_x0005_`BQC|_x0005_`EQC|_x0005_`JDC|_x0005_`WQC|_x0005_`EDT|_x0005_`ADJ|F_x0005_`DET|408_x0005_`</v>
      </c>
      <c r="K98" s="3" t="str">
        <f ca="1">HYPERLINK("#"&amp;일위대가표!N2&amp;"!A"&amp;ROW(일위대가표!A408),"대가95 →")</f>
        <v>대가95 →</v>
      </c>
    </row>
    <row r="99" spans="1:11" ht="22.35" customHeight="1" x14ac:dyDescent="0.3">
      <c r="A99" s="9" t="s">
        <v>222</v>
      </c>
      <c r="B99" s="10" t="s">
        <v>223</v>
      </c>
      <c r="C99" s="10" t="s">
        <v>224</v>
      </c>
      <c r="D99" s="9" t="s">
        <v>14</v>
      </c>
      <c r="E99" s="48">
        <f>일위대가표!F415</f>
        <v>1761713</v>
      </c>
      <c r="F99" s="47">
        <f>일위대가표!H415</f>
        <v>207713</v>
      </c>
      <c r="G99" s="56">
        <f>일위대가표!J415</f>
        <v>1554000</v>
      </c>
      <c r="H99" s="48">
        <f>일위대가표!L415</f>
        <v>0</v>
      </c>
      <c r="I99" s="15" t="s">
        <v>222</v>
      </c>
      <c r="J99" s="17" t="str">
        <f>"_x0007_`COD|B04920_x0005_`QTY1|1_x0005_`BQC|_x0005_`EQC|_x0005_`JDC|_x0005_`WQC|_x0005_`EDT|_x0005_`ADJ|F_x0005_`DET|"&amp;ROW(일위대가표!A412)&amp;"_x0005_`"</f>
        <v>_x0007_`COD|B04920_x0005_`QTY1|1_x0005_`BQC|_x0005_`EQC|_x0005_`JDC|_x0005_`WQC|_x0005_`EDT|_x0005_`ADJ|F_x0005_`DET|412_x0005_`</v>
      </c>
      <c r="K99" s="3" t="str">
        <f ca="1">HYPERLINK("#"&amp;일위대가표!N2&amp;"!A"&amp;ROW(일위대가표!A412),"대가96 →")</f>
        <v>대가96 →</v>
      </c>
    </row>
    <row r="100" spans="1:11" ht="22.35" customHeight="1" x14ac:dyDescent="0.3">
      <c r="A100" s="9" t="s">
        <v>226</v>
      </c>
      <c r="B100" s="10" t="s">
        <v>223</v>
      </c>
      <c r="C100" s="10" t="s">
        <v>227</v>
      </c>
      <c r="D100" s="9" t="s">
        <v>14</v>
      </c>
      <c r="E100" s="48">
        <f>일위대가표!F420</f>
        <v>2825713</v>
      </c>
      <c r="F100" s="47">
        <f>일위대가표!H420</f>
        <v>207713</v>
      </c>
      <c r="G100" s="56">
        <f>일위대가표!J420</f>
        <v>2618000</v>
      </c>
      <c r="H100" s="48">
        <f>일위대가표!L420</f>
        <v>0</v>
      </c>
      <c r="I100" s="15" t="s">
        <v>226</v>
      </c>
      <c r="J100" s="17" t="str">
        <f>"_x0007_`COD|B04922_x0005_`QTY1|1_x0005_`BQC|_x0005_`EQC|_x0005_`JDC|_x0005_`WQC|_x0005_`EDT|_x0005_`ADJ|F_x0005_`DET|"&amp;ROW(일위대가표!A417)&amp;"_x0005_`"</f>
        <v>_x0007_`COD|B04922_x0005_`QTY1|1_x0005_`BQC|_x0005_`EQC|_x0005_`JDC|_x0005_`WQC|_x0005_`EDT|_x0005_`ADJ|F_x0005_`DET|417_x0005_`</v>
      </c>
      <c r="K100" s="3" t="str">
        <f ca="1">HYPERLINK("#"&amp;일위대가표!N2&amp;"!A"&amp;ROW(일위대가표!A417),"대가97 →")</f>
        <v>대가97 →</v>
      </c>
    </row>
    <row r="101" spans="1:11" ht="22.35" customHeight="1" x14ac:dyDescent="0.3">
      <c r="A101" s="9" t="s">
        <v>229</v>
      </c>
      <c r="B101" s="10" t="s">
        <v>223</v>
      </c>
      <c r="C101" s="10" t="s">
        <v>230</v>
      </c>
      <c r="D101" s="9" t="s">
        <v>14</v>
      </c>
      <c r="E101" s="48">
        <f>일위대가표!F425</f>
        <v>4807256</v>
      </c>
      <c r="F101" s="47">
        <f>일위대가표!H425</f>
        <v>249256</v>
      </c>
      <c r="G101" s="56">
        <f>일위대가표!J425</f>
        <v>4558000</v>
      </c>
      <c r="H101" s="48">
        <f>일위대가표!L425</f>
        <v>0</v>
      </c>
      <c r="I101" s="15" t="s">
        <v>229</v>
      </c>
      <c r="J101" s="17" t="str">
        <f>"_x0007_`COD|B04923_x0005_`QTY1|1_x0005_`BQC|_x0005_`EQC|_x0005_`JDC|_x0005_`WQC|_x0005_`EDT|_x0005_`ADJ|F_x0005_`DET|"&amp;ROW(일위대가표!A422)&amp;"_x0005_`"</f>
        <v>_x0007_`COD|B04923_x0005_`QTY1|1_x0005_`BQC|_x0005_`EQC|_x0005_`JDC|_x0005_`WQC|_x0005_`EDT|_x0005_`ADJ|F_x0005_`DET|422_x0005_`</v>
      </c>
      <c r="K101" s="3" t="str">
        <f ca="1">HYPERLINK("#"&amp;일위대가표!N2&amp;"!A"&amp;ROW(일위대가표!A422),"대가98 →")</f>
        <v>대가98 →</v>
      </c>
    </row>
    <row r="102" spans="1:11" ht="22.35" customHeight="1" x14ac:dyDescent="0.3">
      <c r="A102" s="9" t="s">
        <v>232</v>
      </c>
      <c r="B102" s="10" t="s">
        <v>223</v>
      </c>
      <c r="C102" s="10" t="s">
        <v>233</v>
      </c>
      <c r="D102" s="9" t="s">
        <v>14</v>
      </c>
      <c r="E102" s="48">
        <f>일위대가표!F430</f>
        <v>5051799</v>
      </c>
      <c r="F102" s="47">
        <f>일위대가표!H430</f>
        <v>290799</v>
      </c>
      <c r="G102" s="56">
        <f>일위대가표!J430</f>
        <v>4761000</v>
      </c>
      <c r="H102" s="48">
        <f>일위대가표!L430</f>
        <v>0</v>
      </c>
      <c r="I102" s="15" t="s">
        <v>232</v>
      </c>
      <c r="J102" s="17" t="str">
        <f>"_x0007_`COD|B04924_x0005_`QTY1|1_x0005_`BQC|_x0005_`EQC|_x0005_`JDC|_x0005_`WQC|_x0005_`EDT|_x0005_`ADJ|F_x0005_`DET|"&amp;ROW(일위대가표!A427)&amp;"_x0005_`"</f>
        <v>_x0007_`COD|B04924_x0005_`QTY1|1_x0005_`BQC|_x0005_`EQC|_x0005_`JDC|_x0005_`WQC|_x0005_`EDT|_x0005_`ADJ|F_x0005_`DET|427_x0005_`</v>
      </c>
      <c r="K102" s="3" t="str">
        <f ca="1">HYPERLINK("#"&amp;일위대가표!N2&amp;"!A"&amp;ROW(일위대가표!A427),"대가99 →")</f>
        <v>대가99 →</v>
      </c>
    </row>
    <row r="103" spans="1:11" ht="22.35" customHeight="1" x14ac:dyDescent="0.3">
      <c r="A103" s="9" t="s">
        <v>235</v>
      </c>
      <c r="B103" s="10" t="s">
        <v>223</v>
      </c>
      <c r="C103" s="10" t="s">
        <v>236</v>
      </c>
      <c r="D103" s="9" t="s">
        <v>14</v>
      </c>
      <c r="E103" s="48">
        <f>일위대가표!F435</f>
        <v>6416885</v>
      </c>
      <c r="F103" s="47">
        <f>일위대가표!H435</f>
        <v>373885</v>
      </c>
      <c r="G103" s="56">
        <f>일위대가표!J435</f>
        <v>6043000</v>
      </c>
      <c r="H103" s="48">
        <f>일위대가표!L435</f>
        <v>0</v>
      </c>
      <c r="I103" s="15" t="s">
        <v>235</v>
      </c>
      <c r="J103" s="17" t="str">
        <f>"_x0007_`COD|B04925_x0005_`QTY1|1_x0005_`BQC|_x0005_`EQC|_x0005_`JDC|_x0005_`WQC|_x0005_`EDT|_x0005_`ADJ|F_x0005_`DET|"&amp;ROW(일위대가표!A432)&amp;"_x0005_`"</f>
        <v>_x0007_`COD|B04925_x0005_`QTY1|1_x0005_`BQC|_x0005_`EQC|_x0005_`JDC|_x0005_`WQC|_x0005_`EDT|_x0005_`ADJ|F_x0005_`DET|432_x0005_`</v>
      </c>
      <c r="K103" s="3" t="str">
        <f ca="1">HYPERLINK("#"&amp;일위대가표!N2&amp;"!A"&amp;ROW(일위대가표!A432),"대가100 →")</f>
        <v>대가100 →</v>
      </c>
    </row>
    <row r="104" spans="1:11" ht="22.35" customHeight="1" x14ac:dyDescent="0.3">
      <c r="A104" s="9" t="s">
        <v>238</v>
      </c>
      <c r="B104" s="10" t="s">
        <v>223</v>
      </c>
      <c r="C104" s="10" t="s">
        <v>239</v>
      </c>
      <c r="D104" s="9" t="s">
        <v>14</v>
      </c>
      <c r="E104" s="48">
        <f>일위대가표!F440</f>
        <v>8557599</v>
      </c>
      <c r="F104" s="47">
        <f>일위대가표!H440</f>
        <v>581599</v>
      </c>
      <c r="G104" s="56">
        <f>일위대가표!J440</f>
        <v>7976000</v>
      </c>
      <c r="H104" s="48">
        <f>일위대가표!L440</f>
        <v>0</v>
      </c>
      <c r="I104" s="15" t="s">
        <v>238</v>
      </c>
      <c r="J104" s="17" t="str">
        <f>"_x0007_`COD|B04927_x0005_`QTY1|1_x0005_`BQC|_x0005_`EQC|_x0005_`JDC|_x0005_`WQC|_x0005_`EDT|_x0005_`ADJ|F_x0005_`DET|"&amp;ROW(일위대가표!A437)&amp;"_x0005_`"</f>
        <v>_x0007_`COD|B04927_x0005_`QTY1|1_x0005_`BQC|_x0005_`EQC|_x0005_`JDC|_x0005_`WQC|_x0005_`EDT|_x0005_`ADJ|F_x0005_`DET|437_x0005_`</v>
      </c>
      <c r="K104" s="3" t="str">
        <f ca="1">HYPERLINK("#"&amp;일위대가표!N2&amp;"!A"&amp;ROW(일위대가표!A437),"대가101 →")</f>
        <v>대가101 →</v>
      </c>
    </row>
    <row r="105" spans="1:11" ht="22.35" customHeight="1" x14ac:dyDescent="0.3">
      <c r="A105" s="9" t="s">
        <v>241</v>
      </c>
      <c r="B105" s="10" t="s">
        <v>223</v>
      </c>
      <c r="C105" s="10" t="s">
        <v>242</v>
      </c>
      <c r="D105" s="9" t="s">
        <v>14</v>
      </c>
      <c r="E105" s="48">
        <f>일위대가표!F445</f>
        <v>8710599</v>
      </c>
      <c r="F105" s="47">
        <f>일위대가표!H445</f>
        <v>581599</v>
      </c>
      <c r="G105" s="56">
        <f>일위대가표!J445</f>
        <v>8129000</v>
      </c>
      <c r="H105" s="48">
        <f>일위대가표!L445</f>
        <v>0</v>
      </c>
      <c r="I105" s="15" t="s">
        <v>241</v>
      </c>
      <c r="J105" s="17" t="str">
        <f>"_x0007_`COD|B04928_x0005_`QTY1|1_x0005_`BQC|_x0005_`EQC|_x0005_`JDC|_x0005_`WQC|_x0005_`EDT|_x0005_`ADJ|F_x0005_`DET|"&amp;ROW(일위대가표!A442)&amp;"_x0005_`"</f>
        <v>_x0007_`COD|B04928_x0005_`QTY1|1_x0005_`BQC|_x0005_`EQC|_x0005_`JDC|_x0005_`WQC|_x0005_`EDT|_x0005_`ADJ|F_x0005_`DET|442_x0005_`</v>
      </c>
      <c r="K105" s="3" t="str">
        <f ca="1">HYPERLINK("#"&amp;일위대가표!N2&amp;"!A"&amp;ROW(일위대가표!A442),"대가102 →")</f>
        <v>대가102 →</v>
      </c>
    </row>
    <row r="106" spans="1:11" ht="22.35" customHeight="1" x14ac:dyDescent="0.3">
      <c r="A106" s="9" t="s">
        <v>244</v>
      </c>
      <c r="B106" s="10" t="s">
        <v>223</v>
      </c>
      <c r="C106" s="10" t="s">
        <v>245</v>
      </c>
      <c r="D106" s="9" t="s">
        <v>14</v>
      </c>
      <c r="E106" s="48">
        <f>일위대가표!F450</f>
        <v>9194080</v>
      </c>
      <c r="F106" s="47">
        <f>일위대가표!H450</f>
        <v>827080</v>
      </c>
      <c r="G106" s="56">
        <f>일위대가표!J450</f>
        <v>8367000</v>
      </c>
      <c r="H106" s="48">
        <f>일위대가표!L450</f>
        <v>0</v>
      </c>
      <c r="I106" s="15" t="s">
        <v>244</v>
      </c>
      <c r="J106" s="17" t="str">
        <f>"_x0007_`COD|B04929_x0005_`QTY1|1_x0005_`BQC|_x0005_`EQC|_x0005_`JDC|_x0005_`WQC|_x0005_`EDT|_x0005_`ADJ|F_x0005_`DET|"&amp;ROW(일위대가표!A447)&amp;"_x0005_`"</f>
        <v>_x0007_`COD|B04929_x0005_`QTY1|1_x0005_`BQC|_x0005_`EQC|_x0005_`JDC|_x0005_`WQC|_x0005_`EDT|_x0005_`ADJ|F_x0005_`DET|447_x0005_`</v>
      </c>
      <c r="K106" s="3" t="str">
        <f ca="1">HYPERLINK("#"&amp;일위대가표!N2&amp;"!A"&amp;ROW(일위대가표!A447),"대가103 →")</f>
        <v>대가103 →</v>
      </c>
    </row>
    <row r="107" spans="1:11" ht="22.35" customHeight="1" x14ac:dyDescent="0.3">
      <c r="A107" s="9" t="s">
        <v>247</v>
      </c>
      <c r="B107" s="10" t="s">
        <v>223</v>
      </c>
      <c r="C107" s="10" t="s">
        <v>248</v>
      </c>
      <c r="D107" s="9" t="s">
        <v>14</v>
      </c>
      <c r="E107" s="48">
        <f>일위대가표!F455</f>
        <v>9681338</v>
      </c>
      <c r="F107" s="47">
        <f>일위대가표!H455</f>
        <v>1076338</v>
      </c>
      <c r="G107" s="56">
        <f>일위대가표!J455</f>
        <v>8605000</v>
      </c>
      <c r="H107" s="48">
        <f>일위대가표!L455</f>
        <v>0</v>
      </c>
      <c r="I107" s="15" t="s">
        <v>247</v>
      </c>
      <c r="J107" s="17" t="str">
        <f>"_x0007_`COD|B04930_x0005_`QTY1|1_x0005_`BQC|_x0005_`EQC|_x0005_`JDC|_x0005_`WQC|_x0005_`EDT|_x0005_`ADJ|F_x0005_`DET|"&amp;ROW(일위대가표!A452)&amp;"_x0005_`"</f>
        <v>_x0007_`COD|B04930_x0005_`QTY1|1_x0005_`BQC|_x0005_`EQC|_x0005_`JDC|_x0005_`WQC|_x0005_`EDT|_x0005_`ADJ|F_x0005_`DET|452_x0005_`</v>
      </c>
      <c r="K107" s="3" t="str">
        <f ca="1">HYPERLINK("#"&amp;일위대가표!N2&amp;"!A"&amp;ROW(일위대가표!A452),"대가104 →")</f>
        <v>대가104 →</v>
      </c>
    </row>
    <row r="108" spans="1:11" ht="22.35" customHeight="1" x14ac:dyDescent="0.3">
      <c r="A108" s="9" t="s">
        <v>250</v>
      </c>
      <c r="B108" s="10" t="s">
        <v>223</v>
      </c>
      <c r="C108" s="10" t="s">
        <v>251</v>
      </c>
      <c r="D108" s="9" t="s">
        <v>14</v>
      </c>
      <c r="E108" s="48">
        <f>일위대가표!F460</f>
        <v>13239509</v>
      </c>
      <c r="F108" s="47">
        <f>일위대가표!H460</f>
        <v>1242509</v>
      </c>
      <c r="G108" s="56">
        <f>일위대가표!J460</f>
        <v>11997000</v>
      </c>
      <c r="H108" s="48">
        <f>일위대가표!L460</f>
        <v>0</v>
      </c>
      <c r="I108" s="15" t="s">
        <v>250</v>
      </c>
      <c r="J108" s="17" t="str">
        <f>"_x0007_`COD|B04931_x0005_`QTY1|1_x0005_`BQC|_x0005_`EQC|_x0005_`JDC|_x0005_`WQC|_x0005_`EDT|_x0005_`ADJ|F_x0005_`DET|"&amp;ROW(일위대가표!A457)&amp;"_x0005_`"</f>
        <v>_x0007_`COD|B04931_x0005_`QTY1|1_x0005_`BQC|_x0005_`EQC|_x0005_`JDC|_x0005_`WQC|_x0005_`EDT|_x0005_`ADJ|F_x0005_`DET|457_x0005_`</v>
      </c>
      <c r="K108" s="3" t="str">
        <f ca="1">HYPERLINK("#"&amp;일위대가표!N2&amp;"!A"&amp;ROW(일위대가표!A457),"대가105 →")</f>
        <v>대가105 →</v>
      </c>
    </row>
    <row r="109" spans="1:11" ht="22.35" customHeight="1" x14ac:dyDescent="0.3">
      <c r="A109" s="9" t="s">
        <v>253</v>
      </c>
      <c r="B109" s="10" t="s">
        <v>223</v>
      </c>
      <c r="C109" s="10" t="s">
        <v>254</v>
      </c>
      <c r="D109" s="9" t="s">
        <v>14</v>
      </c>
      <c r="E109" s="48">
        <f>일위대가표!F465</f>
        <v>14845681</v>
      </c>
      <c r="F109" s="47">
        <f>일위대가표!H465</f>
        <v>1408681</v>
      </c>
      <c r="G109" s="56">
        <f>일위대가표!J465</f>
        <v>13437000</v>
      </c>
      <c r="H109" s="48">
        <f>일위대가표!L465</f>
        <v>0</v>
      </c>
      <c r="I109" s="15" t="s">
        <v>253</v>
      </c>
      <c r="J109" s="17" t="str">
        <f>"_x0007_`COD|B04932_x0005_`QTY1|1_x0005_`BQC|_x0005_`EQC|_x0005_`JDC|_x0005_`WQC|_x0005_`EDT|_x0005_`ADJ|F_x0005_`DET|"&amp;ROW(일위대가표!A462)&amp;"_x0005_`"</f>
        <v>_x0007_`COD|B04932_x0005_`QTY1|1_x0005_`BQC|_x0005_`EQC|_x0005_`JDC|_x0005_`WQC|_x0005_`EDT|_x0005_`ADJ|F_x0005_`DET|462_x0005_`</v>
      </c>
      <c r="K109" s="3" t="str">
        <f ca="1">HYPERLINK("#"&amp;일위대가표!N2&amp;"!A"&amp;ROW(일위대가표!A462),"대가106 →")</f>
        <v>대가106 →</v>
      </c>
    </row>
    <row r="110" spans="1:11" ht="22.35" customHeight="1" x14ac:dyDescent="0.3">
      <c r="A110" s="9" t="s">
        <v>256</v>
      </c>
      <c r="B110" s="10" t="s">
        <v>223</v>
      </c>
      <c r="C110" s="10" t="s">
        <v>257</v>
      </c>
      <c r="D110" s="9" t="s">
        <v>14</v>
      </c>
      <c r="E110" s="48">
        <f>일위대가표!F470</f>
        <v>34036964</v>
      </c>
      <c r="F110" s="47">
        <f>일위대가표!H470</f>
        <v>2613964</v>
      </c>
      <c r="G110" s="56">
        <f>일위대가표!J470</f>
        <v>31423000</v>
      </c>
      <c r="H110" s="48">
        <f>일위대가표!L470</f>
        <v>0</v>
      </c>
      <c r="I110" s="15" t="s">
        <v>256</v>
      </c>
      <c r="J110" s="17" t="str">
        <f>"_x0007_`COD|B04933_x0005_`QTY1|1_x0005_`BQC|_x0005_`EQC|_x0005_`JDC|_x0005_`WQC|_x0005_`EDT|_x0005_`ADJ|F_x0005_`DET|"&amp;ROW(일위대가표!A467)&amp;"_x0005_`"</f>
        <v>_x0007_`COD|B04933_x0005_`QTY1|1_x0005_`BQC|_x0005_`EQC|_x0005_`JDC|_x0005_`WQC|_x0005_`EDT|_x0005_`ADJ|F_x0005_`DET|467_x0005_`</v>
      </c>
      <c r="K110" s="3" t="str">
        <f ca="1">HYPERLINK("#"&amp;일위대가표!N2&amp;"!A"&amp;ROW(일위대가표!A467),"대가107 →")</f>
        <v>대가107 →</v>
      </c>
    </row>
    <row r="111" spans="1:11" ht="22.35" customHeight="1" x14ac:dyDescent="0.3">
      <c r="A111" s="9" t="s">
        <v>259</v>
      </c>
      <c r="B111" s="10" t="s">
        <v>260</v>
      </c>
      <c r="C111" s="10" t="s">
        <v>224</v>
      </c>
      <c r="D111" s="9" t="s">
        <v>14</v>
      </c>
      <c r="E111" s="48">
        <f>일위대가표!F474</f>
        <v>207713</v>
      </c>
      <c r="F111" s="47">
        <f>일위대가표!H474</f>
        <v>207713</v>
      </c>
      <c r="G111" s="56">
        <f>일위대가표!J474</f>
        <v>0</v>
      </c>
      <c r="H111" s="48">
        <f>일위대가표!L474</f>
        <v>0</v>
      </c>
      <c r="I111" s="15" t="s">
        <v>259</v>
      </c>
      <c r="J111" s="17" t="str">
        <f>"_x0007_`COD|B05177_x0005_`QTY1|1_x0005_`BQC|_x0005_`EQC|_x0005_`JDC|_x0005_`WQC|_x0005_`EDT|_x0005_`ADJ|F_x0005_`DET|"&amp;ROW(일위대가표!A472)&amp;"_x0005_`"</f>
        <v>_x0007_`COD|B05177_x0005_`QTY1|1_x0005_`BQC|_x0005_`EQC|_x0005_`JDC|_x0005_`WQC|_x0005_`EDT|_x0005_`ADJ|F_x0005_`DET|472_x0005_`</v>
      </c>
      <c r="K111" s="3" t="str">
        <f ca="1">HYPERLINK("#"&amp;일위대가표!N2&amp;"!A"&amp;ROW(일위대가표!A472),"대가108 →")</f>
        <v>대가108 →</v>
      </c>
    </row>
    <row r="112" spans="1:11" ht="22.35" customHeight="1" x14ac:dyDescent="0.3">
      <c r="A112" s="9" t="s">
        <v>262</v>
      </c>
      <c r="B112" s="10" t="s">
        <v>260</v>
      </c>
      <c r="C112" s="10" t="s">
        <v>227</v>
      </c>
      <c r="D112" s="9" t="s">
        <v>14</v>
      </c>
      <c r="E112" s="48">
        <f>일위대가표!F478</f>
        <v>207713</v>
      </c>
      <c r="F112" s="47">
        <f>일위대가표!H478</f>
        <v>207713</v>
      </c>
      <c r="G112" s="56">
        <f>일위대가표!J478</f>
        <v>0</v>
      </c>
      <c r="H112" s="48">
        <f>일위대가표!L478</f>
        <v>0</v>
      </c>
      <c r="I112" s="15" t="s">
        <v>262</v>
      </c>
      <c r="J112" s="17" t="str">
        <f>"_x0007_`COD|B05178_x0005_`QTY1|1_x0005_`BQC|_x0005_`EQC|_x0005_`JDC|_x0005_`WQC|_x0005_`EDT|_x0005_`ADJ|F_x0005_`DET|"&amp;ROW(일위대가표!A476)&amp;"_x0005_`"</f>
        <v>_x0007_`COD|B05178_x0005_`QTY1|1_x0005_`BQC|_x0005_`EQC|_x0005_`JDC|_x0005_`WQC|_x0005_`EDT|_x0005_`ADJ|F_x0005_`DET|476_x0005_`</v>
      </c>
      <c r="K112" s="3" t="str">
        <f ca="1">HYPERLINK("#"&amp;일위대가표!N2&amp;"!A"&amp;ROW(일위대가표!A476),"대가109 →")</f>
        <v>대가109 →</v>
      </c>
    </row>
    <row r="113" spans="1:11" ht="22.35" customHeight="1" x14ac:dyDescent="0.3">
      <c r="A113" s="9" t="s">
        <v>264</v>
      </c>
      <c r="B113" s="10" t="s">
        <v>260</v>
      </c>
      <c r="C113" s="10" t="s">
        <v>230</v>
      </c>
      <c r="D113" s="9" t="s">
        <v>14</v>
      </c>
      <c r="E113" s="48">
        <f>일위대가표!F482</f>
        <v>249256</v>
      </c>
      <c r="F113" s="47">
        <f>일위대가표!H482</f>
        <v>249256</v>
      </c>
      <c r="G113" s="56">
        <f>일위대가표!J482</f>
        <v>0</v>
      </c>
      <c r="H113" s="48">
        <f>일위대가표!L482</f>
        <v>0</v>
      </c>
      <c r="I113" s="15" t="s">
        <v>264</v>
      </c>
      <c r="J113" s="17" t="str">
        <f>"_x0007_`COD|B05179_x0005_`QTY1|1_x0005_`BQC|_x0005_`EQC|_x0005_`JDC|_x0005_`WQC|_x0005_`EDT|_x0005_`ADJ|F_x0005_`DET|"&amp;ROW(일위대가표!A480)&amp;"_x0005_`"</f>
        <v>_x0007_`COD|B05179_x0005_`QTY1|1_x0005_`BQC|_x0005_`EQC|_x0005_`JDC|_x0005_`WQC|_x0005_`EDT|_x0005_`ADJ|F_x0005_`DET|480_x0005_`</v>
      </c>
      <c r="K113" s="3" t="str">
        <f ca="1">HYPERLINK("#"&amp;일위대가표!N2&amp;"!A"&amp;ROW(일위대가표!A480),"대가110 →")</f>
        <v>대가110 →</v>
      </c>
    </row>
    <row r="114" spans="1:11" ht="22.35" customHeight="1" x14ac:dyDescent="0.3">
      <c r="A114" s="9" t="s">
        <v>266</v>
      </c>
      <c r="B114" s="10" t="s">
        <v>260</v>
      </c>
      <c r="C114" s="10" t="s">
        <v>233</v>
      </c>
      <c r="D114" s="9" t="s">
        <v>14</v>
      </c>
      <c r="E114" s="48">
        <f>일위대가표!F486</f>
        <v>290799</v>
      </c>
      <c r="F114" s="47">
        <f>일위대가표!H486</f>
        <v>290799</v>
      </c>
      <c r="G114" s="56">
        <f>일위대가표!J486</f>
        <v>0</v>
      </c>
      <c r="H114" s="48">
        <f>일위대가표!L486</f>
        <v>0</v>
      </c>
      <c r="I114" s="15" t="s">
        <v>266</v>
      </c>
      <c r="J114" s="17" t="str">
        <f>"_x0007_`COD|B05180_x0005_`QTY1|1_x0005_`BQC|_x0005_`EQC|_x0005_`JDC|_x0005_`WQC|_x0005_`EDT|_x0005_`ADJ|F_x0005_`DET|"&amp;ROW(일위대가표!A484)&amp;"_x0005_`"</f>
        <v>_x0007_`COD|B05180_x0005_`QTY1|1_x0005_`BQC|_x0005_`EQC|_x0005_`JDC|_x0005_`WQC|_x0005_`EDT|_x0005_`ADJ|F_x0005_`DET|484_x0005_`</v>
      </c>
      <c r="K114" s="3" t="str">
        <f ca="1">HYPERLINK("#"&amp;일위대가표!N2&amp;"!A"&amp;ROW(일위대가표!A484),"대가111 →")</f>
        <v>대가111 →</v>
      </c>
    </row>
    <row r="115" spans="1:11" ht="22.35" customHeight="1" x14ac:dyDescent="0.3">
      <c r="A115" s="9" t="s">
        <v>268</v>
      </c>
      <c r="B115" s="10" t="s">
        <v>260</v>
      </c>
      <c r="C115" s="10" t="s">
        <v>236</v>
      </c>
      <c r="D115" s="9" t="s">
        <v>14</v>
      </c>
      <c r="E115" s="48">
        <f>일위대가표!F490</f>
        <v>373885</v>
      </c>
      <c r="F115" s="47">
        <f>일위대가표!H490</f>
        <v>373885</v>
      </c>
      <c r="G115" s="56">
        <f>일위대가표!J490</f>
        <v>0</v>
      </c>
      <c r="H115" s="48">
        <f>일위대가표!L490</f>
        <v>0</v>
      </c>
      <c r="I115" s="15" t="s">
        <v>268</v>
      </c>
      <c r="J115" s="17" t="str">
        <f>"_x0007_`COD|B05181_x0005_`QTY1|1_x0005_`BQC|_x0005_`EQC|_x0005_`JDC|_x0005_`WQC|_x0005_`EDT|_x0005_`ADJ|F_x0005_`DET|"&amp;ROW(일위대가표!A488)&amp;"_x0005_`"</f>
        <v>_x0007_`COD|B05181_x0005_`QTY1|1_x0005_`BQC|_x0005_`EQC|_x0005_`JDC|_x0005_`WQC|_x0005_`EDT|_x0005_`ADJ|F_x0005_`DET|488_x0005_`</v>
      </c>
      <c r="K115" s="3" t="str">
        <f ca="1">HYPERLINK("#"&amp;일위대가표!N2&amp;"!A"&amp;ROW(일위대가표!A488),"대가112 →")</f>
        <v>대가112 →</v>
      </c>
    </row>
    <row r="116" spans="1:11" ht="22.35" customHeight="1" x14ac:dyDescent="0.3">
      <c r="A116" s="9" t="s">
        <v>270</v>
      </c>
      <c r="B116" s="10" t="s">
        <v>260</v>
      </c>
      <c r="C116" s="10" t="s">
        <v>271</v>
      </c>
      <c r="D116" s="9" t="s">
        <v>14</v>
      </c>
      <c r="E116" s="48">
        <f>일위대가표!F494</f>
        <v>456971</v>
      </c>
      <c r="F116" s="47">
        <f>일위대가표!H494</f>
        <v>456971</v>
      </c>
      <c r="G116" s="56">
        <f>일위대가표!J494</f>
        <v>0</v>
      </c>
      <c r="H116" s="48">
        <f>일위대가표!L494</f>
        <v>0</v>
      </c>
      <c r="I116" s="15" t="s">
        <v>270</v>
      </c>
      <c r="J116" s="17" t="str">
        <f>"_x0007_`COD|B05182_x0005_`QTY1|1_x0005_`BQC|_x0005_`EQC|_x0005_`JDC|_x0005_`WQC|_x0005_`EDT|_x0005_`ADJ|F_x0005_`DET|"&amp;ROW(일위대가표!A492)&amp;"_x0005_`"</f>
        <v>_x0007_`COD|B05182_x0005_`QTY1|1_x0005_`BQC|_x0005_`EQC|_x0005_`JDC|_x0005_`WQC|_x0005_`EDT|_x0005_`ADJ|F_x0005_`DET|492_x0005_`</v>
      </c>
      <c r="K116" s="3" t="str">
        <f ca="1">HYPERLINK("#"&amp;일위대가표!N2&amp;"!A"&amp;ROW(일위대가표!A492),"대가113 →")</f>
        <v>대가113 →</v>
      </c>
    </row>
    <row r="117" spans="1:11" ht="22.35" customHeight="1" x14ac:dyDescent="0.3">
      <c r="A117" s="9" t="s">
        <v>273</v>
      </c>
      <c r="B117" s="10" t="s">
        <v>260</v>
      </c>
      <c r="C117" s="10" t="s">
        <v>239</v>
      </c>
      <c r="D117" s="9" t="s">
        <v>14</v>
      </c>
      <c r="E117" s="48">
        <f>일위대가표!F498</f>
        <v>581599</v>
      </c>
      <c r="F117" s="47">
        <f>일위대가표!H498</f>
        <v>581599</v>
      </c>
      <c r="G117" s="56">
        <f>일위대가표!J498</f>
        <v>0</v>
      </c>
      <c r="H117" s="48">
        <f>일위대가표!L498</f>
        <v>0</v>
      </c>
      <c r="I117" s="15" t="s">
        <v>273</v>
      </c>
      <c r="J117" s="17" t="str">
        <f>"_x0007_`COD|B05183_x0005_`QTY1|1_x0005_`BQC|_x0005_`EQC|_x0005_`JDC|_x0005_`WQC|_x0005_`EDT|_x0005_`ADJ|F_x0005_`DET|"&amp;ROW(일위대가표!A496)&amp;"_x0005_`"</f>
        <v>_x0007_`COD|B05183_x0005_`QTY1|1_x0005_`BQC|_x0005_`EQC|_x0005_`JDC|_x0005_`WQC|_x0005_`EDT|_x0005_`ADJ|F_x0005_`DET|496_x0005_`</v>
      </c>
      <c r="K117" s="3" t="str">
        <f ca="1">HYPERLINK("#"&amp;일위대가표!N2&amp;"!A"&amp;ROW(일위대가표!A496),"대가114 →")</f>
        <v>대가114 →</v>
      </c>
    </row>
    <row r="118" spans="1:11" ht="22.35" customHeight="1" x14ac:dyDescent="0.3">
      <c r="A118" s="9" t="s">
        <v>275</v>
      </c>
      <c r="B118" s="10" t="s">
        <v>260</v>
      </c>
      <c r="C118" s="10" t="s">
        <v>245</v>
      </c>
      <c r="D118" s="9" t="s">
        <v>14</v>
      </c>
      <c r="E118" s="48">
        <f>일위대가표!F502</f>
        <v>827080</v>
      </c>
      <c r="F118" s="47">
        <f>일위대가표!H502</f>
        <v>827080</v>
      </c>
      <c r="G118" s="56">
        <f>일위대가표!J502</f>
        <v>0</v>
      </c>
      <c r="H118" s="48">
        <f>일위대가표!L502</f>
        <v>0</v>
      </c>
      <c r="I118" s="15" t="s">
        <v>275</v>
      </c>
      <c r="J118" s="17" t="str">
        <f>"_x0007_`COD|B05184_x0005_`QTY1|1_x0005_`BQC|_x0005_`EQC|_x0005_`JDC|_x0005_`WQC|_x0005_`EDT|_x0005_`ADJ|F_x0005_`DET|"&amp;ROW(일위대가표!A500)&amp;"_x0005_`"</f>
        <v>_x0007_`COD|B05184_x0005_`QTY1|1_x0005_`BQC|_x0005_`EQC|_x0005_`JDC|_x0005_`WQC|_x0005_`EDT|_x0005_`ADJ|F_x0005_`DET|500_x0005_`</v>
      </c>
      <c r="K118" s="3" t="str">
        <f ca="1">HYPERLINK("#"&amp;일위대가표!N2&amp;"!A"&amp;ROW(일위대가표!A500),"대가115 →")</f>
        <v>대가115 →</v>
      </c>
    </row>
    <row r="119" spans="1:11" ht="22.35" customHeight="1" x14ac:dyDescent="0.3">
      <c r="A119" s="9" t="s">
        <v>277</v>
      </c>
      <c r="B119" s="10" t="s">
        <v>260</v>
      </c>
      <c r="C119" s="10" t="s">
        <v>248</v>
      </c>
      <c r="D119" s="9" t="s">
        <v>14</v>
      </c>
      <c r="E119" s="48">
        <f>일위대가표!F506</f>
        <v>1076338</v>
      </c>
      <c r="F119" s="47">
        <f>일위대가표!H506</f>
        <v>1076338</v>
      </c>
      <c r="G119" s="56">
        <f>일위대가표!J506</f>
        <v>0</v>
      </c>
      <c r="H119" s="48">
        <f>일위대가표!L506</f>
        <v>0</v>
      </c>
      <c r="I119" s="15" t="s">
        <v>277</v>
      </c>
      <c r="J119" s="17" t="str">
        <f>"_x0007_`COD|B05185_x0005_`QTY1|1_x0005_`BQC|_x0005_`EQC|_x0005_`JDC|_x0005_`WQC|_x0005_`EDT|_x0005_`ADJ|F_x0005_`DET|"&amp;ROW(일위대가표!A504)&amp;"_x0005_`"</f>
        <v>_x0007_`COD|B05185_x0005_`QTY1|1_x0005_`BQC|_x0005_`EQC|_x0005_`JDC|_x0005_`WQC|_x0005_`EDT|_x0005_`ADJ|F_x0005_`DET|504_x0005_`</v>
      </c>
      <c r="K119" s="3" t="str">
        <f ca="1">HYPERLINK("#"&amp;일위대가표!N2&amp;"!A"&amp;ROW(일위대가표!A504),"대가116 →")</f>
        <v>대가116 →</v>
      </c>
    </row>
    <row r="120" spans="1:11" ht="22.35" customHeight="1" x14ac:dyDescent="0.3">
      <c r="A120" s="9" t="s">
        <v>279</v>
      </c>
      <c r="B120" s="10" t="s">
        <v>260</v>
      </c>
      <c r="C120" s="10" t="s">
        <v>251</v>
      </c>
      <c r="D120" s="9" t="s">
        <v>14</v>
      </c>
      <c r="E120" s="48">
        <f>일위대가표!F510</f>
        <v>1242509</v>
      </c>
      <c r="F120" s="47">
        <f>일위대가표!H510</f>
        <v>1242509</v>
      </c>
      <c r="G120" s="56">
        <f>일위대가표!J510</f>
        <v>0</v>
      </c>
      <c r="H120" s="48">
        <f>일위대가표!L510</f>
        <v>0</v>
      </c>
      <c r="I120" s="15" t="s">
        <v>279</v>
      </c>
      <c r="J120" s="17" t="str">
        <f>"_x0007_`COD|B05186_x0005_`QTY1|1_x0005_`BQC|_x0005_`EQC|_x0005_`JDC|_x0005_`WQC|_x0005_`EDT|_x0005_`ADJ|F_x0005_`DET|"&amp;ROW(일위대가표!A508)&amp;"_x0005_`"</f>
        <v>_x0007_`COD|B05186_x0005_`QTY1|1_x0005_`BQC|_x0005_`EQC|_x0005_`JDC|_x0005_`WQC|_x0005_`EDT|_x0005_`ADJ|F_x0005_`DET|508_x0005_`</v>
      </c>
      <c r="K120" s="3" t="str">
        <f ca="1">HYPERLINK("#"&amp;일위대가표!N2&amp;"!A"&amp;ROW(일위대가표!A508),"대가117 →")</f>
        <v>대가117 →</v>
      </c>
    </row>
    <row r="121" spans="1:11" ht="22.35" customHeight="1" x14ac:dyDescent="0.3">
      <c r="A121" s="9" t="s">
        <v>281</v>
      </c>
      <c r="B121" s="10" t="s">
        <v>260</v>
      </c>
      <c r="C121" s="10" t="s">
        <v>254</v>
      </c>
      <c r="D121" s="9" t="s">
        <v>14</v>
      </c>
      <c r="E121" s="48">
        <f>일위대가표!F514</f>
        <v>1408681</v>
      </c>
      <c r="F121" s="47">
        <f>일위대가표!H514</f>
        <v>1408681</v>
      </c>
      <c r="G121" s="56">
        <f>일위대가표!J514</f>
        <v>0</v>
      </c>
      <c r="H121" s="48">
        <f>일위대가표!L514</f>
        <v>0</v>
      </c>
      <c r="I121" s="15" t="s">
        <v>281</v>
      </c>
      <c r="J121" s="17" t="str">
        <f>"_x0007_`COD|B05187_x0005_`QTY1|1_x0005_`BQC|_x0005_`EQC|_x0005_`JDC|_x0005_`WQC|_x0005_`EDT|_x0005_`ADJ|F_x0005_`DET|"&amp;ROW(일위대가표!A512)&amp;"_x0005_`"</f>
        <v>_x0007_`COD|B05187_x0005_`QTY1|1_x0005_`BQC|_x0005_`EQC|_x0005_`JDC|_x0005_`WQC|_x0005_`EDT|_x0005_`ADJ|F_x0005_`DET|512_x0005_`</v>
      </c>
      <c r="K121" s="3" t="str">
        <f ca="1">HYPERLINK("#"&amp;일위대가표!N2&amp;"!A"&amp;ROW(일위대가표!A512),"대가118 →")</f>
        <v>대가118 →</v>
      </c>
    </row>
    <row r="122" spans="1:11" ht="22.35" customHeight="1" x14ac:dyDescent="0.3">
      <c r="A122" s="9" t="s">
        <v>283</v>
      </c>
      <c r="B122" s="10" t="s">
        <v>260</v>
      </c>
      <c r="C122" s="10" t="s">
        <v>257</v>
      </c>
      <c r="D122" s="9" t="s">
        <v>14</v>
      </c>
      <c r="E122" s="48">
        <f>일위대가표!F518</f>
        <v>2613964</v>
      </c>
      <c r="F122" s="47">
        <f>일위대가표!H518</f>
        <v>2613964</v>
      </c>
      <c r="G122" s="56">
        <f>일위대가표!J518</f>
        <v>0</v>
      </c>
      <c r="H122" s="48">
        <f>일위대가표!L518</f>
        <v>0</v>
      </c>
      <c r="I122" s="15" t="s">
        <v>283</v>
      </c>
      <c r="J122" s="17" t="str">
        <f>"_x0007_`COD|B05188_x0005_`QTY1|1_x0005_`BQC|_x0005_`EQC|_x0005_`JDC|_x0005_`WQC|_x0005_`EDT|_x0005_`ADJ|F_x0005_`DET|"&amp;ROW(일위대가표!A516)&amp;"_x0005_`"</f>
        <v>_x0007_`COD|B05188_x0005_`QTY1|1_x0005_`BQC|_x0005_`EQC|_x0005_`JDC|_x0005_`WQC|_x0005_`EDT|_x0005_`ADJ|F_x0005_`DET|516_x0005_`</v>
      </c>
      <c r="K122" s="3" t="str">
        <f ca="1">HYPERLINK("#"&amp;일위대가표!N2&amp;"!A"&amp;ROW(일위대가표!A516),"대가119 →")</f>
        <v>대가119 →</v>
      </c>
    </row>
    <row r="123" spans="1:11" ht="22.35" customHeight="1" x14ac:dyDescent="0.3">
      <c r="A123" s="9" t="s">
        <v>285</v>
      </c>
      <c r="B123" s="10" t="s">
        <v>286</v>
      </c>
      <c r="C123" s="10" t="s">
        <v>224</v>
      </c>
      <c r="D123" s="9" t="s">
        <v>14</v>
      </c>
      <c r="E123" s="48">
        <f>일위대가표!F522</f>
        <v>148367</v>
      </c>
      <c r="F123" s="47">
        <f>일위대가표!H522</f>
        <v>148367</v>
      </c>
      <c r="G123" s="56">
        <f>일위대가표!J522</f>
        <v>0</v>
      </c>
      <c r="H123" s="48">
        <f>일위대가표!L522</f>
        <v>0</v>
      </c>
      <c r="I123" s="15" t="s">
        <v>285</v>
      </c>
      <c r="J123" s="17" t="str">
        <f>"_x0007_`COD|B05189_x0005_`QTY1|1_x0005_`BQC|_x0005_`EQC|_x0005_`JDC|_x0005_`WQC|_x0005_`EDT|_x0005_`ADJ|F_x0005_`DET|"&amp;ROW(일위대가표!A520)&amp;"_x0005_`"</f>
        <v>_x0007_`COD|B05189_x0005_`QTY1|1_x0005_`BQC|_x0005_`EQC|_x0005_`JDC|_x0005_`WQC|_x0005_`EDT|_x0005_`ADJ|F_x0005_`DET|520_x0005_`</v>
      </c>
      <c r="K123" s="3" t="str">
        <f ca="1">HYPERLINK("#"&amp;일위대가표!N2&amp;"!A"&amp;ROW(일위대가표!A520),"대가120 →")</f>
        <v>대가120 →</v>
      </c>
    </row>
    <row r="124" spans="1:11" ht="22.35" customHeight="1" x14ac:dyDescent="0.3">
      <c r="A124" s="9" t="s">
        <v>288</v>
      </c>
      <c r="B124" s="10" t="s">
        <v>286</v>
      </c>
      <c r="C124" s="10" t="s">
        <v>227</v>
      </c>
      <c r="D124" s="9" t="s">
        <v>14</v>
      </c>
      <c r="E124" s="48">
        <f>일위대가표!F526</f>
        <v>148367</v>
      </c>
      <c r="F124" s="47">
        <f>일위대가표!H526</f>
        <v>148367</v>
      </c>
      <c r="G124" s="56">
        <f>일위대가표!J526</f>
        <v>0</v>
      </c>
      <c r="H124" s="48">
        <f>일위대가표!L526</f>
        <v>0</v>
      </c>
      <c r="I124" s="15" t="s">
        <v>288</v>
      </c>
      <c r="J124" s="17" t="str">
        <f>"_x0007_`COD|B05190_x0005_`QTY1|1_x0005_`BQC|_x0005_`EQC|_x0005_`JDC|_x0005_`WQC|_x0005_`EDT|_x0005_`ADJ|F_x0005_`DET|"&amp;ROW(일위대가표!A524)&amp;"_x0005_`"</f>
        <v>_x0007_`COD|B05190_x0005_`QTY1|1_x0005_`BQC|_x0005_`EQC|_x0005_`JDC|_x0005_`WQC|_x0005_`EDT|_x0005_`ADJ|F_x0005_`DET|524_x0005_`</v>
      </c>
      <c r="K124" s="3" t="str">
        <f ca="1">HYPERLINK("#"&amp;일위대가표!N2&amp;"!A"&amp;ROW(일위대가표!A524),"대가121 →")</f>
        <v>대가121 →</v>
      </c>
    </row>
    <row r="125" spans="1:11" ht="22.35" customHeight="1" x14ac:dyDescent="0.3">
      <c r="A125" s="9" t="s">
        <v>290</v>
      </c>
      <c r="B125" s="10" t="s">
        <v>286</v>
      </c>
      <c r="C125" s="10" t="s">
        <v>230</v>
      </c>
      <c r="D125" s="9" t="s">
        <v>14</v>
      </c>
      <c r="E125" s="48">
        <f>일위대가표!F530</f>
        <v>178040</v>
      </c>
      <c r="F125" s="47">
        <f>일위대가표!H530</f>
        <v>178040</v>
      </c>
      <c r="G125" s="56">
        <f>일위대가표!J530</f>
        <v>0</v>
      </c>
      <c r="H125" s="48">
        <f>일위대가표!L530</f>
        <v>0</v>
      </c>
      <c r="I125" s="15" t="s">
        <v>290</v>
      </c>
      <c r="J125" s="17" t="str">
        <f>"_x0007_`COD|B05191_x0005_`QTY1|1_x0005_`BQC|_x0005_`EQC|_x0005_`JDC|_x0005_`WQC|_x0005_`EDT|_x0005_`ADJ|F_x0005_`DET|"&amp;ROW(일위대가표!A528)&amp;"_x0005_`"</f>
        <v>_x0007_`COD|B05191_x0005_`QTY1|1_x0005_`BQC|_x0005_`EQC|_x0005_`JDC|_x0005_`WQC|_x0005_`EDT|_x0005_`ADJ|F_x0005_`DET|528_x0005_`</v>
      </c>
      <c r="K125" s="3" t="str">
        <f ca="1">HYPERLINK("#"&amp;일위대가표!N2&amp;"!A"&amp;ROW(일위대가표!A528),"대가122 →")</f>
        <v>대가122 →</v>
      </c>
    </row>
    <row r="126" spans="1:11" ht="22.35" customHeight="1" x14ac:dyDescent="0.3">
      <c r="A126" s="9" t="s">
        <v>292</v>
      </c>
      <c r="B126" s="10" t="s">
        <v>286</v>
      </c>
      <c r="C126" s="10" t="s">
        <v>233</v>
      </c>
      <c r="D126" s="9" t="s">
        <v>14</v>
      </c>
      <c r="E126" s="48">
        <f>일위대가표!F534</f>
        <v>207714</v>
      </c>
      <c r="F126" s="47">
        <f>일위대가표!H534</f>
        <v>207714</v>
      </c>
      <c r="G126" s="56">
        <f>일위대가표!J534</f>
        <v>0</v>
      </c>
      <c r="H126" s="48">
        <f>일위대가표!L534</f>
        <v>0</v>
      </c>
      <c r="I126" s="15" t="s">
        <v>292</v>
      </c>
      <c r="J126" s="17" t="str">
        <f>"_x0007_`COD|B05192_x0005_`QTY1|1_x0005_`BQC|_x0005_`EQC|_x0005_`JDC|_x0005_`WQC|_x0005_`EDT|_x0005_`ADJ|F_x0005_`DET|"&amp;ROW(일위대가표!A532)&amp;"_x0005_`"</f>
        <v>_x0007_`COD|B05192_x0005_`QTY1|1_x0005_`BQC|_x0005_`EQC|_x0005_`JDC|_x0005_`WQC|_x0005_`EDT|_x0005_`ADJ|F_x0005_`DET|532_x0005_`</v>
      </c>
      <c r="K126" s="3" t="str">
        <f ca="1">HYPERLINK("#"&amp;일위대가표!N2&amp;"!A"&amp;ROW(일위대가표!A532),"대가123 →")</f>
        <v>대가123 →</v>
      </c>
    </row>
    <row r="127" spans="1:11" ht="22.35" customHeight="1" x14ac:dyDescent="0.3">
      <c r="A127" s="9" t="s">
        <v>294</v>
      </c>
      <c r="B127" s="10" t="s">
        <v>286</v>
      </c>
      <c r="C127" s="10" t="s">
        <v>236</v>
      </c>
      <c r="D127" s="9" t="s">
        <v>14</v>
      </c>
      <c r="E127" s="48">
        <f>일위대가표!F538</f>
        <v>267061</v>
      </c>
      <c r="F127" s="47">
        <f>일위대가표!H538</f>
        <v>267061</v>
      </c>
      <c r="G127" s="56">
        <f>일위대가표!J538</f>
        <v>0</v>
      </c>
      <c r="H127" s="48">
        <f>일위대가표!L538</f>
        <v>0</v>
      </c>
      <c r="I127" s="15" t="s">
        <v>294</v>
      </c>
      <c r="J127" s="17" t="str">
        <f>"_x0007_`COD|B05193_x0005_`QTY1|1_x0005_`BQC|_x0005_`EQC|_x0005_`JDC|_x0005_`WQC|_x0005_`EDT|_x0005_`ADJ|F_x0005_`DET|"&amp;ROW(일위대가표!A536)&amp;"_x0005_`"</f>
        <v>_x0007_`COD|B05193_x0005_`QTY1|1_x0005_`BQC|_x0005_`EQC|_x0005_`JDC|_x0005_`WQC|_x0005_`EDT|_x0005_`ADJ|F_x0005_`DET|536_x0005_`</v>
      </c>
      <c r="K127" s="3" t="str">
        <f ca="1">HYPERLINK("#"&amp;일위대가표!N2&amp;"!A"&amp;ROW(일위대가표!A536),"대가124 →")</f>
        <v>대가124 →</v>
      </c>
    </row>
    <row r="128" spans="1:11" ht="22.35" customHeight="1" x14ac:dyDescent="0.3">
      <c r="A128" s="9" t="s">
        <v>296</v>
      </c>
      <c r="B128" s="10" t="s">
        <v>286</v>
      </c>
      <c r="C128" s="10" t="s">
        <v>271</v>
      </c>
      <c r="D128" s="9" t="s">
        <v>14</v>
      </c>
      <c r="E128" s="48">
        <f>일위대가표!F542</f>
        <v>326408</v>
      </c>
      <c r="F128" s="47">
        <f>일위대가표!H542</f>
        <v>326408</v>
      </c>
      <c r="G128" s="56">
        <f>일위대가표!J542</f>
        <v>0</v>
      </c>
      <c r="H128" s="48">
        <f>일위대가표!L542</f>
        <v>0</v>
      </c>
      <c r="I128" s="15" t="s">
        <v>296</v>
      </c>
      <c r="J128" s="17" t="str">
        <f>"_x0007_`COD|B05195_x0005_`QTY1|1_x0005_`BQC|_x0005_`EQC|_x0005_`JDC|_x0005_`WQC|_x0005_`EDT|_x0005_`ADJ|F_x0005_`DET|"&amp;ROW(일위대가표!A540)&amp;"_x0005_`"</f>
        <v>_x0007_`COD|B05195_x0005_`QTY1|1_x0005_`BQC|_x0005_`EQC|_x0005_`JDC|_x0005_`WQC|_x0005_`EDT|_x0005_`ADJ|F_x0005_`DET|540_x0005_`</v>
      </c>
      <c r="K128" s="3" t="str">
        <f ca="1">HYPERLINK("#"&amp;일위대가표!N2&amp;"!A"&amp;ROW(일위대가표!A540),"대가125 →")</f>
        <v>대가125 →</v>
      </c>
    </row>
    <row r="129" spans="1:11" ht="22.35" customHeight="1" x14ac:dyDescent="0.3">
      <c r="A129" s="9" t="s">
        <v>298</v>
      </c>
      <c r="B129" s="10" t="s">
        <v>286</v>
      </c>
      <c r="C129" s="10" t="s">
        <v>239</v>
      </c>
      <c r="D129" s="9" t="s">
        <v>14</v>
      </c>
      <c r="E129" s="48">
        <f>일위대가표!F546</f>
        <v>415428</v>
      </c>
      <c r="F129" s="47">
        <f>일위대가표!H546</f>
        <v>415428</v>
      </c>
      <c r="G129" s="56">
        <f>일위대가표!J546</f>
        <v>0</v>
      </c>
      <c r="H129" s="48">
        <f>일위대가표!L546</f>
        <v>0</v>
      </c>
      <c r="I129" s="15" t="s">
        <v>298</v>
      </c>
      <c r="J129" s="17" t="str">
        <f>"_x0007_`COD|B05196_x0005_`QTY1|1_x0005_`BQC|_x0005_`EQC|_x0005_`JDC|_x0005_`WQC|_x0005_`EDT|_x0005_`ADJ|F_x0005_`DET|"&amp;ROW(일위대가표!A544)&amp;"_x0005_`"</f>
        <v>_x0007_`COD|B05196_x0005_`QTY1|1_x0005_`BQC|_x0005_`EQC|_x0005_`JDC|_x0005_`WQC|_x0005_`EDT|_x0005_`ADJ|F_x0005_`DET|544_x0005_`</v>
      </c>
      <c r="K129" s="3" t="str">
        <f ca="1">HYPERLINK("#"&amp;일위대가표!N2&amp;"!A"&amp;ROW(일위대가표!A544),"대가126 →")</f>
        <v>대가126 →</v>
      </c>
    </row>
    <row r="130" spans="1:11" ht="22.35" customHeight="1" x14ac:dyDescent="0.3">
      <c r="A130" s="9" t="s">
        <v>300</v>
      </c>
      <c r="B130" s="10" t="s">
        <v>286</v>
      </c>
      <c r="C130" s="10" t="s">
        <v>245</v>
      </c>
      <c r="D130" s="9" t="s">
        <v>14</v>
      </c>
      <c r="E130" s="48">
        <f>일위대가표!F550</f>
        <v>590772</v>
      </c>
      <c r="F130" s="47">
        <f>일위대가표!H550</f>
        <v>590772</v>
      </c>
      <c r="G130" s="56">
        <f>일위대가표!J550</f>
        <v>0</v>
      </c>
      <c r="H130" s="48">
        <f>일위대가표!L550</f>
        <v>0</v>
      </c>
      <c r="I130" s="15" t="s">
        <v>300</v>
      </c>
      <c r="J130" s="17" t="str">
        <f>"_x0007_`COD|B05197_x0005_`QTY1|1_x0005_`BQC|_x0005_`EQC|_x0005_`JDC|_x0005_`WQC|_x0005_`EDT|_x0005_`ADJ|F_x0005_`DET|"&amp;ROW(일위대가표!A548)&amp;"_x0005_`"</f>
        <v>_x0007_`COD|B05197_x0005_`QTY1|1_x0005_`BQC|_x0005_`EQC|_x0005_`JDC|_x0005_`WQC|_x0005_`EDT|_x0005_`ADJ|F_x0005_`DET|548_x0005_`</v>
      </c>
      <c r="K130" s="3" t="str">
        <f ca="1">HYPERLINK("#"&amp;일위대가표!N2&amp;"!A"&amp;ROW(일위대가표!A548),"대가127 →")</f>
        <v>대가127 →</v>
      </c>
    </row>
    <row r="131" spans="1:11" ht="22.35" customHeight="1" x14ac:dyDescent="0.3">
      <c r="A131" s="9" t="s">
        <v>302</v>
      </c>
      <c r="B131" s="10" t="s">
        <v>286</v>
      </c>
      <c r="C131" s="10" t="s">
        <v>248</v>
      </c>
      <c r="D131" s="9" t="s">
        <v>14</v>
      </c>
      <c r="E131" s="48">
        <f>일위대가표!F554</f>
        <v>768813</v>
      </c>
      <c r="F131" s="47">
        <f>일위대가표!H554</f>
        <v>768813</v>
      </c>
      <c r="G131" s="56">
        <f>일위대가표!J554</f>
        <v>0</v>
      </c>
      <c r="H131" s="48">
        <f>일위대가표!L554</f>
        <v>0</v>
      </c>
      <c r="I131" s="15" t="s">
        <v>302</v>
      </c>
      <c r="J131" s="17" t="str">
        <f>"_x0007_`COD|B05198_x0005_`QTY1|1_x0005_`BQC|_x0005_`EQC|_x0005_`JDC|_x0005_`WQC|_x0005_`EDT|_x0005_`ADJ|F_x0005_`DET|"&amp;ROW(일위대가표!A552)&amp;"_x0005_`"</f>
        <v>_x0007_`COD|B05198_x0005_`QTY1|1_x0005_`BQC|_x0005_`EQC|_x0005_`JDC|_x0005_`WQC|_x0005_`EDT|_x0005_`ADJ|F_x0005_`DET|552_x0005_`</v>
      </c>
      <c r="K131" s="3" t="str">
        <f ca="1">HYPERLINK("#"&amp;일위대가표!N2&amp;"!A"&amp;ROW(일위대가표!A552),"대가128 →")</f>
        <v>대가128 →</v>
      </c>
    </row>
    <row r="132" spans="1:11" ht="22.35" customHeight="1" x14ac:dyDescent="0.3">
      <c r="A132" s="9" t="s">
        <v>304</v>
      </c>
      <c r="B132" s="10" t="s">
        <v>286</v>
      </c>
      <c r="C132" s="10" t="s">
        <v>251</v>
      </c>
      <c r="D132" s="9" t="s">
        <v>14</v>
      </c>
      <c r="E132" s="48">
        <f>일위대가표!F558</f>
        <v>887507</v>
      </c>
      <c r="F132" s="47">
        <f>일위대가표!H558</f>
        <v>887507</v>
      </c>
      <c r="G132" s="56">
        <f>일위대가표!J558</f>
        <v>0</v>
      </c>
      <c r="H132" s="48">
        <f>일위대가표!L558</f>
        <v>0</v>
      </c>
      <c r="I132" s="15" t="s">
        <v>304</v>
      </c>
      <c r="J132" s="17" t="str">
        <f>"_x0007_`COD|B05199_x0005_`QTY1|1_x0005_`BQC|_x0005_`EQC|_x0005_`JDC|_x0005_`WQC|_x0005_`EDT|_x0005_`ADJ|F_x0005_`DET|"&amp;ROW(일위대가표!A556)&amp;"_x0005_`"</f>
        <v>_x0007_`COD|B05199_x0005_`QTY1|1_x0005_`BQC|_x0005_`EQC|_x0005_`JDC|_x0005_`WQC|_x0005_`EDT|_x0005_`ADJ|F_x0005_`DET|556_x0005_`</v>
      </c>
      <c r="K132" s="3" t="str">
        <f ca="1">HYPERLINK("#"&amp;일위대가표!N2&amp;"!A"&amp;ROW(일위대가표!A556),"대가129 →")</f>
        <v>대가129 →</v>
      </c>
    </row>
    <row r="133" spans="1:11" ht="22.35" customHeight="1" x14ac:dyDescent="0.3">
      <c r="A133" s="9" t="s">
        <v>306</v>
      </c>
      <c r="B133" s="10" t="s">
        <v>286</v>
      </c>
      <c r="C133" s="10" t="s">
        <v>254</v>
      </c>
      <c r="D133" s="9" t="s">
        <v>14</v>
      </c>
      <c r="E133" s="48">
        <f>일위대가표!F562</f>
        <v>1006201</v>
      </c>
      <c r="F133" s="47">
        <f>일위대가표!H562</f>
        <v>1006201</v>
      </c>
      <c r="G133" s="56">
        <f>일위대가표!J562</f>
        <v>0</v>
      </c>
      <c r="H133" s="48">
        <f>일위대가표!L562</f>
        <v>0</v>
      </c>
      <c r="I133" s="15" t="s">
        <v>306</v>
      </c>
      <c r="J133" s="17" t="str">
        <f>"_x0007_`COD|B05200_x0005_`QTY1|1_x0005_`BQC|_x0005_`EQC|_x0005_`JDC|_x0005_`WQC|_x0005_`EDT|_x0005_`ADJ|F_x0005_`DET|"&amp;ROW(일위대가표!A560)&amp;"_x0005_`"</f>
        <v>_x0007_`COD|B05200_x0005_`QTY1|1_x0005_`BQC|_x0005_`EQC|_x0005_`JDC|_x0005_`WQC|_x0005_`EDT|_x0005_`ADJ|F_x0005_`DET|560_x0005_`</v>
      </c>
      <c r="K133" s="3" t="str">
        <f ca="1">HYPERLINK("#"&amp;일위대가표!N2&amp;"!A"&amp;ROW(일위대가표!A560),"대가130 →")</f>
        <v>대가130 →</v>
      </c>
    </row>
    <row r="134" spans="1:11" ht="22.35" customHeight="1" x14ac:dyDescent="0.3">
      <c r="A134" s="9" t="s">
        <v>308</v>
      </c>
      <c r="B134" s="10" t="s">
        <v>286</v>
      </c>
      <c r="C134" s="10" t="s">
        <v>257</v>
      </c>
      <c r="D134" s="9" t="s">
        <v>14</v>
      </c>
      <c r="E134" s="48">
        <f>일위대가표!F566</f>
        <v>1537626</v>
      </c>
      <c r="F134" s="47">
        <f>일위대가표!H566</f>
        <v>1537626</v>
      </c>
      <c r="G134" s="56">
        <f>일위대가표!J566</f>
        <v>0</v>
      </c>
      <c r="H134" s="48">
        <f>일위대가표!L566</f>
        <v>0</v>
      </c>
      <c r="I134" s="15" t="s">
        <v>308</v>
      </c>
      <c r="J134" s="17" t="str">
        <f>"_x0007_`COD|B05194_x0005_`QTY1|1_x0005_`BQC|_x0005_`EQC|_x0005_`JDC|_x0005_`WQC|_x0005_`EDT|_x0005_`ADJ|F_x0005_`DET|"&amp;ROW(일위대가표!A564)&amp;"_x0005_`"</f>
        <v>_x0007_`COD|B05194_x0005_`QTY1|1_x0005_`BQC|_x0005_`EQC|_x0005_`JDC|_x0005_`WQC|_x0005_`EDT|_x0005_`ADJ|F_x0005_`DET|564_x0005_`</v>
      </c>
      <c r="K134" s="3" t="str">
        <f ca="1">HYPERLINK("#"&amp;일위대가표!N2&amp;"!A"&amp;ROW(일위대가표!A564),"대가131 →")</f>
        <v>대가131 →</v>
      </c>
    </row>
    <row r="135" spans="1:11" ht="22.35" customHeight="1" x14ac:dyDescent="0.3">
      <c r="A135" s="9" t="s">
        <v>310</v>
      </c>
      <c r="B135" s="10" t="s">
        <v>311</v>
      </c>
      <c r="C135" s="10" t="s">
        <v>224</v>
      </c>
      <c r="D135" s="9" t="s">
        <v>14</v>
      </c>
      <c r="E135" s="48">
        <f>일위대가표!F570</f>
        <v>59346</v>
      </c>
      <c r="F135" s="47">
        <f>일위대가표!H570</f>
        <v>59346</v>
      </c>
      <c r="G135" s="56">
        <f>일위대가표!J570</f>
        <v>0</v>
      </c>
      <c r="H135" s="48">
        <f>일위대가표!L570</f>
        <v>0</v>
      </c>
      <c r="I135" s="15" t="s">
        <v>310</v>
      </c>
      <c r="J135" s="17" t="str">
        <f>"_x0007_`COD|B05201_x0005_`QTY1|1_x0005_`BQC|_x0005_`EQC|_x0005_`JDC|_x0005_`WQC|_x0005_`EDT|_x0005_`ADJ|F_x0005_`DET|"&amp;ROW(일위대가표!A568)&amp;"_x0005_`"</f>
        <v>_x0007_`COD|B05201_x0005_`QTY1|1_x0005_`BQC|_x0005_`EQC|_x0005_`JDC|_x0005_`WQC|_x0005_`EDT|_x0005_`ADJ|F_x0005_`DET|568_x0005_`</v>
      </c>
      <c r="K135" s="3" t="str">
        <f ca="1">HYPERLINK("#"&amp;일위대가표!N2&amp;"!A"&amp;ROW(일위대가표!A568),"대가132 →")</f>
        <v>대가132 →</v>
      </c>
    </row>
    <row r="136" spans="1:11" ht="22.35" customHeight="1" x14ac:dyDescent="0.3">
      <c r="A136" s="9" t="s">
        <v>313</v>
      </c>
      <c r="B136" s="10" t="s">
        <v>311</v>
      </c>
      <c r="C136" s="10" t="s">
        <v>227</v>
      </c>
      <c r="D136" s="9" t="s">
        <v>14</v>
      </c>
      <c r="E136" s="48">
        <f>일위대가표!F574</f>
        <v>59346</v>
      </c>
      <c r="F136" s="47">
        <f>일위대가표!H574</f>
        <v>59346</v>
      </c>
      <c r="G136" s="56">
        <f>일위대가표!J574</f>
        <v>0</v>
      </c>
      <c r="H136" s="48">
        <f>일위대가표!L574</f>
        <v>0</v>
      </c>
      <c r="I136" s="15" t="s">
        <v>313</v>
      </c>
      <c r="J136" s="17" t="str">
        <f>"_x0007_`COD|B05202_x0005_`QTY1|1_x0005_`BQC|_x0005_`EQC|_x0005_`JDC|_x0005_`WQC|_x0005_`EDT|_x0005_`ADJ|F_x0005_`DET|"&amp;ROW(일위대가표!A572)&amp;"_x0005_`"</f>
        <v>_x0007_`COD|B05202_x0005_`QTY1|1_x0005_`BQC|_x0005_`EQC|_x0005_`JDC|_x0005_`WQC|_x0005_`EDT|_x0005_`ADJ|F_x0005_`DET|572_x0005_`</v>
      </c>
      <c r="K136" s="3" t="str">
        <f ca="1">HYPERLINK("#"&amp;일위대가표!N2&amp;"!A"&amp;ROW(일위대가표!A572),"대가133 →")</f>
        <v>대가133 →</v>
      </c>
    </row>
    <row r="137" spans="1:11" ht="22.35" customHeight="1" x14ac:dyDescent="0.3">
      <c r="A137" s="9" t="s">
        <v>315</v>
      </c>
      <c r="B137" s="10" t="s">
        <v>311</v>
      </c>
      <c r="C137" s="10" t="s">
        <v>230</v>
      </c>
      <c r="D137" s="9" t="s">
        <v>14</v>
      </c>
      <c r="E137" s="48">
        <f>일위대가표!F578</f>
        <v>71216</v>
      </c>
      <c r="F137" s="47">
        <f>일위대가표!H578</f>
        <v>71216</v>
      </c>
      <c r="G137" s="56">
        <f>일위대가표!J578</f>
        <v>0</v>
      </c>
      <c r="H137" s="48">
        <f>일위대가표!L578</f>
        <v>0</v>
      </c>
      <c r="I137" s="15" t="s">
        <v>315</v>
      </c>
      <c r="J137" s="17" t="str">
        <f>"_x0007_`COD|B05203_x0005_`QTY1|1_x0005_`BQC|_x0005_`EQC|_x0005_`JDC|_x0005_`WQC|_x0005_`EDT|_x0005_`ADJ|F_x0005_`DET|"&amp;ROW(일위대가표!A576)&amp;"_x0005_`"</f>
        <v>_x0007_`COD|B05203_x0005_`QTY1|1_x0005_`BQC|_x0005_`EQC|_x0005_`JDC|_x0005_`WQC|_x0005_`EDT|_x0005_`ADJ|F_x0005_`DET|576_x0005_`</v>
      </c>
      <c r="K137" s="3" t="str">
        <f ca="1">HYPERLINK("#"&amp;일위대가표!N2&amp;"!A"&amp;ROW(일위대가표!A576),"대가134 →")</f>
        <v>대가134 →</v>
      </c>
    </row>
    <row r="138" spans="1:11" ht="22.35" customHeight="1" x14ac:dyDescent="0.3">
      <c r="A138" s="9" t="s">
        <v>317</v>
      </c>
      <c r="B138" s="10" t="s">
        <v>311</v>
      </c>
      <c r="C138" s="10" t="s">
        <v>233</v>
      </c>
      <c r="D138" s="9" t="s">
        <v>14</v>
      </c>
      <c r="E138" s="48">
        <f>일위대가표!F582</f>
        <v>83085</v>
      </c>
      <c r="F138" s="47">
        <f>일위대가표!H582</f>
        <v>83085</v>
      </c>
      <c r="G138" s="56">
        <f>일위대가표!J582</f>
        <v>0</v>
      </c>
      <c r="H138" s="48">
        <f>일위대가표!L582</f>
        <v>0</v>
      </c>
      <c r="I138" s="15" t="s">
        <v>317</v>
      </c>
      <c r="J138" s="17" t="str">
        <f>"_x0007_`COD|B05204_x0005_`QTY1|1_x0005_`BQC|_x0005_`EQC|_x0005_`JDC|_x0005_`WQC|_x0005_`EDT|_x0005_`ADJ|F_x0005_`DET|"&amp;ROW(일위대가표!A580)&amp;"_x0005_`"</f>
        <v>_x0007_`COD|B05204_x0005_`QTY1|1_x0005_`BQC|_x0005_`EQC|_x0005_`JDC|_x0005_`WQC|_x0005_`EDT|_x0005_`ADJ|F_x0005_`DET|580_x0005_`</v>
      </c>
      <c r="K138" s="3" t="str">
        <f ca="1">HYPERLINK("#"&amp;일위대가표!N2&amp;"!A"&amp;ROW(일위대가표!A580),"대가135 →")</f>
        <v>대가135 →</v>
      </c>
    </row>
    <row r="139" spans="1:11" ht="22.35" customHeight="1" x14ac:dyDescent="0.3">
      <c r="A139" s="9" t="s">
        <v>319</v>
      </c>
      <c r="B139" s="10" t="s">
        <v>311</v>
      </c>
      <c r="C139" s="10" t="s">
        <v>236</v>
      </c>
      <c r="D139" s="9" t="s">
        <v>14</v>
      </c>
      <c r="E139" s="48">
        <f>일위대가표!F586</f>
        <v>106824</v>
      </c>
      <c r="F139" s="47">
        <f>일위대가표!H586</f>
        <v>106824</v>
      </c>
      <c r="G139" s="56">
        <f>일위대가표!J586</f>
        <v>0</v>
      </c>
      <c r="H139" s="48">
        <f>일위대가표!L586</f>
        <v>0</v>
      </c>
      <c r="I139" s="15" t="s">
        <v>319</v>
      </c>
      <c r="J139" s="17" t="str">
        <f>"_x0007_`COD|B05205_x0005_`QTY1|1_x0005_`BQC|_x0005_`EQC|_x0005_`JDC|_x0005_`WQC|_x0005_`EDT|_x0005_`ADJ|F_x0005_`DET|"&amp;ROW(일위대가표!A584)&amp;"_x0005_`"</f>
        <v>_x0007_`COD|B05205_x0005_`QTY1|1_x0005_`BQC|_x0005_`EQC|_x0005_`JDC|_x0005_`WQC|_x0005_`EDT|_x0005_`ADJ|F_x0005_`DET|584_x0005_`</v>
      </c>
      <c r="K139" s="3" t="str">
        <f ca="1">HYPERLINK("#"&amp;일위대가표!N2&amp;"!A"&amp;ROW(일위대가표!A584),"대가136 →")</f>
        <v>대가136 →</v>
      </c>
    </row>
    <row r="140" spans="1:11" ht="22.35" customHeight="1" x14ac:dyDescent="0.3">
      <c r="A140" s="9" t="s">
        <v>321</v>
      </c>
      <c r="B140" s="10" t="s">
        <v>311</v>
      </c>
      <c r="C140" s="10" t="s">
        <v>271</v>
      </c>
      <c r="D140" s="9" t="s">
        <v>14</v>
      </c>
      <c r="E140" s="48">
        <f>일위대가표!F590</f>
        <v>130563</v>
      </c>
      <c r="F140" s="47">
        <f>일위대가표!H590</f>
        <v>130563</v>
      </c>
      <c r="G140" s="56">
        <f>일위대가표!J590</f>
        <v>0</v>
      </c>
      <c r="H140" s="48">
        <f>일위대가표!L590</f>
        <v>0</v>
      </c>
      <c r="I140" s="15" t="s">
        <v>321</v>
      </c>
      <c r="J140" s="17" t="str">
        <f>"_x0007_`COD|B05206_x0005_`QTY1|1_x0005_`BQC|_x0005_`EQC|_x0005_`JDC|_x0005_`WQC|_x0005_`EDT|_x0005_`ADJ|F_x0005_`DET|"&amp;ROW(일위대가표!A588)&amp;"_x0005_`"</f>
        <v>_x0007_`COD|B05206_x0005_`QTY1|1_x0005_`BQC|_x0005_`EQC|_x0005_`JDC|_x0005_`WQC|_x0005_`EDT|_x0005_`ADJ|F_x0005_`DET|588_x0005_`</v>
      </c>
      <c r="K140" s="3" t="str">
        <f ca="1">HYPERLINK("#"&amp;일위대가표!N2&amp;"!A"&amp;ROW(일위대가표!A588),"대가137 →")</f>
        <v>대가137 →</v>
      </c>
    </row>
    <row r="141" spans="1:11" ht="22.35" customHeight="1" x14ac:dyDescent="0.3">
      <c r="A141" s="9" t="s">
        <v>323</v>
      </c>
      <c r="B141" s="10" t="s">
        <v>311</v>
      </c>
      <c r="C141" s="10" t="s">
        <v>239</v>
      </c>
      <c r="D141" s="9" t="s">
        <v>14</v>
      </c>
      <c r="E141" s="48">
        <f>일위대가표!F594</f>
        <v>166171</v>
      </c>
      <c r="F141" s="47">
        <f>일위대가표!H594</f>
        <v>166171</v>
      </c>
      <c r="G141" s="56">
        <f>일위대가표!J594</f>
        <v>0</v>
      </c>
      <c r="H141" s="48">
        <f>일위대가표!L594</f>
        <v>0</v>
      </c>
      <c r="I141" s="15" t="s">
        <v>323</v>
      </c>
      <c r="J141" s="17" t="str">
        <f>"_x0007_`COD|B05207_x0005_`QTY1|1_x0005_`BQC|_x0005_`EQC|_x0005_`JDC|_x0005_`WQC|_x0005_`EDT|_x0005_`ADJ|F_x0005_`DET|"&amp;ROW(일위대가표!A592)&amp;"_x0005_`"</f>
        <v>_x0007_`COD|B05207_x0005_`QTY1|1_x0005_`BQC|_x0005_`EQC|_x0005_`JDC|_x0005_`WQC|_x0005_`EDT|_x0005_`ADJ|F_x0005_`DET|592_x0005_`</v>
      </c>
      <c r="K141" s="3" t="str">
        <f ca="1">HYPERLINK("#"&amp;일위대가표!N2&amp;"!A"&amp;ROW(일위대가표!A592),"대가138 →")</f>
        <v>대가138 →</v>
      </c>
    </row>
    <row r="142" spans="1:11" ht="22.35" customHeight="1" x14ac:dyDescent="0.3">
      <c r="A142" s="9" t="s">
        <v>325</v>
      </c>
      <c r="B142" s="10" t="s">
        <v>311</v>
      </c>
      <c r="C142" s="10" t="s">
        <v>245</v>
      </c>
      <c r="D142" s="9" t="s">
        <v>14</v>
      </c>
      <c r="E142" s="48">
        <f>일위대가표!F598</f>
        <v>236308</v>
      </c>
      <c r="F142" s="47">
        <f>일위대가표!H598</f>
        <v>236308</v>
      </c>
      <c r="G142" s="56">
        <f>일위대가표!J598</f>
        <v>0</v>
      </c>
      <c r="H142" s="48">
        <f>일위대가표!L598</f>
        <v>0</v>
      </c>
      <c r="I142" s="15" t="s">
        <v>325</v>
      </c>
      <c r="J142" s="17" t="str">
        <f>"_x0007_`COD|B05208_x0005_`QTY1|1_x0005_`BQC|_x0005_`EQC|_x0005_`JDC|_x0005_`WQC|_x0005_`EDT|_x0005_`ADJ|F_x0005_`DET|"&amp;ROW(일위대가표!A596)&amp;"_x0005_`"</f>
        <v>_x0007_`COD|B05208_x0005_`QTY1|1_x0005_`BQC|_x0005_`EQC|_x0005_`JDC|_x0005_`WQC|_x0005_`EDT|_x0005_`ADJ|F_x0005_`DET|596_x0005_`</v>
      </c>
      <c r="K142" s="3" t="str">
        <f ca="1">HYPERLINK("#"&amp;일위대가표!N2&amp;"!A"&amp;ROW(일위대가표!A596),"대가139 →")</f>
        <v>대가139 →</v>
      </c>
    </row>
    <row r="143" spans="1:11" ht="22.35" customHeight="1" x14ac:dyDescent="0.3">
      <c r="A143" s="9" t="s">
        <v>327</v>
      </c>
      <c r="B143" s="10" t="s">
        <v>311</v>
      </c>
      <c r="C143" s="10" t="s">
        <v>248</v>
      </c>
      <c r="D143" s="9" t="s">
        <v>14</v>
      </c>
      <c r="E143" s="48">
        <f>일위대가표!F602</f>
        <v>307525</v>
      </c>
      <c r="F143" s="47">
        <f>일위대가표!H602</f>
        <v>307525</v>
      </c>
      <c r="G143" s="56">
        <f>일위대가표!J602</f>
        <v>0</v>
      </c>
      <c r="H143" s="48">
        <f>일위대가표!L602</f>
        <v>0</v>
      </c>
      <c r="I143" s="15" t="s">
        <v>327</v>
      </c>
      <c r="J143" s="17" t="str">
        <f>"_x0007_`COD|B05209_x0005_`QTY1|1_x0005_`BQC|_x0005_`EQC|_x0005_`JDC|_x0005_`WQC|_x0005_`EDT|_x0005_`ADJ|F_x0005_`DET|"&amp;ROW(일위대가표!A600)&amp;"_x0005_`"</f>
        <v>_x0007_`COD|B05209_x0005_`QTY1|1_x0005_`BQC|_x0005_`EQC|_x0005_`JDC|_x0005_`WQC|_x0005_`EDT|_x0005_`ADJ|F_x0005_`DET|600_x0005_`</v>
      </c>
      <c r="K143" s="3" t="str">
        <f ca="1">HYPERLINK("#"&amp;일위대가표!N2&amp;"!A"&amp;ROW(일위대가표!A600),"대가140 →")</f>
        <v>대가140 →</v>
      </c>
    </row>
    <row r="144" spans="1:11" ht="22.35" customHeight="1" x14ac:dyDescent="0.3">
      <c r="A144" s="9" t="s">
        <v>329</v>
      </c>
      <c r="B144" s="10" t="s">
        <v>311</v>
      </c>
      <c r="C144" s="10" t="s">
        <v>251</v>
      </c>
      <c r="D144" s="9" t="s">
        <v>14</v>
      </c>
      <c r="E144" s="48">
        <f>일위대가표!F606</f>
        <v>355002</v>
      </c>
      <c r="F144" s="47">
        <f>일위대가표!H606</f>
        <v>355002</v>
      </c>
      <c r="G144" s="56">
        <f>일위대가표!J606</f>
        <v>0</v>
      </c>
      <c r="H144" s="48">
        <f>일위대가표!L606</f>
        <v>0</v>
      </c>
      <c r="I144" s="15" t="s">
        <v>329</v>
      </c>
      <c r="J144" s="17" t="str">
        <f>"_x0007_`COD|B05210_x0005_`QTY1|1_x0005_`BQC|_x0005_`EQC|_x0005_`JDC|_x0005_`WQC|_x0005_`EDT|_x0005_`ADJ|F_x0005_`DET|"&amp;ROW(일위대가표!A604)&amp;"_x0005_`"</f>
        <v>_x0007_`COD|B05210_x0005_`QTY1|1_x0005_`BQC|_x0005_`EQC|_x0005_`JDC|_x0005_`WQC|_x0005_`EDT|_x0005_`ADJ|F_x0005_`DET|604_x0005_`</v>
      </c>
      <c r="K144" s="3" t="str">
        <f ca="1">HYPERLINK("#"&amp;일위대가표!N2&amp;"!A"&amp;ROW(일위대가표!A604),"대가141 →")</f>
        <v>대가141 →</v>
      </c>
    </row>
    <row r="145" spans="1:11" ht="22.35" customHeight="1" x14ac:dyDescent="0.3">
      <c r="A145" s="9" t="s">
        <v>331</v>
      </c>
      <c r="B145" s="10" t="s">
        <v>311</v>
      </c>
      <c r="C145" s="10" t="s">
        <v>254</v>
      </c>
      <c r="D145" s="9" t="s">
        <v>14</v>
      </c>
      <c r="E145" s="48">
        <f>일위대가표!F610</f>
        <v>402480</v>
      </c>
      <c r="F145" s="47">
        <f>일위대가표!H610</f>
        <v>402480</v>
      </c>
      <c r="G145" s="56">
        <f>일위대가표!J610</f>
        <v>0</v>
      </c>
      <c r="H145" s="48">
        <f>일위대가표!L610</f>
        <v>0</v>
      </c>
      <c r="I145" s="15" t="s">
        <v>331</v>
      </c>
      <c r="J145" s="17" t="str">
        <f>"_x0007_`COD|B05211_x0005_`QTY1|1_x0005_`BQC|_x0005_`EQC|_x0005_`JDC|_x0005_`WQC|_x0005_`EDT|_x0005_`ADJ|F_x0005_`DET|"&amp;ROW(일위대가표!A608)&amp;"_x0005_`"</f>
        <v>_x0007_`COD|B05211_x0005_`QTY1|1_x0005_`BQC|_x0005_`EQC|_x0005_`JDC|_x0005_`WQC|_x0005_`EDT|_x0005_`ADJ|F_x0005_`DET|608_x0005_`</v>
      </c>
      <c r="K145" s="3" t="str">
        <f ca="1">HYPERLINK("#"&amp;일위대가표!N2&amp;"!A"&amp;ROW(일위대가표!A608),"대가142 →")</f>
        <v>대가142 →</v>
      </c>
    </row>
    <row r="146" spans="1:11" ht="22.35" customHeight="1" x14ac:dyDescent="0.3">
      <c r="A146" s="9" t="s">
        <v>333</v>
      </c>
      <c r="B146" s="10" t="s">
        <v>311</v>
      </c>
      <c r="C146" s="10" t="s">
        <v>257</v>
      </c>
      <c r="D146" s="9" t="s">
        <v>14</v>
      </c>
      <c r="E146" s="48">
        <f>일위대가표!F614</f>
        <v>1076338</v>
      </c>
      <c r="F146" s="47">
        <f>일위대가표!H614</f>
        <v>1076338</v>
      </c>
      <c r="G146" s="56">
        <f>일위대가표!J614</f>
        <v>0</v>
      </c>
      <c r="H146" s="48">
        <f>일위대가표!L614</f>
        <v>0</v>
      </c>
      <c r="I146" s="15" t="s">
        <v>333</v>
      </c>
      <c r="J146" s="17" t="str">
        <f>"_x0007_`COD|B05212_x0005_`QTY1|1_x0005_`BQC|_x0005_`EQC|_x0005_`JDC|_x0005_`WQC|_x0005_`EDT|_x0005_`ADJ|F_x0005_`DET|"&amp;ROW(일위대가표!A612)&amp;"_x0005_`"</f>
        <v>_x0007_`COD|B05212_x0005_`QTY1|1_x0005_`BQC|_x0005_`EQC|_x0005_`JDC|_x0005_`WQC|_x0005_`EDT|_x0005_`ADJ|F_x0005_`DET|612_x0005_`</v>
      </c>
      <c r="K146" s="3" t="str">
        <f ca="1">HYPERLINK("#"&amp;일위대가표!N2&amp;"!A"&amp;ROW(일위대가표!A612),"대가143 →")</f>
        <v>대가143 →</v>
      </c>
    </row>
    <row r="147" spans="1:11" ht="22.35" customHeight="1" x14ac:dyDescent="0.3">
      <c r="A147" s="9" t="s">
        <v>335</v>
      </c>
      <c r="B147" s="10" t="s">
        <v>336</v>
      </c>
      <c r="C147" s="10" t="s">
        <v>337</v>
      </c>
      <c r="D147" s="9" t="s">
        <v>14</v>
      </c>
      <c r="E147" s="48">
        <f>일위대가표!F619</f>
        <v>1546273</v>
      </c>
      <c r="F147" s="47">
        <f>일위대가표!H619</f>
        <v>354635</v>
      </c>
      <c r="G147" s="56">
        <f>일위대가표!J619</f>
        <v>1181000</v>
      </c>
      <c r="H147" s="48">
        <f>일위대가표!L619</f>
        <v>10638</v>
      </c>
      <c r="I147" s="15" t="s">
        <v>335</v>
      </c>
      <c r="J147" s="17" t="str">
        <f>"_x0007_`COD|B04934_x0005_`QTY1|1_x0005_`BQC|_x0005_`EQC|_x0005_`JDC|_x0005_`WQC|_x0005_`EDT|_x0005_`ADJ|F_x0005_`DET|"&amp;ROW(일위대가표!A616)&amp;"_x0005_`"</f>
        <v>_x0007_`COD|B04934_x0005_`QTY1|1_x0005_`BQC|_x0005_`EQC|_x0005_`JDC|_x0005_`WQC|_x0005_`EDT|_x0005_`ADJ|F_x0005_`DET|616_x0005_`</v>
      </c>
      <c r="K147" s="3" t="str">
        <f ca="1">HYPERLINK("#"&amp;일위대가표!N2&amp;"!A"&amp;ROW(일위대가표!A616),"대가144 →")</f>
        <v>대가144 →</v>
      </c>
    </row>
    <row r="148" spans="1:11" ht="22.35" customHeight="1" x14ac:dyDescent="0.3">
      <c r="A148" s="9" t="s">
        <v>339</v>
      </c>
      <c r="B148" s="10" t="s">
        <v>336</v>
      </c>
      <c r="C148" s="10" t="s">
        <v>340</v>
      </c>
      <c r="D148" s="9" t="s">
        <v>14</v>
      </c>
      <c r="E148" s="48">
        <f>일위대가표!F624</f>
        <v>1818901</v>
      </c>
      <c r="F148" s="47">
        <f>일위대가표!H624</f>
        <v>408643</v>
      </c>
      <c r="G148" s="56">
        <f>일위대가표!J624</f>
        <v>1398000</v>
      </c>
      <c r="H148" s="48">
        <f>일위대가표!L624</f>
        <v>12258</v>
      </c>
      <c r="I148" s="15" t="s">
        <v>339</v>
      </c>
      <c r="J148" s="17" t="str">
        <f>"_x0007_`COD|B04935_x0005_`QTY1|1_x0005_`BQC|_x0005_`EQC|_x0005_`JDC|_x0005_`WQC|_x0005_`EDT|_x0005_`ADJ|F_x0005_`DET|"&amp;ROW(일위대가표!A621)&amp;"_x0005_`"</f>
        <v>_x0007_`COD|B04935_x0005_`QTY1|1_x0005_`BQC|_x0005_`EQC|_x0005_`JDC|_x0005_`WQC|_x0005_`EDT|_x0005_`ADJ|F_x0005_`DET|621_x0005_`</v>
      </c>
      <c r="K148" s="3" t="str">
        <f ca="1">HYPERLINK("#"&amp;일위대가표!N2&amp;"!A"&amp;ROW(일위대가표!A621),"대가145 →")</f>
        <v>대가145 →</v>
      </c>
    </row>
    <row r="149" spans="1:11" ht="22.35" customHeight="1" x14ac:dyDescent="0.3">
      <c r="A149" s="9" t="s">
        <v>342</v>
      </c>
      <c r="B149" s="10" t="s">
        <v>336</v>
      </c>
      <c r="C149" s="10" t="s">
        <v>343</v>
      </c>
      <c r="D149" s="9" t="s">
        <v>14</v>
      </c>
      <c r="E149" s="48">
        <f>일위대가표!F629</f>
        <v>3255348</v>
      </c>
      <c r="F149" s="47">
        <f>일위대가표!H629</f>
        <v>469271</v>
      </c>
      <c r="G149" s="56">
        <f>일위대가표!J629</f>
        <v>2772000</v>
      </c>
      <c r="H149" s="48">
        <f>일위대가표!L629</f>
        <v>14077</v>
      </c>
      <c r="I149" s="15" t="s">
        <v>342</v>
      </c>
      <c r="J149" s="17" t="str">
        <f>"_x0007_`COD|B04936_x0005_`QTY1|1_x0005_`BQC|_x0005_`EQC|_x0005_`JDC|_x0005_`WQC|_x0005_`EDT|_x0005_`ADJ|F_x0005_`DET|"&amp;ROW(일위대가표!A626)&amp;"_x0005_`"</f>
        <v>_x0007_`COD|B04936_x0005_`QTY1|1_x0005_`BQC|_x0005_`EQC|_x0005_`JDC|_x0005_`WQC|_x0005_`EDT|_x0005_`ADJ|F_x0005_`DET|626_x0005_`</v>
      </c>
      <c r="K149" s="3" t="str">
        <f ca="1">HYPERLINK("#"&amp;일위대가표!N2&amp;"!A"&amp;ROW(일위대가표!A626),"대가146 →")</f>
        <v>대가146 →</v>
      </c>
    </row>
    <row r="150" spans="1:11" ht="22.35" customHeight="1" x14ac:dyDescent="0.3">
      <c r="A150" s="9" t="s">
        <v>345</v>
      </c>
      <c r="B150" s="10" t="s">
        <v>336</v>
      </c>
      <c r="C150" s="10" t="s">
        <v>346</v>
      </c>
      <c r="D150" s="9" t="s">
        <v>14</v>
      </c>
      <c r="E150" s="48">
        <f>일위대가표!F634</f>
        <v>4207367</v>
      </c>
      <c r="F150" s="47">
        <f>일위대가표!H634</f>
        <v>565406</v>
      </c>
      <c r="G150" s="56">
        <f>일위대가표!J634</f>
        <v>3625000</v>
      </c>
      <c r="H150" s="48">
        <f>일위대가표!L634</f>
        <v>16961</v>
      </c>
      <c r="I150" s="15" t="s">
        <v>345</v>
      </c>
      <c r="J150" s="17" t="str">
        <f>"_x0007_`COD|B04937_x0005_`QTY1|1_x0005_`BQC|_x0005_`EQC|_x0005_`JDC|_x0005_`WQC|_x0005_`EDT|_x0005_`ADJ|F_x0005_`DET|"&amp;ROW(일위대가표!A631)&amp;"_x0005_`"</f>
        <v>_x0007_`COD|B04937_x0005_`QTY1|1_x0005_`BQC|_x0005_`EQC|_x0005_`JDC|_x0005_`WQC|_x0005_`EDT|_x0005_`ADJ|F_x0005_`DET|631_x0005_`</v>
      </c>
      <c r="K150" s="3" t="str">
        <f ca="1">HYPERLINK("#"&amp;일위대가표!N2&amp;"!A"&amp;ROW(일위대가표!A631),"대가147 →")</f>
        <v>대가147 →</v>
      </c>
    </row>
    <row r="151" spans="1:11" ht="22.35" customHeight="1" x14ac:dyDescent="0.3">
      <c r="A151" s="9" t="s">
        <v>348</v>
      </c>
      <c r="B151" s="10" t="s">
        <v>336</v>
      </c>
      <c r="C151" s="10" t="s">
        <v>349</v>
      </c>
      <c r="D151" s="9" t="s">
        <v>14</v>
      </c>
      <c r="E151" s="48">
        <f>일위대가표!F639</f>
        <v>4711777</v>
      </c>
      <c r="F151" s="47">
        <f>일위대가표!H639</f>
        <v>713377</v>
      </c>
      <c r="G151" s="56">
        <f>일위대가표!J639</f>
        <v>3977000</v>
      </c>
      <c r="H151" s="48">
        <f>일위대가표!L639</f>
        <v>21400</v>
      </c>
      <c r="I151" s="15" t="s">
        <v>348</v>
      </c>
      <c r="J151" s="17" t="str">
        <f>"_x0007_`COD|B04938_x0005_`QTY1|1_x0005_`BQC|_x0005_`EQC|_x0005_`JDC|_x0005_`WQC|_x0005_`EDT|_x0005_`ADJ|F_x0005_`DET|"&amp;ROW(일위대가표!A636)&amp;"_x0005_`"</f>
        <v>_x0007_`COD|B04938_x0005_`QTY1|1_x0005_`BQC|_x0005_`EQC|_x0005_`JDC|_x0005_`WQC|_x0005_`EDT|_x0005_`ADJ|F_x0005_`DET|636_x0005_`</v>
      </c>
      <c r="K151" s="3" t="str">
        <f ca="1">HYPERLINK("#"&amp;일위대가표!N2&amp;"!A"&amp;ROW(일위대가표!A636),"대가148 →")</f>
        <v>대가148 →</v>
      </c>
    </row>
    <row r="152" spans="1:11" ht="22.35" customHeight="1" x14ac:dyDescent="0.3">
      <c r="A152" s="9" t="s">
        <v>351</v>
      </c>
      <c r="B152" s="10" t="s">
        <v>336</v>
      </c>
      <c r="C152" s="10" t="s">
        <v>352</v>
      </c>
      <c r="D152" s="9" t="s">
        <v>14</v>
      </c>
      <c r="E152" s="48">
        <f>일위대가표!F644</f>
        <v>5693333</v>
      </c>
      <c r="F152" s="47">
        <f>일위대가표!H644</f>
        <v>951780</v>
      </c>
      <c r="G152" s="56">
        <f>일위대가표!J644</f>
        <v>4713000</v>
      </c>
      <c r="H152" s="48">
        <f>일위대가표!L644</f>
        <v>28553</v>
      </c>
      <c r="I152" s="15" t="s">
        <v>351</v>
      </c>
      <c r="J152" s="17" t="str">
        <f>"_x0007_`COD|B04939_x0005_`QTY1|1_x0005_`BQC|_x0005_`EQC|_x0005_`JDC|_x0005_`WQC|_x0005_`EDT|_x0005_`ADJ|F_x0005_`DET|"&amp;ROW(일위대가표!A641)&amp;"_x0005_`"</f>
        <v>_x0007_`COD|B04939_x0005_`QTY1|1_x0005_`BQC|_x0005_`EQC|_x0005_`JDC|_x0005_`WQC|_x0005_`EDT|_x0005_`ADJ|F_x0005_`DET|641_x0005_`</v>
      </c>
      <c r="K152" s="3" t="str">
        <f ca="1">HYPERLINK("#"&amp;일위대가표!N2&amp;"!A"&amp;ROW(일위대가표!A641),"대가149 →")</f>
        <v>대가149 →</v>
      </c>
    </row>
    <row r="153" spans="1:11" ht="22.35" customHeight="1" x14ac:dyDescent="0.3">
      <c r="A153" s="9" t="s">
        <v>354</v>
      </c>
      <c r="B153" s="10" t="s">
        <v>336</v>
      </c>
      <c r="C153" s="10" t="s">
        <v>355</v>
      </c>
      <c r="D153" s="9" t="s">
        <v>14</v>
      </c>
      <c r="E153" s="48">
        <f>일위대가표!F649</f>
        <v>6907333</v>
      </c>
      <c r="F153" s="47">
        <f>일위대가표!H649</f>
        <v>951780</v>
      </c>
      <c r="G153" s="56">
        <f>일위대가표!J649</f>
        <v>5927000</v>
      </c>
      <c r="H153" s="48">
        <f>일위대가표!L649</f>
        <v>28553</v>
      </c>
      <c r="I153" s="15" t="s">
        <v>354</v>
      </c>
      <c r="J153" s="17" t="str">
        <f>"_x0007_`COD|B04940_x0005_`QTY1|1_x0005_`BQC|_x0005_`EQC|_x0005_`JDC|_x0005_`WQC|_x0005_`EDT|_x0005_`ADJ|F_x0005_`DET|"&amp;ROW(일위대가표!A646)&amp;"_x0005_`"</f>
        <v>_x0007_`COD|B04940_x0005_`QTY1|1_x0005_`BQC|_x0005_`EQC|_x0005_`JDC|_x0005_`WQC|_x0005_`EDT|_x0005_`ADJ|F_x0005_`DET|646_x0005_`</v>
      </c>
      <c r="K153" s="3" t="str">
        <f ca="1">HYPERLINK("#"&amp;일위대가표!N2&amp;"!A"&amp;ROW(일위대가표!A646),"대가150 →")</f>
        <v>대가150 →</v>
      </c>
    </row>
    <row r="154" spans="1:11" ht="22.35" customHeight="1" x14ac:dyDescent="0.3">
      <c r="A154" s="9" t="s">
        <v>357</v>
      </c>
      <c r="B154" s="10" t="s">
        <v>336</v>
      </c>
      <c r="C154" s="10" t="s">
        <v>358</v>
      </c>
      <c r="D154" s="9" t="s">
        <v>14</v>
      </c>
      <c r="E154" s="48">
        <f>일위대가표!F654</f>
        <v>8248750</v>
      </c>
      <c r="F154" s="47">
        <f>일위대가표!H654</f>
        <v>1537622</v>
      </c>
      <c r="G154" s="56">
        <f>일위대가표!J654</f>
        <v>6665000</v>
      </c>
      <c r="H154" s="48">
        <f>일위대가표!L654</f>
        <v>46128</v>
      </c>
      <c r="I154" s="15" t="s">
        <v>357</v>
      </c>
      <c r="J154" s="17" t="str">
        <f>"_x0007_`COD|B04941_x0005_`QTY1|1_x0005_`BQC|_x0005_`EQC|_x0005_`JDC|_x0005_`WQC|_x0005_`EDT|_x0005_`ADJ|F_x0005_`DET|"&amp;ROW(일위대가표!A651)&amp;"_x0005_`"</f>
        <v>_x0007_`COD|B04941_x0005_`QTY1|1_x0005_`BQC|_x0005_`EQC|_x0005_`JDC|_x0005_`WQC|_x0005_`EDT|_x0005_`ADJ|F_x0005_`DET|651_x0005_`</v>
      </c>
      <c r="K154" s="3" t="str">
        <f ca="1">HYPERLINK("#"&amp;일위대가표!N2&amp;"!A"&amp;ROW(일위대가표!A651),"대가151 →")</f>
        <v>대가151 →</v>
      </c>
    </row>
    <row r="155" spans="1:11" ht="22.35" customHeight="1" x14ac:dyDescent="0.3">
      <c r="A155" s="9" t="s">
        <v>360</v>
      </c>
      <c r="B155" s="10" t="s">
        <v>336</v>
      </c>
      <c r="C155" s="10" t="s">
        <v>361</v>
      </c>
      <c r="D155" s="9" t="s">
        <v>14</v>
      </c>
      <c r="E155" s="48">
        <f>일위대가표!F659</f>
        <v>9498750</v>
      </c>
      <c r="F155" s="47">
        <f>일위대가표!H659</f>
        <v>1537622</v>
      </c>
      <c r="G155" s="56">
        <f>일위대가표!J659</f>
        <v>7915000</v>
      </c>
      <c r="H155" s="48">
        <f>일위대가표!L659</f>
        <v>46128</v>
      </c>
      <c r="I155" s="15" t="s">
        <v>360</v>
      </c>
      <c r="J155" s="17" t="str">
        <f>"_x0007_`COD|B04942_x0005_`QTY1|1_x0005_`BQC|_x0005_`EQC|_x0005_`JDC|_x0005_`WQC|_x0005_`EDT|_x0005_`ADJ|F_x0005_`DET|"&amp;ROW(일위대가표!A656)&amp;"_x0005_`"</f>
        <v>_x0007_`COD|B04942_x0005_`QTY1|1_x0005_`BQC|_x0005_`EQC|_x0005_`JDC|_x0005_`WQC|_x0005_`EDT|_x0005_`ADJ|F_x0005_`DET|656_x0005_`</v>
      </c>
      <c r="K155" s="3" t="str">
        <f ca="1">HYPERLINK("#"&amp;일위대가표!N2&amp;"!A"&amp;ROW(일위대가표!A656),"대가152 →")</f>
        <v>대가152 →</v>
      </c>
    </row>
    <row r="156" spans="1:11" ht="22.35" customHeight="1" x14ac:dyDescent="0.3">
      <c r="A156" s="9" t="s">
        <v>363</v>
      </c>
      <c r="B156" s="10" t="s">
        <v>336</v>
      </c>
      <c r="C156" s="10" t="s">
        <v>364</v>
      </c>
      <c r="D156" s="9" t="s">
        <v>14</v>
      </c>
      <c r="E156" s="48">
        <f>일위대가표!F664</f>
        <v>11343750</v>
      </c>
      <c r="F156" s="47">
        <f>일위대가표!H664</f>
        <v>1537622</v>
      </c>
      <c r="G156" s="56">
        <f>일위대가표!J664</f>
        <v>9760000</v>
      </c>
      <c r="H156" s="48">
        <f>일위대가표!L664</f>
        <v>46128</v>
      </c>
      <c r="I156" s="15" t="s">
        <v>363</v>
      </c>
      <c r="J156" s="17" t="str">
        <f>"_x0007_`COD|B04943_x0005_`QTY1|1_x0005_`BQC|_x0005_`EQC|_x0005_`JDC|_x0005_`WQC|_x0005_`EDT|_x0005_`ADJ|F_x0005_`DET|"&amp;ROW(일위대가표!A661)&amp;"_x0005_`"</f>
        <v>_x0007_`COD|B04943_x0005_`QTY1|1_x0005_`BQC|_x0005_`EQC|_x0005_`JDC|_x0005_`WQC|_x0005_`EDT|_x0005_`ADJ|F_x0005_`DET|661_x0005_`</v>
      </c>
      <c r="K156" s="3" t="str">
        <f ca="1">HYPERLINK("#"&amp;일위대가표!N2&amp;"!A"&amp;ROW(일위대가표!A661),"대가153 →")</f>
        <v>대가153 →</v>
      </c>
    </row>
    <row r="157" spans="1:11" ht="22.35" customHeight="1" x14ac:dyDescent="0.3">
      <c r="A157" s="9" t="s">
        <v>366</v>
      </c>
      <c r="B157" s="10" t="s">
        <v>336</v>
      </c>
      <c r="C157" s="10" t="s">
        <v>367</v>
      </c>
      <c r="D157" s="9" t="s">
        <v>14</v>
      </c>
      <c r="E157" s="48">
        <f>일위대가표!F669</f>
        <v>12910858</v>
      </c>
      <c r="F157" s="47">
        <f>일위대가표!H669</f>
        <v>1985300</v>
      </c>
      <c r="G157" s="56">
        <f>일위대가표!J669</f>
        <v>10866000</v>
      </c>
      <c r="H157" s="48">
        <f>일위대가표!L669</f>
        <v>59558</v>
      </c>
      <c r="I157" s="15" t="s">
        <v>366</v>
      </c>
      <c r="J157" s="17" t="str">
        <f>"_x0007_`COD|B04944_x0005_`QTY1|1_x0005_`BQC|_x0005_`EQC|_x0005_`JDC|_x0005_`WQC|_x0005_`EDT|_x0005_`ADJ|F_x0005_`DET|"&amp;ROW(일위대가표!A666)&amp;"_x0005_`"</f>
        <v>_x0007_`COD|B04944_x0005_`QTY1|1_x0005_`BQC|_x0005_`EQC|_x0005_`JDC|_x0005_`WQC|_x0005_`EDT|_x0005_`ADJ|F_x0005_`DET|666_x0005_`</v>
      </c>
      <c r="K157" s="3" t="str">
        <f ca="1">HYPERLINK("#"&amp;일위대가표!N2&amp;"!A"&amp;ROW(일위대가표!A666),"대가154 →")</f>
        <v>대가154 →</v>
      </c>
    </row>
    <row r="158" spans="1:11" ht="22.35" customHeight="1" x14ac:dyDescent="0.3">
      <c r="A158" s="9" t="s">
        <v>369</v>
      </c>
      <c r="B158" s="10" t="s">
        <v>336</v>
      </c>
      <c r="C158" s="10" t="s">
        <v>370</v>
      </c>
      <c r="D158" s="9" t="s">
        <v>14</v>
      </c>
      <c r="E158" s="48">
        <f>일위대가표!F674</f>
        <v>14810807</v>
      </c>
      <c r="F158" s="47">
        <f>일위대가표!H674</f>
        <v>3193989</v>
      </c>
      <c r="G158" s="56">
        <f>일위대가표!J674</f>
        <v>11521000</v>
      </c>
      <c r="H158" s="48">
        <f>일위대가표!L674</f>
        <v>95818</v>
      </c>
      <c r="I158" s="15" t="s">
        <v>369</v>
      </c>
      <c r="J158" s="17" t="str">
        <f>"_x0007_`COD|B04945_x0005_`QTY1|1_x0005_`BQC|_x0005_`EQC|_x0005_`JDC|_x0005_`WQC|_x0005_`EDT|_x0005_`ADJ|F_x0005_`DET|"&amp;ROW(일위대가표!A671)&amp;"_x0005_`"</f>
        <v>_x0007_`COD|B04945_x0005_`QTY1|1_x0005_`BQC|_x0005_`EQC|_x0005_`JDC|_x0005_`WQC|_x0005_`EDT|_x0005_`ADJ|F_x0005_`DET|671_x0005_`</v>
      </c>
      <c r="K158" s="3" t="str">
        <f ca="1">HYPERLINK("#"&amp;일위대가표!N2&amp;"!A"&amp;ROW(일위대가표!A671),"대가155 →")</f>
        <v>대가155 →</v>
      </c>
    </row>
    <row r="159" spans="1:11" ht="22.35" customHeight="1" x14ac:dyDescent="0.3">
      <c r="A159" s="9" t="s">
        <v>372</v>
      </c>
      <c r="B159" s="10" t="s">
        <v>336</v>
      </c>
      <c r="C159" s="10" t="s">
        <v>373</v>
      </c>
      <c r="D159" s="9" t="s">
        <v>14</v>
      </c>
      <c r="E159" s="48">
        <f>일위대가표!F679</f>
        <v>42594109</v>
      </c>
      <c r="F159" s="47">
        <f>일위대가표!H679</f>
        <v>3912728</v>
      </c>
      <c r="G159" s="56">
        <f>일위대가표!J679</f>
        <v>38564000</v>
      </c>
      <c r="H159" s="48">
        <f>일위대가표!L679</f>
        <v>117381</v>
      </c>
      <c r="I159" s="15" t="s">
        <v>372</v>
      </c>
      <c r="J159" s="17" t="str">
        <f>"_x0007_`COD|B04946_x0005_`QTY1|1_x0005_`BQC|_x0005_`EQC|_x0005_`JDC|_x0005_`WQC|_x0005_`EDT|_x0005_`ADJ|F_x0005_`DET|"&amp;ROW(일위대가표!A676)&amp;"_x0005_`"</f>
        <v>_x0007_`COD|B04946_x0005_`QTY1|1_x0005_`BQC|_x0005_`EQC|_x0005_`JDC|_x0005_`WQC|_x0005_`EDT|_x0005_`ADJ|F_x0005_`DET|676_x0005_`</v>
      </c>
      <c r="K159" s="3" t="str">
        <f ca="1">HYPERLINK("#"&amp;일위대가표!N2&amp;"!A"&amp;ROW(일위대가표!A676),"대가156 →")</f>
        <v>대가156 →</v>
      </c>
    </row>
    <row r="160" spans="1:11" ht="22.35" customHeight="1" x14ac:dyDescent="0.3">
      <c r="A160" s="9" t="s">
        <v>375</v>
      </c>
      <c r="B160" s="10" t="s">
        <v>376</v>
      </c>
      <c r="C160" s="10" t="s">
        <v>337</v>
      </c>
      <c r="D160" s="9" t="s">
        <v>14</v>
      </c>
      <c r="E160" s="48">
        <f>일위대가표!F683</f>
        <v>365273</v>
      </c>
      <c r="F160" s="47">
        <f>일위대가표!H683</f>
        <v>354635</v>
      </c>
      <c r="G160" s="56">
        <f>일위대가표!J683</f>
        <v>0</v>
      </c>
      <c r="H160" s="48">
        <f>일위대가표!L683</f>
        <v>10638</v>
      </c>
      <c r="I160" s="15" t="s">
        <v>375</v>
      </c>
      <c r="J160" s="17" t="str">
        <f>"_x0007_`COD|B05213_x0005_`QTY1|1_x0005_`BQC|_x0005_`EQC|_x0005_`JDC|_x0005_`WQC|_x0005_`EDT|_x0005_`ADJ|F_x0005_`DET|"&amp;ROW(일위대가표!A681)&amp;"_x0005_`"</f>
        <v>_x0007_`COD|B05213_x0005_`QTY1|1_x0005_`BQC|_x0005_`EQC|_x0005_`JDC|_x0005_`WQC|_x0005_`EDT|_x0005_`ADJ|F_x0005_`DET|681_x0005_`</v>
      </c>
      <c r="K160" s="3" t="str">
        <f ca="1">HYPERLINK("#"&amp;일위대가표!N2&amp;"!A"&amp;ROW(일위대가표!A681),"대가157 →")</f>
        <v>대가157 →</v>
      </c>
    </row>
    <row r="161" spans="1:11" ht="22.35" customHeight="1" x14ac:dyDescent="0.3">
      <c r="A161" s="9" t="s">
        <v>378</v>
      </c>
      <c r="B161" s="10" t="s">
        <v>376</v>
      </c>
      <c r="C161" s="10" t="s">
        <v>340</v>
      </c>
      <c r="D161" s="9" t="s">
        <v>14</v>
      </c>
      <c r="E161" s="48">
        <f>일위대가표!F687</f>
        <v>420901</v>
      </c>
      <c r="F161" s="47">
        <f>일위대가표!H687</f>
        <v>408643</v>
      </c>
      <c r="G161" s="56">
        <f>일위대가표!J687</f>
        <v>0</v>
      </c>
      <c r="H161" s="48">
        <f>일위대가표!L687</f>
        <v>12258</v>
      </c>
      <c r="I161" s="15" t="s">
        <v>378</v>
      </c>
      <c r="J161" s="17" t="str">
        <f>"_x0007_`COD|B05214_x0005_`QTY1|1_x0005_`BQC|_x0005_`EQC|_x0005_`JDC|_x0005_`WQC|_x0005_`EDT|_x0005_`ADJ|F_x0005_`DET|"&amp;ROW(일위대가표!A685)&amp;"_x0005_`"</f>
        <v>_x0007_`COD|B05214_x0005_`QTY1|1_x0005_`BQC|_x0005_`EQC|_x0005_`JDC|_x0005_`WQC|_x0005_`EDT|_x0005_`ADJ|F_x0005_`DET|685_x0005_`</v>
      </c>
      <c r="K161" s="3" t="str">
        <f ca="1">HYPERLINK("#"&amp;일위대가표!N2&amp;"!A"&amp;ROW(일위대가표!A685),"대가158 →")</f>
        <v>대가158 →</v>
      </c>
    </row>
    <row r="162" spans="1:11" ht="22.35" customHeight="1" x14ac:dyDescent="0.3">
      <c r="A162" s="9" t="s">
        <v>380</v>
      </c>
      <c r="B162" s="10" t="s">
        <v>376</v>
      </c>
      <c r="C162" s="10" t="s">
        <v>343</v>
      </c>
      <c r="D162" s="9" t="s">
        <v>14</v>
      </c>
      <c r="E162" s="48">
        <f>일위대가표!F691</f>
        <v>483348</v>
      </c>
      <c r="F162" s="47">
        <f>일위대가표!H691</f>
        <v>469271</v>
      </c>
      <c r="G162" s="56">
        <f>일위대가표!J691</f>
        <v>0</v>
      </c>
      <c r="H162" s="48">
        <f>일위대가표!L691</f>
        <v>14077</v>
      </c>
      <c r="I162" s="15" t="s">
        <v>380</v>
      </c>
      <c r="J162" s="17" t="str">
        <f>"_x0007_`COD|B05215_x0005_`QTY1|1_x0005_`BQC|_x0005_`EQC|_x0005_`JDC|_x0005_`WQC|_x0005_`EDT|_x0005_`ADJ|F_x0005_`DET|"&amp;ROW(일위대가표!A689)&amp;"_x0005_`"</f>
        <v>_x0007_`COD|B05215_x0005_`QTY1|1_x0005_`BQC|_x0005_`EQC|_x0005_`JDC|_x0005_`WQC|_x0005_`EDT|_x0005_`ADJ|F_x0005_`DET|689_x0005_`</v>
      </c>
      <c r="K162" s="3" t="str">
        <f ca="1">HYPERLINK("#"&amp;일위대가표!N2&amp;"!A"&amp;ROW(일위대가표!A689),"대가159 →")</f>
        <v>대가159 →</v>
      </c>
    </row>
    <row r="163" spans="1:11" ht="22.35" customHeight="1" x14ac:dyDescent="0.3">
      <c r="A163" s="9" t="s">
        <v>382</v>
      </c>
      <c r="B163" s="10" t="s">
        <v>376</v>
      </c>
      <c r="C163" s="10" t="s">
        <v>346</v>
      </c>
      <c r="D163" s="9" t="s">
        <v>14</v>
      </c>
      <c r="E163" s="48">
        <f>일위대가표!F695</f>
        <v>582367</v>
      </c>
      <c r="F163" s="47">
        <f>일위대가표!H695</f>
        <v>565406</v>
      </c>
      <c r="G163" s="56">
        <f>일위대가표!J695</f>
        <v>0</v>
      </c>
      <c r="H163" s="48">
        <f>일위대가표!L695</f>
        <v>16961</v>
      </c>
      <c r="I163" s="15" t="s">
        <v>382</v>
      </c>
      <c r="J163" s="17" t="str">
        <f>"_x0007_`COD|B05217_x0005_`QTY1|1_x0005_`BQC|_x0005_`EQC|_x0005_`JDC|_x0005_`WQC|_x0005_`EDT|_x0005_`ADJ|F_x0005_`DET|"&amp;ROW(일위대가표!A693)&amp;"_x0005_`"</f>
        <v>_x0007_`COD|B05217_x0005_`QTY1|1_x0005_`BQC|_x0005_`EQC|_x0005_`JDC|_x0005_`WQC|_x0005_`EDT|_x0005_`ADJ|F_x0005_`DET|693_x0005_`</v>
      </c>
      <c r="K163" s="3" t="str">
        <f ca="1">HYPERLINK("#"&amp;일위대가표!N2&amp;"!A"&amp;ROW(일위대가표!A693),"대가160 →")</f>
        <v>대가160 →</v>
      </c>
    </row>
    <row r="164" spans="1:11" ht="22.35" customHeight="1" x14ac:dyDescent="0.3">
      <c r="A164" s="9" t="s">
        <v>384</v>
      </c>
      <c r="B164" s="10" t="s">
        <v>376</v>
      </c>
      <c r="C164" s="10" t="s">
        <v>349</v>
      </c>
      <c r="D164" s="9" t="s">
        <v>14</v>
      </c>
      <c r="E164" s="48">
        <f>일위대가표!F699</f>
        <v>734777</v>
      </c>
      <c r="F164" s="47">
        <f>일위대가표!H699</f>
        <v>713377</v>
      </c>
      <c r="G164" s="56">
        <f>일위대가표!J699</f>
        <v>0</v>
      </c>
      <c r="H164" s="48">
        <f>일위대가표!L699</f>
        <v>21400</v>
      </c>
      <c r="I164" s="15" t="s">
        <v>384</v>
      </c>
      <c r="J164" s="17" t="str">
        <f>"_x0007_`COD|B05218_x0005_`QTY1|1_x0005_`BQC|_x0005_`EQC|_x0005_`JDC|_x0005_`WQC|_x0005_`EDT|_x0005_`ADJ|F_x0005_`DET|"&amp;ROW(일위대가표!A697)&amp;"_x0005_`"</f>
        <v>_x0007_`COD|B05218_x0005_`QTY1|1_x0005_`BQC|_x0005_`EQC|_x0005_`JDC|_x0005_`WQC|_x0005_`EDT|_x0005_`ADJ|F_x0005_`DET|697_x0005_`</v>
      </c>
      <c r="K164" s="3" t="str">
        <f ca="1">HYPERLINK("#"&amp;일위대가표!N2&amp;"!A"&amp;ROW(일위대가표!A697),"대가161 →")</f>
        <v>대가161 →</v>
      </c>
    </row>
    <row r="165" spans="1:11" ht="22.35" customHeight="1" x14ac:dyDescent="0.3">
      <c r="A165" s="9" t="s">
        <v>386</v>
      </c>
      <c r="B165" s="10" t="s">
        <v>376</v>
      </c>
      <c r="C165" s="10" t="s">
        <v>352</v>
      </c>
      <c r="D165" s="9" t="s">
        <v>14</v>
      </c>
      <c r="E165" s="48">
        <f>일위대가표!F703</f>
        <v>980333</v>
      </c>
      <c r="F165" s="47">
        <f>일위대가표!H703</f>
        <v>951780</v>
      </c>
      <c r="G165" s="56">
        <f>일위대가표!J703</f>
        <v>0</v>
      </c>
      <c r="H165" s="48">
        <f>일위대가표!L703</f>
        <v>28553</v>
      </c>
      <c r="I165" s="15" t="s">
        <v>386</v>
      </c>
      <c r="J165" s="17" t="str">
        <f>"_x0007_`COD|B05219_x0005_`QTY1|1_x0005_`BQC|_x0005_`EQC|_x0005_`JDC|_x0005_`WQC|_x0005_`EDT|_x0005_`ADJ|F_x0005_`DET|"&amp;ROW(일위대가표!A701)&amp;"_x0005_`"</f>
        <v>_x0007_`COD|B05219_x0005_`QTY1|1_x0005_`BQC|_x0005_`EQC|_x0005_`JDC|_x0005_`WQC|_x0005_`EDT|_x0005_`ADJ|F_x0005_`DET|701_x0005_`</v>
      </c>
      <c r="K165" s="3" t="str">
        <f ca="1">HYPERLINK("#"&amp;일위대가표!N2&amp;"!A"&amp;ROW(일위대가표!A701),"대가162 →")</f>
        <v>대가162 →</v>
      </c>
    </row>
    <row r="166" spans="1:11" ht="22.35" customHeight="1" x14ac:dyDescent="0.3">
      <c r="A166" s="9" t="s">
        <v>388</v>
      </c>
      <c r="B166" s="10" t="s">
        <v>376</v>
      </c>
      <c r="C166" s="10" t="s">
        <v>355</v>
      </c>
      <c r="D166" s="9" t="s">
        <v>14</v>
      </c>
      <c r="E166" s="48">
        <f>일위대가표!F707</f>
        <v>980333</v>
      </c>
      <c r="F166" s="47">
        <f>일위대가표!H707</f>
        <v>951780</v>
      </c>
      <c r="G166" s="56">
        <f>일위대가표!J707</f>
        <v>0</v>
      </c>
      <c r="H166" s="48">
        <f>일위대가표!L707</f>
        <v>28553</v>
      </c>
      <c r="I166" s="15" t="s">
        <v>388</v>
      </c>
      <c r="J166" s="17" t="str">
        <f>"_x0007_`COD|B05220_x0005_`QTY1|1_x0005_`BQC|_x0005_`EQC|_x0005_`JDC|_x0005_`WQC|_x0005_`EDT|_x0005_`ADJ|F_x0005_`DET|"&amp;ROW(일위대가표!A705)&amp;"_x0005_`"</f>
        <v>_x0007_`COD|B05220_x0005_`QTY1|1_x0005_`BQC|_x0005_`EQC|_x0005_`JDC|_x0005_`WQC|_x0005_`EDT|_x0005_`ADJ|F_x0005_`DET|705_x0005_`</v>
      </c>
      <c r="K166" s="3" t="str">
        <f ca="1">HYPERLINK("#"&amp;일위대가표!N2&amp;"!A"&amp;ROW(일위대가표!A705),"대가163 →")</f>
        <v>대가163 →</v>
      </c>
    </row>
    <row r="167" spans="1:11" ht="22.35" customHeight="1" x14ac:dyDescent="0.3">
      <c r="A167" s="9" t="s">
        <v>390</v>
      </c>
      <c r="B167" s="10" t="s">
        <v>376</v>
      </c>
      <c r="C167" s="10" t="s">
        <v>358</v>
      </c>
      <c r="D167" s="9" t="s">
        <v>14</v>
      </c>
      <c r="E167" s="48">
        <f>일위대가표!F711</f>
        <v>1583750</v>
      </c>
      <c r="F167" s="47">
        <f>일위대가표!H711</f>
        <v>1537622</v>
      </c>
      <c r="G167" s="56">
        <f>일위대가표!J711</f>
        <v>0</v>
      </c>
      <c r="H167" s="48">
        <f>일위대가표!L711</f>
        <v>46128</v>
      </c>
      <c r="I167" s="15" t="s">
        <v>390</v>
      </c>
      <c r="J167" s="17" t="str">
        <f>"_x0007_`COD|B05221_x0005_`QTY1|1_x0005_`BQC|_x0005_`EQC|_x0005_`JDC|_x0005_`WQC|_x0005_`EDT|_x0005_`ADJ|F_x0005_`DET|"&amp;ROW(일위대가표!A709)&amp;"_x0005_`"</f>
        <v>_x0007_`COD|B05221_x0005_`QTY1|1_x0005_`BQC|_x0005_`EQC|_x0005_`JDC|_x0005_`WQC|_x0005_`EDT|_x0005_`ADJ|F_x0005_`DET|709_x0005_`</v>
      </c>
      <c r="K167" s="3" t="str">
        <f ca="1">HYPERLINK("#"&amp;일위대가표!N2&amp;"!A"&amp;ROW(일위대가표!A709),"대가164 →")</f>
        <v>대가164 →</v>
      </c>
    </row>
    <row r="168" spans="1:11" ht="22.35" customHeight="1" x14ac:dyDescent="0.3">
      <c r="A168" s="9" t="s">
        <v>392</v>
      </c>
      <c r="B168" s="10" t="s">
        <v>376</v>
      </c>
      <c r="C168" s="10" t="s">
        <v>361</v>
      </c>
      <c r="D168" s="9" t="s">
        <v>14</v>
      </c>
      <c r="E168" s="48">
        <f>일위대가표!F715</f>
        <v>1583750</v>
      </c>
      <c r="F168" s="47">
        <f>일위대가표!H715</f>
        <v>1537622</v>
      </c>
      <c r="G168" s="56">
        <f>일위대가표!J715</f>
        <v>0</v>
      </c>
      <c r="H168" s="48">
        <f>일위대가표!L715</f>
        <v>46128</v>
      </c>
      <c r="I168" s="15" t="s">
        <v>392</v>
      </c>
      <c r="J168" s="17" t="str">
        <f>"_x0007_`COD|B05222_x0005_`QTY1|1_x0005_`BQC|_x0005_`EQC|_x0005_`JDC|_x0005_`WQC|_x0005_`EDT|_x0005_`ADJ|F_x0005_`DET|"&amp;ROW(일위대가표!A713)&amp;"_x0005_`"</f>
        <v>_x0007_`COD|B05222_x0005_`QTY1|1_x0005_`BQC|_x0005_`EQC|_x0005_`JDC|_x0005_`WQC|_x0005_`EDT|_x0005_`ADJ|F_x0005_`DET|713_x0005_`</v>
      </c>
      <c r="K168" s="3" t="str">
        <f ca="1">HYPERLINK("#"&amp;일위대가표!N2&amp;"!A"&amp;ROW(일위대가표!A713),"대가165 →")</f>
        <v>대가165 →</v>
      </c>
    </row>
    <row r="169" spans="1:11" ht="22.35" customHeight="1" x14ac:dyDescent="0.3">
      <c r="A169" s="9" t="s">
        <v>394</v>
      </c>
      <c r="B169" s="10" t="s">
        <v>376</v>
      </c>
      <c r="C169" s="10" t="s">
        <v>364</v>
      </c>
      <c r="D169" s="9" t="s">
        <v>14</v>
      </c>
      <c r="E169" s="48">
        <f>일위대가표!F719</f>
        <v>1583750</v>
      </c>
      <c r="F169" s="47">
        <f>일위대가표!H719</f>
        <v>1537622</v>
      </c>
      <c r="G169" s="56">
        <f>일위대가표!J719</f>
        <v>0</v>
      </c>
      <c r="H169" s="48">
        <f>일위대가표!L719</f>
        <v>46128</v>
      </c>
      <c r="I169" s="15" t="s">
        <v>394</v>
      </c>
      <c r="J169" s="17" t="str">
        <f>"_x0007_`COD|B05223_x0005_`QTY1|1_x0005_`BQC|_x0005_`EQC|_x0005_`JDC|_x0005_`WQC|_x0005_`EDT|_x0005_`ADJ|F_x0005_`DET|"&amp;ROW(일위대가표!A717)&amp;"_x0005_`"</f>
        <v>_x0007_`COD|B05223_x0005_`QTY1|1_x0005_`BQC|_x0005_`EQC|_x0005_`JDC|_x0005_`WQC|_x0005_`EDT|_x0005_`ADJ|F_x0005_`DET|717_x0005_`</v>
      </c>
      <c r="K169" s="3" t="str">
        <f ca="1">HYPERLINK("#"&amp;일위대가표!N2&amp;"!A"&amp;ROW(일위대가표!A717),"대가166 →")</f>
        <v>대가166 →</v>
      </c>
    </row>
    <row r="170" spans="1:11" ht="22.35" customHeight="1" x14ac:dyDescent="0.3">
      <c r="A170" s="9" t="s">
        <v>396</v>
      </c>
      <c r="B170" s="10" t="s">
        <v>376</v>
      </c>
      <c r="C170" s="10" t="s">
        <v>367</v>
      </c>
      <c r="D170" s="9" t="s">
        <v>14</v>
      </c>
      <c r="E170" s="48">
        <f>일위대가표!F723</f>
        <v>2044858</v>
      </c>
      <c r="F170" s="47">
        <f>일위대가표!H723</f>
        <v>1985300</v>
      </c>
      <c r="G170" s="56">
        <f>일위대가표!J723</f>
        <v>0</v>
      </c>
      <c r="H170" s="48">
        <f>일위대가표!L723</f>
        <v>59558</v>
      </c>
      <c r="I170" s="15" t="s">
        <v>396</v>
      </c>
      <c r="J170" s="17" t="str">
        <f>"_x0007_`COD|B05224_x0005_`QTY1|1_x0005_`BQC|_x0005_`EQC|_x0005_`JDC|_x0005_`WQC|_x0005_`EDT|_x0005_`ADJ|F_x0005_`DET|"&amp;ROW(일위대가표!A721)&amp;"_x0005_`"</f>
        <v>_x0007_`COD|B05224_x0005_`QTY1|1_x0005_`BQC|_x0005_`EQC|_x0005_`JDC|_x0005_`WQC|_x0005_`EDT|_x0005_`ADJ|F_x0005_`DET|721_x0005_`</v>
      </c>
      <c r="K170" s="3" t="str">
        <f ca="1">HYPERLINK("#"&amp;일위대가표!N2&amp;"!A"&amp;ROW(일위대가표!A721),"대가167 →")</f>
        <v>대가167 →</v>
      </c>
    </row>
    <row r="171" spans="1:11" ht="22.35" customHeight="1" x14ac:dyDescent="0.3">
      <c r="A171" s="9" t="s">
        <v>398</v>
      </c>
      <c r="B171" s="10" t="s">
        <v>376</v>
      </c>
      <c r="C171" s="10" t="s">
        <v>370</v>
      </c>
      <c r="D171" s="9" t="s">
        <v>14</v>
      </c>
      <c r="E171" s="48">
        <f>일위대가표!F727</f>
        <v>3289807</v>
      </c>
      <c r="F171" s="47">
        <f>일위대가표!H727</f>
        <v>3193989</v>
      </c>
      <c r="G171" s="56">
        <f>일위대가표!J727</f>
        <v>0</v>
      </c>
      <c r="H171" s="48">
        <f>일위대가표!L727</f>
        <v>95818</v>
      </c>
      <c r="I171" s="15" t="s">
        <v>398</v>
      </c>
      <c r="J171" s="17" t="str">
        <f>"_x0007_`COD|B05225_x0005_`QTY1|1_x0005_`BQC|_x0005_`EQC|_x0005_`JDC|_x0005_`WQC|_x0005_`EDT|_x0005_`ADJ|F_x0005_`DET|"&amp;ROW(일위대가표!A725)&amp;"_x0005_`"</f>
        <v>_x0007_`COD|B05225_x0005_`QTY1|1_x0005_`BQC|_x0005_`EQC|_x0005_`JDC|_x0005_`WQC|_x0005_`EDT|_x0005_`ADJ|F_x0005_`DET|725_x0005_`</v>
      </c>
      <c r="K171" s="3" t="str">
        <f ca="1">HYPERLINK("#"&amp;일위대가표!N2&amp;"!A"&amp;ROW(일위대가표!A725),"대가168 →")</f>
        <v>대가168 →</v>
      </c>
    </row>
    <row r="172" spans="1:11" ht="22.35" customHeight="1" x14ac:dyDescent="0.3">
      <c r="A172" s="9" t="s">
        <v>400</v>
      </c>
      <c r="B172" s="10" t="s">
        <v>376</v>
      </c>
      <c r="C172" s="10" t="s">
        <v>373</v>
      </c>
      <c r="D172" s="9" t="s">
        <v>14</v>
      </c>
      <c r="E172" s="48">
        <f>일위대가표!F731</f>
        <v>4030109</v>
      </c>
      <c r="F172" s="47">
        <f>일위대가표!H731</f>
        <v>3912728</v>
      </c>
      <c r="G172" s="56">
        <f>일위대가표!J731</f>
        <v>0</v>
      </c>
      <c r="H172" s="48">
        <f>일위대가표!L731</f>
        <v>117381</v>
      </c>
      <c r="I172" s="15" t="s">
        <v>400</v>
      </c>
      <c r="J172" s="17" t="str">
        <f>"_x0007_`COD|B05226_x0005_`QTY1|1_x0005_`BQC|_x0005_`EQC|_x0005_`JDC|_x0005_`WQC|_x0005_`EDT|_x0005_`ADJ|F_x0005_`DET|"&amp;ROW(일위대가표!A729)&amp;"_x0005_`"</f>
        <v>_x0007_`COD|B05226_x0005_`QTY1|1_x0005_`BQC|_x0005_`EQC|_x0005_`JDC|_x0005_`WQC|_x0005_`EDT|_x0005_`ADJ|F_x0005_`DET|729_x0005_`</v>
      </c>
      <c r="K172" s="3" t="str">
        <f ca="1">HYPERLINK("#"&amp;일위대가표!N2&amp;"!A"&amp;ROW(일위대가표!A729),"대가169 →")</f>
        <v>대가169 →</v>
      </c>
    </row>
    <row r="173" spans="1:11" ht="22.35" customHeight="1" x14ac:dyDescent="0.3">
      <c r="A173" s="9" t="s">
        <v>402</v>
      </c>
      <c r="B173" s="10" t="s">
        <v>403</v>
      </c>
      <c r="C173" s="10" t="s">
        <v>337</v>
      </c>
      <c r="D173" s="9" t="s">
        <v>14</v>
      </c>
      <c r="E173" s="48">
        <f>일위대가표!F735</f>
        <v>260910</v>
      </c>
      <c r="F173" s="47">
        <f>일위대가표!H735</f>
        <v>253311</v>
      </c>
      <c r="G173" s="56">
        <f>일위대가표!J735</f>
        <v>0</v>
      </c>
      <c r="H173" s="48">
        <f>일위대가표!L735</f>
        <v>7599</v>
      </c>
      <c r="I173" s="15" t="s">
        <v>402</v>
      </c>
      <c r="J173" s="17" t="str">
        <f>"_x0007_`COD|B05227_x0005_`QTY1|1_x0005_`BQC|_x0005_`EQC|_x0005_`JDC|_x0005_`WQC|_x0005_`EDT|_x0005_`ADJ|F_x0005_`DET|"&amp;ROW(일위대가표!A733)&amp;"_x0005_`"</f>
        <v>_x0007_`COD|B05227_x0005_`QTY1|1_x0005_`BQC|_x0005_`EQC|_x0005_`JDC|_x0005_`WQC|_x0005_`EDT|_x0005_`ADJ|F_x0005_`DET|733_x0005_`</v>
      </c>
      <c r="K173" s="3" t="str">
        <f ca="1">HYPERLINK("#"&amp;일위대가표!N2&amp;"!A"&amp;ROW(일위대가표!A733),"대가170 →")</f>
        <v>대가170 →</v>
      </c>
    </row>
    <row r="174" spans="1:11" ht="22.35" customHeight="1" x14ac:dyDescent="0.3">
      <c r="A174" s="9" t="s">
        <v>405</v>
      </c>
      <c r="B174" s="10" t="s">
        <v>403</v>
      </c>
      <c r="C174" s="10" t="s">
        <v>340</v>
      </c>
      <c r="D174" s="9" t="s">
        <v>14</v>
      </c>
      <c r="E174" s="48">
        <f>일위대가표!F739</f>
        <v>300644</v>
      </c>
      <c r="F174" s="47">
        <f>일위대가표!H739</f>
        <v>291888</v>
      </c>
      <c r="G174" s="56">
        <f>일위대가표!J739</f>
        <v>0</v>
      </c>
      <c r="H174" s="48">
        <f>일위대가표!L739</f>
        <v>8756</v>
      </c>
      <c r="I174" s="15" t="s">
        <v>405</v>
      </c>
      <c r="J174" s="17" t="str">
        <f>"_x0007_`COD|B05228_x0005_`QTY1|1_x0005_`BQC|_x0005_`EQC|_x0005_`JDC|_x0005_`WQC|_x0005_`EDT|_x0005_`ADJ|F_x0005_`DET|"&amp;ROW(일위대가표!A737)&amp;"_x0005_`"</f>
        <v>_x0007_`COD|B05228_x0005_`QTY1|1_x0005_`BQC|_x0005_`EQC|_x0005_`JDC|_x0005_`WQC|_x0005_`EDT|_x0005_`ADJ|F_x0005_`DET|737_x0005_`</v>
      </c>
      <c r="K174" s="3" t="str">
        <f ca="1">HYPERLINK("#"&amp;일위대가표!N2&amp;"!A"&amp;ROW(일위대가표!A737),"대가171 →")</f>
        <v>대가171 →</v>
      </c>
    </row>
    <row r="175" spans="1:11" ht="22.35" customHeight="1" x14ac:dyDescent="0.3">
      <c r="A175" s="9" t="s">
        <v>407</v>
      </c>
      <c r="B175" s="10" t="s">
        <v>403</v>
      </c>
      <c r="C175" s="10" t="s">
        <v>343</v>
      </c>
      <c r="D175" s="9" t="s">
        <v>14</v>
      </c>
      <c r="E175" s="48">
        <f>일위대가표!F743</f>
        <v>345249</v>
      </c>
      <c r="F175" s="47">
        <f>일위대가표!H743</f>
        <v>335194</v>
      </c>
      <c r="G175" s="56">
        <f>일위대가표!J743</f>
        <v>0</v>
      </c>
      <c r="H175" s="48">
        <f>일위대가표!L743</f>
        <v>10055</v>
      </c>
      <c r="I175" s="15" t="s">
        <v>407</v>
      </c>
      <c r="J175" s="17" t="str">
        <f>"_x0007_`COD|B05216_x0005_`QTY1|1_x0005_`BQC|_x0005_`EQC|_x0005_`JDC|_x0005_`WQC|_x0005_`EDT|_x0005_`ADJ|F_x0005_`DET|"&amp;ROW(일위대가표!A741)&amp;"_x0005_`"</f>
        <v>_x0007_`COD|B05216_x0005_`QTY1|1_x0005_`BQC|_x0005_`EQC|_x0005_`JDC|_x0005_`WQC|_x0005_`EDT|_x0005_`ADJ|F_x0005_`DET|741_x0005_`</v>
      </c>
      <c r="K175" s="3" t="str">
        <f ca="1">HYPERLINK("#"&amp;일위대가표!N2&amp;"!A"&amp;ROW(일위대가표!A741),"대가172 →")</f>
        <v>대가172 →</v>
      </c>
    </row>
    <row r="176" spans="1:11" ht="22.35" customHeight="1" x14ac:dyDescent="0.3">
      <c r="A176" s="9" t="s">
        <v>409</v>
      </c>
      <c r="B176" s="10" t="s">
        <v>403</v>
      </c>
      <c r="C176" s="10" t="s">
        <v>346</v>
      </c>
      <c r="D176" s="9" t="s">
        <v>14</v>
      </c>
      <c r="E176" s="48">
        <f>일위대가표!F747</f>
        <v>415977</v>
      </c>
      <c r="F176" s="47">
        <f>일위대가표!H747</f>
        <v>403862</v>
      </c>
      <c r="G176" s="56">
        <f>일위대가표!J747</f>
        <v>0</v>
      </c>
      <c r="H176" s="48">
        <f>일위대가표!L747</f>
        <v>12115</v>
      </c>
      <c r="I176" s="15" t="s">
        <v>409</v>
      </c>
      <c r="J176" s="17" t="str">
        <f>"_x0007_`COD|B05229_x0005_`QTY1|1_x0005_`BQC|_x0005_`EQC|_x0005_`JDC|_x0005_`WQC|_x0005_`EDT|_x0005_`ADJ|F_x0005_`DET|"&amp;ROW(일위대가표!A745)&amp;"_x0005_`"</f>
        <v>_x0007_`COD|B05229_x0005_`QTY1|1_x0005_`BQC|_x0005_`EQC|_x0005_`JDC|_x0005_`WQC|_x0005_`EDT|_x0005_`ADJ|F_x0005_`DET|745_x0005_`</v>
      </c>
      <c r="K176" s="3" t="str">
        <f ca="1">HYPERLINK("#"&amp;일위대가표!N2&amp;"!A"&amp;ROW(일위대가표!A745),"대가173 →")</f>
        <v>대가173 →</v>
      </c>
    </row>
    <row r="177" spans="1:11" ht="22.35" customHeight="1" x14ac:dyDescent="0.3">
      <c r="A177" s="9" t="s">
        <v>411</v>
      </c>
      <c r="B177" s="10" t="s">
        <v>403</v>
      </c>
      <c r="C177" s="10" t="s">
        <v>349</v>
      </c>
      <c r="D177" s="9" t="s">
        <v>14</v>
      </c>
      <c r="E177" s="48">
        <f>일위대가표!F751</f>
        <v>524841</v>
      </c>
      <c r="F177" s="47">
        <f>일위대가표!H751</f>
        <v>509555</v>
      </c>
      <c r="G177" s="56">
        <f>일위대가표!J751</f>
        <v>0</v>
      </c>
      <c r="H177" s="48">
        <f>일위대가표!L751</f>
        <v>15286</v>
      </c>
      <c r="I177" s="15" t="s">
        <v>411</v>
      </c>
      <c r="J177" s="17" t="str">
        <f>"_x0007_`COD|B05230_x0005_`QTY1|1_x0005_`BQC|_x0005_`EQC|_x0005_`JDC|_x0005_`WQC|_x0005_`EDT|_x0005_`ADJ|F_x0005_`DET|"&amp;ROW(일위대가표!A749)&amp;"_x0005_`"</f>
        <v>_x0007_`COD|B05230_x0005_`QTY1|1_x0005_`BQC|_x0005_`EQC|_x0005_`JDC|_x0005_`WQC|_x0005_`EDT|_x0005_`ADJ|F_x0005_`DET|749_x0005_`</v>
      </c>
      <c r="K177" s="3" t="str">
        <f ca="1">HYPERLINK("#"&amp;일위대가표!N2&amp;"!A"&amp;ROW(일위대가표!A749),"대가174 →")</f>
        <v>대가174 →</v>
      </c>
    </row>
    <row r="178" spans="1:11" ht="22.35" customHeight="1" x14ac:dyDescent="0.3">
      <c r="A178" s="9" t="s">
        <v>413</v>
      </c>
      <c r="B178" s="10" t="s">
        <v>403</v>
      </c>
      <c r="C178" s="10" t="s">
        <v>352</v>
      </c>
      <c r="D178" s="9" t="s">
        <v>14</v>
      </c>
      <c r="E178" s="48">
        <f>일위대가표!F755</f>
        <v>700238</v>
      </c>
      <c r="F178" s="47">
        <f>일위대가표!H755</f>
        <v>679843</v>
      </c>
      <c r="G178" s="56">
        <f>일위대가표!J755</f>
        <v>0</v>
      </c>
      <c r="H178" s="48">
        <f>일위대가표!L755</f>
        <v>20395</v>
      </c>
      <c r="I178" s="15" t="s">
        <v>413</v>
      </c>
      <c r="J178" s="17" t="str">
        <f>"_x0007_`COD|B05231_x0005_`QTY1|1_x0005_`BQC|_x0005_`EQC|_x0005_`JDC|_x0005_`WQC|_x0005_`EDT|_x0005_`ADJ|F_x0005_`DET|"&amp;ROW(일위대가표!A753)&amp;"_x0005_`"</f>
        <v>_x0007_`COD|B05231_x0005_`QTY1|1_x0005_`BQC|_x0005_`EQC|_x0005_`JDC|_x0005_`WQC|_x0005_`EDT|_x0005_`ADJ|F_x0005_`DET|753_x0005_`</v>
      </c>
      <c r="K178" s="3" t="str">
        <f ca="1">HYPERLINK("#"&amp;일위대가표!N2&amp;"!A"&amp;ROW(일위대가표!A753),"대가175 →")</f>
        <v>대가175 →</v>
      </c>
    </row>
    <row r="179" spans="1:11" ht="22.35" customHeight="1" x14ac:dyDescent="0.3">
      <c r="A179" s="9" t="s">
        <v>415</v>
      </c>
      <c r="B179" s="10" t="s">
        <v>403</v>
      </c>
      <c r="C179" s="10" t="s">
        <v>355</v>
      </c>
      <c r="D179" s="9" t="s">
        <v>14</v>
      </c>
      <c r="E179" s="48">
        <f>일위대가표!F759</f>
        <v>700238</v>
      </c>
      <c r="F179" s="47">
        <f>일위대가표!H759</f>
        <v>679843</v>
      </c>
      <c r="G179" s="56">
        <f>일위대가표!J759</f>
        <v>0</v>
      </c>
      <c r="H179" s="48">
        <f>일위대가표!L759</f>
        <v>20395</v>
      </c>
      <c r="I179" s="15" t="s">
        <v>415</v>
      </c>
      <c r="J179" s="17" t="str">
        <f>"_x0007_`COD|B05232_x0005_`QTY1|1_x0005_`BQC|_x0005_`EQC|_x0005_`JDC|_x0005_`WQC|_x0005_`EDT|_x0005_`ADJ|F_x0005_`DET|"&amp;ROW(일위대가표!A757)&amp;"_x0005_`"</f>
        <v>_x0007_`COD|B05232_x0005_`QTY1|1_x0005_`BQC|_x0005_`EQC|_x0005_`JDC|_x0005_`WQC|_x0005_`EDT|_x0005_`ADJ|F_x0005_`DET|757_x0005_`</v>
      </c>
      <c r="K179" s="3" t="str">
        <f ca="1">HYPERLINK("#"&amp;일위대가표!N2&amp;"!A"&amp;ROW(일위대가표!A757),"대가176 →")</f>
        <v>대가176 →</v>
      </c>
    </row>
    <row r="180" spans="1:11" ht="22.35" customHeight="1" x14ac:dyDescent="0.3">
      <c r="A180" s="9" t="s">
        <v>417</v>
      </c>
      <c r="B180" s="10" t="s">
        <v>403</v>
      </c>
      <c r="C180" s="10" t="s">
        <v>358</v>
      </c>
      <c r="D180" s="9" t="s">
        <v>14</v>
      </c>
      <c r="E180" s="48">
        <f>일위대가표!F763</f>
        <v>1131251</v>
      </c>
      <c r="F180" s="47">
        <f>일위대가표!H763</f>
        <v>1098302</v>
      </c>
      <c r="G180" s="56">
        <f>일위대가표!J763</f>
        <v>0</v>
      </c>
      <c r="H180" s="48">
        <f>일위대가표!L763</f>
        <v>32949</v>
      </c>
      <c r="I180" s="15" t="s">
        <v>417</v>
      </c>
      <c r="J180" s="17" t="str">
        <f>"_x0007_`COD|B05233_x0005_`QTY1|1_x0005_`BQC|_x0005_`EQC|_x0005_`JDC|_x0005_`WQC|_x0005_`EDT|_x0005_`ADJ|F_x0005_`DET|"&amp;ROW(일위대가표!A761)&amp;"_x0005_`"</f>
        <v>_x0007_`COD|B05233_x0005_`QTY1|1_x0005_`BQC|_x0005_`EQC|_x0005_`JDC|_x0005_`WQC|_x0005_`EDT|_x0005_`ADJ|F_x0005_`DET|761_x0005_`</v>
      </c>
      <c r="K180" s="3" t="str">
        <f ca="1">HYPERLINK("#"&amp;일위대가표!N2&amp;"!A"&amp;ROW(일위대가표!A761),"대가177 →")</f>
        <v>대가177 →</v>
      </c>
    </row>
    <row r="181" spans="1:11" ht="22.35" customHeight="1" x14ac:dyDescent="0.3">
      <c r="A181" s="9" t="s">
        <v>419</v>
      </c>
      <c r="B181" s="10" t="s">
        <v>403</v>
      </c>
      <c r="C181" s="10" t="s">
        <v>361</v>
      </c>
      <c r="D181" s="9" t="s">
        <v>14</v>
      </c>
      <c r="E181" s="48">
        <f>일위대가표!F767</f>
        <v>1131251</v>
      </c>
      <c r="F181" s="47">
        <f>일위대가표!H767</f>
        <v>1098302</v>
      </c>
      <c r="G181" s="56">
        <f>일위대가표!J767</f>
        <v>0</v>
      </c>
      <c r="H181" s="48">
        <f>일위대가표!L767</f>
        <v>32949</v>
      </c>
      <c r="I181" s="15" t="s">
        <v>419</v>
      </c>
      <c r="J181" s="17" t="str">
        <f>"_x0007_`COD|B05234_x0005_`QTY1|1_x0005_`BQC|_x0005_`EQC|_x0005_`JDC|_x0005_`WQC|_x0005_`EDT|_x0005_`ADJ|F_x0005_`DET|"&amp;ROW(일위대가표!A765)&amp;"_x0005_`"</f>
        <v>_x0007_`COD|B05234_x0005_`QTY1|1_x0005_`BQC|_x0005_`EQC|_x0005_`JDC|_x0005_`WQC|_x0005_`EDT|_x0005_`ADJ|F_x0005_`DET|765_x0005_`</v>
      </c>
      <c r="K181" s="3" t="str">
        <f ca="1">HYPERLINK("#"&amp;일위대가표!N2&amp;"!A"&amp;ROW(일위대가표!A765),"대가178 →")</f>
        <v>대가178 →</v>
      </c>
    </row>
    <row r="182" spans="1:11" ht="22.35" customHeight="1" x14ac:dyDescent="0.3">
      <c r="A182" s="9" t="s">
        <v>421</v>
      </c>
      <c r="B182" s="10" t="s">
        <v>403</v>
      </c>
      <c r="C182" s="10" t="s">
        <v>364</v>
      </c>
      <c r="D182" s="9" t="s">
        <v>14</v>
      </c>
      <c r="E182" s="48">
        <f>일위대가표!F771</f>
        <v>1131251</v>
      </c>
      <c r="F182" s="47">
        <f>일위대가표!H771</f>
        <v>1098302</v>
      </c>
      <c r="G182" s="56">
        <f>일위대가표!J771</f>
        <v>0</v>
      </c>
      <c r="H182" s="48">
        <f>일위대가표!L771</f>
        <v>32949</v>
      </c>
      <c r="I182" s="15" t="s">
        <v>421</v>
      </c>
      <c r="J182" s="17" t="str">
        <f>"_x0007_`COD|B05236_x0005_`QTY1|1_x0005_`BQC|_x0005_`EQC|_x0005_`JDC|_x0005_`WQC|_x0005_`EDT|_x0005_`ADJ|F_x0005_`DET|"&amp;ROW(일위대가표!A769)&amp;"_x0005_`"</f>
        <v>_x0007_`COD|B05236_x0005_`QTY1|1_x0005_`BQC|_x0005_`EQC|_x0005_`JDC|_x0005_`WQC|_x0005_`EDT|_x0005_`ADJ|F_x0005_`DET|769_x0005_`</v>
      </c>
      <c r="K182" s="3" t="str">
        <f ca="1">HYPERLINK("#"&amp;일위대가표!N2&amp;"!A"&amp;ROW(일위대가표!A769),"대가179 →")</f>
        <v>대가179 →</v>
      </c>
    </row>
    <row r="183" spans="1:11" ht="22.35" customHeight="1" x14ac:dyDescent="0.3">
      <c r="A183" s="9" t="s">
        <v>423</v>
      </c>
      <c r="B183" s="10" t="s">
        <v>403</v>
      </c>
      <c r="C183" s="10" t="s">
        <v>367</v>
      </c>
      <c r="D183" s="9" t="s">
        <v>14</v>
      </c>
      <c r="E183" s="48">
        <f>일위대가표!F775</f>
        <v>1460614</v>
      </c>
      <c r="F183" s="47">
        <f>일위대가표!H775</f>
        <v>1418072</v>
      </c>
      <c r="G183" s="56">
        <f>일위대가표!J775</f>
        <v>0</v>
      </c>
      <c r="H183" s="48">
        <f>일위대가표!L775</f>
        <v>42542</v>
      </c>
      <c r="I183" s="15" t="s">
        <v>423</v>
      </c>
      <c r="J183" s="17" t="str">
        <f>"_x0007_`COD|B05237_x0005_`QTY1|1_x0005_`BQC|_x0005_`EQC|_x0005_`JDC|_x0005_`WQC|_x0005_`EDT|_x0005_`ADJ|F_x0005_`DET|"&amp;ROW(일위대가표!A773)&amp;"_x0005_`"</f>
        <v>_x0007_`COD|B05237_x0005_`QTY1|1_x0005_`BQC|_x0005_`EQC|_x0005_`JDC|_x0005_`WQC|_x0005_`EDT|_x0005_`ADJ|F_x0005_`DET|773_x0005_`</v>
      </c>
      <c r="K183" s="3" t="str">
        <f ca="1">HYPERLINK("#"&amp;일위대가표!N2&amp;"!A"&amp;ROW(일위대가표!A773),"대가180 →")</f>
        <v>대가180 →</v>
      </c>
    </row>
    <row r="184" spans="1:11" ht="22.35" customHeight="1" x14ac:dyDescent="0.3">
      <c r="A184" s="9" t="s">
        <v>425</v>
      </c>
      <c r="B184" s="10" t="s">
        <v>403</v>
      </c>
      <c r="C184" s="10" t="s">
        <v>370</v>
      </c>
      <c r="D184" s="9" t="s">
        <v>14</v>
      </c>
      <c r="E184" s="48">
        <f>일위대가표!F779</f>
        <v>2349863</v>
      </c>
      <c r="F184" s="47">
        <f>일위대가표!H779</f>
        <v>2281421</v>
      </c>
      <c r="G184" s="56">
        <f>일위대가표!J779</f>
        <v>0</v>
      </c>
      <c r="H184" s="48">
        <f>일위대가표!L779</f>
        <v>68442</v>
      </c>
      <c r="I184" s="15" t="s">
        <v>425</v>
      </c>
      <c r="J184" s="17" t="str">
        <f>"_x0007_`COD|B05238_x0005_`QTY1|1_x0005_`BQC|_x0005_`EQC|_x0005_`JDC|_x0005_`WQC|_x0005_`EDT|_x0005_`ADJ|F_x0005_`DET|"&amp;ROW(일위대가표!A777)&amp;"_x0005_`"</f>
        <v>_x0007_`COD|B05238_x0005_`QTY1|1_x0005_`BQC|_x0005_`EQC|_x0005_`JDC|_x0005_`WQC|_x0005_`EDT|_x0005_`ADJ|F_x0005_`DET|777_x0005_`</v>
      </c>
      <c r="K184" s="3" t="str">
        <f ca="1">HYPERLINK("#"&amp;일위대가표!N2&amp;"!A"&amp;ROW(일위대가표!A777),"대가181 →")</f>
        <v>대가181 →</v>
      </c>
    </row>
    <row r="185" spans="1:11" ht="22.35" customHeight="1" x14ac:dyDescent="0.3">
      <c r="A185" s="9" t="s">
        <v>427</v>
      </c>
      <c r="B185" s="10" t="s">
        <v>403</v>
      </c>
      <c r="C185" s="10" t="s">
        <v>373</v>
      </c>
      <c r="D185" s="9" t="s">
        <v>14</v>
      </c>
      <c r="E185" s="48">
        <f>일위대가표!F783</f>
        <v>2878650</v>
      </c>
      <c r="F185" s="47">
        <f>일위대가표!H783</f>
        <v>2794806</v>
      </c>
      <c r="G185" s="56">
        <f>일위대가표!J783</f>
        <v>0</v>
      </c>
      <c r="H185" s="48">
        <f>일위대가표!L783</f>
        <v>83844</v>
      </c>
      <c r="I185" s="15" t="s">
        <v>427</v>
      </c>
      <c r="J185" s="17" t="str">
        <f>"_x0007_`COD|B05239_x0005_`QTY1|1_x0005_`BQC|_x0005_`EQC|_x0005_`JDC|_x0005_`WQC|_x0005_`EDT|_x0005_`ADJ|F_x0005_`DET|"&amp;ROW(일위대가표!A781)&amp;"_x0005_`"</f>
        <v>_x0007_`COD|B05239_x0005_`QTY1|1_x0005_`BQC|_x0005_`EQC|_x0005_`JDC|_x0005_`WQC|_x0005_`EDT|_x0005_`ADJ|F_x0005_`DET|781_x0005_`</v>
      </c>
      <c r="K185" s="3" t="str">
        <f ca="1">HYPERLINK("#"&amp;일위대가표!N2&amp;"!A"&amp;ROW(일위대가표!A781),"대가182 →")</f>
        <v>대가182 →</v>
      </c>
    </row>
    <row r="186" spans="1:11" ht="22.35" customHeight="1" x14ac:dyDescent="0.3">
      <c r="A186" s="9" t="s">
        <v>429</v>
      </c>
      <c r="B186" s="10" t="s">
        <v>430</v>
      </c>
      <c r="C186" s="10" t="s">
        <v>337</v>
      </c>
      <c r="D186" s="9" t="s">
        <v>14</v>
      </c>
      <c r="E186" s="48">
        <f>일위대가표!F787</f>
        <v>104363</v>
      </c>
      <c r="F186" s="47">
        <f>일위대가표!H787</f>
        <v>101324</v>
      </c>
      <c r="G186" s="56">
        <f>일위대가표!J787</f>
        <v>0</v>
      </c>
      <c r="H186" s="48">
        <f>일위대가표!L787</f>
        <v>3039</v>
      </c>
      <c r="I186" s="15" t="s">
        <v>429</v>
      </c>
      <c r="J186" s="17" t="str">
        <f>"_x0007_`COD|B05240_x0005_`QTY1|1_x0005_`BQC|_x0005_`EQC|_x0005_`JDC|_x0005_`WQC|_x0005_`EDT|_x0005_`ADJ|F_x0005_`DET|"&amp;ROW(일위대가표!A785)&amp;"_x0005_`"</f>
        <v>_x0007_`COD|B05240_x0005_`QTY1|1_x0005_`BQC|_x0005_`EQC|_x0005_`JDC|_x0005_`WQC|_x0005_`EDT|_x0005_`ADJ|F_x0005_`DET|785_x0005_`</v>
      </c>
      <c r="K186" s="3" t="str">
        <f ca="1">HYPERLINK("#"&amp;일위대가표!N2&amp;"!A"&amp;ROW(일위대가표!A785),"대가183 →")</f>
        <v>대가183 →</v>
      </c>
    </row>
    <row r="187" spans="1:11" ht="22.35" customHeight="1" x14ac:dyDescent="0.3">
      <c r="A187" s="9" t="s">
        <v>432</v>
      </c>
      <c r="B187" s="10" t="s">
        <v>430</v>
      </c>
      <c r="C187" s="10" t="s">
        <v>340</v>
      </c>
      <c r="D187" s="9" t="s">
        <v>14</v>
      </c>
      <c r="E187" s="48">
        <f>일위대가표!F791</f>
        <v>120257</v>
      </c>
      <c r="F187" s="47">
        <f>일위대가표!H791</f>
        <v>116755</v>
      </c>
      <c r="G187" s="56">
        <f>일위대가표!J791</f>
        <v>0</v>
      </c>
      <c r="H187" s="48">
        <f>일위대가표!L791</f>
        <v>3502</v>
      </c>
      <c r="I187" s="15" t="s">
        <v>432</v>
      </c>
      <c r="J187" s="17" t="str">
        <f>"_x0007_`COD|B05241_x0005_`QTY1|1_x0005_`BQC|_x0005_`EQC|_x0005_`JDC|_x0005_`WQC|_x0005_`EDT|_x0005_`ADJ|F_x0005_`DET|"&amp;ROW(일위대가표!A789)&amp;"_x0005_`"</f>
        <v>_x0007_`COD|B05241_x0005_`QTY1|1_x0005_`BQC|_x0005_`EQC|_x0005_`JDC|_x0005_`WQC|_x0005_`EDT|_x0005_`ADJ|F_x0005_`DET|789_x0005_`</v>
      </c>
      <c r="K187" s="3" t="str">
        <f ca="1">HYPERLINK("#"&amp;일위대가표!N2&amp;"!A"&amp;ROW(일위대가표!A789),"대가184 →")</f>
        <v>대가184 →</v>
      </c>
    </row>
    <row r="188" spans="1:11" ht="22.35" customHeight="1" x14ac:dyDescent="0.3">
      <c r="A188" s="9" t="s">
        <v>434</v>
      </c>
      <c r="B188" s="10" t="s">
        <v>430</v>
      </c>
      <c r="C188" s="10" t="s">
        <v>343</v>
      </c>
      <c r="D188" s="9" t="s">
        <v>14</v>
      </c>
      <c r="E188" s="48">
        <f>일위대가표!F795</f>
        <v>138099</v>
      </c>
      <c r="F188" s="47">
        <f>일위대가표!H795</f>
        <v>134077</v>
      </c>
      <c r="G188" s="56">
        <f>일위대가표!J795</f>
        <v>0</v>
      </c>
      <c r="H188" s="48">
        <f>일위대가표!L795</f>
        <v>4022</v>
      </c>
      <c r="I188" s="15" t="s">
        <v>434</v>
      </c>
      <c r="J188" s="17" t="str">
        <f>"_x0007_`COD|B05242_x0005_`QTY1|1_x0005_`BQC|_x0005_`EQC|_x0005_`JDC|_x0005_`WQC|_x0005_`EDT|_x0005_`ADJ|F_x0005_`DET|"&amp;ROW(일위대가표!A793)&amp;"_x0005_`"</f>
        <v>_x0007_`COD|B05242_x0005_`QTY1|1_x0005_`BQC|_x0005_`EQC|_x0005_`JDC|_x0005_`WQC|_x0005_`EDT|_x0005_`ADJ|F_x0005_`DET|793_x0005_`</v>
      </c>
      <c r="K188" s="3" t="str">
        <f ca="1">HYPERLINK("#"&amp;일위대가표!N2&amp;"!A"&amp;ROW(일위대가표!A793),"대가185 →")</f>
        <v>대가185 →</v>
      </c>
    </row>
    <row r="189" spans="1:11" ht="22.35" customHeight="1" x14ac:dyDescent="0.3">
      <c r="A189" s="9" t="s">
        <v>436</v>
      </c>
      <c r="B189" s="10" t="s">
        <v>430</v>
      </c>
      <c r="C189" s="10" t="s">
        <v>346</v>
      </c>
      <c r="D189" s="9" t="s">
        <v>14</v>
      </c>
      <c r="E189" s="48">
        <f>일위대가표!F799</f>
        <v>166390</v>
      </c>
      <c r="F189" s="47">
        <f>일위대가표!H799</f>
        <v>161544</v>
      </c>
      <c r="G189" s="56">
        <f>일위대가표!J799</f>
        <v>0</v>
      </c>
      <c r="H189" s="48">
        <f>일위대가표!L799</f>
        <v>4846</v>
      </c>
      <c r="I189" s="15" t="s">
        <v>436</v>
      </c>
      <c r="J189" s="17" t="str">
        <f>"_x0007_`COD|B05244_x0005_`QTY1|1_x0005_`BQC|_x0005_`EQC|_x0005_`JDC|_x0005_`WQC|_x0005_`EDT|_x0005_`ADJ|F_x0005_`DET|"&amp;ROW(일위대가표!A797)&amp;"_x0005_`"</f>
        <v>_x0007_`COD|B05244_x0005_`QTY1|1_x0005_`BQC|_x0005_`EQC|_x0005_`JDC|_x0005_`WQC|_x0005_`EDT|_x0005_`ADJ|F_x0005_`DET|797_x0005_`</v>
      </c>
      <c r="K189" s="3" t="str">
        <f ca="1">HYPERLINK("#"&amp;일위대가표!N2&amp;"!A"&amp;ROW(일위대가표!A797),"대가186 →")</f>
        <v>대가186 →</v>
      </c>
    </row>
    <row r="190" spans="1:11" ht="22.35" customHeight="1" x14ac:dyDescent="0.3">
      <c r="A190" s="9" t="s">
        <v>438</v>
      </c>
      <c r="B190" s="10" t="s">
        <v>430</v>
      </c>
      <c r="C190" s="10" t="s">
        <v>349</v>
      </c>
      <c r="D190" s="9" t="s">
        <v>14</v>
      </c>
      <c r="E190" s="48">
        <f>일위대가표!F803</f>
        <v>209936</v>
      </c>
      <c r="F190" s="47">
        <f>일위대가표!H803</f>
        <v>203822</v>
      </c>
      <c r="G190" s="56">
        <f>일위대가표!J803</f>
        <v>0</v>
      </c>
      <c r="H190" s="48">
        <f>일위대가표!L803</f>
        <v>6114</v>
      </c>
      <c r="I190" s="15" t="s">
        <v>438</v>
      </c>
      <c r="J190" s="17" t="str">
        <f>"_x0007_`COD|B05245_x0005_`QTY1|1_x0005_`BQC|_x0005_`EQC|_x0005_`JDC|_x0005_`WQC|_x0005_`EDT|_x0005_`ADJ|F_x0005_`DET|"&amp;ROW(일위대가표!A801)&amp;"_x0005_`"</f>
        <v>_x0007_`COD|B05245_x0005_`QTY1|1_x0005_`BQC|_x0005_`EQC|_x0005_`JDC|_x0005_`WQC|_x0005_`EDT|_x0005_`ADJ|F_x0005_`DET|801_x0005_`</v>
      </c>
      <c r="K190" s="3" t="str">
        <f ca="1">HYPERLINK("#"&amp;일위대가표!N2&amp;"!A"&amp;ROW(일위대가표!A801),"대가187 →")</f>
        <v>대가187 →</v>
      </c>
    </row>
    <row r="191" spans="1:11" ht="22.35" customHeight="1" x14ac:dyDescent="0.3">
      <c r="A191" s="9" t="s">
        <v>440</v>
      </c>
      <c r="B191" s="10" t="s">
        <v>430</v>
      </c>
      <c r="C191" s="10" t="s">
        <v>352</v>
      </c>
      <c r="D191" s="9" t="s">
        <v>14</v>
      </c>
      <c r="E191" s="48">
        <f>일위대가표!F807</f>
        <v>280095</v>
      </c>
      <c r="F191" s="47">
        <f>일위대가표!H807</f>
        <v>271937</v>
      </c>
      <c r="G191" s="56">
        <f>일위대가표!J807</f>
        <v>0</v>
      </c>
      <c r="H191" s="48">
        <f>일위대가표!L807</f>
        <v>8158</v>
      </c>
      <c r="I191" s="15" t="s">
        <v>440</v>
      </c>
      <c r="J191" s="17" t="str">
        <f>"_x0007_`COD|B05246_x0005_`QTY1|1_x0005_`BQC|_x0005_`EQC|_x0005_`JDC|_x0005_`WQC|_x0005_`EDT|_x0005_`ADJ|F_x0005_`DET|"&amp;ROW(일위대가표!A805)&amp;"_x0005_`"</f>
        <v>_x0007_`COD|B05246_x0005_`QTY1|1_x0005_`BQC|_x0005_`EQC|_x0005_`JDC|_x0005_`WQC|_x0005_`EDT|_x0005_`ADJ|F_x0005_`DET|805_x0005_`</v>
      </c>
      <c r="K191" s="3" t="str">
        <f ca="1">HYPERLINK("#"&amp;일위대가표!N2&amp;"!A"&amp;ROW(일위대가표!A805),"대가188 →")</f>
        <v>대가188 →</v>
      </c>
    </row>
    <row r="192" spans="1:11" ht="22.35" customHeight="1" x14ac:dyDescent="0.3">
      <c r="A192" s="9" t="s">
        <v>442</v>
      </c>
      <c r="B192" s="10" t="s">
        <v>430</v>
      </c>
      <c r="C192" s="10" t="s">
        <v>355</v>
      </c>
      <c r="D192" s="9" t="s">
        <v>14</v>
      </c>
      <c r="E192" s="48">
        <f>일위대가표!F811</f>
        <v>280095</v>
      </c>
      <c r="F192" s="47">
        <f>일위대가표!H811</f>
        <v>271937</v>
      </c>
      <c r="G192" s="56">
        <f>일위대가표!J811</f>
        <v>0</v>
      </c>
      <c r="H192" s="48">
        <f>일위대가표!L811</f>
        <v>8158</v>
      </c>
      <c r="I192" s="15" t="s">
        <v>442</v>
      </c>
      <c r="J192" s="17" t="str">
        <f>"_x0007_`COD|B05247_x0005_`QTY1|1_x0005_`BQC|_x0005_`EQC|_x0005_`JDC|_x0005_`WQC|_x0005_`EDT|_x0005_`ADJ|F_x0005_`DET|"&amp;ROW(일위대가표!A809)&amp;"_x0005_`"</f>
        <v>_x0007_`COD|B05247_x0005_`QTY1|1_x0005_`BQC|_x0005_`EQC|_x0005_`JDC|_x0005_`WQC|_x0005_`EDT|_x0005_`ADJ|F_x0005_`DET|809_x0005_`</v>
      </c>
      <c r="K192" s="3" t="str">
        <f ca="1">HYPERLINK("#"&amp;일위대가표!N2&amp;"!A"&amp;ROW(일위대가표!A809),"대가189 →")</f>
        <v>대가189 →</v>
      </c>
    </row>
    <row r="193" spans="1:11" ht="22.35" customHeight="1" x14ac:dyDescent="0.3">
      <c r="A193" s="9" t="s">
        <v>444</v>
      </c>
      <c r="B193" s="10" t="s">
        <v>430</v>
      </c>
      <c r="C193" s="10" t="s">
        <v>358</v>
      </c>
      <c r="D193" s="9" t="s">
        <v>14</v>
      </c>
      <c r="E193" s="48">
        <f>일위대가표!F815</f>
        <v>452499</v>
      </c>
      <c r="F193" s="47">
        <f>일위대가표!H815</f>
        <v>439320</v>
      </c>
      <c r="G193" s="56">
        <f>일위대가표!J815</f>
        <v>0</v>
      </c>
      <c r="H193" s="48">
        <f>일위대가표!L815</f>
        <v>13179</v>
      </c>
      <c r="I193" s="15" t="s">
        <v>444</v>
      </c>
      <c r="J193" s="17" t="str">
        <f>"_x0007_`COD|B05248_x0005_`QTY1|1_x0005_`BQC|_x0005_`EQC|_x0005_`JDC|_x0005_`WQC|_x0005_`EDT|_x0005_`ADJ|F_x0005_`DET|"&amp;ROW(일위대가표!A813)&amp;"_x0005_`"</f>
        <v>_x0007_`COD|B05248_x0005_`QTY1|1_x0005_`BQC|_x0005_`EQC|_x0005_`JDC|_x0005_`WQC|_x0005_`EDT|_x0005_`ADJ|F_x0005_`DET|813_x0005_`</v>
      </c>
      <c r="K193" s="3" t="str">
        <f ca="1">HYPERLINK("#"&amp;일위대가표!N2&amp;"!A"&amp;ROW(일위대가표!A813),"대가190 →")</f>
        <v>대가190 →</v>
      </c>
    </row>
    <row r="194" spans="1:11" ht="22.35" customHeight="1" x14ac:dyDescent="0.3">
      <c r="A194" s="9" t="s">
        <v>446</v>
      </c>
      <c r="B194" s="10" t="s">
        <v>430</v>
      </c>
      <c r="C194" s="10" t="s">
        <v>361</v>
      </c>
      <c r="D194" s="9" t="s">
        <v>14</v>
      </c>
      <c r="E194" s="48">
        <f>일위대가표!F819</f>
        <v>452499</v>
      </c>
      <c r="F194" s="47">
        <f>일위대가표!H819</f>
        <v>439320</v>
      </c>
      <c r="G194" s="56">
        <f>일위대가표!J819</f>
        <v>0</v>
      </c>
      <c r="H194" s="48">
        <f>일위대가표!L819</f>
        <v>13179</v>
      </c>
      <c r="I194" s="15" t="s">
        <v>446</v>
      </c>
      <c r="J194" s="17" t="str">
        <f>"_x0007_`COD|B05235_x0005_`QTY1|1_x0005_`BQC|_x0005_`EQC|_x0005_`JDC|_x0005_`WQC|_x0005_`EDT|_x0005_`ADJ|F_x0005_`DET|"&amp;ROW(일위대가표!A817)&amp;"_x0005_`"</f>
        <v>_x0007_`COD|B05235_x0005_`QTY1|1_x0005_`BQC|_x0005_`EQC|_x0005_`JDC|_x0005_`WQC|_x0005_`EDT|_x0005_`ADJ|F_x0005_`DET|817_x0005_`</v>
      </c>
      <c r="K194" s="3" t="str">
        <f ca="1">HYPERLINK("#"&amp;일위대가표!N2&amp;"!A"&amp;ROW(일위대가표!A817),"대가191 →")</f>
        <v>대가191 →</v>
      </c>
    </row>
    <row r="195" spans="1:11" ht="22.35" customHeight="1" x14ac:dyDescent="0.3">
      <c r="A195" s="9" t="s">
        <v>448</v>
      </c>
      <c r="B195" s="10" t="s">
        <v>430</v>
      </c>
      <c r="C195" s="10" t="s">
        <v>364</v>
      </c>
      <c r="D195" s="9" t="s">
        <v>14</v>
      </c>
      <c r="E195" s="48">
        <f>일위대가표!F823</f>
        <v>452499</v>
      </c>
      <c r="F195" s="47">
        <f>일위대가표!H823</f>
        <v>439320</v>
      </c>
      <c r="G195" s="56">
        <f>일위대가표!J823</f>
        <v>0</v>
      </c>
      <c r="H195" s="48">
        <f>일위대가표!L823</f>
        <v>13179</v>
      </c>
      <c r="I195" s="15" t="s">
        <v>448</v>
      </c>
      <c r="J195" s="17" t="str">
        <f>"_x0007_`COD|B05250_x0005_`QTY1|1_x0005_`BQC|_x0005_`EQC|_x0005_`JDC|_x0005_`WQC|_x0005_`EDT|_x0005_`ADJ|F_x0005_`DET|"&amp;ROW(일위대가표!A821)&amp;"_x0005_`"</f>
        <v>_x0007_`COD|B05250_x0005_`QTY1|1_x0005_`BQC|_x0005_`EQC|_x0005_`JDC|_x0005_`WQC|_x0005_`EDT|_x0005_`ADJ|F_x0005_`DET|821_x0005_`</v>
      </c>
      <c r="K195" s="3" t="str">
        <f ca="1">HYPERLINK("#"&amp;일위대가표!N2&amp;"!A"&amp;ROW(일위대가표!A821),"대가192 →")</f>
        <v>대가192 →</v>
      </c>
    </row>
    <row r="196" spans="1:11" ht="22.35" customHeight="1" x14ac:dyDescent="0.3">
      <c r="A196" s="9" t="s">
        <v>450</v>
      </c>
      <c r="B196" s="10" t="s">
        <v>430</v>
      </c>
      <c r="C196" s="10" t="s">
        <v>367</v>
      </c>
      <c r="D196" s="9" t="s">
        <v>14</v>
      </c>
      <c r="E196" s="48">
        <f>일위대가표!F827</f>
        <v>584244</v>
      </c>
      <c r="F196" s="47">
        <f>일위대가표!H827</f>
        <v>567228</v>
      </c>
      <c r="G196" s="56">
        <f>일위대가표!J827</f>
        <v>0</v>
      </c>
      <c r="H196" s="48">
        <f>일위대가표!L827</f>
        <v>17016</v>
      </c>
      <c r="I196" s="15" t="s">
        <v>450</v>
      </c>
      <c r="J196" s="17" t="str">
        <f>"_x0007_`COD|B05251_x0005_`QTY1|1_x0005_`BQC|_x0005_`EQC|_x0005_`JDC|_x0005_`WQC|_x0005_`EDT|_x0005_`ADJ|F_x0005_`DET|"&amp;ROW(일위대가표!A825)&amp;"_x0005_`"</f>
        <v>_x0007_`COD|B05251_x0005_`QTY1|1_x0005_`BQC|_x0005_`EQC|_x0005_`JDC|_x0005_`WQC|_x0005_`EDT|_x0005_`ADJ|F_x0005_`DET|825_x0005_`</v>
      </c>
      <c r="K196" s="3" t="str">
        <f ca="1">HYPERLINK("#"&amp;일위대가표!N2&amp;"!A"&amp;ROW(일위대가표!A825),"대가193 →")</f>
        <v>대가193 →</v>
      </c>
    </row>
    <row r="197" spans="1:11" ht="22.35" customHeight="1" x14ac:dyDescent="0.3">
      <c r="A197" s="9" t="s">
        <v>452</v>
      </c>
      <c r="B197" s="10" t="s">
        <v>430</v>
      </c>
      <c r="C197" s="10" t="s">
        <v>370</v>
      </c>
      <c r="D197" s="9" t="s">
        <v>14</v>
      </c>
      <c r="E197" s="48">
        <f>일위대가표!F831</f>
        <v>939944</v>
      </c>
      <c r="F197" s="47">
        <f>일위대가표!H831</f>
        <v>912568</v>
      </c>
      <c r="G197" s="56">
        <f>일위대가표!J831</f>
        <v>0</v>
      </c>
      <c r="H197" s="48">
        <f>일위대가표!L831</f>
        <v>27376</v>
      </c>
      <c r="I197" s="15" t="s">
        <v>452</v>
      </c>
      <c r="J197" s="17" t="str">
        <f>"_x0007_`COD|B05252_x0005_`QTY1|1_x0005_`BQC|_x0005_`EQC|_x0005_`JDC|_x0005_`WQC|_x0005_`EDT|_x0005_`ADJ|F_x0005_`DET|"&amp;ROW(일위대가표!A829)&amp;"_x0005_`"</f>
        <v>_x0007_`COD|B05252_x0005_`QTY1|1_x0005_`BQC|_x0005_`EQC|_x0005_`JDC|_x0005_`WQC|_x0005_`EDT|_x0005_`ADJ|F_x0005_`DET|829_x0005_`</v>
      </c>
      <c r="K197" s="3" t="str">
        <f ca="1">HYPERLINK("#"&amp;일위대가표!N2&amp;"!A"&amp;ROW(일위대가표!A829),"대가194 →")</f>
        <v>대가194 →</v>
      </c>
    </row>
    <row r="198" spans="1:11" ht="22.35" customHeight="1" x14ac:dyDescent="0.3">
      <c r="A198" s="9" t="s">
        <v>454</v>
      </c>
      <c r="B198" s="10" t="s">
        <v>430</v>
      </c>
      <c r="C198" s="10" t="s">
        <v>373</v>
      </c>
      <c r="D198" s="9" t="s">
        <v>14</v>
      </c>
      <c r="E198" s="48">
        <f>일위대가표!F835</f>
        <v>1151459</v>
      </c>
      <c r="F198" s="47">
        <f>일위대가표!H835</f>
        <v>1117922</v>
      </c>
      <c r="G198" s="56">
        <f>일위대가표!J835</f>
        <v>0</v>
      </c>
      <c r="H198" s="48">
        <f>일위대가표!L835</f>
        <v>33537</v>
      </c>
      <c r="I198" s="15" t="s">
        <v>454</v>
      </c>
      <c r="J198" s="17" t="str">
        <f>"_x0007_`COD|B05253_x0005_`QTY1|1_x0005_`BQC|_x0005_`EQC|_x0005_`JDC|_x0005_`WQC|_x0005_`EDT|_x0005_`ADJ|F_x0005_`DET|"&amp;ROW(일위대가표!A833)&amp;"_x0005_`"</f>
        <v>_x0007_`COD|B05253_x0005_`QTY1|1_x0005_`BQC|_x0005_`EQC|_x0005_`JDC|_x0005_`WQC|_x0005_`EDT|_x0005_`ADJ|F_x0005_`DET|833_x0005_`</v>
      </c>
      <c r="K198" s="3" t="str">
        <f ca="1">HYPERLINK("#"&amp;일위대가표!N2&amp;"!A"&amp;ROW(일위대가표!A833),"대가195 →")</f>
        <v>대가195 →</v>
      </c>
    </row>
    <row r="199" spans="1:11" ht="22.35" customHeight="1" x14ac:dyDescent="0.3">
      <c r="A199" s="9" t="s">
        <v>456</v>
      </c>
      <c r="B199" s="10" t="s">
        <v>457</v>
      </c>
      <c r="C199" s="10" t="s">
        <v>458</v>
      </c>
      <c r="D199" s="9" t="s">
        <v>14</v>
      </c>
      <c r="E199" s="48">
        <f>일위대가표!F840</f>
        <v>779994</v>
      </c>
      <c r="F199" s="47">
        <f>일위대가표!H840</f>
        <v>320383</v>
      </c>
      <c r="G199" s="56">
        <f>일위대가표!J840</f>
        <v>450000</v>
      </c>
      <c r="H199" s="48">
        <f>일위대가표!L840</f>
        <v>9611</v>
      </c>
      <c r="I199" s="15" t="s">
        <v>456</v>
      </c>
      <c r="J199" s="17" t="str">
        <f>"_x0007_`COD|B05060_x0005_`QTY1|1_x0005_`BQC|_x0005_`EQC|_x0005_`JDC|_x0005_`WQC|_x0005_`EDT|_x0005_`ADJ|F_x0005_`DET|"&amp;ROW(일위대가표!A837)&amp;"_x0005_`"</f>
        <v>_x0007_`COD|B05060_x0005_`QTY1|1_x0005_`BQC|_x0005_`EQC|_x0005_`JDC|_x0005_`WQC|_x0005_`EDT|_x0005_`ADJ|F_x0005_`DET|837_x0005_`</v>
      </c>
      <c r="K199" s="3" t="str">
        <f ca="1">HYPERLINK("#"&amp;일위대가표!N2&amp;"!A"&amp;ROW(일위대가표!A837),"대가196 →")</f>
        <v>대가196 →</v>
      </c>
    </row>
    <row r="200" spans="1:11" ht="22.35" customHeight="1" x14ac:dyDescent="0.3">
      <c r="A200" s="9" t="s">
        <v>460</v>
      </c>
      <c r="B200" s="10" t="s">
        <v>457</v>
      </c>
      <c r="C200" s="10" t="s">
        <v>461</v>
      </c>
      <c r="D200" s="9" t="s">
        <v>14</v>
      </c>
      <c r="E200" s="48">
        <f>일위대가표!F845</f>
        <v>1259994</v>
      </c>
      <c r="F200" s="47">
        <f>일위대가표!H845</f>
        <v>320383</v>
      </c>
      <c r="G200" s="56">
        <f>일위대가표!J845</f>
        <v>930000</v>
      </c>
      <c r="H200" s="48">
        <f>일위대가표!L845</f>
        <v>9611</v>
      </c>
      <c r="I200" s="15" t="s">
        <v>460</v>
      </c>
      <c r="J200" s="17" t="str">
        <f>"_x0007_`COD|B04947_x0005_`QTY1|1_x0005_`BQC|_x0005_`EQC|_x0005_`JDC|_x0005_`WQC|_x0005_`EDT|_x0005_`ADJ|F_x0005_`DET|"&amp;ROW(일위대가표!A842)&amp;"_x0005_`"</f>
        <v>_x0007_`COD|B04947_x0005_`QTY1|1_x0005_`BQC|_x0005_`EQC|_x0005_`JDC|_x0005_`WQC|_x0005_`EDT|_x0005_`ADJ|F_x0005_`DET|842_x0005_`</v>
      </c>
      <c r="K200" s="3" t="str">
        <f ca="1">HYPERLINK("#"&amp;일위대가표!N2&amp;"!A"&amp;ROW(일위대가표!A842),"대가197 →")</f>
        <v>대가197 →</v>
      </c>
    </row>
    <row r="201" spans="1:11" ht="22.35" customHeight="1" x14ac:dyDescent="0.3">
      <c r="A201" s="9" t="s">
        <v>463</v>
      </c>
      <c r="B201" s="10" t="s">
        <v>457</v>
      </c>
      <c r="C201" s="10" t="s">
        <v>464</v>
      </c>
      <c r="D201" s="9" t="s">
        <v>14</v>
      </c>
      <c r="E201" s="48">
        <f>일위대가표!F850</f>
        <v>1645273</v>
      </c>
      <c r="F201" s="47">
        <f>일위대가표!H850</f>
        <v>354635</v>
      </c>
      <c r="G201" s="56">
        <f>일위대가표!J850</f>
        <v>1280000</v>
      </c>
      <c r="H201" s="48">
        <f>일위대가표!L850</f>
        <v>10638</v>
      </c>
      <c r="I201" s="15" t="s">
        <v>463</v>
      </c>
      <c r="J201" s="17" t="str">
        <f>"_x0007_`COD|B05061_x0005_`QTY1|1_x0005_`BQC|_x0005_`EQC|_x0005_`JDC|_x0005_`WQC|_x0005_`EDT|_x0005_`ADJ|F_x0005_`DET|"&amp;ROW(일위대가표!A847)&amp;"_x0005_`"</f>
        <v>_x0007_`COD|B05061_x0005_`QTY1|1_x0005_`BQC|_x0005_`EQC|_x0005_`JDC|_x0005_`WQC|_x0005_`EDT|_x0005_`ADJ|F_x0005_`DET|847_x0005_`</v>
      </c>
      <c r="K201" s="3" t="str">
        <f ca="1">HYPERLINK("#"&amp;일위대가표!N2&amp;"!A"&amp;ROW(일위대가표!A847),"대가198 →")</f>
        <v>대가198 →</v>
      </c>
    </row>
    <row r="202" spans="1:11" ht="22.35" customHeight="1" x14ac:dyDescent="0.3">
      <c r="A202" s="9" t="s">
        <v>466</v>
      </c>
      <c r="B202" s="10" t="s">
        <v>457</v>
      </c>
      <c r="C202" s="10" t="s">
        <v>467</v>
      </c>
      <c r="D202" s="9" t="s">
        <v>14</v>
      </c>
      <c r="E202" s="48">
        <f>일위대가표!F855</f>
        <v>2291901</v>
      </c>
      <c r="F202" s="47">
        <f>일위대가표!H855</f>
        <v>408643</v>
      </c>
      <c r="G202" s="56">
        <f>일위대가표!J855</f>
        <v>1871000</v>
      </c>
      <c r="H202" s="48">
        <f>일위대가표!L855</f>
        <v>12258</v>
      </c>
      <c r="I202" s="15" t="s">
        <v>466</v>
      </c>
      <c r="J202" s="17" t="str">
        <f>"_x0007_`COD|B05062_x0005_`QTY1|1_x0005_`BQC|_x0005_`EQC|_x0005_`JDC|_x0005_`WQC|_x0005_`EDT|_x0005_`ADJ|F_x0005_`DET|"&amp;ROW(일위대가표!A852)&amp;"_x0005_`"</f>
        <v>_x0007_`COD|B05062_x0005_`QTY1|1_x0005_`BQC|_x0005_`EQC|_x0005_`JDC|_x0005_`WQC|_x0005_`EDT|_x0005_`ADJ|F_x0005_`DET|852_x0005_`</v>
      </c>
      <c r="K202" s="3" t="str">
        <f ca="1">HYPERLINK("#"&amp;일위대가표!N2&amp;"!A"&amp;ROW(일위대가표!A852),"대가199 →")</f>
        <v>대가199 →</v>
      </c>
    </row>
    <row r="203" spans="1:11" ht="22.35" customHeight="1" x14ac:dyDescent="0.3">
      <c r="A203" s="9" t="s">
        <v>469</v>
      </c>
      <c r="B203" s="10" t="s">
        <v>470</v>
      </c>
      <c r="C203" s="10" t="s">
        <v>458</v>
      </c>
      <c r="D203" s="9" t="s">
        <v>14</v>
      </c>
      <c r="E203" s="48">
        <f>일위대가표!F859</f>
        <v>329994</v>
      </c>
      <c r="F203" s="47">
        <f>일위대가표!H859</f>
        <v>320383</v>
      </c>
      <c r="G203" s="56">
        <f>일위대가표!J859</f>
        <v>0</v>
      </c>
      <c r="H203" s="48">
        <f>일위대가표!L859</f>
        <v>9611</v>
      </c>
      <c r="I203" s="15" t="s">
        <v>469</v>
      </c>
      <c r="J203" s="17" t="str">
        <f>"_x0007_`COD|B05243_x0005_`QTY1|1_x0005_`BQC|_x0005_`EQC|_x0005_`JDC|_x0005_`WQC|_x0005_`EDT|_x0005_`ADJ|F_x0005_`DET|"&amp;ROW(일위대가표!A857)&amp;"_x0005_`"</f>
        <v>_x0007_`COD|B05243_x0005_`QTY1|1_x0005_`BQC|_x0005_`EQC|_x0005_`JDC|_x0005_`WQC|_x0005_`EDT|_x0005_`ADJ|F_x0005_`DET|857_x0005_`</v>
      </c>
      <c r="K203" s="3" t="str">
        <f ca="1">HYPERLINK("#"&amp;일위대가표!N2&amp;"!A"&amp;ROW(일위대가표!A857),"대가200 →")</f>
        <v>대가200 →</v>
      </c>
    </row>
    <row r="204" spans="1:11" ht="22.35" customHeight="1" x14ac:dyDescent="0.3">
      <c r="A204" s="9" t="s">
        <v>472</v>
      </c>
      <c r="B204" s="10" t="s">
        <v>470</v>
      </c>
      <c r="C204" s="10" t="s">
        <v>461</v>
      </c>
      <c r="D204" s="9" t="s">
        <v>14</v>
      </c>
      <c r="E204" s="48">
        <f>일위대가표!F863</f>
        <v>329994</v>
      </c>
      <c r="F204" s="47">
        <f>일위대가표!H863</f>
        <v>320383</v>
      </c>
      <c r="G204" s="56">
        <f>일위대가표!J863</f>
        <v>0</v>
      </c>
      <c r="H204" s="48">
        <f>일위대가표!L863</f>
        <v>9611</v>
      </c>
      <c r="I204" s="15" t="s">
        <v>472</v>
      </c>
      <c r="J204" s="17" t="str">
        <f>"_x0007_`COD|B05254_x0005_`QTY1|1_x0005_`BQC|_x0005_`EQC|_x0005_`JDC|_x0005_`WQC|_x0005_`EDT|_x0005_`ADJ|F_x0005_`DET|"&amp;ROW(일위대가표!A861)&amp;"_x0005_`"</f>
        <v>_x0007_`COD|B05254_x0005_`QTY1|1_x0005_`BQC|_x0005_`EQC|_x0005_`JDC|_x0005_`WQC|_x0005_`EDT|_x0005_`ADJ|F_x0005_`DET|861_x0005_`</v>
      </c>
      <c r="K204" s="3" t="str">
        <f ca="1">HYPERLINK("#"&amp;일위대가표!N2&amp;"!A"&amp;ROW(일위대가표!A861),"대가201 →")</f>
        <v>대가201 →</v>
      </c>
    </row>
    <row r="205" spans="1:11" ht="22.35" customHeight="1" x14ac:dyDescent="0.3">
      <c r="A205" s="9" t="s">
        <v>474</v>
      </c>
      <c r="B205" s="10" t="s">
        <v>470</v>
      </c>
      <c r="C205" s="10" t="s">
        <v>475</v>
      </c>
      <c r="D205" s="9" t="s">
        <v>14</v>
      </c>
      <c r="E205" s="48">
        <f>일위대가표!F867</f>
        <v>365273</v>
      </c>
      <c r="F205" s="47">
        <f>일위대가표!H867</f>
        <v>354635</v>
      </c>
      <c r="G205" s="56">
        <f>일위대가표!J867</f>
        <v>0</v>
      </c>
      <c r="H205" s="48">
        <f>일위대가표!L867</f>
        <v>10638</v>
      </c>
      <c r="I205" s="15" t="s">
        <v>474</v>
      </c>
      <c r="J205" s="17" t="str">
        <f>"_x0007_`COD|B05249_x0005_`QTY1|1_x0005_`BQC|_x0005_`EQC|_x0005_`JDC|_x0005_`WQC|_x0005_`EDT|_x0005_`ADJ|F_x0005_`DET|"&amp;ROW(일위대가표!A865)&amp;"_x0005_`"</f>
        <v>_x0007_`COD|B05249_x0005_`QTY1|1_x0005_`BQC|_x0005_`EQC|_x0005_`JDC|_x0005_`WQC|_x0005_`EDT|_x0005_`ADJ|F_x0005_`DET|865_x0005_`</v>
      </c>
      <c r="K205" s="3" t="str">
        <f ca="1">HYPERLINK("#"&amp;일위대가표!N2&amp;"!A"&amp;ROW(일위대가표!A865),"대가202 →")</f>
        <v>대가202 →</v>
      </c>
    </row>
    <row r="206" spans="1:11" ht="22.35" customHeight="1" x14ac:dyDescent="0.3">
      <c r="A206" s="9" t="s">
        <v>477</v>
      </c>
      <c r="B206" s="10" t="s">
        <v>470</v>
      </c>
      <c r="C206" s="10" t="s">
        <v>467</v>
      </c>
      <c r="D206" s="9" t="s">
        <v>14</v>
      </c>
      <c r="E206" s="48">
        <f>일위대가표!F871</f>
        <v>420901</v>
      </c>
      <c r="F206" s="47">
        <f>일위대가표!H871</f>
        <v>408643</v>
      </c>
      <c r="G206" s="56">
        <f>일위대가표!J871</f>
        <v>0</v>
      </c>
      <c r="H206" s="48">
        <f>일위대가표!L871</f>
        <v>12258</v>
      </c>
      <c r="I206" s="15" t="s">
        <v>477</v>
      </c>
      <c r="J206" s="17" t="str">
        <f>"_x0007_`COD|B05255_x0005_`QTY1|1_x0005_`BQC|_x0005_`EQC|_x0005_`JDC|_x0005_`WQC|_x0005_`EDT|_x0005_`ADJ|F_x0005_`DET|"&amp;ROW(일위대가표!A869)&amp;"_x0005_`"</f>
        <v>_x0007_`COD|B05255_x0005_`QTY1|1_x0005_`BQC|_x0005_`EQC|_x0005_`JDC|_x0005_`WQC|_x0005_`EDT|_x0005_`ADJ|F_x0005_`DET|869_x0005_`</v>
      </c>
      <c r="K206" s="3" t="str">
        <f ca="1">HYPERLINK("#"&amp;일위대가표!N2&amp;"!A"&amp;ROW(일위대가표!A869),"대가203 →")</f>
        <v>대가203 →</v>
      </c>
    </row>
    <row r="207" spans="1:11" ht="22.35" customHeight="1" x14ac:dyDescent="0.3">
      <c r="A207" s="9" t="s">
        <v>479</v>
      </c>
      <c r="B207" s="10" t="s">
        <v>480</v>
      </c>
      <c r="C207" s="10" t="s">
        <v>458</v>
      </c>
      <c r="D207" s="9" t="s">
        <v>14</v>
      </c>
      <c r="E207" s="48">
        <f>일위대가표!F875</f>
        <v>235710</v>
      </c>
      <c r="F207" s="47">
        <f>일위대가표!H875</f>
        <v>228845</v>
      </c>
      <c r="G207" s="56">
        <f>일위대가표!J875</f>
        <v>0</v>
      </c>
      <c r="H207" s="48">
        <f>일위대가표!L875</f>
        <v>6865</v>
      </c>
      <c r="I207" s="15" t="s">
        <v>479</v>
      </c>
      <c r="J207" s="17" t="str">
        <f>"_x0007_`COD|B05256_x0005_`QTY1|1_x0005_`BQC|_x0005_`EQC|_x0005_`JDC|_x0005_`WQC|_x0005_`EDT|_x0005_`ADJ|F_x0005_`DET|"&amp;ROW(일위대가표!A873)&amp;"_x0005_`"</f>
        <v>_x0007_`COD|B05256_x0005_`QTY1|1_x0005_`BQC|_x0005_`EQC|_x0005_`JDC|_x0005_`WQC|_x0005_`EDT|_x0005_`ADJ|F_x0005_`DET|873_x0005_`</v>
      </c>
      <c r="K207" s="3" t="str">
        <f ca="1">HYPERLINK("#"&amp;일위대가표!N2&amp;"!A"&amp;ROW(일위대가표!A873),"대가204 →")</f>
        <v>대가204 →</v>
      </c>
    </row>
    <row r="208" spans="1:11" ht="22.35" customHeight="1" x14ac:dyDescent="0.3">
      <c r="A208" s="9" t="s">
        <v>482</v>
      </c>
      <c r="B208" s="10" t="s">
        <v>480</v>
      </c>
      <c r="C208" s="10" t="s">
        <v>461</v>
      </c>
      <c r="D208" s="9" t="s">
        <v>14</v>
      </c>
      <c r="E208" s="48">
        <f>일위대가표!F879</f>
        <v>235710</v>
      </c>
      <c r="F208" s="47">
        <f>일위대가표!H879</f>
        <v>228845</v>
      </c>
      <c r="G208" s="56">
        <f>일위대가표!J879</f>
        <v>0</v>
      </c>
      <c r="H208" s="48">
        <f>일위대가표!L879</f>
        <v>6865</v>
      </c>
      <c r="I208" s="15" t="s">
        <v>482</v>
      </c>
      <c r="J208" s="17" t="str">
        <f>"_x0007_`COD|B05258_x0005_`QTY1|1_x0005_`BQC|_x0005_`EQC|_x0005_`JDC|_x0005_`WQC|_x0005_`EDT|_x0005_`ADJ|F_x0005_`DET|"&amp;ROW(일위대가표!A877)&amp;"_x0005_`"</f>
        <v>_x0007_`COD|B05258_x0005_`QTY1|1_x0005_`BQC|_x0005_`EQC|_x0005_`JDC|_x0005_`WQC|_x0005_`EDT|_x0005_`ADJ|F_x0005_`DET|877_x0005_`</v>
      </c>
      <c r="K208" s="3" t="str">
        <f ca="1">HYPERLINK("#"&amp;일위대가표!N2&amp;"!A"&amp;ROW(일위대가표!A877),"대가205 →")</f>
        <v>대가205 →</v>
      </c>
    </row>
    <row r="209" spans="1:11" ht="22.35" customHeight="1" x14ac:dyDescent="0.3">
      <c r="A209" s="9" t="s">
        <v>484</v>
      </c>
      <c r="B209" s="10" t="s">
        <v>480</v>
      </c>
      <c r="C209" s="10" t="s">
        <v>485</v>
      </c>
      <c r="D209" s="9" t="s">
        <v>14</v>
      </c>
      <c r="E209" s="48">
        <f>일위대가표!F884</f>
        <v>286241</v>
      </c>
      <c r="F209" s="47">
        <f>일위대가표!H884</f>
        <v>253311</v>
      </c>
      <c r="G209" s="56">
        <f>일위대가표!J884</f>
        <v>0</v>
      </c>
      <c r="H209" s="48">
        <f>일위대가표!L884</f>
        <v>32930</v>
      </c>
      <c r="I209" s="15" t="s">
        <v>484</v>
      </c>
      <c r="J209" s="17" t="str">
        <f>"_x0007_`COD|B05257_x0005_`QTY1|1_x0005_`BQC|_x0005_`EQC|_x0005_`JDC|_x0005_`WQC|_x0005_`EDT|_x0005_`ADJ|F_x0005_`DET|"&amp;ROW(일위대가표!A881)&amp;"_x0005_`"</f>
        <v>_x0007_`COD|B05257_x0005_`QTY1|1_x0005_`BQC|_x0005_`EQC|_x0005_`JDC|_x0005_`WQC|_x0005_`EDT|_x0005_`ADJ|F_x0005_`DET|881_x0005_`</v>
      </c>
      <c r="K209" s="3" t="str">
        <f ca="1">HYPERLINK("#"&amp;일위대가표!N2&amp;"!A"&amp;ROW(일위대가표!A881),"대가206 →")</f>
        <v>대가206 →</v>
      </c>
    </row>
    <row r="210" spans="1:11" ht="22.35" customHeight="1" x14ac:dyDescent="0.3">
      <c r="A210" s="9" t="s">
        <v>487</v>
      </c>
      <c r="B210" s="10" t="s">
        <v>480</v>
      </c>
      <c r="C210" s="10" t="s">
        <v>488</v>
      </c>
      <c r="D210" s="9" t="s">
        <v>14</v>
      </c>
      <c r="E210" s="48">
        <f>일위대가표!F888</f>
        <v>300644</v>
      </c>
      <c r="F210" s="47">
        <f>일위대가표!H888</f>
        <v>291888</v>
      </c>
      <c r="G210" s="56">
        <f>일위대가표!J888</f>
        <v>0</v>
      </c>
      <c r="H210" s="48">
        <f>일위대가표!L888</f>
        <v>8756</v>
      </c>
      <c r="I210" s="15" t="s">
        <v>487</v>
      </c>
      <c r="J210" s="17" t="str">
        <f>"_x0007_`COD|B05259_x0005_`QTY1|1_x0005_`BQC|_x0005_`EQC|_x0005_`JDC|_x0005_`WQC|_x0005_`EDT|_x0005_`ADJ|F_x0005_`DET|"&amp;ROW(일위대가표!A886)&amp;"_x0005_`"</f>
        <v>_x0007_`COD|B05259_x0005_`QTY1|1_x0005_`BQC|_x0005_`EQC|_x0005_`JDC|_x0005_`WQC|_x0005_`EDT|_x0005_`ADJ|F_x0005_`DET|886_x0005_`</v>
      </c>
      <c r="K210" s="3" t="str">
        <f ca="1">HYPERLINK("#"&amp;일위대가표!N2&amp;"!A"&amp;ROW(일위대가표!A886),"대가207 →")</f>
        <v>대가207 →</v>
      </c>
    </row>
    <row r="211" spans="1:11" ht="22.35" customHeight="1" x14ac:dyDescent="0.3">
      <c r="A211" s="9" t="s">
        <v>490</v>
      </c>
      <c r="B211" s="10" t="s">
        <v>491</v>
      </c>
      <c r="C211" s="10" t="s">
        <v>458</v>
      </c>
      <c r="D211" s="9" t="s">
        <v>14</v>
      </c>
      <c r="E211" s="48">
        <f>일위대가표!F892</f>
        <v>94284</v>
      </c>
      <c r="F211" s="47">
        <f>일위대가표!H892</f>
        <v>91538</v>
      </c>
      <c r="G211" s="56">
        <f>일위대가표!J892</f>
        <v>0</v>
      </c>
      <c r="H211" s="48">
        <f>일위대가표!L892</f>
        <v>2746</v>
      </c>
      <c r="I211" s="15" t="s">
        <v>490</v>
      </c>
      <c r="J211" s="17" t="str">
        <f>"_x0007_`COD|B05260_x0005_`QTY1|1_x0005_`BQC|_x0005_`EQC|_x0005_`JDC|_x0005_`WQC|_x0005_`EDT|_x0005_`ADJ|F_x0005_`DET|"&amp;ROW(일위대가표!A890)&amp;"_x0005_`"</f>
        <v>_x0007_`COD|B05260_x0005_`QTY1|1_x0005_`BQC|_x0005_`EQC|_x0005_`JDC|_x0005_`WQC|_x0005_`EDT|_x0005_`ADJ|F_x0005_`DET|890_x0005_`</v>
      </c>
      <c r="K211" s="3" t="str">
        <f ca="1">HYPERLINK("#"&amp;일위대가표!N2&amp;"!A"&amp;ROW(일위대가표!A890),"대가208 →")</f>
        <v>대가208 →</v>
      </c>
    </row>
    <row r="212" spans="1:11" ht="22.35" customHeight="1" x14ac:dyDescent="0.3">
      <c r="A212" s="9" t="s">
        <v>493</v>
      </c>
      <c r="B212" s="10" t="s">
        <v>491</v>
      </c>
      <c r="C212" s="10" t="s">
        <v>461</v>
      </c>
      <c r="D212" s="9" t="s">
        <v>14</v>
      </c>
      <c r="E212" s="48">
        <f>일위대가표!F896</f>
        <v>94284</v>
      </c>
      <c r="F212" s="47">
        <f>일위대가표!H896</f>
        <v>91538</v>
      </c>
      <c r="G212" s="56">
        <f>일위대가표!J896</f>
        <v>0</v>
      </c>
      <c r="H212" s="48">
        <f>일위대가표!L896</f>
        <v>2746</v>
      </c>
      <c r="I212" s="15" t="s">
        <v>493</v>
      </c>
      <c r="J212" s="17" t="str">
        <f>"_x0007_`COD|B05262_x0005_`QTY1|1_x0005_`BQC|_x0005_`EQC|_x0005_`JDC|_x0005_`WQC|_x0005_`EDT|_x0005_`ADJ|F_x0005_`DET|"&amp;ROW(일위대가표!A894)&amp;"_x0005_`"</f>
        <v>_x0007_`COD|B05262_x0005_`QTY1|1_x0005_`BQC|_x0005_`EQC|_x0005_`JDC|_x0005_`WQC|_x0005_`EDT|_x0005_`ADJ|F_x0005_`DET|894_x0005_`</v>
      </c>
      <c r="K212" s="3" t="str">
        <f ca="1">HYPERLINK("#"&amp;일위대가표!N2&amp;"!A"&amp;ROW(일위대가표!A894),"대가209 →")</f>
        <v>대가209 →</v>
      </c>
    </row>
    <row r="213" spans="1:11" ht="22.35" customHeight="1" x14ac:dyDescent="0.3">
      <c r="A213" s="9" t="s">
        <v>495</v>
      </c>
      <c r="B213" s="10" t="s">
        <v>491</v>
      </c>
      <c r="C213" s="10" t="s">
        <v>475</v>
      </c>
      <c r="D213" s="9" t="s">
        <v>14</v>
      </c>
      <c r="E213" s="48">
        <f>일위대가표!F900</f>
        <v>104363</v>
      </c>
      <c r="F213" s="47">
        <f>일위대가표!H900</f>
        <v>101324</v>
      </c>
      <c r="G213" s="56">
        <f>일위대가표!J900</f>
        <v>0</v>
      </c>
      <c r="H213" s="48">
        <f>일위대가표!L900</f>
        <v>3039</v>
      </c>
      <c r="I213" s="15" t="s">
        <v>495</v>
      </c>
      <c r="J213" s="17" t="str">
        <f>"_x0007_`COD|B05261_x0005_`QTY1|1_x0005_`BQC|_x0005_`EQC|_x0005_`JDC|_x0005_`WQC|_x0005_`EDT|_x0005_`ADJ|F_x0005_`DET|"&amp;ROW(일위대가표!A898)&amp;"_x0005_`"</f>
        <v>_x0007_`COD|B05261_x0005_`QTY1|1_x0005_`BQC|_x0005_`EQC|_x0005_`JDC|_x0005_`WQC|_x0005_`EDT|_x0005_`ADJ|F_x0005_`DET|898_x0005_`</v>
      </c>
      <c r="K213" s="3" t="str">
        <f ca="1">HYPERLINK("#"&amp;일위대가표!N2&amp;"!A"&amp;ROW(일위대가표!A898),"대가210 →")</f>
        <v>대가210 →</v>
      </c>
    </row>
    <row r="214" spans="1:11" ht="22.35" customHeight="1" x14ac:dyDescent="0.3">
      <c r="A214" s="9" t="s">
        <v>497</v>
      </c>
      <c r="B214" s="10" t="s">
        <v>491</v>
      </c>
      <c r="C214" s="10" t="s">
        <v>467</v>
      </c>
      <c r="D214" s="9" t="s">
        <v>14</v>
      </c>
      <c r="E214" s="48">
        <f>일위대가표!F904</f>
        <v>120257</v>
      </c>
      <c r="F214" s="47">
        <f>일위대가표!H904</f>
        <v>116755</v>
      </c>
      <c r="G214" s="56">
        <f>일위대가표!J904</f>
        <v>0</v>
      </c>
      <c r="H214" s="48">
        <f>일위대가표!L904</f>
        <v>3502</v>
      </c>
      <c r="I214" s="15" t="s">
        <v>497</v>
      </c>
      <c r="J214" s="17" t="str">
        <f>"_x0007_`COD|B05263_x0005_`QTY1|1_x0005_`BQC|_x0005_`EQC|_x0005_`JDC|_x0005_`WQC|_x0005_`EDT|_x0005_`ADJ|F_x0005_`DET|"&amp;ROW(일위대가표!A902)&amp;"_x0005_`"</f>
        <v>_x0007_`COD|B05263_x0005_`QTY1|1_x0005_`BQC|_x0005_`EQC|_x0005_`JDC|_x0005_`WQC|_x0005_`EDT|_x0005_`ADJ|F_x0005_`DET|902_x0005_`</v>
      </c>
      <c r="K214" s="3" t="str">
        <f ca="1">HYPERLINK("#"&amp;일위대가표!N2&amp;"!A"&amp;ROW(일위대가표!A902),"대가211 →")</f>
        <v>대가211 →</v>
      </c>
    </row>
    <row r="215" spans="1:11" ht="22.35" customHeight="1" x14ac:dyDescent="0.3">
      <c r="A215" s="9" t="s">
        <v>499</v>
      </c>
      <c r="B215" s="10" t="s">
        <v>500</v>
      </c>
      <c r="C215" s="10" t="s">
        <v>501</v>
      </c>
      <c r="D215" s="9" t="s">
        <v>14</v>
      </c>
      <c r="E215" s="48">
        <f>일위대가표!F909</f>
        <v>2271273</v>
      </c>
      <c r="F215" s="47">
        <f>일위대가표!H909</f>
        <v>354635</v>
      </c>
      <c r="G215" s="56">
        <f>일위대가표!J909</f>
        <v>1906000</v>
      </c>
      <c r="H215" s="48">
        <f>일위대가표!L909</f>
        <v>10638</v>
      </c>
      <c r="I215" s="15" t="s">
        <v>499</v>
      </c>
      <c r="J215" s="17" t="str">
        <f>"_x0007_`COD|B04948_x0005_`QTY1|1_x0005_`BQC|_x0005_`EQC|_x0005_`JDC|_x0005_`WQC|_x0005_`EDT|_x0005_`ADJ|F_x0005_`DET|"&amp;ROW(일위대가표!A906)&amp;"_x0005_`"</f>
        <v>_x0007_`COD|B04948_x0005_`QTY1|1_x0005_`BQC|_x0005_`EQC|_x0005_`JDC|_x0005_`WQC|_x0005_`EDT|_x0005_`ADJ|F_x0005_`DET|906_x0005_`</v>
      </c>
      <c r="K215" s="3" t="str">
        <f ca="1">HYPERLINK("#"&amp;일위대가표!N2&amp;"!A"&amp;ROW(일위대가표!A906),"대가212 →")</f>
        <v>대가212 →</v>
      </c>
    </row>
    <row r="216" spans="1:11" ht="22.35" customHeight="1" x14ac:dyDescent="0.3">
      <c r="A216" s="9" t="s">
        <v>503</v>
      </c>
      <c r="B216" s="10" t="s">
        <v>500</v>
      </c>
      <c r="C216" s="10" t="s">
        <v>504</v>
      </c>
      <c r="D216" s="9" t="s">
        <v>14</v>
      </c>
      <c r="E216" s="48">
        <f>일위대가표!F914</f>
        <v>2661273</v>
      </c>
      <c r="F216" s="47">
        <f>일위대가표!H914</f>
        <v>354635</v>
      </c>
      <c r="G216" s="56">
        <f>일위대가표!J914</f>
        <v>2296000</v>
      </c>
      <c r="H216" s="48">
        <f>일위대가표!L914</f>
        <v>10638</v>
      </c>
      <c r="I216" s="15" t="s">
        <v>503</v>
      </c>
      <c r="J216" s="17" t="str">
        <f>"_x0007_`COD|B04949_x0005_`QTY1|1_x0005_`BQC|_x0005_`EQC|_x0005_`JDC|_x0005_`WQC|_x0005_`EDT|_x0005_`ADJ|F_x0005_`DET|"&amp;ROW(일위대가표!A911)&amp;"_x0005_`"</f>
        <v>_x0007_`COD|B04949_x0005_`QTY1|1_x0005_`BQC|_x0005_`EQC|_x0005_`JDC|_x0005_`WQC|_x0005_`EDT|_x0005_`ADJ|F_x0005_`DET|911_x0005_`</v>
      </c>
      <c r="K216" s="3" t="str">
        <f ca="1">HYPERLINK("#"&amp;일위대가표!N2&amp;"!A"&amp;ROW(일위대가표!A911),"대가213 →")</f>
        <v>대가213 →</v>
      </c>
    </row>
    <row r="217" spans="1:11" ht="22.35" customHeight="1" x14ac:dyDescent="0.3">
      <c r="A217" s="9" t="s">
        <v>506</v>
      </c>
      <c r="B217" s="10" t="s">
        <v>500</v>
      </c>
      <c r="C217" s="10" t="s">
        <v>507</v>
      </c>
      <c r="D217" s="9" t="s">
        <v>14</v>
      </c>
      <c r="E217" s="48">
        <f>일위대가표!F919</f>
        <v>2932901</v>
      </c>
      <c r="F217" s="47">
        <f>일위대가표!H919</f>
        <v>408643</v>
      </c>
      <c r="G217" s="56">
        <f>일위대가표!J919</f>
        <v>2512000</v>
      </c>
      <c r="H217" s="48">
        <f>일위대가표!L919</f>
        <v>12258</v>
      </c>
      <c r="I217" s="15" t="s">
        <v>506</v>
      </c>
      <c r="J217" s="17" t="str">
        <f>"_x0007_`COD|B04950_x0005_`QTY1|1_x0005_`BQC|_x0005_`EQC|_x0005_`JDC|_x0005_`WQC|_x0005_`EDT|_x0005_`ADJ|F_x0005_`DET|"&amp;ROW(일위대가표!A916)&amp;"_x0005_`"</f>
        <v>_x0007_`COD|B04950_x0005_`QTY1|1_x0005_`BQC|_x0005_`EQC|_x0005_`JDC|_x0005_`WQC|_x0005_`EDT|_x0005_`ADJ|F_x0005_`DET|916_x0005_`</v>
      </c>
      <c r="K217" s="3" t="str">
        <f ca="1">HYPERLINK("#"&amp;일위대가표!N2&amp;"!A"&amp;ROW(일위대가표!A916),"대가214 →")</f>
        <v>대가214 →</v>
      </c>
    </row>
    <row r="218" spans="1:11" ht="22.35" customHeight="1" x14ac:dyDescent="0.3">
      <c r="A218" s="9" t="s">
        <v>509</v>
      </c>
      <c r="B218" s="10" t="s">
        <v>510</v>
      </c>
      <c r="C218" s="10" t="s">
        <v>501</v>
      </c>
      <c r="D218" s="9" t="s">
        <v>14</v>
      </c>
      <c r="E218" s="48">
        <f>일위대가표!F923</f>
        <v>365273</v>
      </c>
      <c r="F218" s="47">
        <f>일위대가표!H923</f>
        <v>354635</v>
      </c>
      <c r="G218" s="56">
        <f>일위대가표!J923</f>
        <v>0</v>
      </c>
      <c r="H218" s="48">
        <f>일위대가표!L923</f>
        <v>10638</v>
      </c>
      <c r="I218" s="15" t="s">
        <v>509</v>
      </c>
      <c r="J218" s="17" t="str">
        <f>"_x0007_`COD|B04951_x0005_`QTY1|1_x0005_`BQC|_x0005_`EQC|_x0005_`JDC|_x0005_`WQC|_x0005_`EDT|_x0005_`ADJ|F_x0005_`DET|"&amp;ROW(일위대가표!A921)&amp;"_x0005_`"</f>
        <v>_x0007_`COD|B04951_x0005_`QTY1|1_x0005_`BQC|_x0005_`EQC|_x0005_`JDC|_x0005_`WQC|_x0005_`EDT|_x0005_`ADJ|F_x0005_`DET|921_x0005_`</v>
      </c>
      <c r="K218" s="3" t="str">
        <f ca="1">HYPERLINK("#"&amp;일위대가표!N2&amp;"!A"&amp;ROW(일위대가표!A921),"대가215 →")</f>
        <v>대가215 →</v>
      </c>
    </row>
    <row r="219" spans="1:11" ht="22.35" customHeight="1" x14ac:dyDescent="0.3">
      <c r="A219" s="9" t="s">
        <v>512</v>
      </c>
      <c r="B219" s="10" t="s">
        <v>510</v>
      </c>
      <c r="C219" s="10" t="s">
        <v>504</v>
      </c>
      <c r="D219" s="9" t="s">
        <v>14</v>
      </c>
      <c r="E219" s="48">
        <f>일위대가표!F927</f>
        <v>365273</v>
      </c>
      <c r="F219" s="47">
        <f>일위대가표!H927</f>
        <v>354635</v>
      </c>
      <c r="G219" s="56">
        <f>일위대가표!J927</f>
        <v>0</v>
      </c>
      <c r="H219" s="48">
        <f>일위대가표!L927</f>
        <v>10638</v>
      </c>
      <c r="I219" s="15" t="s">
        <v>512</v>
      </c>
      <c r="J219" s="17" t="str">
        <f>"_x0007_`COD|B05264_x0005_`QTY1|1_x0005_`BQC|_x0005_`EQC|_x0005_`JDC|_x0005_`WQC|_x0005_`EDT|_x0005_`ADJ|F_x0005_`DET|"&amp;ROW(일위대가표!A925)&amp;"_x0005_`"</f>
        <v>_x0007_`COD|B05264_x0005_`QTY1|1_x0005_`BQC|_x0005_`EQC|_x0005_`JDC|_x0005_`WQC|_x0005_`EDT|_x0005_`ADJ|F_x0005_`DET|925_x0005_`</v>
      </c>
      <c r="K219" s="3" t="str">
        <f ca="1">HYPERLINK("#"&amp;일위대가표!N2&amp;"!A"&amp;ROW(일위대가표!A925),"대가216 →")</f>
        <v>대가216 →</v>
      </c>
    </row>
    <row r="220" spans="1:11" ht="22.35" customHeight="1" x14ac:dyDescent="0.3">
      <c r="A220" s="9" t="s">
        <v>514</v>
      </c>
      <c r="B220" s="10" t="s">
        <v>510</v>
      </c>
      <c r="C220" s="10" t="s">
        <v>507</v>
      </c>
      <c r="D220" s="9" t="s">
        <v>515</v>
      </c>
      <c r="E220" s="48">
        <f>일위대가표!F931</f>
        <v>420901</v>
      </c>
      <c r="F220" s="47">
        <f>일위대가표!H931</f>
        <v>408643</v>
      </c>
      <c r="G220" s="56">
        <f>일위대가표!J931</f>
        <v>0</v>
      </c>
      <c r="H220" s="48">
        <f>일위대가표!L931</f>
        <v>12258</v>
      </c>
      <c r="I220" s="15" t="s">
        <v>514</v>
      </c>
      <c r="J220" s="17" t="str">
        <f>"_x0007_`COD|B05265_x0005_`QTY1|1_x0005_`BQC|_x0005_`EQC|_x0005_`JDC|_x0005_`WQC|_x0005_`EDT|_x0005_`ADJ|F_x0005_`DET|"&amp;ROW(일위대가표!A929)&amp;"_x0005_`"</f>
        <v>_x0007_`COD|B05265_x0005_`QTY1|1_x0005_`BQC|_x0005_`EQC|_x0005_`JDC|_x0005_`WQC|_x0005_`EDT|_x0005_`ADJ|F_x0005_`DET|929_x0005_`</v>
      </c>
      <c r="K220" s="3" t="str">
        <f ca="1">HYPERLINK("#"&amp;일위대가표!N2&amp;"!A"&amp;ROW(일위대가표!A929),"대가217 →")</f>
        <v>대가217 →</v>
      </c>
    </row>
    <row r="221" spans="1:11" ht="22.35" customHeight="1" x14ac:dyDescent="0.3">
      <c r="A221" s="9" t="s">
        <v>517</v>
      </c>
      <c r="B221" s="10" t="s">
        <v>518</v>
      </c>
      <c r="C221" s="10" t="s">
        <v>501</v>
      </c>
      <c r="D221" s="9" t="s">
        <v>14</v>
      </c>
      <c r="E221" s="48">
        <f>일위대가표!F935</f>
        <v>260910</v>
      </c>
      <c r="F221" s="47">
        <f>일위대가표!H935</f>
        <v>253311</v>
      </c>
      <c r="G221" s="56">
        <f>일위대가표!J935</f>
        <v>0</v>
      </c>
      <c r="H221" s="48">
        <f>일위대가표!L935</f>
        <v>7599</v>
      </c>
      <c r="I221" s="15" t="s">
        <v>517</v>
      </c>
      <c r="J221" s="17" t="str">
        <f>"_x0007_`COD|B05266_x0005_`QTY1|1_x0005_`BQC|_x0005_`EQC|_x0005_`JDC|_x0005_`WQC|_x0005_`EDT|_x0005_`ADJ|F_x0005_`DET|"&amp;ROW(일위대가표!A933)&amp;"_x0005_`"</f>
        <v>_x0007_`COD|B05266_x0005_`QTY1|1_x0005_`BQC|_x0005_`EQC|_x0005_`JDC|_x0005_`WQC|_x0005_`EDT|_x0005_`ADJ|F_x0005_`DET|933_x0005_`</v>
      </c>
      <c r="K221" s="3" t="str">
        <f ca="1">HYPERLINK("#"&amp;일위대가표!N2&amp;"!A"&amp;ROW(일위대가표!A933),"대가218 →")</f>
        <v>대가218 →</v>
      </c>
    </row>
    <row r="222" spans="1:11" ht="22.35" customHeight="1" x14ac:dyDescent="0.3">
      <c r="A222" s="9" t="s">
        <v>520</v>
      </c>
      <c r="B222" s="10" t="s">
        <v>518</v>
      </c>
      <c r="C222" s="10" t="s">
        <v>504</v>
      </c>
      <c r="D222" s="9" t="s">
        <v>14</v>
      </c>
      <c r="E222" s="48">
        <f>일위대가표!F939</f>
        <v>260910</v>
      </c>
      <c r="F222" s="47">
        <f>일위대가표!H939</f>
        <v>253311</v>
      </c>
      <c r="G222" s="56">
        <f>일위대가표!J939</f>
        <v>0</v>
      </c>
      <c r="H222" s="48">
        <f>일위대가표!L939</f>
        <v>7599</v>
      </c>
      <c r="I222" s="15" t="s">
        <v>520</v>
      </c>
      <c r="J222" s="17" t="str">
        <f>"_x0007_`COD|B05267_x0005_`QTY1|1_x0005_`BQC|_x0005_`EQC|_x0005_`JDC|_x0005_`WQC|_x0005_`EDT|_x0005_`ADJ|F_x0005_`DET|"&amp;ROW(일위대가표!A937)&amp;"_x0005_`"</f>
        <v>_x0007_`COD|B05267_x0005_`QTY1|1_x0005_`BQC|_x0005_`EQC|_x0005_`JDC|_x0005_`WQC|_x0005_`EDT|_x0005_`ADJ|F_x0005_`DET|937_x0005_`</v>
      </c>
      <c r="K222" s="3" t="str">
        <f ca="1">HYPERLINK("#"&amp;일위대가표!N2&amp;"!A"&amp;ROW(일위대가표!A937),"대가219 →")</f>
        <v>대가219 →</v>
      </c>
    </row>
    <row r="223" spans="1:11" ht="22.35" customHeight="1" x14ac:dyDescent="0.3">
      <c r="A223" s="9" t="s">
        <v>522</v>
      </c>
      <c r="B223" s="10" t="s">
        <v>518</v>
      </c>
      <c r="C223" s="10" t="s">
        <v>507</v>
      </c>
      <c r="D223" s="9" t="s">
        <v>515</v>
      </c>
      <c r="E223" s="48">
        <f>일위대가표!F943</f>
        <v>300644</v>
      </c>
      <c r="F223" s="47">
        <f>일위대가표!H943</f>
        <v>291888</v>
      </c>
      <c r="G223" s="56">
        <f>일위대가표!J943</f>
        <v>0</v>
      </c>
      <c r="H223" s="48">
        <f>일위대가표!L943</f>
        <v>8756</v>
      </c>
      <c r="I223" s="15" t="s">
        <v>522</v>
      </c>
      <c r="J223" s="17" t="str">
        <f>"_x0007_`COD|B05268_x0005_`QTY1|1_x0005_`BQC|_x0005_`EQC|_x0005_`JDC|_x0005_`WQC|_x0005_`EDT|_x0005_`ADJ|F_x0005_`DET|"&amp;ROW(일위대가표!A941)&amp;"_x0005_`"</f>
        <v>_x0007_`COD|B05268_x0005_`QTY1|1_x0005_`BQC|_x0005_`EQC|_x0005_`JDC|_x0005_`WQC|_x0005_`EDT|_x0005_`ADJ|F_x0005_`DET|941_x0005_`</v>
      </c>
      <c r="K223" s="3" t="str">
        <f ca="1">HYPERLINK("#"&amp;일위대가표!N2&amp;"!A"&amp;ROW(일위대가표!A941),"대가220 →")</f>
        <v>대가220 →</v>
      </c>
    </row>
    <row r="224" spans="1:11" ht="22.35" customHeight="1" x14ac:dyDescent="0.3">
      <c r="A224" s="9" t="s">
        <v>524</v>
      </c>
      <c r="B224" s="10" t="s">
        <v>525</v>
      </c>
      <c r="C224" s="10" t="s">
        <v>501</v>
      </c>
      <c r="D224" s="9" t="s">
        <v>14</v>
      </c>
      <c r="E224" s="48">
        <f>일위대가표!F947</f>
        <v>104363</v>
      </c>
      <c r="F224" s="47">
        <f>일위대가표!H947</f>
        <v>101324</v>
      </c>
      <c r="G224" s="56">
        <f>일위대가표!J947</f>
        <v>0</v>
      </c>
      <c r="H224" s="48">
        <f>일위대가표!L947</f>
        <v>3039</v>
      </c>
      <c r="I224" s="15" t="s">
        <v>524</v>
      </c>
      <c r="J224" s="17" t="str">
        <f>"_x0007_`COD|B05269_x0005_`QTY1|1_x0005_`BQC|_x0005_`EQC|_x0005_`JDC|_x0005_`WQC|_x0005_`EDT|_x0005_`ADJ|F_x0005_`DET|"&amp;ROW(일위대가표!A945)&amp;"_x0005_`"</f>
        <v>_x0007_`COD|B05269_x0005_`QTY1|1_x0005_`BQC|_x0005_`EQC|_x0005_`JDC|_x0005_`WQC|_x0005_`EDT|_x0005_`ADJ|F_x0005_`DET|945_x0005_`</v>
      </c>
      <c r="K224" s="3" t="str">
        <f ca="1">HYPERLINK("#"&amp;일위대가표!N2&amp;"!A"&amp;ROW(일위대가표!A945),"대가221 →")</f>
        <v>대가221 →</v>
      </c>
    </row>
    <row r="225" spans="1:11" ht="22.35" customHeight="1" x14ac:dyDescent="0.3">
      <c r="A225" s="9" t="s">
        <v>527</v>
      </c>
      <c r="B225" s="10" t="s">
        <v>525</v>
      </c>
      <c r="C225" s="10" t="s">
        <v>504</v>
      </c>
      <c r="D225" s="9" t="s">
        <v>14</v>
      </c>
      <c r="E225" s="48">
        <f>일위대가표!F951</f>
        <v>104363</v>
      </c>
      <c r="F225" s="47">
        <f>일위대가표!H951</f>
        <v>101324</v>
      </c>
      <c r="G225" s="56">
        <f>일위대가표!J951</f>
        <v>0</v>
      </c>
      <c r="H225" s="48">
        <f>일위대가표!L951</f>
        <v>3039</v>
      </c>
      <c r="I225" s="15" t="s">
        <v>527</v>
      </c>
      <c r="J225" s="17" t="str">
        <f>"_x0007_`COD|B05270_x0005_`QTY1|1_x0005_`BQC|_x0005_`EQC|_x0005_`JDC|_x0005_`WQC|_x0005_`EDT|_x0005_`ADJ|F_x0005_`DET|"&amp;ROW(일위대가표!A949)&amp;"_x0005_`"</f>
        <v>_x0007_`COD|B05270_x0005_`QTY1|1_x0005_`BQC|_x0005_`EQC|_x0005_`JDC|_x0005_`WQC|_x0005_`EDT|_x0005_`ADJ|F_x0005_`DET|949_x0005_`</v>
      </c>
      <c r="K225" s="3" t="str">
        <f ca="1">HYPERLINK("#"&amp;일위대가표!N2&amp;"!A"&amp;ROW(일위대가표!A949),"대가222 →")</f>
        <v>대가222 →</v>
      </c>
    </row>
    <row r="226" spans="1:11" ht="22.35" customHeight="1" x14ac:dyDescent="0.3">
      <c r="A226" s="9" t="s">
        <v>529</v>
      </c>
      <c r="B226" s="10" t="s">
        <v>525</v>
      </c>
      <c r="C226" s="10" t="s">
        <v>507</v>
      </c>
      <c r="D226" s="9" t="s">
        <v>515</v>
      </c>
      <c r="E226" s="48">
        <f>일위대가표!F955</f>
        <v>120257</v>
      </c>
      <c r="F226" s="47">
        <f>일위대가표!H955</f>
        <v>116755</v>
      </c>
      <c r="G226" s="56">
        <f>일위대가표!J955</f>
        <v>0</v>
      </c>
      <c r="H226" s="48">
        <f>일위대가표!L955</f>
        <v>3502</v>
      </c>
      <c r="I226" s="15" t="s">
        <v>529</v>
      </c>
      <c r="J226" s="17" t="str">
        <f>"_x0007_`COD|B05271_x0005_`QTY1|1_x0005_`BQC|_x0005_`EQC|_x0005_`JDC|_x0005_`WQC|_x0005_`EDT|_x0005_`ADJ|F_x0005_`DET|"&amp;ROW(일위대가표!A953)&amp;"_x0005_`"</f>
        <v>_x0007_`COD|B05271_x0005_`QTY1|1_x0005_`BQC|_x0005_`EQC|_x0005_`JDC|_x0005_`WQC|_x0005_`EDT|_x0005_`ADJ|F_x0005_`DET|953_x0005_`</v>
      </c>
      <c r="K226" s="3" t="str">
        <f ca="1">HYPERLINK("#"&amp;일위대가표!N2&amp;"!A"&amp;ROW(일위대가표!A953),"대가223 →")</f>
        <v>대가223 →</v>
      </c>
    </row>
    <row r="227" spans="1:11" ht="22.35" customHeight="1" x14ac:dyDescent="0.3">
      <c r="A227" s="9" t="s">
        <v>531</v>
      </c>
      <c r="B227" s="10" t="s">
        <v>532</v>
      </c>
      <c r="C227" s="10" t="s">
        <v>533</v>
      </c>
      <c r="D227" s="9" t="s">
        <v>14</v>
      </c>
      <c r="E227" s="48">
        <f>일위대가표!F960</f>
        <v>2236273</v>
      </c>
      <c r="F227" s="47">
        <f>일위대가표!H960</f>
        <v>354635</v>
      </c>
      <c r="G227" s="56">
        <f>일위대가표!J960</f>
        <v>1871000</v>
      </c>
      <c r="H227" s="48">
        <f>일위대가표!L960</f>
        <v>10638</v>
      </c>
      <c r="I227" s="15" t="s">
        <v>531</v>
      </c>
      <c r="J227" s="17" t="str">
        <f>"_x0007_`COD|B04952_x0005_`QTY1|1_x0005_`BQC|_x0005_`EQC|_x0005_`JDC|_x0005_`WQC|_x0005_`EDT|_x0005_`ADJ|F_x0005_`DET|"&amp;ROW(일위대가표!A957)&amp;"_x0005_`"</f>
        <v>_x0007_`COD|B04952_x0005_`QTY1|1_x0005_`BQC|_x0005_`EQC|_x0005_`JDC|_x0005_`WQC|_x0005_`EDT|_x0005_`ADJ|F_x0005_`DET|957_x0005_`</v>
      </c>
      <c r="K227" s="3" t="str">
        <f ca="1">HYPERLINK("#"&amp;일위대가표!N2&amp;"!A"&amp;ROW(일위대가표!A957),"대가224 →")</f>
        <v>대가224 →</v>
      </c>
    </row>
    <row r="228" spans="1:11" ht="22.35" customHeight="1" x14ac:dyDescent="0.3">
      <c r="A228" s="9" t="s">
        <v>535</v>
      </c>
      <c r="B228" s="10" t="s">
        <v>536</v>
      </c>
      <c r="C228" s="10" t="s">
        <v>533</v>
      </c>
      <c r="D228" s="9" t="s">
        <v>14</v>
      </c>
      <c r="E228" s="48">
        <f>일위대가표!F964</f>
        <v>365273</v>
      </c>
      <c r="F228" s="47">
        <f>일위대가표!H964</f>
        <v>354635</v>
      </c>
      <c r="G228" s="56">
        <f>일위대가표!J964</f>
        <v>0</v>
      </c>
      <c r="H228" s="48">
        <f>일위대가표!L964</f>
        <v>10638</v>
      </c>
      <c r="I228" s="15" t="s">
        <v>535</v>
      </c>
      <c r="J228" s="17" t="str">
        <f>"_x0007_`COD|B05272_x0005_`QTY1|1_x0005_`BQC|_x0005_`EQC|_x0005_`JDC|_x0005_`WQC|_x0005_`EDT|_x0005_`ADJ|F_x0005_`DET|"&amp;ROW(일위대가표!A962)&amp;"_x0005_`"</f>
        <v>_x0007_`COD|B05272_x0005_`QTY1|1_x0005_`BQC|_x0005_`EQC|_x0005_`JDC|_x0005_`WQC|_x0005_`EDT|_x0005_`ADJ|F_x0005_`DET|962_x0005_`</v>
      </c>
      <c r="K228" s="3" t="str">
        <f ca="1">HYPERLINK("#"&amp;일위대가표!N2&amp;"!A"&amp;ROW(일위대가표!A962),"대가225 →")</f>
        <v>대가225 →</v>
      </c>
    </row>
    <row r="229" spans="1:11" ht="22.35" customHeight="1" x14ac:dyDescent="0.3">
      <c r="A229" s="9" t="s">
        <v>538</v>
      </c>
      <c r="B229" s="10" t="s">
        <v>539</v>
      </c>
      <c r="C229" s="10" t="s">
        <v>533</v>
      </c>
      <c r="D229" s="9" t="s">
        <v>14</v>
      </c>
      <c r="E229" s="48">
        <f>일위대가표!F968</f>
        <v>260910</v>
      </c>
      <c r="F229" s="47">
        <f>일위대가표!H968</f>
        <v>253311</v>
      </c>
      <c r="G229" s="56">
        <f>일위대가표!J968</f>
        <v>0</v>
      </c>
      <c r="H229" s="48">
        <f>일위대가표!L968</f>
        <v>7599</v>
      </c>
      <c r="I229" s="15" t="s">
        <v>538</v>
      </c>
      <c r="J229" s="17" t="str">
        <f>"_x0007_`COD|B05273_x0005_`QTY1|1_x0005_`BQC|_x0005_`EQC|_x0005_`JDC|_x0005_`WQC|_x0005_`EDT|_x0005_`ADJ|F_x0005_`DET|"&amp;ROW(일위대가표!A966)&amp;"_x0005_`"</f>
        <v>_x0007_`COD|B05273_x0005_`QTY1|1_x0005_`BQC|_x0005_`EQC|_x0005_`JDC|_x0005_`WQC|_x0005_`EDT|_x0005_`ADJ|F_x0005_`DET|966_x0005_`</v>
      </c>
      <c r="K229" s="3" t="str">
        <f ca="1">HYPERLINK("#"&amp;일위대가표!N2&amp;"!A"&amp;ROW(일위대가표!A966),"대가226 →")</f>
        <v>대가226 →</v>
      </c>
    </row>
    <row r="230" spans="1:11" ht="22.35" customHeight="1" x14ac:dyDescent="0.3">
      <c r="A230" s="9" t="s">
        <v>541</v>
      </c>
      <c r="B230" s="10" t="s">
        <v>542</v>
      </c>
      <c r="C230" s="10" t="s">
        <v>533</v>
      </c>
      <c r="D230" s="9" t="s">
        <v>14</v>
      </c>
      <c r="E230" s="48">
        <f>일위대가표!F972</f>
        <v>104363</v>
      </c>
      <c r="F230" s="47">
        <f>일위대가표!H972</f>
        <v>101324</v>
      </c>
      <c r="G230" s="56">
        <f>일위대가표!J972</f>
        <v>0</v>
      </c>
      <c r="H230" s="48">
        <f>일위대가표!L972</f>
        <v>3039</v>
      </c>
      <c r="I230" s="15" t="s">
        <v>541</v>
      </c>
      <c r="J230" s="17" t="str">
        <f>"_x0007_`COD|B05274_x0005_`QTY1|1_x0005_`BQC|_x0005_`EQC|_x0005_`JDC|_x0005_`WQC|_x0005_`EDT|_x0005_`ADJ|F_x0005_`DET|"&amp;ROW(일위대가표!A970)&amp;"_x0005_`"</f>
        <v>_x0007_`COD|B05274_x0005_`QTY1|1_x0005_`BQC|_x0005_`EQC|_x0005_`JDC|_x0005_`WQC|_x0005_`EDT|_x0005_`ADJ|F_x0005_`DET|970_x0005_`</v>
      </c>
      <c r="K230" s="3" t="str">
        <f ca="1">HYPERLINK("#"&amp;일위대가표!N2&amp;"!A"&amp;ROW(일위대가표!A970),"대가227 →")</f>
        <v>대가227 →</v>
      </c>
    </row>
    <row r="231" spans="1:11" ht="22.35" customHeight="1" x14ac:dyDescent="0.3">
      <c r="A231" s="9" t="s">
        <v>544</v>
      </c>
      <c r="B231" s="10" t="s">
        <v>545</v>
      </c>
      <c r="C231" s="10" t="s">
        <v>546</v>
      </c>
      <c r="D231" s="9" t="s">
        <v>14</v>
      </c>
      <c r="E231" s="48">
        <f>일위대가표!F977</f>
        <v>9091907</v>
      </c>
      <c r="F231" s="47">
        <f>일위대가표!H977</f>
        <v>3193989</v>
      </c>
      <c r="G231" s="56">
        <f>일위대가표!J977</f>
        <v>5802100</v>
      </c>
      <c r="H231" s="48">
        <f>일위대가표!L977</f>
        <v>95818</v>
      </c>
      <c r="I231" s="15" t="s">
        <v>544</v>
      </c>
      <c r="J231" s="17" t="str">
        <f>"_x0007_`COD|B04953_x0005_`QTY1|1_x0005_`BQC|_x0005_`EQC|_x0005_`JDC|_x0005_`WQC|_x0005_`EDT|_x0005_`ADJ|F_x0005_`DET|"&amp;ROW(일위대가표!A974)&amp;"_x0005_`"</f>
        <v>_x0007_`COD|B04953_x0005_`QTY1|1_x0005_`BQC|_x0005_`EQC|_x0005_`JDC|_x0005_`WQC|_x0005_`EDT|_x0005_`ADJ|F_x0005_`DET|974_x0005_`</v>
      </c>
      <c r="K231" s="3" t="str">
        <f ca="1">HYPERLINK("#"&amp;일위대가표!N2&amp;"!A"&amp;ROW(일위대가표!A974),"대가228 →")</f>
        <v>대가228 →</v>
      </c>
    </row>
    <row r="232" spans="1:11" ht="22.35" customHeight="1" x14ac:dyDescent="0.3">
      <c r="A232" s="9" t="s">
        <v>548</v>
      </c>
      <c r="B232" s="10" t="s">
        <v>549</v>
      </c>
      <c r="C232" s="10" t="s">
        <v>546</v>
      </c>
      <c r="D232" s="9" t="s">
        <v>14</v>
      </c>
      <c r="E232" s="48">
        <f>일위대가표!F981</f>
        <v>3289807</v>
      </c>
      <c r="F232" s="47">
        <f>일위대가표!H981</f>
        <v>3193989</v>
      </c>
      <c r="G232" s="56">
        <f>일위대가표!J981</f>
        <v>0</v>
      </c>
      <c r="H232" s="48">
        <f>일위대가표!L981</f>
        <v>95818</v>
      </c>
      <c r="I232" s="15" t="s">
        <v>548</v>
      </c>
      <c r="J232" s="17" t="str">
        <f>"_x0007_`COD|B05275_x0005_`QTY1|1_x0005_`BQC|_x0005_`EQC|_x0005_`JDC|_x0005_`WQC|_x0005_`EDT|_x0005_`ADJ|F_x0005_`DET|"&amp;ROW(일위대가표!A979)&amp;"_x0005_`"</f>
        <v>_x0007_`COD|B05275_x0005_`QTY1|1_x0005_`BQC|_x0005_`EQC|_x0005_`JDC|_x0005_`WQC|_x0005_`EDT|_x0005_`ADJ|F_x0005_`DET|979_x0005_`</v>
      </c>
      <c r="K232" s="3" t="str">
        <f ca="1">HYPERLINK("#"&amp;일위대가표!N2&amp;"!A"&amp;ROW(일위대가표!A979),"대가229 →")</f>
        <v>대가229 →</v>
      </c>
    </row>
    <row r="233" spans="1:11" ht="22.35" customHeight="1" x14ac:dyDescent="0.3">
      <c r="A233" s="9" t="s">
        <v>551</v>
      </c>
      <c r="B233" s="10" t="s">
        <v>552</v>
      </c>
      <c r="C233" s="10" t="s">
        <v>546</v>
      </c>
      <c r="D233" s="9" t="s">
        <v>14</v>
      </c>
      <c r="E233" s="48">
        <f>일위대가표!F985</f>
        <v>2349863</v>
      </c>
      <c r="F233" s="47">
        <f>일위대가표!H985</f>
        <v>2281421</v>
      </c>
      <c r="G233" s="56">
        <f>일위대가표!J985</f>
        <v>0</v>
      </c>
      <c r="H233" s="48">
        <f>일위대가표!L985</f>
        <v>68442</v>
      </c>
      <c r="I233" s="15" t="s">
        <v>551</v>
      </c>
      <c r="J233" s="17" t="str">
        <f>"_x0007_`COD|B05276_x0005_`QTY1|1_x0005_`BQC|_x0005_`EQC|_x0005_`JDC|_x0005_`WQC|_x0005_`EDT|_x0005_`ADJ|F_x0005_`DET|"&amp;ROW(일위대가표!A983)&amp;"_x0005_`"</f>
        <v>_x0007_`COD|B05276_x0005_`QTY1|1_x0005_`BQC|_x0005_`EQC|_x0005_`JDC|_x0005_`WQC|_x0005_`EDT|_x0005_`ADJ|F_x0005_`DET|983_x0005_`</v>
      </c>
      <c r="K233" s="3" t="str">
        <f ca="1">HYPERLINK("#"&amp;일위대가표!N2&amp;"!A"&amp;ROW(일위대가표!A983),"대가230 →")</f>
        <v>대가230 →</v>
      </c>
    </row>
    <row r="234" spans="1:11" ht="22.35" customHeight="1" x14ac:dyDescent="0.3">
      <c r="A234" s="9" t="s">
        <v>554</v>
      </c>
      <c r="B234" s="10" t="s">
        <v>555</v>
      </c>
      <c r="C234" s="10" t="s">
        <v>546</v>
      </c>
      <c r="D234" s="9" t="s">
        <v>14</v>
      </c>
      <c r="E234" s="48">
        <f>일위대가표!F989</f>
        <v>939944</v>
      </c>
      <c r="F234" s="47">
        <f>일위대가표!H989</f>
        <v>912568</v>
      </c>
      <c r="G234" s="56">
        <f>일위대가표!J989</f>
        <v>0</v>
      </c>
      <c r="H234" s="48">
        <f>일위대가표!L989</f>
        <v>27376</v>
      </c>
      <c r="I234" s="15" t="s">
        <v>554</v>
      </c>
      <c r="J234" s="17" t="str">
        <f>"_x0007_`COD|B05277_x0005_`QTY1|1_x0005_`BQC|_x0005_`EQC|_x0005_`JDC|_x0005_`WQC|_x0005_`EDT|_x0005_`ADJ|F_x0005_`DET|"&amp;ROW(일위대가표!A987)&amp;"_x0005_`"</f>
        <v>_x0007_`COD|B05277_x0005_`QTY1|1_x0005_`BQC|_x0005_`EQC|_x0005_`JDC|_x0005_`WQC|_x0005_`EDT|_x0005_`ADJ|F_x0005_`DET|987_x0005_`</v>
      </c>
      <c r="K234" s="3" t="str">
        <f ca="1">HYPERLINK("#"&amp;일위대가표!N2&amp;"!A"&amp;ROW(일위대가표!A987),"대가231 →")</f>
        <v>대가231 →</v>
      </c>
    </row>
    <row r="235" spans="1:11" ht="22.35" customHeight="1" x14ac:dyDescent="0.3">
      <c r="A235" s="9" t="s">
        <v>557</v>
      </c>
      <c r="B235" s="10" t="s">
        <v>558</v>
      </c>
      <c r="C235" s="10" t="s">
        <v>559</v>
      </c>
      <c r="D235" s="9" t="s">
        <v>14</v>
      </c>
      <c r="E235" s="48">
        <f>일위대가표!F994</f>
        <v>8753707</v>
      </c>
      <c r="F235" s="47">
        <f>일위대가표!H994</f>
        <v>3193989</v>
      </c>
      <c r="G235" s="56">
        <f>일위대가표!J994</f>
        <v>5463900</v>
      </c>
      <c r="H235" s="48">
        <f>일위대가표!L994</f>
        <v>95818</v>
      </c>
      <c r="I235" s="15" t="s">
        <v>557</v>
      </c>
      <c r="J235" s="17" t="str">
        <f>"_x0007_`COD|B04954_x0005_`QTY1|1_x0005_`BQC|_x0005_`EQC|_x0005_`JDC|_x0005_`WQC|_x0005_`EDT|_x0005_`ADJ|F_x0005_`DET|"&amp;ROW(일위대가표!A991)&amp;"_x0005_`"</f>
        <v>_x0007_`COD|B04954_x0005_`QTY1|1_x0005_`BQC|_x0005_`EQC|_x0005_`JDC|_x0005_`WQC|_x0005_`EDT|_x0005_`ADJ|F_x0005_`DET|991_x0005_`</v>
      </c>
      <c r="K235" s="3" t="str">
        <f ca="1">HYPERLINK("#"&amp;일위대가표!N2&amp;"!A"&amp;ROW(일위대가표!A991),"대가232 →")</f>
        <v>대가232 →</v>
      </c>
    </row>
    <row r="236" spans="1:11" ht="22.35" customHeight="1" x14ac:dyDescent="0.3">
      <c r="A236" s="9" t="s">
        <v>561</v>
      </c>
      <c r="B236" s="10" t="s">
        <v>562</v>
      </c>
      <c r="C236" s="10" t="s">
        <v>559</v>
      </c>
      <c r="D236" s="9" t="s">
        <v>14</v>
      </c>
      <c r="E236" s="48">
        <f>일위대가표!F998</f>
        <v>3289807</v>
      </c>
      <c r="F236" s="47">
        <f>일위대가표!H998</f>
        <v>3193989</v>
      </c>
      <c r="G236" s="56">
        <f>일위대가표!J998</f>
        <v>0</v>
      </c>
      <c r="H236" s="48">
        <f>일위대가표!L998</f>
        <v>95818</v>
      </c>
      <c r="I236" s="15" t="s">
        <v>561</v>
      </c>
      <c r="J236" s="17" t="str">
        <f>"_x0007_`COD|B05278_x0005_`QTY1|1_x0005_`BQC|_x0005_`EQC|_x0005_`JDC|_x0005_`WQC|_x0005_`EDT|_x0005_`ADJ|F_x0005_`DET|"&amp;ROW(일위대가표!A996)&amp;"_x0005_`"</f>
        <v>_x0007_`COD|B05278_x0005_`QTY1|1_x0005_`BQC|_x0005_`EQC|_x0005_`JDC|_x0005_`WQC|_x0005_`EDT|_x0005_`ADJ|F_x0005_`DET|996_x0005_`</v>
      </c>
      <c r="K236" s="3" t="str">
        <f ca="1">HYPERLINK("#"&amp;일위대가표!N2&amp;"!A"&amp;ROW(일위대가표!A996),"대가233 →")</f>
        <v>대가233 →</v>
      </c>
    </row>
    <row r="237" spans="1:11" ht="22.35" customHeight="1" x14ac:dyDescent="0.3">
      <c r="A237" s="9" t="s">
        <v>564</v>
      </c>
      <c r="B237" s="10" t="s">
        <v>565</v>
      </c>
      <c r="C237" s="10" t="s">
        <v>559</v>
      </c>
      <c r="D237" s="9" t="s">
        <v>14</v>
      </c>
      <c r="E237" s="48">
        <f>일위대가표!F1002</f>
        <v>2349863</v>
      </c>
      <c r="F237" s="47">
        <f>일위대가표!H1002</f>
        <v>2281421</v>
      </c>
      <c r="G237" s="56">
        <f>일위대가표!J1002</f>
        <v>0</v>
      </c>
      <c r="H237" s="48">
        <f>일위대가표!L1002</f>
        <v>68442</v>
      </c>
      <c r="I237" s="15" t="s">
        <v>564</v>
      </c>
      <c r="J237" s="17" t="str">
        <f>"_x0007_`COD|B05279_x0005_`QTY1|1_x0005_`BQC|_x0005_`EQC|_x0005_`JDC|_x0005_`WQC|_x0005_`EDT|_x0005_`ADJ|F_x0005_`DET|"&amp;ROW(일위대가표!A1000)&amp;"_x0005_`"</f>
        <v>_x0007_`COD|B05279_x0005_`QTY1|1_x0005_`BQC|_x0005_`EQC|_x0005_`JDC|_x0005_`WQC|_x0005_`EDT|_x0005_`ADJ|F_x0005_`DET|1000_x0005_`</v>
      </c>
      <c r="K237" s="3" t="str">
        <f ca="1">HYPERLINK("#"&amp;일위대가표!N2&amp;"!A"&amp;ROW(일위대가표!A1000),"대가234 →")</f>
        <v>대가234 →</v>
      </c>
    </row>
    <row r="238" spans="1:11" ht="22.35" customHeight="1" x14ac:dyDescent="0.3">
      <c r="A238" s="9" t="s">
        <v>567</v>
      </c>
      <c r="B238" s="10" t="s">
        <v>568</v>
      </c>
      <c r="C238" s="10" t="s">
        <v>559</v>
      </c>
      <c r="D238" s="9" t="s">
        <v>14</v>
      </c>
      <c r="E238" s="48">
        <f>일위대가표!F1006</f>
        <v>939944</v>
      </c>
      <c r="F238" s="47">
        <f>일위대가표!H1006</f>
        <v>912568</v>
      </c>
      <c r="G238" s="56">
        <f>일위대가표!J1006</f>
        <v>0</v>
      </c>
      <c r="H238" s="48">
        <f>일위대가표!L1006</f>
        <v>27376</v>
      </c>
      <c r="I238" s="15" t="s">
        <v>567</v>
      </c>
      <c r="J238" s="17" t="str">
        <f>"_x0007_`COD|B05280_x0005_`QTY1|1_x0005_`BQC|_x0005_`EQC|_x0005_`JDC|_x0005_`WQC|_x0005_`EDT|_x0005_`ADJ|F_x0005_`DET|"&amp;ROW(일위대가표!A1004)&amp;"_x0005_`"</f>
        <v>_x0007_`COD|B05280_x0005_`QTY1|1_x0005_`BQC|_x0005_`EQC|_x0005_`JDC|_x0005_`WQC|_x0005_`EDT|_x0005_`ADJ|F_x0005_`DET|1004_x0005_`</v>
      </c>
      <c r="K238" s="3" t="str">
        <f ca="1">HYPERLINK("#"&amp;일위대가표!N2&amp;"!A"&amp;ROW(일위대가표!A1004),"대가235 →")</f>
        <v>대가235 →</v>
      </c>
    </row>
    <row r="239" spans="1:11" ht="22.35" customHeight="1" x14ac:dyDescent="0.3">
      <c r="A239" s="9" t="s">
        <v>570</v>
      </c>
      <c r="B239" s="10" t="s">
        <v>571</v>
      </c>
      <c r="C239" s="10" t="s">
        <v>572</v>
      </c>
      <c r="D239" s="9" t="s">
        <v>14</v>
      </c>
      <c r="E239" s="48">
        <f>일위대가표!F1011</f>
        <v>2027994</v>
      </c>
      <c r="F239" s="47">
        <f>일위대가표!H1011</f>
        <v>320383</v>
      </c>
      <c r="G239" s="56">
        <f>일위대가표!J1011</f>
        <v>1698000</v>
      </c>
      <c r="H239" s="48">
        <f>일위대가표!L1011</f>
        <v>9611</v>
      </c>
      <c r="I239" s="15" t="s">
        <v>570</v>
      </c>
      <c r="J239" s="17" t="str">
        <f>"_x0007_`COD|B04955_x0005_`QTY1|1_x0005_`BQC|_x0005_`EQC|_x0005_`JDC|_x0005_`WQC|_x0005_`EDT|_x0005_`ADJ|F_x0005_`DET|"&amp;ROW(일위대가표!A1008)&amp;"_x0005_`"</f>
        <v>_x0007_`COD|B04955_x0005_`QTY1|1_x0005_`BQC|_x0005_`EQC|_x0005_`JDC|_x0005_`WQC|_x0005_`EDT|_x0005_`ADJ|F_x0005_`DET|1008_x0005_`</v>
      </c>
      <c r="K239" s="3" t="str">
        <f ca="1">HYPERLINK("#"&amp;일위대가표!N2&amp;"!A"&amp;ROW(일위대가표!A1008),"대가236 →")</f>
        <v>대가236 →</v>
      </c>
    </row>
    <row r="240" spans="1:11" ht="22.35" customHeight="1" x14ac:dyDescent="0.3">
      <c r="A240" s="9" t="s">
        <v>574</v>
      </c>
      <c r="B240" s="10" t="s">
        <v>571</v>
      </c>
      <c r="C240" s="10" t="s">
        <v>575</v>
      </c>
      <c r="D240" s="9" t="s">
        <v>14</v>
      </c>
      <c r="E240" s="48">
        <f>일위대가표!F1016</f>
        <v>2897273</v>
      </c>
      <c r="F240" s="47">
        <f>일위대가표!H1016</f>
        <v>354635</v>
      </c>
      <c r="G240" s="56">
        <f>일위대가표!J1016</f>
        <v>2532000</v>
      </c>
      <c r="H240" s="48">
        <f>일위대가표!L1016</f>
        <v>10638</v>
      </c>
      <c r="I240" s="15" t="s">
        <v>574</v>
      </c>
      <c r="J240" s="17" t="str">
        <f>"_x0007_`COD|B04956_x0005_`QTY1|1_x0005_`BQC|_x0005_`EQC|_x0005_`JDC|_x0005_`WQC|_x0005_`EDT|_x0005_`ADJ|F_x0005_`DET|"&amp;ROW(일위대가표!A1013)&amp;"_x0005_`"</f>
        <v>_x0007_`COD|B04956_x0005_`QTY1|1_x0005_`BQC|_x0005_`EQC|_x0005_`JDC|_x0005_`WQC|_x0005_`EDT|_x0005_`ADJ|F_x0005_`DET|1013_x0005_`</v>
      </c>
      <c r="K240" s="3" t="str">
        <f ca="1">HYPERLINK("#"&amp;일위대가표!N2&amp;"!A"&amp;ROW(일위대가표!A1013),"대가237 →")</f>
        <v>대가237 →</v>
      </c>
    </row>
    <row r="241" spans="1:11" ht="22.35" customHeight="1" x14ac:dyDescent="0.3">
      <c r="A241" s="9" t="s">
        <v>577</v>
      </c>
      <c r="B241" s="10" t="s">
        <v>571</v>
      </c>
      <c r="C241" s="10" t="s">
        <v>578</v>
      </c>
      <c r="D241" s="9" t="s">
        <v>14</v>
      </c>
      <c r="E241" s="48">
        <f>일위대가표!F1021</f>
        <v>4446901</v>
      </c>
      <c r="F241" s="47">
        <f>일위대가표!H1021</f>
        <v>408643</v>
      </c>
      <c r="G241" s="56">
        <f>일위대가표!J1021</f>
        <v>4026000</v>
      </c>
      <c r="H241" s="48">
        <f>일위대가표!L1021</f>
        <v>12258</v>
      </c>
      <c r="I241" s="15" t="s">
        <v>577</v>
      </c>
      <c r="J241" s="17" t="str">
        <f>"_x0007_`COD|B04957_x0005_`QTY1|1_x0005_`BQC|_x0005_`EQC|_x0005_`JDC|_x0005_`WQC|_x0005_`EDT|_x0005_`ADJ|F_x0005_`DET|"&amp;ROW(일위대가표!A1018)&amp;"_x0005_`"</f>
        <v>_x0007_`COD|B04957_x0005_`QTY1|1_x0005_`BQC|_x0005_`EQC|_x0005_`JDC|_x0005_`WQC|_x0005_`EDT|_x0005_`ADJ|F_x0005_`DET|1018_x0005_`</v>
      </c>
      <c r="K241" s="3" t="str">
        <f ca="1">HYPERLINK("#"&amp;일위대가표!N2&amp;"!A"&amp;ROW(일위대가표!A1018),"대가238 →")</f>
        <v>대가238 →</v>
      </c>
    </row>
    <row r="242" spans="1:11" ht="22.35" customHeight="1" x14ac:dyDescent="0.3">
      <c r="A242" s="9" t="s">
        <v>580</v>
      </c>
      <c r="B242" s="10" t="s">
        <v>571</v>
      </c>
      <c r="C242" s="10" t="s">
        <v>581</v>
      </c>
      <c r="D242" s="9" t="s">
        <v>14</v>
      </c>
      <c r="E242" s="48">
        <f>일위대가표!F1026</f>
        <v>3765348</v>
      </c>
      <c r="F242" s="47">
        <f>일위대가표!H1026</f>
        <v>469271</v>
      </c>
      <c r="G242" s="56">
        <f>일위대가표!J1026</f>
        <v>3282000</v>
      </c>
      <c r="H242" s="48">
        <f>일위대가표!L1026</f>
        <v>14077</v>
      </c>
      <c r="I242" s="15" t="s">
        <v>580</v>
      </c>
      <c r="J242" s="17" t="str">
        <f>"_x0007_`COD|B04958_x0005_`QTY1|1_x0005_`BQC|_x0005_`EQC|_x0005_`JDC|_x0005_`WQC|_x0005_`EDT|_x0005_`ADJ|F_x0005_`DET|"&amp;ROW(일위대가표!A1023)&amp;"_x0005_`"</f>
        <v>_x0007_`COD|B04958_x0005_`QTY1|1_x0005_`BQC|_x0005_`EQC|_x0005_`JDC|_x0005_`WQC|_x0005_`EDT|_x0005_`ADJ|F_x0005_`DET|1023_x0005_`</v>
      </c>
      <c r="K242" s="3" t="str">
        <f ca="1">HYPERLINK("#"&amp;일위대가표!N2&amp;"!A"&amp;ROW(일위대가표!A1023),"대가239 →")</f>
        <v>대가239 →</v>
      </c>
    </row>
    <row r="243" spans="1:11" ht="22.35" customHeight="1" x14ac:dyDescent="0.3">
      <c r="A243" s="9" t="s">
        <v>583</v>
      </c>
      <c r="B243" s="10" t="s">
        <v>571</v>
      </c>
      <c r="C243" s="10" t="s">
        <v>584</v>
      </c>
      <c r="D243" s="9" t="s">
        <v>14</v>
      </c>
      <c r="E243" s="48">
        <f>일위대가표!F1031</f>
        <v>6142390</v>
      </c>
      <c r="F243" s="47">
        <f>일위대가표!H1031</f>
        <v>161544</v>
      </c>
      <c r="G243" s="56">
        <f>일위대가표!J1031</f>
        <v>5976000</v>
      </c>
      <c r="H243" s="48">
        <f>일위대가표!L1031</f>
        <v>4846</v>
      </c>
      <c r="I243" s="15" t="s">
        <v>583</v>
      </c>
      <c r="J243" s="17" t="str">
        <f>"_x0007_`COD|B04959_x0005_`QTY1|1_x0005_`BQC|_x0005_`EQC|_x0005_`JDC|_x0005_`WQC|_x0005_`EDT|_x0005_`ADJ|F_x0005_`DET|"&amp;ROW(일위대가표!A1028)&amp;"_x0005_`"</f>
        <v>_x0007_`COD|B04959_x0005_`QTY1|1_x0005_`BQC|_x0005_`EQC|_x0005_`JDC|_x0005_`WQC|_x0005_`EDT|_x0005_`ADJ|F_x0005_`DET|1028_x0005_`</v>
      </c>
      <c r="K243" s="3" t="str">
        <f ca="1">HYPERLINK("#"&amp;일위대가표!N2&amp;"!A"&amp;ROW(일위대가표!A1028),"대가240 →")</f>
        <v>대가240 →</v>
      </c>
    </row>
    <row r="244" spans="1:11" ht="22.35" customHeight="1" x14ac:dyDescent="0.3">
      <c r="A244" s="9" t="s">
        <v>586</v>
      </c>
      <c r="B244" s="10" t="s">
        <v>571</v>
      </c>
      <c r="C244" s="10" t="s">
        <v>587</v>
      </c>
      <c r="D244" s="9" t="s">
        <v>14</v>
      </c>
      <c r="E244" s="48">
        <f>일위대가표!F1036</f>
        <v>6812777</v>
      </c>
      <c r="F244" s="47">
        <f>일위대가표!H1036</f>
        <v>713377</v>
      </c>
      <c r="G244" s="56">
        <f>일위대가표!J1036</f>
        <v>6078000</v>
      </c>
      <c r="H244" s="48">
        <f>일위대가표!L1036</f>
        <v>21400</v>
      </c>
      <c r="I244" s="15" t="s">
        <v>586</v>
      </c>
      <c r="J244" s="17" t="str">
        <f>"_x0007_`COD|B04960_x0005_`QTY1|1_x0005_`BQC|_x0005_`EQC|_x0005_`JDC|_x0005_`WQC|_x0005_`EDT|_x0005_`ADJ|F_x0005_`DET|"&amp;ROW(일위대가표!A1033)&amp;"_x0005_`"</f>
        <v>_x0007_`COD|B04960_x0005_`QTY1|1_x0005_`BQC|_x0005_`EQC|_x0005_`JDC|_x0005_`WQC|_x0005_`EDT|_x0005_`ADJ|F_x0005_`DET|1033_x0005_`</v>
      </c>
      <c r="K244" s="3" t="str">
        <f ca="1">HYPERLINK("#"&amp;일위대가표!N2&amp;"!A"&amp;ROW(일위대가표!A1033),"대가241 →")</f>
        <v>대가241 →</v>
      </c>
    </row>
    <row r="245" spans="1:11" ht="22.35" customHeight="1" x14ac:dyDescent="0.3">
      <c r="A245" s="9" t="s">
        <v>589</v>
      </c>
      <c r="B245" s="10" t="s">
        <v>571</v>
      </c>
      <c r="C245" s="10" t="s">
        <v>590</v>
      </c>
      <c r="D245" s="9" t="s">
        <v>14</v>
      </c>
      <c r="E245" s="48">
        <f>일위대가표!F1041</f>
        <v>8963410</v>
      </c>
      <c r="F245" s="47">
        <f>일위대가표!H1041</f>
        <v>896515</v>
      </c>
      <c r="G245" s="56">
        <f>일위대가표!J1041</f>
        <v>8040000</v>
      </c>
      <c r="H245" s="48">
        <f>일위대가표!L1041</f>
        <v>26895</v>
      </c>
      <c r="I245" s="15" t="s">
        <v>589</v>
      </c>
      <c r="J245" s="17" t="str">
        <f>"_x0007_`COD|B04961_x0005_`QTY1|1_x0005_`BQC|_x0005_`EQC|_x0005_`JDC|_x0005_`WQC|_x0005_`EDT|_x0005_`ADJ|F_x0005_`DET|"&amp;ROW(일위대가표!A1038)&amp;"_x0005_`"</f>
        <v>_x0007_`COD|B04961_x0005_`QTY1|1_x0005_`BQC|_x0005_`EQC|_x0005_`JDC|_x0005_`WQC|_x0005_`EDT|_x0005_`ADJ|F_x0005_`DET|1038_x0005_`</v>
      </c>
      <c r="K245" s="3" t="str">
        <f ca="1">HYPERLINK("#"&amp;일위대가표!N2&amp;"!A"&amp;ROW(일위대가표!A1038),"대가242 →")</f>
        <v>대가242 →</v>
      </c>
    </row>
    <row r="246" spans="1:11" ht="22.35" customHeight="1" x14ac:dyDescent="0.3">
      <c r="A246" s="9" t="s">
        <v>592</v>
      </c>
      <c r="B246" s="10" t="s">
        <v>571</v>
      </c>
      <c r="C246" s="10" t="s">
        <v>593</v>
      </c>
      <c r="D246" s="9" t="s">
        <v>14</v>
      </c>
      <c r="E246" s="48">
        <f>일위대가표!F1046</f>
        <v>10622333</v>
      </c>
      <c r="F246" s="47">
        <f>일위대가표!H1046</f>
        <v>951780</v>
      </c>
      <c r="G246" s="56">
        <f>일위대가표!J1046</f>
        <v>9642000</v>
      </c>
      <c r="H246" s="48">
        <f>일위대가표!L1046</f>
        <v>28553</v>
      </c>
      <c r="I246" s="15" t="s">
        <v>592</v>
      </c>
      <c r="J246" s="17" t="str">
        <f>"_x0007_`COD|B04962_x0005_`QTY1|1_x0005_`BQC|_x0005_`EQC|_x0005_`JDC|_x0005_`WQC|_x0005_`EDT|_x0005_`ADJ|F_x0005_`DET|"&amp;ROW(일위대가표!A1043)&amp;"_x0005_`"</f>
        <v>_x0007_`COD|B04962_x0005_`QTY1|1_x0005_`BQC|_x0005_`EQC|_x0005_`JDC|_x0005_`WQC|_x0005_`EDT|_x0005_`ADJ|F_x0005_`DET|1043_x0005_`</v>
      </c>
      <c r="K246" s="3" t="str">
        <f ca="1">HYPERLINK("#"&amp;일위대가표!N2&amp;"!A"&amp;ROW(일위대가표!A1043),"대가243 →")</f>
        <v>대가243 →</v>
      </c>
    </row>
    <row r="247" spans="1:11" ht="22.35" customHeight="1" x14ac:dyDescent="0.3">
      <c r="A247" s="9" t="s">
        <v>595</v>
      </c>
      <c r="B247" s="10" t="s">
        <v>571</v>
      </c>
      <c r="C247" s="10" t="s">
        <v>596</v>
      </c>
      <c r="D247" s="9" t="s">
        <v>14</v>
      </c>
      <c r="E247" s="48">
        <f>일위대가표!F1051</f>
        <v>15461750</v>
      </c>
      <c r="F247" s="47">
        <f>일위대가표!H1051</f>
        <v>1537622</v>
      </c>
      <c r="G247" s="56">
        <f>일위대가표!J1051</f>
        <v>13878000</v>
      </c>
      <c r="H247" s="48">
        <f>일위대가표!L1051</f>
        <v>46128</v>
      </c>
      <c r="I247" s="15" t="s">
        <v>595</v>
      </c>
      <c r="J247" s="17" t="str">
        <f>"_x0007_`COD|B04963_x0005_`QTY1|1_x0005_`BQC|_x0005_`EQC|_x0005_`JDC|_x0005_`WQC|_x0005_`EDT|_x0005_`ADJ|F_x0005_`DET|"&amp;ROW(일위대가표!A1048)&amp;"_x0005_`"</f>
        <v>_x0007_`COD|B04963_x0005_`QTY1|1_x0005_`BQC|_x0005_`EQC|_x0005_`JDC|_x0005_`WQC|_x0005_`EDT|_x0005_`ADJ|F_x0005_`DET|1048_x0005_`</v>
      </c>
      <c r="K247" s="3" t="str">
        <f ca="1">HYPERLINK("#"&amp;일위대가표!N2&amp;"!A"&amp;ROW(일위대가표!A1048),"대가244 →")</f>
        <v>대가244 →</v>
      </c>
    </row>
    <row r="248" spans="1:11" ht="22.35" customHeight="1" x14ac:dyDescent="0.3">
      <c r="A248" s="9" t="s">
        <v>598</v>
      </c>
      <c r="B248" s="10" t="s">
        <v>571</v>
      </c>
      <c r="C248" s="10" t="s">
        <v>599</v>
      </c>
      <c r="D248" s="9" t="s">
        <v>14</v>
      </c>
      <c r="E248" s="48">
        <f>일위대가표!F1056</f>
        <v>18236750</v>
      </c>
      <c r="F248" s="47">
        <f>일위대가표!H1056</f>
        <v>1537622</v>
      </c>
      <c r="G248" s="56">
        <f>일위대가표!J1056</f>
        <v>16653000</v>
      </c>
      <c r="H248" s="48">
        <f>일위대가표!L1056</f>
        <v>46128</v>
      </c>
      <c r="I248" s="15" t="s">
        <v>598</v>
      </c>
      <c r="J248" s="17" t="str">
        <f>"_x0007_`COD|B04964_x0005_`QTY1|1_x0005_`BQC|_x0005_`EQC|_x0005_`JDC|_x0005_`WQC|_x0005_`EDT|_x0005_`ADJ|F_x0005_`DET|"&amp;ROW(일위대가표!A1053)&amp;"_x0005_`"</f>
        <v>_x0007_`COD|B04964_x0005_`QTY1|1_x0005_`BQC|_x0005_`EQC|_x0005_`JDC|_x0005_`WQC|_x0005_`EDT|_x0005_`ADJ|F_x0005_`DET|1053_x0005_`</v>
      </c>
      <c r="K248" s="3" t="str">
        <f ca="1">HYPERLINK("#"&amp;일위대가표!N2&amp;"!A"&amp;ROW(일위대가표!A1053),"대가245 →")</f>
        <v>대가245 →</v>
      </c>
    </row>
    <row r="249" spans="1:11" ht="22.35" customHeight="1" x14ac:dyDescent="0.3">
      <c r="A249" s="9" t="s">
        <v>601</v>
      </c>
      <c r="B249" s="10" t="s">
        <v>571</v>
      </c>
      <c r="C249" s="10" t="s">
        <v>602</v>
      </c>
      <c r="D249" s="9" t="s">
        <v>14</v>
      </c>
      <c r="E249" s="48">
        <f>일위대가표!F1061</f>
        <v>22028858</v>
      </c>
      <c r="F249" s="47">
        <f>일위대가표!H1061</f>
        <v>1985300</v>
      </c>
      <c r="G249" s="56">
        <f>일위대가표!J1061</f>
        <v>19984000</v>
      </c>
      <c r="H249" s="48">
        <f>일위대가표!L1061</f>
        <v>59558</v>
      </c>
      <c r="I249" s="15" t="s">
        <v>601</v>
      </c>
      <c r="J249" s="17" t="str">
        <f>"_x0007_`COD|B04965_x0005_`QTY1|1_x0005_`BQC|_x0005_`EQC|_x0005_`JDC|_x0005_`WQC|_x0005_`EDT|_x0005_`ADJ|F_x0005_`DET|"&amp;ROW(일위대가표!A1058)&amp;"_x0005_`"</f>
        <v>_x0007_`COD|B04965_x0005_`QTY1|1_x0005_`BQC|_x0005_`EQC|_x0005_`JDC|_x0005_`WQC|_x0005_`EDT|_x0005_`ADJ|F_x0005_`DET|1058_x0005_`</v>
      </c>
      <c r="K249" s="3" t="str">
        <f ca="1">HYPERLINK("#"&amp;일위대가표!N2&amp;"!A"&amp;ROW(일위대가표!A1058),"대가246 →")</f>
        <v>대가246 →</v>
      </c>
    </row>
    <row r="250" spans="1:11" ht="22.35" customHeight="1" x14ac:dyDescent="0.3">
      <c r="A250" s="9" t="s">
        <v>604</v>
      </c>
      <c r="B250" s="10" t="s">
        <v>571</v>
      </c>
      <c r="C250" s="10" t="s">
        <v>605</v>
      </c>
      <c r="D250" s="9" t="s">
        <v>14</v>
      </c>
      <c r="E250" s="48">
        <f>일위대가표!F1066</f>
        <v>27270807</v>
      </c>
      <c r="F250" s="47">
        <f>일위대가표!H1066</f>
        <v>3193989</v>
      </c>
      <c r="G250" s="56">
        <f>일위대가표!J1066</f>
        <v>23981000</v>
      </c>
      <c r="H250" s="48">
        <f>일위대가표!L1066</f>
        <v>95818</v>
      </c>
      <c r="I250" s="15" t="s">
        <v>604</v>
      </c>
      <c r="J250" s="17" t="str">
        <f>"_x0007_`COD|B04966_x0005_`QTY1|1_x0005_`BQC|_x0005_`EQC|_x0005_`JDC|_x0005_`WQC|_x0005_`EDT|_x0005_`ADJ|F_x0005_`DET|"&amp;ROW(일위대가표!A1063)&amp;"_x0005_`"</f>
        <v>_x0007_`COD|B04966_x0005_`QTY1|1_x0005_`BQC|_x0005_`EQC|_x0005_`JDC|_x0005_`WQC|_x0005_`EDT|_x0005_`ADJ|F_x0005_`DET|1063_x0005_`</v>
      </c>
      <c r="K250" s="3" t="str">
        <f ca="1">HYPERLINK("#"&amp;일위대가표!N2&amp;"!A"&amp;ROW(일위대가표!A1063),"대가247 →")</f>
        <v>대가247 →</v>
      </c>
    </row>
    <row r="251" spans="1:11" ht="22.35" customHeight="1" x14ac:dyDescent="0.3">
      <c r="A251" s="9" t="s">
        <v>607</v>
      </c>
      <c r="B251" s="10" t="s">
        <v>608</v>
      </c>
      <c r="C251" s="10" t="s">
        <v>572</v>
      </c>
      <c r="D251" s="9" t="s">
        <v>14</v>
      </c>
      <c r="E251" s="48">
        <f>일위대가표!F1070</f>
        <v>329994</v>
      </c>
      <c r="F251" s="47">
        <f>일위대가표!H1070</f>
        <v>320383</v>
      </c>
      <c r="G251" s="56">
        <f>일위대가표!J1070</f>
        <v>0</v>
      </c>
      <c r="H251" s="48">
        <f>일위대가표!L1070</f>
        <v>9611</v>
      </c>
      <c r="I251" s="15" t="s">
        <v>607</v>
      </c>
      <c r="J251" s="17" t="str">
        <f>"_x0007_`COD|B05281_x0005_`QTY1|1_x0005_`BQC|_x0005_`EQC|_x0005_`JDC|_x0005_`WQC|_x0005_`EDT|_x0005_`ADJ|F_x0005_`DET|"&amp;ROW(일위대가표!A1068)&amp;"_x0005_`"</f>
        <v>_x0007_`COD|B05281_x0005_`QTY1|1_x0005_`BQC|_x0005_`EQC|_x0005_`JDC|_x0005_`WQC|_x0005_`EDT|_x0005_`ADJ|F_x0005_`DET|1068_x0005_`</v>
      </c>
      <c r="K251" s="3" t="str">
        <f ca="1">HYPERLINK("#"&amp;일위대가표!N2&amp;"!A"&amp;ROW(일위대가표!A1068),"대가248 →")</f>
        <v>대가248 →</v>
      </c>
    </row>
    <row r="252" spans="1:11" ht="22.35" customHeight="1" x14ac:dyDescent="0.3">
      <c r="A252" s="9" t="s">
        <v>610</v>
      </c>
      <c r="B252" s="10" t="s">
        <v>608</v>
      </c>
      <c r="C252" s="10" t="s">
        <v>575</v>
      </c>
      <c r="D252" s="9" t="s">
        <v>14</v>
      </c>
      <c r="E252" s="48">
        <f>일위대가표!F1074</f>
        <v>365273</v>
      </c>
      <c r="F252" s="47">
        <f>일위대가표!H1074</f>
        <v>354635</v>
      </c>
      <c r="G252" s="56">
        <f>일위대가표!J1074</f>
        <v>0</v>
      </c>
      <c r="H252" s="48">
        <f>일위대가표!L1074</f>
        <v>10638</v>
      </c>
      <c r="I252" s="15" t="s">
        <v>610</v>
      </c>
      <c r="J252" s="17" t="str">
        <f>"_x0007_`COD|B05282_x0005_`QTY1|1_x0005_`BQC|_x0005_`EQC|_x0005_`JDC|_x0005_`WQC|_x0005_`EDT|_x0005_`ADJ|F_x0005_`DET|"&amp;ROW(일위대가표!A1072)&amp;"_x0005_`"</f>
        <v>_x0007_`COD|B05282_x0005_`QTY1|1_x0005_`BQC|_x0005_`EQC|_x0005_`JDC|_x0005_`WQC|_x0005_`EDT|_x0005_`ADJ|F_x0005_`DET|1072_x0005_`</v>
      </c>
      <c r="K252" s="3" t="str">
        <f ca="1">HYPERLINK("#"&amp;일위대가표!N2&amp;"!A"&amp;ROW(일위대가표!A1072),"대가249 →")</f>
        <v>대가249 →</v>
      </c>
    </row>
    <row r="253" spans="1:11" ht="22.35" customHeight="1" x14ac:dyDescent="0.3">
      <c r="A253" s="9" t="s">
        <v>612</v>
      </c>
      <c r="B253" s="10" t="s">
        <v>608</v>
      </c>
      <c r="C253" s="10" t="s">
        <v>578</v>
      </c>
      <c r="D253" s="9" t="s">
        <v>14</v>
      </c>
      <c r="E253" s="48">
        <f>일위대가표!F1078</f>
        <v>420901</v>
      </c>
      <c r="F253" s="47">
        <f>일위대가표!H1078</f>
        <v>408643</v>
      </c>
      <c r="G253" s="56">
        <f>일위대가표!J1078</f>
        <v>0</v>
      </c>
      <c r="H253" s="48">
        <f>일위대가표!L1078</f>
        <v>12258</v>
      </c>
      <c r="I253" s="15" t="s">
        <v>612</v>
      </c>
      <c r="J253" s="17" t="str">
        <f>"_x0007_`COD|B05283_x0005_`QTY1|1_x0005_`BQC|_x0005_`EQC|_x0005_`JDC|_x0005_`WQC|_x0005_`EDT|_x0005_`ADJ|F_x0005_`DET|"&amp;ROW(일위대가표!A1076)&amp;"_x0005_`"</f>
        <v>_x0007_`COD|B05283_x0005_`QTY1|1_x0005_`BQC|_x0005_`EQC|_x0005_`JDC|_x0005_`WQC|_x0005_`EDT|_x0005_`ADJ|F_x0005_`DET|1076_x0005_`</v>
      </c>
      <c r="K253" s="3" t="str">
        <f ca="1">HYPERLINK("#"&amp;일위대가표!N2&amp;"!A"&amp;ROW(일위대가표!A1076),"대가250 →")</f>
        <v>대가250 →</v>
      </c>
    </row>
    <row r="254" spans="1:11" ht="22.35" customHeight="1" x14ac:dyDescent="0.3">
      <c r="A254" s="9" t="s">
        <v>614</v>
      </c>
      <c r="B254" s="10" t="s">
        <v>608</v>
      </c>
      <c r="C254" s="10" t="s">
        <v>581</v>
      </c>
      <c r="D254" s="9" t="s">
        <v>14</v>
      </c>
      <c r="E254" s="48">
        <f>일위대가표!F1082</f>
        <v>483348</v>
      </c>
      <c r="F254" s="47">
        <f>일위대가표!H1082</f>
        <v>469271</v>
      </c>
      <c r="G254" s="56">
        <f>일위대가표!J1082</f>
        <v>0</v>
      </c>
      <c r="H254" s="48">
        <f>일위대가표!L1082</f>
        <v>14077</v>
      </c>
      <c r="I254" s="15" t="s">
        <v>614</v>
      </c>
      <c r="J254" s="17" t="str">
        <f>"_x0007_`COD|B05284_x0005_`QTY1|1_x0005_`BQC|_x0005_`EQC|_x0005_`JDC|_x0005_`WQC|_x0005_`EDT|_x0005_`ADJ|F_x0005_`DET|"&amp;ROW(일위대가표!A1080)&amp;"_x0005_`"</f>
        <v>_x0007_`COD|B05284_x0005_`QTY1|1_x0005_`BQC|_x0005_`EQC|_x0005_`JDC|_x0005_`WQC|_x0005_`EDT|_x0005_`ADJ|F_x0005_`DET|1080_x0005_`</v>
      </c>
      <c r="K254" s="3" t="str">
        <f ca="1">HYPERLINK("#"&amp;일위대가표!N2&amp;"!A"&amp;ROW(일위대가표!A1080),"대가251 →")</f>
        <v>대가251 →</v>
      </c>
    </row>
    <row r="255" spans="1:11" ht="22.35" customHeight="1" x14ac:dyDescent="0.3">
      <c r="A255" s="9" t="s">
        <v>616</v>
      </c>
      <c r="B255" s="10" t="s">
        <v>608</v>
      </c>
      <c r="C255" s="10" t="s">
        <v>584</v>
      </c>
      <c r="D255" s="9" t="s">
        <v>14</v>
      </c>
      <c r="E255" s="48">
        <f>일위대가표!F1086</f>
        <v>582367</v>
      </c>
      <c r="F255" s="47">
        <f>일위대가표!H1086</f>
        <v>565406</v>
      </c>
      <c r="G255" s="56">
        <f>일위대가표!J1086</f>
        <v>0</v>
      </c>
      <c r="H255" s="48">
        <f>일위대가표!L1086</f>
        <v>16961</v>
      </c>
      <c r="I255" s="15" t="s">
        <v>616</v>
      </c>
      <c r="J255" s="17" t="str">
        <f>"_x0007_`COD|B05285_x0005_`QTY1|1_x0005_`BQC|_x0005_`EQC|_x0005_`JDC|_x0005_`WQC|_x0005_`EDT|_x0005_`ADJ|F_x0005_`DET|"&amp;ROW(일위대가표!A1084)&amp;"_x0005_`"</f>
        <v>_x0007_`COD|B05285_x0005_`QTY1|1_x0005_`BQC|_x0005_`EQC|_x0005_`JDC|_x0005_`WQC|_x0005_`EDT|_x0005_`ADJ|F_x0005_`DET|1084_x0005_`</v>
      </c>
      <c r="K255" s="3" t="str">
        <f ca="1">HYPERLINK("#"&amp;일위대가표!N2&amp;"!A"&amp;ROW(일위대가표!A1084),"대가252 →")</f>
        <v>대가252 →</v>
      </c>
    </row>
    <row r="256" spans="1:11" ht="22.35" customHeight="1" x14ac:dyDescent="0.3">
      <c r="A256" s="9" t="s">
        <v>618</v>
      </c>
      <c r="B256" s="10" t="s">
        <v>608</v>
      </c>
      <c r="C256" s="10" t="s">
        <v>587</v>
      </c>
      <c r="D256" s="9" t="s">
        <v>14</v>
      </c>
      <c r="E256" s="48">
        <f>일위대가표!F1090</f>
        <v>734777</v>
      </c>
      <c r="F256" s="47">
        <f>일위대가표!H1090</f>
        <v>713377</v>
      </c>
      <c r="G256" s="56">
        <f>일위대가표!J1090</f>
        <v>0</v>
      </c>
      <c r="H256" s="48">
        <f>일위대가표!L1090</f>
        <v>21400</v>
      </c>
      <c r="I256" s="15" t="s">
        <v>618</v>
      </c>
      <c r="J256" s="17" t="str">
        <f>"_x0007_`COD|B05286_x0005_`QTY1|1_x0005_`BQC|_x0005_`EQC|_x0005_`JDC|_x0005_`WQC|_x0005_`EDT|_x0005_`ADJ|F_x0005_`DET|"&amp;ROW(일위대가표!A1088)&amp;"_x0005_`"</f>
        <v>_x0007_`COD|B05286_x0005_`QTY1|1_x0005_`BQC|_x0005_`EQC|_x0005_`JDC|_x0005_`WQC|_x0005_`EDT|_x0005_`ADJ|F_x0005_`DET|1088_x0005_`</v>
      </c>
      <c r="K256" s="3" t="str">
        <f ca="1">HYPERLINK("#"&amp;일위대가표!N2&amp;"!A"&amp;ROW(일위대가표!A1088),"대가253 →")</f>
        <v>대가253 →</v>
      </c>
    </row>
    <row r="257" spans="1:11" ht="22.35" customHeight="1" x14ac:dyDescent="0.3">
      <c r="A257" s="9" t="s">
        <v>620</v>
      </c>
      <c r="B257" s="10" t="s">
        <v>608</v>
      </c>
      <c r="C257" s="10" t="s">
        <v>590</v>
      </c>
      <c r="D257" s="9" t="s">
        <v>14</v>
      </c>
      <c r="E257" s="48">
        <f>일위대가표!F1094</f>
        <v>923410</v>
      </c>
      <c r="F257" s="47">
        <f>일위대가표!H1094</f>
        <v>896515</v>
      </c>
      <c r="G257" s="56">
        <f>일위대가표!J1094</f>
        <v>0</v>
      </c>
      <c r="H257" s="48">
        <f>일위대가표!L1094</f>
        <v>26895</v>
      </c>
      <c r="I257" s="15" t="s">
        <v>620</v>
      </c>
      <c r="J257" s="17" t="str">
        <f>"_x0007_`COD|B05287_x0005_`QTY1|1_x0005_`BQC|_x0005_`EQC|_x0005_`JDC|_x0005_`WQC|_x0005_`EDT|_x0005_`ADJ|F_x0005_`DET|"&amp;ROW(일위대가표!A1092)&amp;"_x0005_`"</f>
        <v>_x0007_`COD|B05287_x0005_`QTY1|1_x0005_`BQC|_x0005_`EQC|_x0005_`JDC|_x0005_`WQC|_x0005_`EDT|_x0005_`ADJ|F_x0005_`DET|1092_x0005_`</v>
      </c>
      <c r="K257" s="3" t="str">
        <f ca="1">HYPERLINK("#"&amp;일위대가표!N2&amp;"!A"&amp;ROW(일위대가표!A1092),"대가254 →")</f>
        <v>대가254 →</v>
      </c>
    </row>
    <row r="258" spans="1:11" ht="22.35" customHeight="1" x14ac:dyDescent="0.3">
      <c r="A258" s="9" t="s">
        <v>622</v>
      </c>
      <c r="B258" s="10" t="s">
        <v>608</v>
      </c>
      <c r="C258" s="10" t="s">
        <v>593</v>
      </c>
      <c r="D258" s="9" t="s">
        <v>14</v>
      </c>
      <c r="E258" s="48">
        <f>일위대가표!F1098</f>
        <v>980333</v>
      </c>
      <c r="F258" s="47">
        <f>일위대가표!H1098</f>
        <v>951780</v>
      </c>
      <c r="G258" s="56">
        <f>일위대가표!J1098</f>
        <v>0</v>
      </c>
      <c r="H258" s="48">
        <f>일위대가표!L1098</f>
        <v>28553</v>
      </c>
      <c r="I258" s="15" t="s">
        <v>622</v>
      </c>
      <c r="J258" s="17" t="str">
        <f>"_x0007_`COD|B05288_x0005_`QTY1|1_x0005_`BQC|_x0005_`EQC|_x0005_`JDC|_x0005_`WQC|_x0005_`EDT|_x0005_`ADJ|F_x0005_`DET|"&amp;ROW(일위대가표!A1096)&amp;"_x0005_`"</f>
        <v>_x0007_`COD|B05288_x0005_`QTY1|1_x0005_`BQC|_x0005_`EQC|_x0005_`JDC|_x0005_`WQC|_x0005_`EDT|_x0005_`ADJ|F_x0005_`DET|1096_x0005_`</v>
      </c>
      <c r="K258" s="3" t="str">
        <f ca="1">HYPERLINK("#"&amp;일위대가표!N2&amp;"!A"&amp;ROW(일위대가표!A1096),"대가255 →")</f>
        <v>대가255 →</v>
      </c>
    </row>
    <row r="259" spans="1:11" ht="22.35" customHeight="1" x14ac:dyDescent="0.3">
      <c r="A259" s="9" t="s">
        <v>624</v>
      </c>
      <c r="B259" s="10" t="s">
        <v>608</v>
      </c>
      <c r="C259" s="10" t="s">
        <v>596</v>
      </c>
      <c r="D259" s="9" t="s">
        <v>14</v>
      </c>
      <c r="E259" s="48">
        <f>일위대가표!F1102</f>
        <v>1583750</v>
      </c>
      <c r="F259" s="47">
        <f>일위대가표!H1102</f>
        <v>1537622</v>
      </c>
      <c r="G259" s="56">
        <f>일위대가표!J1102</f>
        <v>0</v>
      </c>
      <c r="H259" s="48">
        <f>일위대가표!L1102</f>
        <v>46128</v>
      </c>
      <c r="I259" s="15" t="s">
        <v>624</v>
      </c>
      <c r="J259" s="17" t="str">
        <f>"_x0007_`COD|B05289_x0005_`QTY1|1_x0005_`BQC|_x0005_`EQC|_x0005_`JDC|_x0005_`WQC|_x0005_`EDT|_x0005_`ADJ|F_x0005_`DET|"&amp;ROW(일위대가표!A1100)&amp;"_x0005_`"</f>
        <v>_x0007_`COD|B05289_x0005_`QTY1|1_x0005_`BQC|_x0005_`EQC|_x0005_`JDC|_x0005_`WQC|_x0005_`EDT|_x0005_`ADJ|F_x0005_`DET|1100_x0005_`</v>
      </c>
      <c r="K259" s="3" t="str">
        <f ca="1">HYPERLINK("#"&amp;일위대가표!N2&amp;"!A"&amp;ROW(일위대가표!A1100),"대가256 →")</f>
        <v>대가256 →</v>
      </c>
    </row>
    <row r="260" spans="1:11" ht="22.35" customHeight="1" x14ac:dyDescent="0.3">
      <c r="A260" s="9" t="s">
        <v>626</v>
      </c>
      <c r="B260" s="10" t="s">
        <v>608</v>
      </c>
      <c r="C260" s="10" t="s">
        <v>599</v>
      </c>
      <c r="D260" s="9" t="s">
        <v>14</v>
      </c>
      <c r="E260" s="48">
        <f>일위대가표!F1106</f>
        <v>1583750</v>
      </c>
      <c r="F260" s="47">
        <f>일위대가표!H1106</f>
        <v>1537622</v>
      </c>
      <c r="G260" s="56">
        <f>일위대가표!J1106</f>
        <v>0</v>
      </c>
      <c r="H260" s="48">
        <f>일위대가표!L1106</f>
        <v>46128</v>
      </c>
      <c r="I260" s="15" t="s">
        <v>626</v>
      </c>
      <c r="J260" s="17" t="str">
        <f>"_x0007_`COD|B05290_x0005_`QTY1|1_x0005_`BQC|_x0005_`EQC|_x0005_`JDC|_x0005_`WQC|_x0005_`EDT|_x0005_`ADJ|F_x0005_`DET|"&amp;ROW(일위대가표!A1104)&amp;"_x0005_`"</f>
        <v>_x0007_`COD|B05290_x0005_`QTY1|1_x0005_`BQC|_x0005_`EQC|_x0005_`JDC|_x0005_`WQC|_x0005_`EDT|_x0005_`ADJ|F_x0005_`DET|1104_x0005_`</v>
      </c>
      <c r="K260" s="3" t="str">
        <f ca="1">HYPERLINK("#"&amp;일위대가표!N2&amp;"!A"&amp;ROW(일위대가표!A1104),"대가257 →")</f>
        <v>대가257 →</v>
      </c>
    </row>
    <row r="261" spans="1:11" ht="22.35" customHeight="1" x14ac:dyDescent="0.3">
      <c r="A261" s="9" t="s">
        <v>628</v>
      </c>
      <c r="B261" s="10" t="s">
        <v>608</v>
      </c>
      <c r="C261" s="10" t="s">
        <v>602</v>
      </c>
      <c r="D261" s="9" t="s">
        <v>14</v>
      </c>
      <c r="E261" s="48">
        <f>일위대가표!F1110</f>
        <v>2044858</v>
      </c>
      <c r="F261" s="47">
        <f>일위대가표!H1110</f>
        <v>1985300</v>
      </c>
      <c r="G261" s="56">
        <f>일위대가표!J1110</f>
        <v>0</v>
      </c>
      <c r="H261" s="48">
        <f>일위대가표!L1110</f>
        <v>59558</v>
      </c>
      <c r="I261" s="15" t="s">
        <v>628</v>
      </c>
      <c r="J261" s="17" t="str">
        <f>"_x0007_`COD|B05291_x0005_`QTY1|1_x0005_`BQC|_x0005_`EQC|_x0005_`JDC|_x0005_`WQC|_x0005_`EDT|_x0005_`ADJ|F_x0005_`DET|"&amp;ROW(일위대가표!A1108)&amp;"_x0005_`"</f>
        <v>_x0007_`COD|B05291_x0005_`QTY1|1_x0005_`BQC|_x0005_`EQC|_x0005_`JDC|_x0005_`WQC|_x0005_`EDT|_x0005_`ADJ|F_x0005_`DET|1108_x0005_`</v>
      </c>
      <c r="K261" s="3" t="str">
        <f ca="1">HYPERLINK("#"&amp;일위대가표!N2&amp;"!A"&amp;ROW(일위대가표!A1108),"대가258 →")</f>
        <v>대가258 →</v>
      </c>
    </row>
    <row r="262" spans="1:11" ht="22.35" customHeight="1" x14ac:dyDescent="0.3">
      <c r="A262" s="9" t="s">
        <v>630</v>
      </c>
      <c r="B262" s="10" t="s">
        <v>608</v>
      </c>
      <c r="C262" s="10" t="s">
        <v>605</v>
      </c>
      <c r="D262" s="9" t="s">
        <v>14</v>
      </c>
      <c r="E262" s="48">
        <f>일위대가표!F1114</f>
        <v>3289807</v>
      </c>
      <c r="F262" s="47">
        <f>일위대가표!H1114</f>
        <v>3193989</v>
      </c>
      <c r="G262" s="56">
        <f>일위대가표!J1114</f>
        <v>0</v>
      </c>
      <c r="H262" s="48">
        <f>일위대가표!L1114</f>
        <v>95818</v>
      </c>
      <c r="I262" s="15" t="s">
        <v>630</v>
      </c>
      <c r="J262" s="17" t="str">
        <f>"_x0007_`COD|B05292_x0005_`QTY1|1_x0005_`BQC|_x0005_`EQC|_x0005_`JDC|_x0005_`WQC|_x0005_`EDT|_x0005_`ADJ|F_x0005_`DET|"&amp;ROW(일위대가표!A1112)&amp;"_x0005_`"</f>
        <v>_x0007_`COD|B05292_x0005_`QTY1|1_x0005_`BQC|_x0005_`EQC|_x0005_`JDC|_x0005_`WQC|_x0005_`EDT|_x0005_`ADJ|F_x0005_`DET|1112_x0005_`</v>
      </c>
      <c r="K262" s="3" t="str">
        <f ca="1">HYPERLINK("#"&amp;일위대가표!N2&amp;"!A"&amp;ROW(일위대가표!A1112),"대가259 →")</f>
        <v>대가259 →</v>
      </c>
    </row>
    <row r="263" spans="1:11" ht="22.35" customHeight="1" x14ac:dyDescent="0.3">
      <c r="A263" s="9" t="s">
        <v>632</v>
      </c>
      <c r="B263" s="10" t="s">
        <v>633</v>
      </c>
      <c r="C263" s="10" t="s">
        <v>572</v>
      </c>
      <c r="D263" s="9" t="s">
        <v>14</v>
      </c>
      <c r="E263" s="48">
        <f>일위대가표!F1118</f>
        <v>235710</v>
      </c>
      <c r="F263" s="47">
        <f>일위대가표!H1118</f>
        <v>228845</v>
      </c>
      <c r="G263" s="56">
        <f>일위대가표!J1118</f>
        <v>0</v>
      </c>
      <c r="H263" s="48">
        <f>일위대가표!L1118</f>
        <v>6865</v>
      </c>
      <c r="I263" s="15" t="s">
        <v>632</v>
      </c>
      <c r="J263" s="17" t="str">
        <f>"_x0007_`COD|B05293_x0005_`QTY1|1_x0005_`BQC|_x0005_`EQC|_x0005_`JDC|_x0005_`WQC|_x0005_`EDT|_x0005_`ADJ|F_x0005_`DET|"&amp;ROW(일위대가표!A1116)&amp;"_x0005_`"</f>
        <v>_x0007_`COD|B05293_x0005_`QTY1|1_x0005_`BQC|_x0005_`EQC|_x0005_`JDC|_x0005_`WQC|_x0005_`EDT|_x0005_`ADJ|F_x0005_`DET|1116_x0005_`</v>
      </c>
      <c r="K263" s="3" t="str">
        <f ca="1">HYPERLINK("#"&amp;일위대가표!N2&amp;"!A"&amp;ROW(일위대가표!A1116),"대가260 →")</f>
        <v>대가260 →</v>
      </c>
    </row>
    <row r="264" spans="1:11" ht="22.35" customHeight="1" x14ac:dyDescent="0.3">
      <c r="A264" s="9" t="s">
        <v>635</v>
      </c>
      <c r="B264" s="10" t="s">
        <v>633</v>
      </c>
      <c r="C264" s="10" t="s">
        <v>575</v>
      </c>
      <c r="D264" s="9" t="s">
        <v>14</v>
      </c>
      <c r="E264" s="48">
        <f>일위대가표!F1122</f>
        <v>260910</v>
      </c>
      <c r="F264" s="47">
        <f>일위대가표!H1122</f>
        <v>253311</v>
      </c>
      <c r="G264" s="56">
        <f>일위대가표!J1122</f>
        <v>0</v>
      </c>
      <c r="H264" s="48">
        <f>일위대가표!L1122</f>
        <v>7599</v>
      </c>
      <c r="I264" s="15" t="s">
        <v>635</v>
      </c>
      <c r="J264" s="17" t="str">
        <f>"_x0007_`COD|B05294_x0005_`QTY1|1_x0005_`BQC|_x0005_`EQC|_x0005_`JDC|_x0005_`WQC|_x0005_`EDT|_x0005_`ADJ|F_x0005_`DET|"&amp;ROW(일위대가표!A1120)&amp;"_x0005_`"</f>
        <v>_x0007_`COD|B05294_x0005_`QTY1|1_x0005_`BQC|_x0005_`EQC|_x0005_`JDC|_x0005_`WQC|_x0005_`EDT|_x0005_`ADJ|F_x0005_`DET|1120_x0005_`</v>
      </c>
      <c r="K264" s="3" t="str">
        <f ca="1">HYPERLINK("#"&amp;일위대가표!N2&amp;"!A"&amp;ROW(일위대가표!A1120),"대가261 →")</f>
        <v>대가261 →</v>
      </c>
    </row>
    <row r="265" spans="1:11" ht="22.35" customHeight="1" x14ac:dyDescent="0.3">
      <c r="A265" s="9" t="s">
        <v>637</v>
      </c>
      <c r="B265" s="10" t="s">
        <v>633</v>
      </c>
      <c r="C265" s="10" t="s">
        <v>578</v>
      </c>
      <c r="D265" s="9" t="s">
        <v>14</v>
      </c>
      <c r="E265" s="48">
        <f>일위대가표!F1126</f>
        <v>300644</v>
      </c>
      <c r="F265" s="47">
        <f>일위대가표!H1126</f>
        <v>291888</v>
      </c>
      <c r="G265" s="56">
        <f>일위대가표!J1126</f>
        <v>0</v>
      </c>
      <c r="H265" s="48">
        <f>일위대가표!L1126</f>
        <v>8756</v>
      </c>
      <c r="I265" s="15" t="s">
        <v>637</v>
      </c>
      <c r="J265" s="17" t="str">
        <f>"_x0007_`COD|B05295_x0005_`QTY1|1_x0005_`BQC|_x0005_`EQC|_x0005_`JDC|_x0005_`WQC|_x0005_`EDT|_x0005_`ADJ|F_x0005_`DET|"&amp;ROW(일위대가표!A1124)&amp;"_x0005_`"</f>
        <v>_x0007_`COD|B05295_x0005_`QTY1|1_x0005_`BQC|_x0005_`EQC|_x0005_`JDC|_x0005_`WQC|_x0005_`EDT|_x0005_`ADJ|F_x0005_`DET|1124_x0005_`</v>
      </c>
      <c r="K265" s="3" t="str">
        <f ca="1">HYPERLINK("#"&amp;일위대가표!N2&amp;"!A"&amp;ROW(일위대가표!A1124),"대가262 →")</f>
        <v>대가262 →</v>
      </c>
    </row>
    <row r="266" spans="1:11" ht="22.35" customHeight="1" x14ac:dyDescent="0.3">
      <c r="A266" s="9" t="s">
        <v>639</v>
      </c>
      <c r="B266" s="10" t="s">
        <v>633</v>
      </c>
      <c r="C266" s="10" t="s">
        <v>581</v>
      </c>
      <c r="D266" s="9" t="s">
        <v>14</v>
      </c>
      <c r="E266" s="48">
        <f>일위대가표!F1130</f>
        <v>345249</v>
      </c>
      <c r="F266" s="47">
        <f>일위대가표!H1130</f>
        <v>335194</v>
      </c>
      <c r="G266" s="56">
        <f>일위대가표!J1130</f>
        <v>0</v>
      </c>
      <c r="H266" s="48">
        <f>일위대가표!L1130</f>
        <v>10055</v>
      </c>
      <c r="I266" s="15" t="s">
        <v>639</v>
      </c>
      <c r="J266" s="17" t="str">
        <f>"_x0007_`COD|B05296_x0005_`QTY1|1_x0005_`BQC|_x0005_`EQC|_x0005_`JDC|_x0005_`WQC|_x0005_`EDT|_x0005_`ADJ|F_x0005_`DET|"&amp;ROW(일위대가표!A1128)&amp;"_x0005_`"</f>
        <v>_x0007_`COD|B05296_x0005_`QTY1|1_x0005_`BQC|_x0005_`EQC|_x0005_`JDC|_x0005_`WQC|_x0005_`EDT|_x0005_`ADJ|F_x0005_`DET|1128_x0005_`</v>
      </c>
      <c r="K266" s="3" t="str">
        <f ca="1">HYPERLINK("#"&amp;일위대가표!N2&amp;"!A"&amp;ROW(일위대가표!A1128),"대가263 →")</f>
        <v>대가263 →</v>
      </c>
    </row>
    <row r="267" spans="1:11" ht="22.35" customHeight="1" x14ac:dyDescent="0.3">
      <c r="A267" s="9" t="s">
        <v>641</v>
      </c>
      <c r="B267" s="10" t="s">
        <v>633</v>
      </c>
      <c r="C267" s="10" t="s">
        <v>584</v>
      </c>
      <c r="D267" s="9" t="s">
        <v>14</v>
      </c>
      <c r="E267" s="48">
        <f>일위대가표!F1134</f>
        <v>415977</v>
      </c>
      <c r="F267" s="47">
        <f>일위대가표!H1134</f>
        <v>403862</v>
      </c>
      <c r="G267" s="56">
        <f>일위대가표!J1134</f>
        <v>0</v>
      </c>
      <c r="H267" s="48">
        <f>일위대가표!L1134</f>
        <v>12115</v>
      </c>
      <c r="I267" s="15" t="s">
        <v>641</v>
      </c>
      <c r="J267" s="17" t="str">
        <f>"_x0007_`COD|B05297_x0005_`QTY1|1_x0005_`BQC|_x0005_`EQC|_x0005_`JDC|_x0005_`WQC|_x0005_`EDT|_x0005_`ADJ|F_x0005_`DET|"&amp;ROW(일위대가표!A1132)&amp;"_x0005_`"</f>
        <v>_x0007_`COD|B05297_x0005_`QTY1|1_x0005_`BQC|_x0005_`EQC|_x0005_`JDC|_x0005_`WQC|_x0005_`EDT|_x0005_`ADJ|F_x0005_`DET|1132_x0005_`</v>
      </c>
      <c r="K267" s="3" t="str">
        <f ca="1">HYPERLINK("#"&amp;일위대가표!N2&amp;"!A"&amp;ROW(일위대가표!A1132),"대가264 →")</f>
        <v>대가264 →</v>
      </c>
    </row>
    <row r="268" spans="1:11" ht="22.35" customHeight="1" x14ac:dyDescent="0.3">
      <c r="A268" s="9" t="s">
        <v>643</v>
      </c>
      <c r="B268" s="10" t="s">
        <v>633</v>
      </c>
      <c r="C268" s="10" t="s">
        <v>587</v>
      </c>
      <c r="D268" s="9" t="s">
        <v>14</v>
      </c>
      <c r="E268" s="48">
        <f>일위대가표!F1138</f>
        <v>524841</v>
      </c>
      <c r="F268" s="47">
        <f>일위대가표!H1138</f>
        <v>509555</v>
      </c>
      <c r="G268" s="56">
        <f>일위대가표!J1138</f>
        <v>0</v>
      </c>
      <c r="H268" s="48">
        <f>일위대가표!L1138</f>
        <v>15286</v>
      </c>
      <c r="I268" s="15" t="s">
        <v>643</v>
      </c>
      <c r="J268" s="17" t="str">
        <f>"_x0007_`COD|B05298_x0005_`QTY1|1_x0005_`BQC|_x0005_`EQC|_x0005_`JDC|_x0005_`WQC|_x0005_`EDT|_x0005_`ADJ|F_x0005_`DET|"&amp;ROW(일위대가표!A1136)&amp;"_x0005_`"</f>
        <v>_x0007_`COD|B05298_x0005_`QTY1|1_x0005_`BQC|_x0005_`EQC|_x0005_`JDC|_x0005_`WQC|_x0005_`EDT|_x0005_`ADJ|F_x0005_`DET|1136_x0005_`</v>
      </c>
      <c r="K268" s="3" t="str">
        <f ca="1">HYPERLINK("#"&amp;일위대가표!N2&amp;"!A"&amp;ROW(일위대가표!A1136),"대가265 →")</f>
        <v>대가265 →</v>
      </c>
    </row>
    <row r="269" spans="1:11" ht="22.35" customHeight="1" x14ac:dyDescent="0.3">
      <c r="A269" s="9" t="s">
        <v>645</v>
      </c>
      <c r="B269" s="10" t="s">
        <v>633</v>
      </c>
      <c r="C269" s="10" t="s">
        <v>590</v>
      </c>
      <c r="D269" s="9" t="s">
        <v>14</v>
      </c>
      <c r="E269" s="48">
        <f>일위대가표!F1142</f>
        <v>659579</v>
      </c>
      <c r="F269" s="47">
        <f>일위대가표!H1142</f>
        <v>640368</v>
      </c>
      <c r="G269" s="56">
        <f>일위대가표!J1142</f>
        <v>0</v>
      </c>
      <c r="H269" s="48">
        <f>일위대가표!L1142</f>
        <v>19211</v>
      </c>
      <c r="I269" s="15" t="s">
        <v>645</v>
      </c>
      <c r="J269" s="17" t="str">
        <f>"_x0007_`COD|B05299_x0005_`QTY1|1_x0005_`BQC|_x0005_`EQC|_x0005_`JDC|_x0005_`WQC|_x0005_`EDT|_x0005_`ADJ|F_x0005_`DET|"&amp;ROW(일위대가표!A1140)&amp;"_x0005_`"</f>
        <v>_x0007_`COD|B05299_x0005_`QTY1|1_x0005_`BQC|_x0005_`EQC|_x0005_`JDC|_x0005_`WQC|_x0005_`EDT|_x0005_`ADJ|F_x0005_`DET|1140_x0005_`</v>
      </c>
      <c r="K269" s="3" t="str">
        <f ca="1">HYPERLINK("#"&amp;일위대가표!N2&amp;"!A"&amp;ROW(일위대가표!A1140),"대가266 →")</f>
        <v>대가266 →</v>
      </c>
    </row>
    <row r="270" spans="1:11" ht="22.35" customHeight="1" x14ac:dyDescent="0.3">
      <c r="A270" s="9" t="s">
        <v>647</v>
      </c>
      <c r="B270" s="10" t="s">
        <v>633</v>
      </c>
      <c r="C270" s="10" t="s">
        <v>593</v>
      </c>
      <c r="D270" s="9" t="s">
        <v>14</v>
      </c>
      <c r="E270" s="48">
        <f>일위대가표!F1146</f>
        <v>700238</v>
      </c>
      <c r="F270" s="47">
        <f>일위대가표!H1146</f>
        <v>679843</v>
      </c>
      <c r="G270" s="56">
        <f>일위대가표!J1146</f>
        <v>0</v>
      </c>
      <c r="H270" s="48">
        <f>일위대가표!L1146</f>
        <v>20395</v>
      </c>
      <c r="I270" s="15" t="s">
        <v>647</v>
      </c>
      <c r="J270" s="17" t="str">
        <f>"_x0007_`COD|B05300_x0005_`QTY1|1_x0005_`BQC|_x0005_`EQC|_x0005_`JDC|_x0005_`WQC|_x0005_`EDT|_x0005_`ADJ|F_x0005_`DET|"&amp;ROW(일위대가표!A1144)&amp;"_x0005_`"</f>
        <v>_x0007_`COD|B05300_x0005_`QTY1|1_x0005_`BQC|_x0005_`EQC|_x0005_`JDC|_x0005_`WQC|_x0005_`EDT|_x0005_`ADJ|F_x0005_`DET|1144_x0005_`</v>
      </c>
      <c r="K270" s="3" t="str">
        <f ca="1">HYPERLINK("#"&amp;일위대가표!N2&amp;"!A"&amp;ROW(일위대가표!A1144),"대가267 →")</f>
        <v>대가267 →</v>
      </c>
    </row>
    <row r="271" spans="1:11" ht="22.35" customHeight="1" x14ac:dyDescent="0.3">
      <c r="A271" s="9" t="s">
        <v>649</v>
      </c>
      <c r="B271" s="10" t="s">
        <v>633</v>
      </c>
      <c r="C271" s="10" t="s">
        <v>596</v>
      </c>
      <c r="D271" s="9" t="s">
        <v>14</v>
      </c>
      <c r="E271" s="48">
        <f>일위대가표!F1150</f>
        <v>1131251</v>
      </c>
      <c r="F271" s="47">
        <f>일위대가표!H1150</f>
        <v>1098302</v>
      </c>
      <c r="G271" s="56">
        <f>일위대가표!J1150</f>
        <v>0</v>
      </c>
      <c r="H271" s="48">
        <f>일위대가표!L1150</f>
        <v>32949</v>
      </c>
      <c r="I271" s="15" t="s">
        <v>649</v>
      </c>
      <c r="J271" s="17" t="str">
        <f>"_x0007_`COD|B05301_x0005_`QTY1|1_x0005_`BQC|_x0005_`EQC|_x0005_`JDC|_x0005_`WQC|_x0005_`EDT|_x0005_`ADJ|F_x0005_`DET|"&amp;ROW(일위대가표!A1148)&amp;"_x0005_`"</f>
        <v>_x0007_`COD|B05301_x0005_`QTY1|1_x0005_`BQC|_x0005_`EQC|_x0005_`JDC|_x0005_`WQC|_x0005_`EDT|_x0005_`ADJ|F_x0005_`DET|1148_x0005_`</v>
      </c>
      <c r="K271" s="3" t="str">
        <f ca="1">HYPERLINK("#"&amp;일위대가표!N2&amp;"!A"&amp;ROW(일위대가표!A1148),"대가268 →")</f>
        <v>대가268 →</v>
      </c>
    </row>
    <row r="272" spans="1:11" ht="22.35" customHeight="1" x14ac:dyDescent="0.3">
      <c r="A272" s="9" t="s">
        <v>651</v>
      </c>
      <c r="B272" s="10" t="s">
        <v>633</v>
      </c>
      <c r="C272" s="10" t="s">
        <v>599</v>
      </c>
      <c r="D272" s="9" t="s">
        <v>14</v>
      </c>
      <c r="E272" s="48">
        <f>일위대가표!F1154</f>
        <v>1131251</v>
      </c>
      <c r="F272" s="47">
        <f>일위대가표!H1154</f>
        <v>1098302</v>
      </c>
      <c r="G272" s="56">
        <f>일위대가표!J1154</f>
        <v>0</v>
      </c>
      <c r="H272" s="48">
        <f>일위대가표!L1154</f>
        <v>32949</v>
      </c>
      <c r="I272" s="15" t="s">
        <v>651</v>
      </c>
      <c r="J272" s="17" t="str">
        <f>"_x0007_`COD|B05302_x0005_`QTY1|1_x0005_`BQC|_x0005_`EQC|_x0005_`JDC|_x0005_`WQC|_x0005_`EDT|_x0005_`ADJ|F_x0005_`DET|"&amp;ROW(일위대가표!A1152)&amp;"_x0005_`"</f>
        <v>_x0007_`COD|B05302_x0005_`QTY1|1_x0005_`BQC|_x0005_`EQC|_x0005_`JDC|_x0005_`WQC|_x0005_`EDT|_x0005_`ADJ|F_x0005_`DET|1152_x0005_`</v>
      </c>
      <c r="K272" s="3" t="str">
        <f ca="1">HYPERLINK("#"&amp;일위대가표!N2&amp;"!A"&amp;ROW(일위대가표!A1152),"대가269 →")</f>
        <v>대가269 →</v>
      </c>
    </row>
    <row r="273" spans="1:11" ht="22.35" customHeight="1" x14ac:dyDescent="0.3">
      <c r="A273" s="9" t="s">
        <v>653</v>
      </c>
      <c r="B273" s="10" t="s">
        <v>633</v>
      </c>
      <c r="C273" s="10" t="s">
        <v>602</v>
      </c>
      <c r="D273" s="9" t="s">
        <v>14</v>
      </c>
      <c r="E273" s="48">
        <f>일위대가표!F1158</f>
        <v>1460614</v>
      </c>
      <c r="F273" s="47">
        <f>일위대가표!H1158</f>
        <v>1418072</v>
      </c>
      <c r="G273" s="56">
        <f>일위대가표!J1158</f>
        <v>0</v>
      </c>
      <c r="H273" s="48">
        <f>일위대가표!L1158</f>
        <v>42542</v>
      </c>
      <c r="I273" s="15" t="s">
        <v>653</v>
      </c>
      <c r="J273" s="17" t="str">
        <f>"_x0007_`COD|B05303_x0005_`QTY1|1_x0005_`BQC|_x0005_`EQC|_x0005_`JDC|_x0005_`WQC|_x0005_`EDT|_x0005_`ADJ|F_x0005_`DET|"&amp;ROW(일위대가표!A1156)&amp;"_x0005_`"</f>
        <v>_x0007_`COD|B05303_x0005_`QTY1|1_x0005_`BQC|_x0005_`EQC|_x0005_`JDC|_x0005_`WQC|_x0005_`EDT|_x0005_`ADJ|F_x0005_`DET|1156_x0005_`</v>
      </c>
      <c r="K273" s="3" t="str">
        <f ca="1">HYPERLINK("#"&amp;일위대가표!N2&amp;"!A"&amp;ROW(일위대가표!A1156),"대가270 →")</f>
        <v>대가270 →</v>
      </c>
    </row>
    <row r="274" spans="1:11" ht="22.35" customHeight="1" x14ac:dyDescent="0.3">
      <c r="A274" s="9" t="s">
        <v>655</v>
      </c>
      <c r="B274" s="10" t="s">
        <v>633</v>
      </c>
      <c r="C274" s="10" t="s">
        <v>605</v>
      </c>
      <c r="D274" s="9" t="s">
        <v>14</v>
      </c>
      <c r="E274" s="48">
        <f>일위대가표!F1162</f>
        <v>2349863</v>
      </c>
      <c r="F274" s="47">
        <f>일위대가표!H1162</f>
        <v>2281421</v>
      </c>
      <c r="G274" s="56">
        <f>일위대가표!J1162</f>
        <v>0</v>
      </c>
      <c r="H274" s="48">
        <f>일위대가표!L1162</f>
        <v>68442</v>
      </c>
      <c r="I274" s="15" t="s">
        <v>655</v>
      </c>
      <c r="J274" s="17" t="str">
        <f>"_x0007_`COD|B05304_x0005_`QTY1|1_x0005_`BQC|_x0005_`EQC|_x0005_`JDC|_x0005_`WQC|_x0005_`EDT|_x0005_`ADJ|F_x0005_`DET|"&amp;ROW(일위대가표!A1160)&amp;"_x0005_`"</f>
        <v>_x0007_`COD|B05304_x0005_`QTY1|1_x0005_`BQC|_x0005_`EQC|_x0005_`JDC|_x0005_`WQC|_x0005_`EDT|_x0005_`ADJ|F_x0005_`DET|1160_x0005_`</v>
      </c>
      <c r="K274" s="3" t="str">
        <f ca="1">HYPERLINK("#"&amp;일위대가표!N2&amp;"!A"&amp;ROW(일위대가표!A1160),"대가271 →")</f>
        <v>대가271 →</v>
      </c>
    </row>
    <row r="275" spans="1:11" ht="22.35" customHeight="1" x14ac:dyDescent="0.3">
      <c r="A275" s="9" t="s">
        <v>657</v>
      </c>
      <c r="B275" s="10" t="s">
        <v>658</v>
      </c>
      <c r="C275" s="10" t="s">
        <v>572</v>
      </c>
      <c r="D275" s="9" t="s">
        <v>14</v>
      </c>
      <c r="E275" s="48">
        <f>일위대가표!F1166</f>
        <v>94284</v>
      </c>
      <c r="F275" s="47">
        <f>일위대가표!H1166</f>
        <v>91538</v>
      </c>
      <c r="G275" s="56">
        <f>일위대가표!J1166</f>
        <v>0</v>
      </c>
      <c r="H275" s="48">
        <f>일위대가표!L1166</f>
        <v>2746</v>
      </c>
      <c r="I275" s="15" t="s">
        <v>657</v>
      </c>
      <c r="J275" s="17" t="str">
        <f>"_x0007_`COD|B05305_x0005_`QTY1|1_x0005_`BQC|_x0005_`EQC|_x0005_`JDC|_x0005_`WQC|_x0005_`EDT|_x0005_`ADJ|F_x0005_`DET|"&amp;ROW(일위대가표!A1164)&amp;"_x0005_`"</f>
        <v>_x0007_`COD|B05305_x0005_`QTY1|1_x0005_`BQC|_x0005_`EQC|_x0005_`JDC|_x0005_`WQC|_x0005_`EDT|_x0005_`ADJ|F_x0005_`DET|1164_x0005_`</v>
      </c>
      <c r="K275" s="3" t="str">
        <f ca="1">HYPERLINK("#"&amp;일위대가표!N2&amp;"!A"&amp;ROW(일위대가표!A1164),"대가272 →")</f>
        <v>대가272 →</v>
      </c>
    </row>
    <row r="276" spans="1:11" ht="22.35" customHeight="1" x14ac:dyDescent="0.3">
      <c r="A276" s="9" t="s">
        <v>660</v>
      </c>
      <c r="B276" s="10" t="s">
        <v>658</v>
      </c>
      <c r="C276" s="10" t="s">
        <v>575</v>
      </c>
      <c r="D276" s="9" t="s">
        <v>14</v>
      </c>
      <c r="E276" s="48">
        <f>일위대가표!F1170</f>
        <v>104363</v>
      </c>
      <c r="F276" s="47">
        <f>일위대가표!H1170</f>
        <v>101324</v>
      </c>
      <c r="G276" s="56">
        <f>일위대가표!J1170</f>
        <v>0</v>
      </c>
      <c r="H276" s="48">
        <f>일위대가표!L1170</f>
        <v>3039</v>
      </c>
      <c r="I276" s="15" t="s">
        <v>660</v>
      </c>
      <c r="J276" s="17" t="str">
        <f>"_x0007_`COD|B05306_x0005_`QTY1|1_x0005_`BQC|_x0005_`EQC|_x0005_`JDC|_x0005_`WQC|_x0005_`EDT|_x0005_`ADJ|F_x0005_`DET|"&amp;ROW(일위대가표!A1168)&amp;"_x0005_`"</f>
        <v>_x0007_`COD|B05306_x0005_`QTY1|1_x0005_`BQC|_x0005_`EQC|_x0005_`JDC|_x0005_`WQC|_x0005_`EDT|_x0005_`ADJ|F_x0005_`DET|1168_x0005_`</v>
      </c>
      <c r="K276" s="3" t="str">
        <f ca="1">HYPERLINK("#"&amp;일위대가표!N2&amp;"!A"&amp;ROW(일위대가표!A1168),"대가273 →")</f>
        <v>대가273 →</v>
      </c>
    </row>
    <row r="277" spans="1:11" ht="22.35" customHeight="1" x14ac:dyDescent="0.3">
      <c r="A277" s="9" t="s">
        <v>662</v>
      </c>
      <c r="B277" s="10" t="s">
        <v>658</v>
      </c>
      <c r="C277" s="10" t="s">
        <v>578</v>
      </c>
      <c r="D277" s="9" t="s">
        <v>14</v>
      </c>
      <c r="E277" s="48">
        <f>일위대가표!F1174</f>
        <v>120257</v>
      </c>
      <c r="F277" s="47">
        <f>일위대가표!H1174</f>
        <v>116755</v>
      </c>
      <c r="G277" s="56">
        <f>일위대가표!J1174</f>
        <v>0</v>
      </c>
      <c r="H277" s="48">
        <f>일위대가표!L1174</f>
        <v>3502</v>
      </c>
      <c r="I277" s="15" t="s">
        <v>662</v>
      </c>
      <c r="J277" s="17" t="str">
        <f>"_x0007_`COD|B05307_x0005_`QTY1|1_x0005_`BQC|_x0005_`EQC|_x0005_`JDC|_x0005_`WQC|_x0005_`EDT|_x0005_`ADJ|F_x0005_`DET|"&amp;ROW(일위대가표!A1172)&amp;"_x0005_`"</f>
        <v>_x0007_`COD|B05307_x0005_`QTY1|1_x0005_`BQC|_x0005_`EQC|_x0005_`JDC|_x0005_`WQC|_x0005_`EDT|_x0005_`ADJ|F_x0005_`DET|1172_x0005_`</v>
      </c>
      <c r="K277" s="3" t="str">
        <f ca="1">HYPERLINK("#"&amp;일위대가표!N2&amp;"!A"&amp;ROW(일위대가표!A1172),"대가274 →")</f>
        <v>대가274 →</v>
      </c>
    </row>
    <row r="278" spans="1:11" ht="22.35" customHeight="1" x14ac:dyDescent="0.3">
      <c r="A278" s="9" t="s">
        <v>664</v>
      </c>
      <c r="B278" s="10" t="s">
        <v>658</v>
      </c>
      <c r="C278" s="10" t="s">
        <v>581</v>
      </c>
      <c r="D278" s="9" t="s">
        <v>14</v>
      </c>
      <c r="E278" s="48">
        <f>일위대가표!F1178</f>
        <v>138099</v>
      </c>
      <c r="F278" s="47">
        <f>일위대가표!H1178</f>
        <v>134077</v>
      </c>
      <c r="G278" s="56">
        <f>일위대가표!J1178</f>
        <v>0</v>
      </c>
      <c r="H278" s="48">
        <f>일위대가표!L1178</f>
        <v>4022</v>
      </c>
      <c r="I278" s="15" t="s">
        <v>664</v>
      </c>
      <c r="J278" s="17" t="str">
        <f>"_x0007_`COD|B05308_x0005_`QTY1|1_x0005_`BQC|_x0005_`EQC|_x0005_`JDC|_x0005_`WQC|_x0005_`EDT|_x0005_`ADJ|F_x0005_`DET|"&amp;ROW(일위대가표!A1176)&amp;"_x0005_`"</f>
        <v>_x0007_`COD|B05308_x0005_`QTY1|1_x0005_`BQC|_x0005_`EQC|_x0005_`JDC|_x0005_`WQC|_x0005_`EDT|_x0005_`ADJ|F_x0005_`DET|1176_x0005_`</v>
      </c>
      <c r="K278" s="3" t="str">
        <f ca="1">HYPERLINK("#"&amp;일위대가표!N2&amp;"!A"&amp;ROW(일위대가표!A1176),"대가275 →")</f>
        <v>대가275 →</v>
      </c>
    </row>
    <row r="279" spans="1:11" ht="22.35" customHeight="1" x14ac:dyDescent="0.3">
      <c r="A279" s="9" t="s">
        <v>666</v>
      </c>
      <c r="B279" s="10" t="s">
        <v>658</v>
      </c>
      <c r="C279" s="10" t="s">
        <v>584</v>
      </c>
      <c r="D279" s="9" t="s">
        <v>14</v>
      </c>
      <c r="E279" s="48">
        <f>일위대가표!F1182</f>
        <v>166390</v>
      </c>
      <c r="F279" s="47">
        <f>일위대가표!H1182</f>
        <v>161544</v>
      </c>
      <c r="G279" s="56">
        <f>일위대가표!J1182</f>
        <v>0</v>
      </c>
      <c r="H279" s="48">
        <f>일위대가표!L1182</f>
        <v>4846</v>
      </c>
      <c r="I279" s="15" t="s">
        <v>666</v>
      </c>
      <c r="J279" s="17" t="str">
        <f>"_x0007_`COD|B05309_x0005_`QTY1|1_x0005_`BQC|_x0005_`EQC|_x0005_`JDC|_x0005_`WQC|_x0005_`EDT|_x0005_`ADJ|F_x0005_`DET|"&amp;ROW(일위대가표!A1180)&amp;"_x0005_`"</f>
        <v>_x0007_`COD|B05309_x0005_`QTY1|1_x0005_`BQC|_x0005_`EQC|_x0005_`JDC|_x0005_`WQC|_x0005_`EDT|_x0005_`ADJ|F_x0005_`DET|1180_x0005_`</v>
      </c>
      <c r="K279" s="3" t="str">
        <f ca="1">HYPERLINK("#"&amp;일위대가표!N2&amp;"!A"&amp;ROW(일위대가표!A1180),"대가276 →")</f>
        <v>대가276 →</v>
      </c>
    </row>
    <row r="280" spans="1:11" ht="22.35" customHeight="1" x14ac:dyDescent="0.3">
      <c r="A280" s="9" t="s">
        <v>668</v>
      </c>
      <c r="B280" s="10" t="s">
        <v>658</v>
      </c>
      <c r="C280" s="10" t="s">
        <v>587</v>
      </c>
      <c r="D280" s="9" t="s">
        <v>14</v>
      </c>
      <c r="E280" s="48">
        <f>일위대가표!F1186</f>
        <v>209936</v>
      </c>
      <c r="F280" s="47">
        <f>일위대가표!H1186</f>
        <v>203822</v>
      </c>
      <c r="G280" s="56">
        <f>일위대가표!J1186</f>
        <v>0</v>
      </c>
      <c r="H280" s="48">
        <f>일위대가표!L1186</f>
        <v>6114</v>
      </c>
      <c r="I280" s="15" t="s">
        <v>668</v>
      </c>
      <c r="J280" s="17" t="str">
        <f>"_x0007_`COD|B05310_x0005_`QTY1|1_x0005_`BQC|_x0005_`EQC|_x0005_`JDC|_x0005_`WQC|_x0005_`EDT|_x0005_`ADJ|F_x0005_`DET|"&amp;ROW(일위대가표!A1184)&amp;"_x0005_`"</f>
        <v>_x0007_`COD|B05310_x0005_`QTY1|1_x0005_`BQC|_x0005_`EQC|_x0005_`JDC|_x0005_`WQC|_x0005_`EDT|_x0005_`ADJ|F_x0005_`DET|1184_x0005_`</v>
      </c>
      <c r="K280" s="3" t="str">
        <f ca="1">HYPERLINK("#"&amp;일위대가표!N2&amp;"!A"&amp;ROW(일위대가표!A1184),"대가277 →")</f>
        <v>대가277 →</v>
      </c>
    </row>
    <row r="281" spans="1:11" ht="22.35" customHeight="1" x14ac:dyDescent="0.3">
      <c r="A281" s="9" t="s">
        <v>670</v>
      </c>
      <c r="B281" s="10" t="s">
        <v>658</v>
      </c>
      <c r="C281" s="10" t="s">
        <v>590</v>
      </c>
      <c r="D281" s="9" t="s">
        <v>14</v>
      </c>
      <c r="E281" s="48">
        <f>일위대가표!F1190</f>
        <v>263831</v>
      </c>
      <c r="F281" s="47">
        <f>일위대가표!H1190</f>
        <v>256147</v>
      </c>
      <c r="G281" s="56">
        <f>일위대가표!J1190</f>
        <v>0</v>
      </c>
      <c r="H281" s="48">
        <f>일위대가표!L1190</f>
        <v>7684</v>
      </c>
      <c r="I281" s="15" t="s">
        <v>670</v>
      </c>
      <c r="J281" s="17" t="str">
        <f>"_x0007_`COD|B05311_x0005_`QTY1|1_x0005_`BQC|_x0005_`EQC|_x0005_`JDC|_x0005_`WQC|_x0005_`EDT|_x0005_`ADJ|F_x0005_`DET|"&amp;ROW(일위대가표!A1188)&amp;"_x0005_`"</f>
        <v>_x0007_`COD|B05311_x0005_`QTY1|1_x0005_`BQC|_x0005_`EQC|_x0005_`JDC|_x0005_`WQC|_x0005_`EDT|_x0005_`ADJ|F_x0005_`DET|1188_x0005_`</v>
      </c>
      <c r="K281" s="3" t="str">
        <f ca="1">HYPERLINK("#"&amp;일위대가표!N2&amp;"!A"&amp;ROW(일위대가표!A1188),"대가278 →")</f>
        <v>대가278 →</v>
      </c>
    </row>
    <row r="282" spans="1:11" ht="22.35" customHeight="1" x14ac:dyDescent="0.3">
      <c r="A282" s="9" t="s">
        <v>672</v>
      </c>
      <c r="B282" s="10" t="s">
        <v>658</v>
      </c>
      <c r="C282" s="10" t="s">
        <v>593</v>
      </c>
      <c r="D282" s="9" t="s">
        <v>14</v>
      </c>
      <c r="E282" s="48">
        <f>일위대가표!F1194</f>
        <v>280095</v>
      </c>
      <c r="F282" s="47">
        <f>일위대가표!H1194</f>
        <v>271937</v>
      </c>
      <c r="G282" s="56">
        <f>일위대가표!J1194</f>
        <v>0</v>
      </c>
      <c r="H282" s="48">
        <f>일위대가표!L1194</f>
        <v>8158</v>
      </c>
      <c r="I282" s="15" t="s">
        <v>672</v>
      </c>
      <c r="J282" s="17" t="str">
        <f>"_x0007_`COD|B05312_x0005_`QTY1|1_x0005_`BQC|_x0005_`EQC|_x0005_`JDC|_x0005_`WQC|_x0005_`EDT|_x0005_`ADJ|F_x0005_`DET|"&amp;ROW(일위대가표!A1192)&amp;"_x0005_`"</f>
        <v>_x0007_`COD|B05312_x0005_`QTY1|1_x0005_`BQC|_x0005_`EQC|_x0005_`JDC|_x0005_`WQC|_x0005_`EDT|_x0005_`ADJ|F_x0005_`DET|1192_x0005_`</v>
      </c>
      <c r="K282" s="3" t="str">
        <f ca="1">HYPERLINK("#"&amp;일위대가표!N2&amp;"!A"&amp;ROW(일위대가표!A1192),"대가279 →")</f>
        <v>대가279 →</v>
      </c>
    </row>
    <row r="283" spans="1:11" ht="22.35" customHeight="1" x14ac:dyDescent="0.3">
      <c r="A283" s="9" t="s">
        <v>674</v>
      </c>
      <c r="B283" s="10" t="s">
        <v>658</v>
      </c>
      <c r="C283" s="10" t="s">
        <v>596</v>
      </c>
      <c r="D283" s="9" t="s">
        <v>14</v>
      </c>
      <c r="E283" s="48">
        <f>일위대가표!F1198</f>
        <v>452499</v>
      </c>
      <c r="F283" s="47">
        <f>일위대가표!H1198</f>
        <v>439320</v>
      </c>
      <c r="G283" s="56">
        <f>일위대가표!J1198</f>
        <v>0</v>
      </c>
      <c r="H283" s="48">
        <f>일위대가표!L1198</f>
        <v>13179</v>
      </c>
      <c r="I283" s="15" t="s">
        <v>674</v>
      </c>
      <c r="J283" s="17" t="str">
        <f>"_x0007_`COD|B05313_x0005_`QTY1|1_x0005_`BQC|_x0005_`EQC|_x0005_`JDC|_x0005_`WQC|_x0005_`EDT|_x0005_`ADJ|F_x0005_`DET|"&amp;ROW(일위대가표!A1196)&amp;"_x0005_`"</f>
        <v>_x0007_`COD|B05313_x0005_`QTY1|1_x0005_`BQC|_x0005_`EQC|_x0005_`JDC|_x0005_`WQC|_x0005_`EDT|_x0005_`ADJ|F_x0005_`DET|1196_x0005_`</v>
      </c>
      <c r="K283" s="3" t="str">
        <f ca="1">HYPERLINK("#"&amp;일위대가표!N2&amp;"!A"&amp;ROW(일위대가표!A1196),"대가280 →")</f>
        <v>대가280 →</v>
      </c>
    </row>
    <row r="284" spans="1:11" ht="22.35" customHeight="1" x14ac:dyDescent="0.3">
      <c r="A284" s="9" t="s">
        <v>676</v>
      </c>
      <c r="B284" s="10" t="s">
        <v>658</v>
      </c>
      <c r="C284" s="10" t="s">
        <v>599</v>
      </c>
      <c r="D284" s="9" t="s">
        <v>14</v>
      </c>
      <c r="E284" s="48">
        <f>일위대가표!F1202</f>
        <v>452499</v>
      </c>
      <c r="F284" s="47">
        <f>일위대가표!H1202</f>
        <v>439320</v>
      </c>
      <c r="G284" s="56">
        <f>일위대가표!J1202</f>
        <v>0</v>
      </c>
      <c r="H284" s="48">
        <f>일위대가표!L1202</f>
        <v>13179</v>
      </c>
      <c r="I284" s="15" t="s">
        <v>676</v>
      </c>
      <c r="J284" s="17" t="str">
        <f>"_x0007_`COD|B05314_x0005_`QTY1|1_x0005_`BQC|_x0005_`EQC|_x0005_`JDC|_x0005_`WQC|_x0005_`EDT|_x0005_`ADJ|F_x0005_`DET|"&amp;ROW(일위대가표!A1200)&amp;"_x0005_`"</f>
        <v>_x0007_`COD|B05314_x0005_`QTY1|1_x0005_`BQC|_x0005_`EQC|_x0005_`JDC|_x0005_`WQC|_x0005_`EDT|_x0005_`ADJ|F_x0005_`DET|1200_x0005_`</v>
      </c>
      <c r="K284" s="3" t="str">
        <f ca="1">HYPERLINK("#"&amp;일위대가표!N2&amp;"!A"&amp;ROW(일위대가표!A1200),"대가281 →")</f>
        <v>대가281 →</v>
      </c>
    </row>
    <row r="285" spans="1:11" ht="22.35" customHeight="1" x14ac:dyDescent="0.3">
      <c r="A285" s="9" t="s">
        <v>678</v>
      </c>
      <c r="B285" s="10" t="s">
        <v>658</v>
      </c>
      <c r="C285" s="10" t="s">
        <v>602</v>
      </c>
      <c r="D285" s="9" t="s">
        <v>14</v>
      </c>
      <c r="E285" s="48">
        <f>일위대가표!F1206</f>
        <v>584244</v>
      </c>
      <c r="F285" s="47">
        <f>일위대가표!H1206</f>
        <v>567228</v>
      </c>
      <c r="G285" s="56">
        <f>일위대가표!J1206</f>
        <v>0</v>
      </c>
      <c r="H285" s="48">
        <f>일위대가표!L1206</f>
        <v>17016</v>
      </c>
      <c r="I285" s="15" t="s">
        <v>678</v>
      </c>
      <c r="J285" s="17" t="str">
        <f>"_x0007_`COD|B05315_x0005_`QTY1|1_x0005_`BQC|_x0005_`EQC|_x0005_`JDC|_x0005_`WQC|_x0005_`EDT|_x0005_`ADJ|F_x0005_`DET|"&amp;ROW(일위대가표!A1204)&amp;"_x0005_`"</f>
        <v>_x0007_`COD|B05315_x0005_`QTY1|1_x0005_`BQC|_x0005_`EQC|_x0005_`JDC|_x0005_`WQC|_x0005_`EDT|_x0005_`ADJ|F_x0005_`DET|1204_x0005_`</v>
      </c>
      <c r="K285" s="3" t="str">
        <f ca="1">HYPERLINK("#"&amp;일위대가표!N2&amp;"!A"&amp;ROW(일위대가표!A1204),"대가282 →")</f>
        <v>대가282 →</v>
      </c>
    </row>
    <row r="286" spans="1:11" ht="22.35" customHeight="1" x14ac:dyDescent="0.3">
      <c r="A286" s="9" t="s">
        <v>680</v>
      </c>
      <c r="B286" s="10" t="s">
        <v>658</v>
      </c>
      <c r="C286" s="10" t="s">
        <v>605</v>
      </c>
      <c r="D286" s="9" t="s">
        <v>14</v>
      </c>
      <c r="E286" s="48">
        <f>일위대가표!F1210</f>
        <v>939944</v>
      </c>
      <c r="F286" s="47">
        <f>일위대가표!H1210</f>
        <v>912568</v>
      </c>
      <c r="G286" s="56">
        <f>일위대가표!J1210</f>
        <v>0</v>
      </c>
      <c r="H286" s="48">
        <f>일위대가표!L1210</f>
        <v>27376</v>
      </c>
      <c r="I286" s="15" t="s">
        <v>680</v>
      </c>
      <c r="J286" s="17" t="str">
        <f>"_x0007_`COD|B05316_x0005_`QTY1|1_x0005_`BQC|_x0005_`EQC|_x0005_`JDC|_x0005_`WQC|_x0005_`EDT|_x0005_`ADJ|F_x0005_`DET|"&amp;ROW(일위대가표!A1208)&amp;"_x0005_`"</f>
        <v>_x0007_`COD|B05316_x0005_`QTY1|1_x0005_`BQC|_x0005_`EQC|_x0005_`JDC|_x0005_`WQC|_x0005_`EDT|_x0005_`ADJ|F_x0005_`DET|1208_x0005_`</v>
      </c>
      <c r="K286" s="3" t="str">
        <f ca="1">HYPERLINK("#"&amp;일위대가표!N2&amp;"!A"&amp;ROW(일위대가표!A1208),"대가283 →")</f>
        <v>대가283 →</v>
      </c>
    </row>
    <row r="287" spans="1:11" ht="22.35" customHeight="1" x14ac:dyDescent="0.3">
      <c r="A287" s="9" t="s">
        <v>682</v>
      </c>
      <c r="B287" s="10" t="s">
        <v>683</v>
      </c>
      <c r="C287" s="10" t="s">
        <v>684</v>
      </c>
      <c r="D287" s="9" t="s">
        <v>14</v>
      </c>
      <c r="E287" s="48">
        <f>일위대가표!F1215</f>
        <v>883663</v>
      </c>
      <c r="F287" s="47">
        <f>일위대가표!H1215</f>
        <v>561810</v>
      </c>
      <c r="G287" s="56">
        <f>일위대가표!J1215</f>
        <v>305000</v>
      </c>
      <c r="H287" s="48">
        <f>일위대가표!L1215</f>
        <v>16853</v>
      </c>
      <c r="I287" s="15" t="s">
        <v>682</v>
      </c>
      <c r="J287" s="17" t="str">
        <f>"_x0007_`COD|B05063_x0005_`QTY1|1_x0005_`BQC|_x0005_`EQC|_x0005_`JDC|_x0005_`WQC|_x0005_`EDT|_x0005_`ADJ|F_x0005_`DET|"&amp;ROW(일위대가표!A1212)&amp;"_x0005_`"</f>
        <v>_x0007_`COD|B05063_x0005_`QTY1|1_x0005_`BQC|_x0005_`EQC|_x0005_`JDC|_x0005_`WQC|_x0005_`EDT|_x0005_`ADJ|F_x0005_`DET|1212_x0005_`</v>
      </c>
      <c r="K287" s="3" t="str">
        <f ca="1">HYPERLINK("#"&amp;일위대가표!N2&amp;"!A"&amp;ROW(일위대가표!A1212),"대가284 →")</f>
        <v>대가284 →</v>
      </c>
    </row>
    <row r="288" spans="1:11" ht="22.35" customHeight="1" x14ac:dyDescent="0.3">
      <c r="A288" s="9" t="s">
        <v>686</v>
      </c>
      <c r="B288" s="10" t="s">
        <v>683</v>
      </c>
      <c r="C288" s="10" t="s">
        <v>687</v>
      </c>
      <c r="D288" s="9" t="s">
        <v>14</v>
      </c>
      <c r="E288" s="48">
        <f>일위대가표!F1220</f>
        <v>883663</v>
      </c>
      <c r="F288" s="47">
        <f>일위대가표!H1220</f>
        <v>561810</v>
      </c>
      <c r="G288" s="56">
        <f>일위대가표!J1220</f>
        <v>305000</v>
      </c>
      <c r="H288" s="48">
        <f>일위대가표!L1220</f>
        <v>16853</v>
      </c>
      <c r="I288" s="15" t="s">
        <v>686</v>
      </c>
      <c r="J288" s="17" t="str">
        <f>"_x0007_`COD|B05064_x0005_`QTY1|1_x0005_`BQC|_x0005_`EQC|_x0005_`JDC|_x0005_`WQC|_x0005_`EDT|_x0005_`ADJ|F_x0005_`DET|"&amp;ROW(일위대가표!A1217)&amp;"_x0005_`"</f>
        <v>_x0007_`COD|B05064_x0005_`QTY1|1_x0005_`BQC|_x0005_`EQC|_x0005_`JDC|_x0005_`WQC|_x0005_`EDT|_x0005_`ADJ|F_x0005_`DET|1217_x0005_`</v>
      </c>
      <c r="K288" s="3" t="str">
        <f ca="1">HYPERLINK("#"&amp;일위대가표!N2&amp;"!A"&amp;ROW(일위대가표!A1217),"대가285 →")</f>
        <v>대가285 →</v>
      </c>
    </row>
    <row r="289" spans="1:11" ht="22.35" customHeight="1" x14ac:dyDescent="0.3">
      <c r="A289" s="9" t="s">
        <v>689</v>
      </c>
      <c r="B289" s="10" t="s">
        <v>690</v>
      </c>
      <c r="C289" s="10" t="s">
        <v>684</v>
      </c>
      <c r="D289" s="9" t="s">
        <v>14</v>
      </c>
      <c r="E289" s="48">
        <f>일위대가표!F1224</f>
        <v>578663</v>
      </c>
      <c r="F289" s="47">
        <f>일위대가표!H1224</f>
        <v>561810</v>
      </c>
      <c r="G289" s="56">
        <f>일위대가표!J1224</f>
        <v>0</v>
      </c>
      <c r="H289" s="48">
        <f>일위대가표!L1224</f>
        <v>16853</v>
      </c>
      <c r="I289" s="15" t="s">
        <v>689</v>
      </c>
      <c r="J289" s="17" t="str">
        <f>"_x0007_`COD|B05317_x0005_`QTY1|1_x0005_`BQC|_x0005_`EQC|_x0005_`JDC|_x0005_`WQC|_x0005_`EDT|_x0005_`ADJ|F_x0005_`DET|"&amp;ROW(일위대가표!A1222)&amp;"_x0005_`"</f>
        <v>_x0007_`COD|B05317_x0005_`QTY1|1_x0005_`BQC|_x0005_`EQC|_x0005_`JDC|_x0005_`WQC|_x0005_`EDT|_x0005_`ADJ|F_x0005_`DET|1222_x0005_`</v>
      </c>
      <c r="K289" s="3" t="str">
        <f ca="1">HYPERLINK("#"&amp;일위대가표!N2&amp;"!A"&amp;ROW(일위대가표!A1222),"대가286 →")</f>
        <v>대가286 →</v>
      </c>
    </row>
    <row r="290" spans="1:11" ht="22.35" customHeight="1" x14ac:dyDescent="0.3">
      <c r="A290" s="9" t="s">
        <v>692</v>
      </c>
      <c r="B290" s="10" t="s">
        <v>690</v>
      </c>
      <c r="C290" s="10" t="s">
        <v>687</v>
      </c>
      <c r="D290" s="9" t="s">
        <v>14</v>
      </c>
      <c r="E290" s="48">
        <f>일위대가표!F1228</f>
        <v>578663</v>
      </c>
      <c r="F290" s="47">
        <f>일위대가표!H1228</f>
        <v>561810</v>
      </c>
      <c r="G290" s="56">
        <f>일위대가표!J1228</f>
        <v>0</v>
      </c>
      <c r="H290" s="48">
        <f>일위대가표!L1228</f>
        <v>16853</v>
      </c>
      <c r="I290" s="15" t="s">
        <v>692</v>
      </c>
      <c r="J290" s="17" t="str">
        <f>"_x0007_`COD|B05318_x0005_`QTY1|1_x0005_`BQC|_x0005_`EQC|_x0005_`JDC|_x0005_`WQC|_x0005_`EDT|_x0005_`ADJ|F_x0005_`DET|"&amp;ROW(일위대가표!A1226)&amp;"_x0005_`"</f>
        <v>_x0007_`COD|B05318_x0005_`QTY1|1_x0005_`BQC|_x0005_`EQC|_x0005_`JDC|_x0005_`WQC|_x0005_`EDT|_x0005_`ADJ|F_x0005_`DET|1226_x0005_`</v>
      </c>
      <c r="K290" s="3" t="str">
        <f ca="1">HYPERLINK("#"&amp;일위대가표!N2&amp;"!A"&amp;ROW(일위대가표!A1226),"대가287 →")</f>
        <v>대가287 →</v>
      </c>
    </row>
    <row r="291" spans="1:11" ht="22.35" customHeight="1" x14ac:dyDescent="0.3">
      <c r="A291" s="9" t="s">
        <v>694</v>
      </c>
      <c r="B291" s="10" t="s">
        <v>695</v>
      </c>
      <c r="C291" s="10" t="s">
        <v>684</v>
      </c>
      <c r="D291" s="9" t="s">
        <v>14</v>
      </c>
      <c r="E291" s="48">
        <f>일위대가표!F1232</f>
        <v>413331</v>
      </c>
      <c r="F291" s="47">
        <f>일위대가표!H1232</f>
        <v>401293</v>
      </c>
      <c r="G291" s="56">
        <f>일위대가표!J1232</f>
        <v>0</v>
      </c>
      <c r="H291" s="48">
        <f>일위대가표!L1232</f>
        <v>12038</v>
      </c>
      <c r="I291" s="15" t="s">
        <v>694</v>
      </c>
      <c r="J291" s="17" t="str">
        <f>"_x0007_`COD|B05319_x0005_`QTY1|1_x0005_`BQC|_x0005_`EQC|_x0005_`JDC|_x0005_`WQC|_x0005_`EDT|_x0005_`ADJ|F_x0005_`DET|"&amp;ROW(일위대가표!A1230)&amp;"_x0005_`"</f>
        <v>_x0007_`COD|B05319_x0005_`QTY1|1_x0005_`BQC|_x0005_`EQC|_x0005_`JDC|_x0005_`WQC|_x0005_`EDT|_x0005_`ADJ|F_x0005_`DET|1230_x0005_`</v>
      </c>
      <c r="K291" s="3" t="str">
        <f ca="1">HYPERLINK("#"&amp;일위대가표!N2&amp;"!A"&amp;ROW(일위대가표!A1230),"대가288 →")</f>
        <v>대가288 →</v>
      </c>
    </row>
    <row r="292" spans="1:11" ht="22.35" customHeight="1" x14ac:dyDescent="0.3">
      <c r="A292" s="9" t="s">
        <v>697</v>
      </c>
      <c r="B292" s="10" t="s">
        <v>695</v>
      </c>
      <c r="C292" s="10" t="s">
        <v>687</v>
      </c>
      <c r="D292" s="9" t="s">
        <v>14</v>
      </c>
      <c r="E292" s="48">
        <f>일위대가표!F1236</f>
        <v>413331</v>
      </c>
      <c r="F292" s="47">
        <f>일위대가표!H1236</f>
        <v>401293</v>
      </c>
      <c r="G292" s="56">
        <f>일위대가표!J1236</f>
        <v>0</v>
      </c>
      <c r="H292" s="48">
        <f>일위대가표!L1236</f>
        <v>12038</v>
      </c>
      <c r="I292" s="15" t="s">
        <v>697</v>
      </c>
      <c r="J292" s="17" t="str">
        <f>"_x0007_`COD|B05320_x0005_`QTY1|1_x0005_`BQC|_x0005_`EQC|_x0005_`JDC|_x0005_`WQC|_x0005_`EDT|_x0005_`ADJ|F_x0005_`DET|"&amp;ROW(일위대가표!A1234)&amp;"_x0005_`"</f>
        <v>_x0007_`COD|B05320_x0005_`QTY1|1_x0005_`BQC|_x0005_`EQC|_x0005_`JDC|_x0005_`WQC|_x0005_`EDT|_x0005_`ADJ|F_x0005_`DET|1234_x0005_`</v>
      </c>
      <c r="K292" s="3" t="str">
        <f ca="1">HYPERLINK("#"&amp;일위대가표!N2&amp;"!A"&amp;ROW(일위대가표!A1234),"대가289 →")</f>
        <v>대가289 →</v>
      </c>
    </row>
    <row r="293" spans="1:11" ht="22.35" customHeight="1" x14ac:dyDescent="0.3">
      <c r="A293" s="9" t="s">
        <v>699</v>
      </c>
      <c r="B293" s="10" t="s">
        <v>700</v>
      </c>
      <c r="C293" s="10" t="s">
        <v>684</v>
      </c>
      <c r="D293" s="9" t="s">
        <v>14</v>
      </c>
      <c r="E293" s="48">
        <f>일위대가표!F1240</f>
        <v>165332</v>
      </c>
      <c r="F293" s="47">
        <f>일위대가표!H1240</f>
        <v>160517</v>
      </c>
      <c r="G293" s="56">
        <f>일위대가표!J1240</f>
        <v>0</v>
      </c>
      <c r="H293" s="48">
        <f>일위대가표!L1240</f>
        <v>4815</v>
      </c>
      <c r="I293" s="15" t="s">
        <v>699</v>
      </c>
      <c r="J293" s="17" t="str">
        <f>"_x0007_`COD|B05321_x0005_`QTY1|1_x0005_`BQC|_x0005_`EQC|_x0005_`JDC|_x0005_`WQC|_x0005_`EDT|_x0005_`ADJ|F_x0005_`DET|"&amp;ROW(일위대가표!A1238)&amp;"_x0005_`"</f>
        <v>_x0007_`COD|B05321_x0005_`QTY1|1_x0005_`BQC|_x0005_`EQC|_x0005_`JDC|_x0005_`WQC|_x0005_`EDT|_x0005_`ADJ|F_x0005_`DET|1238_x0005_`</v>
      </c>
      <c r="K293" s="3" t="str">
        <f ca="1">HYPERLINK("#"&amp;일위대가표!N2&amp;"!A"&amp;ROW(일위대가표!A1238),"대가290 →")</f>
        <v>대가290 →</v>
      </c>
    </row>
    <row r="294" spans="1:11" ht="22.35" customHeight="1" x14ac:dyDescent="0.3">
      <c r="A294" s="9" t="s">
        <v>702</v>
      </c>
      <c r="B294" s="10" t="s">
        <v>700</v>
      </c>
      <c r="C294" s="10" t="s">
        <v>687</v>
      </c>
      <c r="D294" s="9" t="s">
        <v>14</v>
      </c>
      <c r="E294" s="48">
        <f>일위대가표!F1244</f>
        <v>165332</v>
      </c>
      <c r="F294" s="47">
        <f>일위대가표!H1244</f>
        <v>160517</v>
      </c>
      <c r="G294" s="56">
        <f>일위대가표!J1244</f>
        <v>0</v>
      </c>
      <c r="H294" s="48">
        <f>일위대가표!L1244</f>
        <v>4815</v>
      </c>
      <c r="I294" s="15" t="s">
        <v>702</v>
      </c>
      <c r="J294" s="17" t="str">
        <f>"_x0007_`COD|B05322_x0005_`QTY1|1_x0005_`BQC|_x0005_`EQC|_x0005_`JDC|_x0005_`WQC|_x0005_`EDT|_x0005_`ADJ|F_x0005_`DET|"&amp;ROW(일위대가표!A1242)&amp;"_x0005_`"</f>
        <v>_x0007_`COD|B05322_x0005_`QTY1|1_x0005_`BQC|_x0005_`EQC|_x0005_`JDC|_x0005_`WQC|_x0005_`EDT|_x0005_`ADJ|F_x0005_`DET|1242_x0005_`</v>
      </c>
      <c r="K294" s="3" t="str">
        <f ca="1">HYPERLINK("#"&amp;일위대가표!N2&amp;"!A"&amp;ROW(일위대가표!A1242),"대가291 →")</f>
        <v>대가291 →</v>
      </c>
    </row>
    <row r="295" spans="1:11" ht="22.35" customHeight="1" x14ac:dyDescent="0.3">
      <c r="A295" s="9" t="s">
        <v>704</v>
      </c>
      <c r="B295" s="10" t="s">
        <v>705</v>
      </c>
      <c r="C295" s="10" t="s">
        <v>706</v>
      </c>
      <c r="D295" s="9" t="s">
        <v>14</v>
      </c>
      <c r="E295" s="48">
        <f>일위대가표!F1249</f>
        <v>1548663</v>
      </c>
      <c r="F295" s="47">
        <f>일위대가표!H1249</f>
        <v>561810</v>
      </c>
      <c r="G295" s="56">
        <f>일위대가표!J1249</f>
        <v>970000</v>
      </c>
      <c r="H295" s="48">
        <f>일위대가표!L1249</f>
        <v>16853</v>
      </c>
      <c r="I295" s="15" t="s">
        <v>704</v>
      </c>
      <c r="J295" s="17" t="str">
        <f>"_x0007_`COD|B04967_x0005_`QTY1|1_x0005_`BQC|_x0005_`EQC|_x0005_`JDC|_x0005_`WQC|_x0005_`EDT|_x0005_`ADJ|F_x0005_`DET|"&amp;ROW(일위대가표!A1246)&amp;"_x0005_`"</f>
        <v>_x0007_`COD|B04967_x0005_`QTY1|1_x0005_`BQC|_x0005_`EQC|_x0005_`JDC|_x0005_`WQC|_x0005_`EDT|_x0005_`ADJ|F_x0005_`DET|1246_x0005_`</v>
      </c>
      <c r="K295" s="3" t="str">
        <f ca="1">HYPERLINK("#"&amp;일위대가표!N2&amp;"!A"&amp;ROW(일위대가표!A1246),"대가292 →")</f>
        <v>대가292 →</v>
      </c>
    </row>
    <row r="296" spans="1:11" ht="22.35" customHeight="1" x14ac:dyDescent="0.3">
      <c r="A296" s="9" t="s">
        <v>708</v>
      </c>
      <c r="B296" s="10" t="s">
        <v>705</v>
      </c>
      <c r="C296" s="10" t="s">
        <v>709</v>
      </c>
      <c r="D296" s="9" t="s">
        <v>14</v>
      </c>
      <c r="E296" s="48">
        <f>일위대가표!F1254</f>
        <v>1704343</v>
      </c>
      <c r="F296" s="47">
        <f>일위대가표!H1254</f>
        <v>635285</v>
      </c>
      <c r="G296" s="56">
        <f>일위대가표!J1254</f>
        <v>1050000</v>
      </c>
      <c r="H296" s="48">
        <f>일위대가표!L1254</f>
        <v>19058</v>
      </c>
      <c r="I296" s="15" t="s">
        <v>708</v>
      </c>
      <c r="J296" s="17" t="str">
        <f>"_x0007_`COD|B04968_x0005_`QTY1|1_x0005_`BQC|_x0005_`EQC|_x0005_`JDC|_x0005_`WQC|_x0005_`EDT|_x0005_`ADJ|F_x0005_`DET|"&amp;ROW(일위대가표!A1251)&amp;"_x0005_`"</f>
        <v>_x0007_`COD|B04968_x0005_`QTY1|1_x0005_`BQC|_x0005_`EQC|_x0005_`JDC|_x0005_`WQC|_x0005_`EDT|_x0005_`ADJ|F_x0005_`DET|1251_x0005_`</v>
      </c>
      <c r="K296" s="3" t="str">
        <f ca="1">HYPERLINK("#"&amp;일위대가표!N2&amp;"!A"&amp;ROW(일위대가표!A1251),"대가293 →")</f>
        <v>대가293 →</v>
      </c>
    </row>
    <row r="297" spans="1:11" ht="22.35" customHeight="1" x14ac:dyDescent="0.3">
      <c r="A297" s="9" t="s">
        <v>711</v>
      </c>
      <c r="B297" s="10" t="s">
        <v>705</v>
      </c>
      <c r="C297" s="10" t="s">
        <v>712</v>
      </c>
      <c r="D297" s="9" t="s">
        <v>14</v>
      </c>
      <c r="E297" s="48">
        <f>일위대가표!F1259</f>
        <v>2224947</v>
      </c>
      <c r="F297" s="47">
        <f>일위대가표!H1259</f>
        <v>703833</v>
      </c>
      <c r="G297" s="56">
        <f>일위대가표!J1259</f>
        <v>1500000</v>
      </c>
      <c r="H297" s="48">
        <f>일위대가표!L1259</f>
        <v>21114</v>
      </c>
      <c r="I297" s="15" t="s">
        <v>711</v>
      </c>
      <c r="J297" s="17" t="str">
        <f>"_x0007_`COD|B04969_x0005_`QTY1|1_x0005_`BQC|_x0005_`EQC|_x0005_`JDC|_x0005_`WQC|_x0005_`EDT|_x0005_`ADJ|F_x0005_`DET|"&amp;ROW(일위대가표!A1256)&amp;"_x0005_`"</f>
        <v>_x0007_`COD|B04969_x0005_`QTY1|1_x0005_`BQC|_x0005_`EQC|_x0005_`JDC|_x0005_`WQC|_x0005_`EDT|_x0005_`ADJ|F_x0005_`DET|1256_x0005_`</v>
      </c>
      <c r="K297" s="3" t="str">
        <f ca="1">HYPERLINK("#"&amp;일위대가표!N2&amp;"!A"&amp;ROW(일위대가표!A1256),"대가294 →")</f>
        <v>대가294 →</v>
      </c>
    </row>
    <row r="298" spans="1:11" ht="22.35" customHeight="1" x14ac:dyDescent="0.3">
      <c r="A298" s="9" t="s">
        <v>714</v>
      </c>
      <c r="B298" s="10" t="s">
        <v>705</v>
      </c>
      <c r="C298" s="10" t="s">
        <v>715</v>
      </c>
      <c r="D298" s="9" t="s">
        <v>14</v>
      </c>
      <c r="E298" s="48">
        <f>일위대가표!F1264</f>
        <v>2675708</v>
      </c>
      <c r="F298" s="47">
        <f>일위대가표!H1264</f>
        <v>850203</v>
      </c>
      <c r="G298" s="56">
        <f>일위대가표!J1264</f>
        <v>1800000</v>
      </c>
      <c r="H298" s="48">
        <f>일위대가표!L1264</f>
        <v>25505</v>
      </c>
      <c r="I298" s="15" t="s">
        <v>714</v>
      </c>
      <c r="J298" s="17" t="str">
        <f>"_x0007_`COD|B04970_x0005_`QTY1|1_x0005_`BQC|_x0005_`EQC|_x0005_`JDC|_x0005_`WQC|_x0005_`EDT|_x0005_`ADJ|F_x0005_`DET|"&amp;ROW(일위대가표!A1261)&amp;"_x0005_`"</f>
        <v>_x0007_`COD|B04970_x0005_`QTY1|1_x0005_`BQC|_x0005_`EQC|_x0005_`JDC|_x0005_`WQC|_x0005_`EDT|_x0005_`ADJ|F_x0005_`DET|1261_x0005_`</v>
      </c>
      <c r="K298" s="3" t="str">
        <f ca="1">HYPERLINK("#"&amp;일위대가표!N2&amp;"!A"&amp;ROW(일위대가표!A1261),"대가295 →")</f>
        <v>대가295 →</v>
      </c>
    </row>
    <row r="299" spans="1:11" ht="22.35" customHeight="1" x14ac:dyDescent="0.3">
      <c r="A299" s="9" t="s">
        <v>717</v>
      </c>
      <c r="B299" s="10" t="s">
        <v>705</v>
      </c>
      <c r="C299" s="10" t="s">
        <v>718</v>
      </c>
      <c r="D299" s="9" t="s">
        <v>14</v>
      </c>
      <c r="E299" s="48">
        <f>일위대가표!F1269</f>
        <v>3357069</v>
      </c>
      <c r="F299" s="47">
        <f>일위대가표!H1269</f>
        <v>1026282</v>
      </c>
      <c r="G299" s="56">
        <f>일위대가표!J1269</f>
        <v>2300000</v>
      </c>
      <c r="H299" s="48">
        <f>일위대가표!L1269</f>
        <v>30787</v>
      </c>
      <c r="I299" s="15" t="s">
        <v>717</v>
      </c>
      <c r="J299" s="17" t="str">
        <f>"_x0007_`COD|B04971_x0005_`QTY1|1_x0005_`BQC|_x0005_`EQC|_x0005_`JDC|_x0005_`WQC|_x0005_`EDT|_x0005_`ADJ|F_x0005_`DET|"&amp;ROW(일위대가표!A1266)&amp;"_x0005_`"</f>
        <v>_x0007_`COD|B04971_x0005_`QTY1|1_x0005_`BQC|_x0005_`EQC|_x0005_`JDC|_x0005_`WQC|_x0005_`EDT|_x0005_`ADJ|F_x0005_`DET|1266_x0005_`</v>
      </c>
      <c r="K299" s="3" t="str">
        <f ca="1">HYPERLINK("#"&amp;일위대가표!N2&amp;"!A"&amp;ROW(일위대가표!A1266),"대가296 →")</f>
        <v>대가296 →</v>
      </c>
    </row>
    <row r="300" spans="1:11" ht="22.35" customHeight="1" x14ac:dyDescent="0.3">
      <c r="A300" s="9" t="s">
        <v>720</v>
      </c>
      <c r="B300" s="10" t="s">
        <v>705</v>
      </c>
      <c r="C300" s="10" t="s">
        <v>721</v>
      </c>
      <c r="D300" s="9" t="s">
        <v>14</v>
      </c>
      <c r="E300" s="48">
        <f>일위대가표!F1274</f>
        <v>4920434</v>
      </c>
      <c r="F300" s="47">
        <f>일위대가표!H1274</f>
        <v>1221781</v>
      </c>
      <c r="G300" s="56">
        <f>일위대가표!J1274</f>
        <v>3662000</v>
      </c>
      <c r="H300" s="48">
        <f>일위대가표!L1274</f>
        <v>36653</v>
      </c>
      <c r="I300" s="15" t="s">
        <v>720</v>
      </c>
      <c r="J300" s="17" t="str">
        <f>"_x0007_`COD|B04972_x0005_`QTY1|1_x0005_`BQC|_x0005_`EQC|_x0005_`JDC|_x0005_`WQC|_x0005_`EDT|_x0005_`ADJ|F_x0005_`DET|"&amp;ROW(일위대가표!A1271)&amp;"_x0005_`"</f>
        <v>_x0007_`COD|B04972_x0005_`QTY1|1_x0005_`BQC|_x0005_`EQC|_x0005_`JDC|_x0005_`WQC|_x0005_`EDT|_x0005_`ADJ|F_x0005_`DET|1271_x0005_`</v>
      </c>
      <c r="K300" s="3" t="str">
        <f ca="1">HYPERLINK("#"&amp;일위대가표!N2&amp;"!A"&amp;ROW(일위대가표!A1271),"대가297 →")</f>
        <v>대가297 →</v>
      </c>
    </row>
    <row r="301" spans="1:11" ht="22.35" customHeight="1" x14ac:dyDescent="0.3">
      <c r="A301" s="9" t="s">
        <v>723</v>
      </c>
      <c r="B301" s="10" t="s">
        <v>724</v>
      </c>
      <c r="C301" s="10" t="s">
        <v>725</v>
      </c>
      <c r="D301" s="9" t="s">
        <v>14</v>
      </c>
      <c r="E301" s="48">
        <f>일위대가표!F1279</f>
        <v>6859552</v>
      </c>
      <c r="F301" s="47">
        <f>일위대가표!H1279</f>
        <v>349080</v>
      </c>
      <c r="G301" s="56">
        <f>일위대가표!J1279</f>
        <v>6500000</v>
      </c>
      <c r="H301" s="48">
        <f>일위대가표!L1279</f>
        <v>10472</v>
      </c>
      <c r="I301" s="15" t="s">
        <v>723</v>
      </c>
      <c r="J301" s="17" t="str">
        <f>"_x0007_`COD|B04973_x0005_`QTY1|1_x0005_`BQC|_x0005_`EQC|_x0005_`JDC|_x0005_`WQC|_x0005_`EDT|_x0005_`ADJ|F_x0005_`DET|"&amp;ROW(일위대가표!A1276)&amp;"_x0005_`"</f>
        <v>_x0007_`COD|B04973_x0005_`QTY1|1_x0005_`BQC|_x0005_`EQC|_x0005_`JDC|_x0005_`WQC|_x0005_`EDT|_x0005_`ADJ|F_x0005_`DET|1276_x0005_`</v>
      </c>
      <c r="K301" s="3" t="str">
        <f ca="1">HYPERLINK("#"&amp;일위대가표!N2&amp;"!A"&amp;ROW(일위대가표!A1276),"대가298 →")</f>
        <v>대가298 →</v>
      </c>
    </row>
    <row r="302" spans="1:11" ht="22.35" customHeight="1" x14ac:dyDescent="0.3">
      <c r="A302" s="9" t="s">
        <v>727</v>
      </c>
      <c r="B302" s="10" t="s">
        <v>724</v>
      </c>
      <c r="C302" s="10" t="s">
        <v>728</v>
      </c>
      <c r="D302" s="9" t="s">
        <v>14</v>
      </c>
      <c r="E302" s="48">
        <f>일위대가표!F1284</f>
        <v>11758434</v>
      </c>
      <c r="F302" s="47">
        <f>일위대가표!H1284</f>
        <v>1221781</v>
      </c>
      <c r="G302" s="56">
        <f>일위대가표!J1284</f>
        <v>10500000</v>
      </c>
      <c r="H302" s="48">
        <f>일위대가표!L1284</f>
        <v>36653</v>
      </c>
      <c r="I302" s="15" t="s">
        <v>727</v>
      </c>
      <c r="J302" s="17" t="str">
        <f>"_x0007_`COD|B04974_x0005_`QTY1|1_x0005_`BQC|_x0005_`EQC|_x0005_`JDC|_x0005_`WQC|_x0005_`EDT|_x0005_`ADJ|F_x0005_`DET|"&amp;ROW(일위대가표!A1281)&amp;"_x0005_`"</f>
        <v>_x0007_`COD|B04974_x0005_`QTY1|1_x0005_`BQC|_x0005_`EQC|_x0005_`JDC|_x0005_`WQC|_x0005_`EDT|_x0005_`ADJ|F_x0005_`DET|1281_x0005_`</v>
      </c>
      <c r="K302" s="3" t="str">
        <f ca="1">HYPERLINK("#"&amp;일위대가표!N2&amp;"!A"&amp;ROW(일위대가표!A1281),"대가299 →")</f>
        <v>대가299 →</v>
      </c>
    </row>
    <row r="303" spans="1:11" ht="22.35" customHeight="1" x14ac:dyDescent="0.3">
      <c r="A303" s="9" t="s">
        <v>730</v>
      </c>
      <c r="B303" s="10" t="s">
        <v>724</v>
      </c>
      <c r="C303" s="10" t="s">
        <v>731</v>
      </c>
      <c r="D303" s="9" t="s">
        <v>14</v>
      </c>
      <c r="E303" s="48">
        <f>일위대가표!F1289</f>
        <v>13758434</v>
      </c>
      <c r="F303" s="47">
        <f>일위대가표!H1289</f>
        <v>1221781</v>
      </c>
      <c r="G303" s="56">
        <f>일위대가표!J1289</f>
        <v>12500000</v>
      </c>
      <c r="H303" s="48">
        <f>일위대가표!L1289</f>
        <v>36653</v>
      </c>
      <c r="I303" s="15" t="s">
        <v>730</v>
      </c>
      <c r="J303" s="17" t="str">
        <f>"_x0007_`COD|B04975_x0005_`QTY1|1_x0005_`BQC|_x0005_`EQC|_x0005_`JDC|_x0005_`WQC|_x0005_`EDT|_x0005_`ADJ|F_x0005_`DET|"&amp;ROW(일위대가표!A1286)&amp;"_x0005_`"</f>
        <v>_x0007_`COD|B04975_x0005_`QTY1|1_x0005_`BQC|_x0005_`EQC|_x0005_`JDC|_x0005_`WQC|_x0005_`EDT|_x0005_`ADJ|F_x0005_`DET|1286_x0005_`</v>
      </c>
      <c r="K303" s="3" t="str">
        <f ca="1">HYPERLINK("#"&amp;일위대가표!N2&amp;"!A"&amp;ROW(일위대가표!A1286),"대가300 →")</f>
        <v>대가300 →</v>
      </c>
    </row>
    <row r="304" spans="1:11" ht="22.35" customHeight="1" x14ac:dyDescent="0.3">
      <c r="A304" s="9" t="s">
        <v>733</v>
      </c>
      <c r="B304" s="10" t="s">
        <v>724</v>
      </c>
      <c r="C304" s="10" t="s">
        <v>734</v>
      </c>
      <c r="D304" s="9" t="s">
        <v>14</v>
      </c>
      <c r="E304" s="48">
        <f>일위대가표!F1294</f>
        <v>16258434</v>
      </c>
      <c r="F304" s="47">
        <f>일위대가표!H1294</f>
        <v>1221781</v>
      </c>
      <c r="G304" s="56">
        <f>일위대가표!J1294</f>
        <v>15000000</v>
      </c>
      <c r="H304" s="48">
        <f>일위대가표!L1294</f>
        <v>36653</v>
      </c>
      <c r="I304" s="15" t="s">
        <v>733</v>
      </c>
      <c r="J304" s="17" t="str">
        <f>"_x0007_`COD|B04976_x0005_`QTY1|1_x0005_`BQC|_x0005_`EQC|_x0005_`JDC|_x0005_`WQC|_x0005_`EDT|_x0005_`ADJ|F_x0005_`DET|"&amp;ROW(일위대가표!A1291)&amp;"_x0005_`"</f>
        <v>_x0007_`COD|B04976_x0005_`QTY1|1_x0005_`BQC|_x0005_`EQC|_x0005_`JDC|_x0005_`WQC|_x0005_`EDT|_x0005_`ADJ|F_x0005_`DET|1291_x0005_`</v>
      </c>
      <c r="K304" s="3" t="str">
        <f ca="1">HYPERLINK("#"&amp;일위대가표!N2&amp;"!A"&amp;ROW(일위대가표!A1291),"대가301 →")</f>
        <v>대가301 →</v>
      </c>
    </row>
    <row r="305" spans="1:11" ht="22.35" customHeight="1" x14ac:dyDescent="0.3">
      <c r="A305" s="9" t="s">
        <v>736</v>
      </c>
      <c r="B305" s="10" t="s">
        <v>737</v>
      </c>
      <c r="C305" s="10" t="s">
        <v>706</v>
      </c>
      <c r="D305" s="9" t="s">
        <v>14</v>
      </c>
      <c r="E305" s="48">
        <f>일위대가표!F1298</f>
        <v>578663</v>
      </c>
      <c r="F305" s="47">
        <f>일위대가표!H1298</f>
        <v>561810</v>
      </c>
      <c r="G305" s="56">
        <f>일위대가표!J1298</f>
        <v>0</v>
      </c>
      <c r="H305" s="48">
        <f>일위대가표!L1298</f>
        <v>16853</v>
      </c>
      <c r="I305" s="15" t="s">
        <v>736</v>
      </c>
      <c r="J305" s="17" t="str">
        <f>"_x0007_`COD|B05333_x0005_`QTY1|1_x0005_`BQC|_x0005_`EQC|_x0005_`JDC|_x0005_`WQC|_x0005_`EDT|_x0005_`ADJ|F_x0005_`DET|"&amp;ROW(일위대가표!A1296)&amp;"_x0005_`"</f>
        <v>_x0007_`COD|B05333_x0005_`QTY1|1_x0005_`BQC|_x0005_`EQC|_x0005_`JDC|_x0005_`WQC|_x0005_`EDT|_x0005_`ADJ|F_x0005_`DET|1296_x0005_`</v>
      </c>
      <c r="K305" s="3" t="str">
        <f ca="1">HYPERLINK("#"&amp;일위대가표!N2&amp;"!A"&amp;ROW(일위대가표!A1296),"대가302 →")</f>
        <v>대가302 →</v>
      </c>
    </row>
    <row r="306" spans="1:11" ht="22.35" customHeight="1" x14ac:dyDescent="0.3">
      <c r="A306" s="9" t="s">
        <v>739</v>
      </c>
      <c r="B306" s="10" t="s">
        <v>737</v>
      </c>
      <c r="C306" s="10" t="s">
        <v>709</v>
      </c>
      <c r="D306" s="9" t="s">
        <v>14</v>
      </c>
      <c r="E306" s="48">
        <f>일위대가표!F1302</f>
        <v>654343</v>
      </c>
      <c r="F306" s="47">
        <f>일위대가표!H1302</f>
        <v>635285</v>
      </c>
      <c r="G306" s="56">
        <f>일위대가표!J1302</f>
        <v>0</v>
      </c>
      <c r="H306" s="48">
        <f>일위대가표!L1302</f>
        <v>19058</v>
      </c>
      <c r="I306" s="15" t="s">
        <v>739</v>
      </c>
      <c r="J306" s="17" t="str">
        <f>"_x0007_`COD|B05334_x0005_`QTY1|1_x0005_`BQC|_x0005_`EQC|_x0005_`JDC|_x0005_`WQC|_x0005_`EDT|_x0005_`ADJ|F_x0005_`DET|"&amp;ROW(일위대가표!A1300)&amp;"_x0005_`"</f>
        <v>_x0007_`COD|B05334_x0005_`QTY1|1_x0005_`BQC|_x0005_`EQC|_x0005_`JDC|_x0005_`WQC|_x0005_`EDT|_x0005_`ADJ|F_x0005_`DET|1300_x0005_`</v>
      </c>
      <c r="K306" s="3" t="str">
        <f ca="1">HYPERLINK("#"&amp;일위대가표!N2&amp;"!A"&amp;ROW(일위대가표!A1300),"대가303 →")</f>
        <v>대가303 →</v>
      </c>
    </row>
    <row r="307" spans="1:11" ht="22.35" customHeight="1" x14ac:dyDescent="0.3">
      <c r="A307" s="9" t="s">
        <v>741</v>
      </c>
      <c r="B307" s="10" t="s">
        <v>737</v>
      </c>
      <c r="C307" s="10" t="s">
        <v>712</v>
      </c>
      <c r="D307" s="9" t="s">
        <v>14</v>
      </c>
      <c r="E307" s="48">
        <f>일위대가표!F1306</f>
        <v>724947</v>
      </c>
      <c r="F307" s="47">
        <f>일위대가표!H1306</f>
        <v>703833</v>
      </c>
      <c r="G307" s="56">
        <f>일위대가표!J1306</f>
        <v>0</v>
      </c>
      <c r="H307" s="48">
        <f>일위대가표!L1306</f>
        <v>21114</v>
      </c>
      <c r="I307" s="15" t="s">
        <v>741</v>
      </c>
      <c r="J307" s="17" t="str">
        <f>"_x0007_`COD|B05335_x0005_`QTY1|1_x0005_`BQC|_x0005_`EQC|_x0005_`JDC|_x0005_`WQC|_x0005_`EDT|_x0005_`ADJ|F_x0005_`DET|"&amp;ROW(일위대가표!A1304)&amp;"_x0005_`"</f>
        <v>_x0007_`COD|B05335_x0005_`QTY1|1_x0005_`BQC|_x0005_`EQC|_x0005_`JDC|_x0005_`WQC|_x0005_`EDT|_x0005_`ADJ|F_x0005_`DET|1304_x0005_`</v>
      </c>
      <c r="K307" s="3" t="str">
        <f ca="1">HYPERLINK("#"&amp;일위대가표!N2&amp;"!A"&amp;ROW(일위대가표!A1304),"대가304 →")</f>
        <v>대가304 →</v>
      </c>
    </row>
    <row r="308" spans="1:11" ht="22.35" customHeight="1" x14ac:dyDescent="0.3">
      <c r="A308" s="9" t="s">
        <v>743</v>
      </c>
      <c r="B308" s="10" t="s">
        <v>737</v>
      </c>
      <c r="C308" s="10" t="s">
        <v>715</v>
      </c>
      <c r="D308" s="9" t="s">
        <v>14</v>
      </c>
      <c r="E308" s="48">
        <f>일위대가표!F1310</f>
        <v>875708</v>
      </c>
      <c r="F308" s="47">
        <f>일위대가표!H1310</f>
        <v>850203</v>
      </c>
      <c r="G308" s="56">
        <f>일위대가표!J1310</f>
        <v>0</v>
      </c>
      <c r="H308" s="48">
        <f>일위대가표!L1310</f>
        <v>25505</v>
      </c>
      <c r="I308" s="15" t="s">
        <v>743</v>
      </c>
      <c r="J308" s="17" t="str">
        <f>"_x0007_`COD|B05336_x0005_`QTY1|1_x0005_`BQC|_x0005_`EQC|_x0005_`JDC|_x0005_`WQC|_x0005_`EDT|_x0005_`ADJ|F_x0005_`DET|"&amp;ROW(일위대가표!A1308)&amp;"_x0005_`"</f>
        <v>_x0007_`COD|B05336_x0005_`QTY1|1_x0005_`BQC|_x0005_`EQC|_x0005_`JDC|_x0005_`WQC|_x0005_`EDT|_x0005_`ADJ|F_x0005_`DET|1308_x0005_`</v>
      </c>
      <c r="K308" s="3" t="str">
        <f ca="1">HYPERLINK("#"&amp;일위대가표!N2&amp;"!A"&amp;ROW(일위대가표!A1308),"대가305 →")</f>
        <v>대가305 →</v>
      </c>
    </row>
    <row r="309" spans="1:11" ht="22.35" customHeight="1" x14ac:dyDescent="0.3">
      <c r="A309" s="9" t="s">
        <v>745</v>
      </c>
      <c r="B309" s="10" t="s">
        <v>737</v>
      </c>
      <c r="C309" s="10" t="s">
        <v>718</v>
      </c>
      <c r="D309" s="9" t="s">
        <v>14</v>
      </c>
      <c r="E309" s="48">
        <f>일위대가표!F1314</f>
        <v>1057069</v>
      </c>
      <c r="F309" s="47">
        <f>일위대가표!H1314</f>
        <v>1026282</v>
      </c>
      <c r="G309" s="56">
        <f>일위대가표!J1314</f>
        <v>0</v>
      </c>
      <c r="H309" s="48">
        <f>일위대가표!L1314</f>
        <v>30787</v>
      </c>
      <c r="I309" s="15" t="s">
        <v>745</v>
      </c>
      <c r="J309" s="17" t="str">
        <f>"_x0007_`COD|B05337_x0005_`QTY1|1_x0005_`BQC|_x0005_`EQC|_x0005_`JDC|_x0005_`WQC|_x0005_`EDT|_x0005_`ADJ|F_x0005_`DET|"&amp;ROW(일위대가표!A1312)&amp;"_x0005_`"</f>
        <v>_x0007_`COD|B05337_x0005_`QTY1|1_x0005_`BQC|_x0005_`EQC|_x0005_`JDC|_x0005_`WQC|_x0005_`EDT|_x0005_`ADJ|F_x0005_`DET|1312_x0005_`</v>
      </c>
      <c r="K309" s="3" t="str">
        <f ca="1">HYPERLINK("#"&amp;일위대가표!N2&amp;"!A"&amp;ROW(일위대가표!A1312),"대가306 →")</f>
        <v>대가306 →</v>
      </c>
    </row>
    <row r="310" spans="1:11" ht="22.35" customHeight="1" x14ac:dyDescent="0.3">
      <c r="A310" s="9" t="s">
        <v>747</v>
      </c>
      <c r="B310" s="10" t="s">
        <v>737</v>
      </c>
      <c r="C310" s="10" t="s">
        <v>721</v>
      </c>
      <c r="D310" s="9" t="s">
        <v>14</v>
      </c>
      <c r="E310" s="48">
        <f>일위대가표!F1318</f>
        <v>1258434</v>
      </c>
      <c r="F310" s="47">
        <f>일위대가표!H1318</f>
        <v>1221781</v>
      </c>
      <c r="G310" s="56">
        <f>일위대가표!J1318</f>
        <v>0</v>
      </c>
      <c r="H310" s="48">
        <f>일위대가표!L1318</f>
        <v>36653</v>
      </c>
      <c r="I310" s="15" t="s">
        <v>747</v>
      </c>
      <c r="J310" s="17" t="str">
        <f>"_x0007_`COD|B05338_x0005_`QTY1|1_x0005_`BQC|_x0005_`EQC|_x0005_`JDC|_x0005_`WQC|_x0005_`EDT|_x0005_`ADJ|F_x0005_`DET|"&amp;ROW(일위대가표!A1316)&amp;"_x0005_`"</f>
        <v>_x0007_`COD|B05338_x0005_`QTY1|1_x0005_`BQC|_x0005_`EQC|_x0005_`JDC|_x0005_`WQC|_x0005_`EDT|_x0005_`ADJ|F_x0005_`DET|1316_x0005_`</v>
      </c>
      <c r="K310" s="3" t="str">
        <f ca="1">HYPERLINK("#"&amp;일위대가표!N2&amp;"!A"&amp;ROW(일위대가표!A1316),"대가307 →")</f>
        <v>대가307 →</v>
      </c>
    </row>
    <row r="311" spans="1:11" ht="22.35" customHeight="1" x14ac:dyDescent="0.3">
      <c r="A311" s="9" t="s">
        <v>749</v>
      </c>
      <c r="B311" s="10" t="s">
        <v>750</v>
      </c>
      <c r="C311" s="10" t="s">
        <v>725</v>
      </c>
      <c r="D311" s="9" t="s">
        <v>14</v>
      </c>
      <c r="E311" s="48">
        <f>일위대가표!F1322</f>
        <v>1258434</v>
      </c>
      <c r="F311" s="47">
        <f>일위대가표!H1322</f>
        <v>1221781</v>
      </c>
      <c r="G311" s="56">
        <f>일위대가표!J1322</f>
        <v>0</v>
      </c>
      <c r="H311" s="48">
        <f>일위대가표!L1322</f>
        <v>36653</v>
      </c>
      <c r="I311" s="15" t="s">
        <v>749</v>
      </c>
      <c r="J311" s="17" t="str">
        <f>"_x0007_`COD|B05329_x0005_`QTY1|1_x0005_`BQC|_x0005_`EQC|_x0005_`JDC|_x0005_`WQC|_x0005_`EDT|_x0005_`ADJ|F_x0005_`DET|"&amp;ROW(일위대가표!A1320)&amp;"_x0005_`"</f>
        <v>_x0007_`COD|B05329_x0005_`QTY1|1_x0005_`BQC|_x0005_`EQC|_x0005_`JDC|_x0005_`WQC|_x0005_`EDT|_x0005_`ADJ|F_x0005_`DET|1320_x0005_`</v>
      </c>
      <c r="K311" s="3" t="str">
        <f ca="1">HYPERLINK("#"&amp;일위대가표!N2&amp;"!A"&amp;ROW(일위대가표!A1320),"대가308 →")</f>
        <v>대가308 →</v>
      </c>
    </row>
    <row r="312" spans="1:11" ht="22.35" customHeight="1" x14ac:dyDescent="0.3">
      <c r="A312" s="9" t="s">
        <v>752</v>
      </c>
      <c r="B312" s="10" t="s">
        <v>750</v>
      </c>
      <c r="C312" s="10" t="s">
        <v>728</v>
      </c>
      <c r="D312" s="9" t="s">
        <v>14</v>
      </c>
      <c r="E312" s="48">
        <f>일위대가표!F1326</f>
        <v>1258434</v>
      </c>
      <c r="F312" s="47">
        <f>일위대가표!H1326</f>
        <v>1221781</v>
      </c>
      <c r="G312" s="56">
        <f>일위대가표!J1326</f>
        <v>0</v>
      </c>
      <c r="H312" s="48">
        <f>일위대가표!L1326</f>
        <v>36653</v>
      </c>
      <c r="I312" s="15" t="s">
        <v>752</v>
      </c>
      <c r="J312" s="17" t="str">
        <f>"_x0007_`COD|B05330_x0005_`QTY1|1_x0005_`BQC|_x0005_`EQC|_x0005_`JDC|_x0005_`WQC|_x0005_`EDT|_x0005_`ADJ|F_x0005_`DET|"&amp;ROW(일위대가표!A1324)&amp;"_x0005_`"</f>
        <v>_x0007_`COD|B05330_x0005_`QTY1|1_x0005_`BQC|_x0005_`EQC|_x0005_`JDC|_x0005_`WQC|_x0005_`EDT|_x0005_`ADJ|F_x0005_`DET|1324_x0005_`</v>
      </c>
      <c r="K312" s="3" t="str">
        <f ca="1">HYPERLINK("#"&amp;일위대가표!N2&amp;"!A"&amp;ROW(일위대가표!A1324),"대가309 →")</f>
        <v>대가309 →</v>
      </c>
    </row>
    <row r="313" spans="1:11" ht="22.35" customHeight="1" x14ac:dyDescent="0.3">
      <c r="A313" s="9" t="s">
        <v>754</v>
      </c>
      <c r="B313" s="10" t="s">
        <v>750</v>
      </c>
      <c r="C313" s="10" t="s">
        <v>731</v>
      </c>
      <c r="D313" s="9" t="s">
        <v>14</v>
      </c>
      <c r="E313" s="48">
        <f>일위대가표!F1330</f>
        <v>1258434</v>
      </c>
      <c r="F313" s="47">
        <f>일위대가표!H1330</f>
        <v>1221781</v>
      </c>
      <c r="G313" s="56">
        <f>일위대가표!J1330</f>
        <v>0</v>
      </c>
      <c r="H313" s="48">
        <f>일위대가표!L1330</f>
        <v>36653</v>
      </c>
      <c r="I313" s="15" t="s">
        <v>754</v>
      </c>
      <c r="J313" s="17" t="str">
        <f>"_x0007_`COD|B05331_x0005_`QTY1|1_x0005_`BQC|_x0005_`EQC|_x0005_`JDC|_x0005_`WQC|_x0005_`EDT|_x0005_`ADJ|F_x0005_`DET|"&amp;ROW(일위대가표!A1328)&amp;"_x0005_`"</f>
        <v>_x0007_`COD|B05331_x0005_`QTY1|1_x0005_`BQC|_x0005_`EQC|_x0005_`JDC|_x0005_`WQC|_x0005_`EDT|_x0005_`ADJ|F_x0005_`DET|1328_x0005_`</v>
      </c>
      <c r="K313" s="3" t="str">
        <f ca="1">HYPERLINK("#"&amp;일위대가표!N2&amp;"!A"&amp;ROW(일위대가표!A1328),"대가310 →")</f>
        <v>대가310 →</v>
      </c>
    </row>
    <row r="314" spans="1:11" ht="22.35" customHeight="1" x14ac:dyDescent="0.3">
      <c r="A314" s="9" t="s">
        <v>756</v>
      </c>
      <c r="B314" s="10" t="s">
        <v>750</v>
      </c>
      <c r="C314" s="10" t="s">
        <v>734</v>
      </c>
      <c r="D314" s="9" t="s">
        <v>14</v>
      </c>
      <c r="E314" s="48">
        <f>일위대가표!F1334</f>
        <v>1258434</v>
      </c>
      <c r="F314" s="47">
        <f>일위대가표!H1334</f>
        <v>1221781</v>
      </c>
      <c r="G314" s="56">
        <f>일위대가표!J1334</f>
        <v>0</v>
      </c>
      <c r="H314" s="48">
        <f>일위대가표!L1334</f>
        <v>36653</v>
      </c>
      <c r="I314" s="15" t="s">
        <v>756</v>
      </c>
      <c r="J314" s="17" t="str">
        <f>"_x0007_`COD|B05332_x0005_`QTY1|1_x0005_`BQC|_x0005_`EQC|_x0005_`JDC|_x0005_`WQC|_x0005_`EDT|_x0005_`ADJ|F_x0005_`DET|"&amp;ROW(일위대가표!A1332)&amp;"_x0005_`"</f>
        <v>_x0007_`COD|B05332_x0005_`QTY1|1_x0005_`BQC|_x0005_`EQC|_x0005_`JDC|_x0005_`WQC|_x0005_`EDT|_x0005_`ADJ|F_x0005_`DET|1332_x0005_`</v>
      </c>
      <c r="K314" s="3" t="str">
        <f ca="1">HYPERLINK("#"&amp;일위대가표!N2&amp;"!A"&amp;ROW(일위대가표!A1332),"대가311 →")</f>
        <v>대가311 →</v>
      </c>
    </row>
    <row r="315" spans="1:11" ht="22.35" customHeight="1" x14ac:dyDescent="0.3">
      <c r="A315" s="9" t="s">
        <v>758</v>
      </c>
      <c r="B315" s="10" t="s">
        <v>759</v>
      </c>
      <c r="C315" s="10" t="s">
        <v>706</v>
      </c>
      <c r="D315" s="9" t="s">
        <v>14</v>
      </c>
      <c r="E315" s="48">
        <f>일위대가표!F1338</f>
        <v>413331</v>
      </c>
      <c r="F315" s="47">
        <f>일위대가표!H1338</f>
        <v>401293</v>
      </c>
      <c r="G315" s="56">
        <f>일위대가표!J1338</f>
        <v>0</v>
      </c>
      <c r="H315" s="48">
        <f>일위대가표!L1338</f>
        <v>12038</v>
      </c>
      <c r="I315" s="15" t="s">
        <v>758</v>
      </c>
      <c r="J315" s="17" t="str">
        <f>"_x0007_`COD|B05323_x0005_`QTY1|1_x0005_`BQC|_x0005_`EQC|_x0005_`JDC|_x0005_`WQC|_x0005_`EDT|_x0005_`ADJ|F_x0005_`DET|"&amp;ROW(일위대가표!A1336)&amp;"_x0005_`"</f>
        <v>_x0007_`COD|B05323_x0005_`QTY1|1_x0005_`BQC|_x0005_`EQC|_x0005_`JDC|_x0005_`WQC|_x0005_`EDT|_x0005_`ADJ|F_x0005_`DET|1336_x0005_`</v>
      </c>
      <c r="K315" s="3" t="str">
        <f ca="1">HYPERLINK("#"&amp;일위대가표!N2&amp;"!A"&amp;ROW(일위대가표!A1336),"대가312 →")</f>
        <v>대가312 →</v>
      </c>
    </row>
    <row r="316" spans="1:11" ht="22.35" customHeight="1" x14ac:dyDescent="0.3">
      <c r="A316" s="9" t="s">
        <v>761</v>
      </c>
      <c r="B316" s="10" t="s">
        <v>759</v>
      </c>
      <c r="C316" s="10" t="s">
        <v>709</v>
      </c>
      <c r="D316" s="9" t="s">
        <v>14</v>
      </c>
      <c r="E316" s="48">
        <f>일위대가표!F1342</f>
        <v>467388</v>
      </c>
      <c r="F316" s="47">
        <f>일위대가표!H1342</f>
        <v>453775</v>
      </c>
      <c r="G316" s="56">
        <f>일위대가표!J1342</f>
        <v>0</v>
      </c>
      <c r="H316" s="48">
        <f>일위대가표!L1342</f>
        <v>13613</v>
      </c>
      <c r="I316" s="15" t="s">
        <v>761</v>
      </c>
      <c r="J316" s="17" t="str">
        <f>"_x0007_`COD|B05324_x0005_`QTY1|1_x0005_`BQC|_x0005_`EQC|_x0005_`JDC|_x0005_`WQC|_x0005_`EDT|_x0005_`ADJ|F_x0005_`DET|"&amp;ROW(일위대가표!A1340)&amp;"_x0005_`"</f>
        <v>_x0007_`COD|B05324_x0005_`QTY1|1_x0005_`BQC|_x0005_`EQC|_x0005_`JDC|_x0005_`WQC|_x0005_`EDT|_x0005_`ADJ|F_x0005_`DET|1340_x0005_`</v>
      </c>
      <c r="K316" s="3" t="str">
        <f ca="1">HYPERLINK("#"&amp;일위대가표!N2&amp;"!A"&amp;ROW(일위대가표!A1340),"대가313 →")</f>
        <v>대가313 →</v>
      </c>
    </row>
    <row r="317" spans="1:11" ht="22.35" customHeight="1" x14ac:dyDescent="0.3">
      <c r="A317" s="9" t="s">
        <v>763</v>
      </c>
      <c r="B317" s="10" t="s">
        <v>759</v>
      </c>
      <c r="C317" s="10" t="s">
        <v>712</v>
      </c>
      <c r="D317" s="9" t="s">
        <v>14</v>
      </c>
      <c r="E317" s="48">
        <f>일위대가표!F1346</f>
        <v>517820</v>
      </c>
      <c r="F317" s="47">
        <f>일위대가표!H1346</f>
        <v>502738</v>
      </c>
      <c r="G317" s="56">
        <f>일위대가표!J1346</f>
        <v>0</v>
      </c>
      <c r="H317" s="48">
        <f>일위대가표!L1346</f>
        <v>15082</v>
      </c>
      <c r="I317" s="15" t="s">
        <v>763</v>
      </c>
      <c r="J317" s="17" t="str">
        <f>"_x0007_`COD|B05325_x0005_`QTY1|1_x0005_`BQC|_x0005_`EQC|_x0005_`JDC|_x0005_`WQC|_x0005_`EDT|_x0005_`ADJ|F_x0005_`DET|"&amp;ROW(일위대가표!A1344)&amp;"_x0005_`"</f>
        <v>_x0007_`COD|B05325_x0005_`QTY1|1_x0005_`BQC|_x0005_`EQC|_x0005_`JDC|_x0005_`WQC|_x0005_`EDT|_x0005_`ADJ|F_x0005_`DET|1344_x0005_`</v>
      </c>
      <c r="K317" s="3" t="str">
        <f ca="1">HYPERLINK("#"&amp;일위대가표!N2&amp;"!A"&amp;ROW(일위대가표!A1344),"대가314 →")</f>
        <v>대가314 →</v>
      </c>
    </row>
    <row r="318" spans="1:11" ht="22.35" customHeight="1" x14ac:dyDescent="0.3">
      <c r="A318" s="9" t="s">
        <v>765</v>
      </c>
      <c r="B318" s="10" t="s">
        <v>759</v>
      </c>
      <c r="C318" s="10" t="s">
        <v>715</v>
      </c>
      <c r="D318" s="9" t="s">
        <v>14</v>
      </c>
      <c r="E318" s="48">
        <f>일위대가표!F1350</f>
        <v>625506</v>
      </c>
      <c r="F318" s="47">
        <f>일위대가표!H1350</f>
        <v>607288</v>
      </c>
      <c r="G318" s="56">
        <f>일위대가표!J1350</f>
        <v>0</v>
      </c>
      <c r="H318" s="48">
        <f>일위대가표!L1350</f>
        <v>18218</v>
      </c>
      <c r="I318" s="15" t="s">
        <v>765</v>
      </c>
      <c r="J318" s="17" t="str">
        <f>"_x0007_`COD|B05326_x0005_`QTY1|1_x0005_`BQC|_x0005_`EQC|_x0005_`JDC|_x0005_`WQC|_x0005_`EDT|_x0005_`ADJ|F_x0005_`DET|"&amp;ROW(일위대가표!A1348)&amp;"_x0005_`"</f>
        <v>_x0007_`COD|B05326_x0005_`QTY1|1_x0005_`BQC|_x0005_`EQC|_x0005_`JDC|_x0005_`WQC|_x0005_`EDT|_x0005_`ADJ|F_x0005_`DET|1348_x0005_`</v>
      </c>
      <c r="K318" s="3" t="str">
        <f ca="1">HYPERLINK("#"&amp;일위대가표!N2&amp;"!A"&amp;ROW(일위대가표!A1348),"대가315 →")</f>
        <v>대가315 →</v>
      </c>
    </row>
    <row r="319" spans="1:11" ht="22.35" customHeight="1" x14ac:dyDescent="0.3">
      <c r="A319" s="9" t="s">
        <v>767</v>
      </c>
      <c r="B319" s="10" t="s">
        <v>759</v>
      </c>
      <c r="C319" s="10" t="s">
        <v>718</v>
      </c>
      <c r="D319" s="9" t="s">
        <v>14</v>
      </c>
      <c r="E319" s="48">
        <f>일위대가표!F1354</f>
        <v>755050</v>
      </c>
      <c r="F319" s="47">
        <f>일위대가표!H1354</f>
        <v>733059</v>
      </c>
      <c r="G319" s="56">
        <f>일위대가표!J1354</f>
        <v>0</v>
      </c>
      <c r="H319" s="48">
        <f>일위대가표!L1354</f>
        <v>21991</v>
      </c>
      <c r="I319" s="15" t="s">
        <v>767</v>
      </c>
      <c r="J319" s="17" t="str">
        <f>"_x0007_`COD|B05327_x0005_`QTY1|1_x0005_`BQC|_x0005_`EQC|_x0005_`JDC|_x0005_`WQC|_x0005_`EDT|_x0005_`ADJ|F_x0005_`DET|"&amp;ROW(일위대가표!A1352)&amp;"_x0005_`"</f>
        <v>_x0007_`COD|B05327_x0005_`QTY1|1_x0005_`BQC|_x0005_`EQC|_x0005_`JDC|_x0005_`WQC|_x0005_`EDT|_x0005_`ADJ|F_x0005_`DET|1352_x0005_`</v>
      </c>
      <c r="K319" s="3" t="str">
        <f ca="1">HYPERLINK("#"&amp;일위대가표!N2&amp;"!A"&amp;ROW(일위대가표!A1352),"대가316 →")</f>
        <v>대가316 →</v>
      </c>
    </row>
    <row r="320" spans="1:11" ht="22.35" customHeight="1" x14ac:dyDescent="0.3">
      <c r="A320" s="9" t="s">
        <v>769</v>
      </c>
      <c r="B320" s="10" t="s">
        <v>759</v>
      </c>
      <c r="C320" s="10" t="s">
        <v>721</v>
      </c>
      <c r="D320" s="9" t="s">
        <v>14</v>
      </c>
      <c r="E320" s="48">
        <f>일위대가표!F1358</f>
        <v>898882</v>
      </c>
      <c r="F320" s="47">
        <f>일위대가표!H1358</f>
        <v>872701</v>
      </c>
      <c r="G320" s="56">
        <f>일위대가표!J1358</f>
        <v>0</v>
      </c>
      <c r="H320" s="48">
        <f>일위대가표!L1358</f>
        <v>26181</v>
      </c>
      <c r="I320" s="15" t="s">
        <v>769</v>
      </c>
      <c r="J320" s="17" t="str">
        <f>"_x0007_`COD|B05328_x0005_`QTY1|1_x0005_`BQC|_x0005_`EQC|_x0005_`JDC|_x0005_`WQC|_x0005_`EDT|_x0005_`ADJ|F_x0005_`DET|"&amp;ROW(일위대가표!A1356)&amp;"_x0005_`"</f>
        <v>_x0007_`COD|B05328_x0005_`QTY1|1_x0005_`BQC|_x0005_`EQC|_x0005_`JDC|_x0005_`WQC|_x0005_`EDT|_x0005_`ADJ|F_x0005_`DET|1356_x0005_`</v>
      </c>
      <c r="K320" s="3" t="str">
        <f ca="1">HYPERLINK("#"&amp;일위대가표!N2&amp;"!A"&amp;ROW(일위대가표!A1356),"대가317 →")</f>
        <v>대가317 →</v>
      </c>
    </row>
    <row r="321" spans="1:11" ht="22.35" customHeight="1" x14ac:dyDescent="0.3">
      <c r="A321" s="9" t="s">
        <v>771</v>
      </c>
      <c r="B321" s="10" t="s">
        <v>772</v>
      </c>
      <c r="C321" s="10" t="s">
        <v>725</v>
      </c>
      <c r="D321" s="9" t="s">
        <v>14</v>
      </c>
      <c r="E321" s="48">
        <f>일위대가표!F1362</f>
        <v>898882</v>
      </c>
      <c r="F321" s="47">
        <f>일위대가표!H1362</f>
        <v>872701</v>
      </c>
      <c r="G321" s="56">
        <f>일위대가표!J1362</f>
        <v>0</v>
      </c>
      <c r="H321" s="48">
        <f>일위대가표!L1362</f>
        <v>26181</v>
      </c>
      <c r="I321" s="15" t="s">
        <v>771</v>
      </c>
      <c r="J321" s="17" t="str">
        <f>"_x0007_`COD|B05339_x0005_`QTY1|1_x0005_`BQC|_x0005_`EQC|_x0005_`JDC|_x0005_`WQC|_x0005_`EDT|_x0005_`ADJ|F_x0005_`DET|"&amp;ROW(일위대가표!A1360)&amp;"_x0005_`"</f>
        <v>_x0007_`COD|B05339_x0005_`QTY1|1_x0005_`BQC|_x0005_`EQC|_x0005_`JDC|_x0005_`WQC|_x0005_`EDT|_x0005_`ADJ|F_x0005_`DET|1360_x0005_`</v>
      </c>
      <c r="K321" s="3" t="str">
        <f ca="1">HYPERLINK("#"&amp;일위대가표!N2&amp;"!A"&amp;ROW(일위대가표!A1360),"대가318 →")</f>
        <v>대가318 →</v>
      </c>
    </row>
    <row r="322" spans="1:11" ht="22.35" customHeight="1" x14ac:dyDescent="0.3">
      <c r="A322" s="9" t="s">
        <v>774</v>
      </c>
      <c r="B322" s="10" t="s">
        <v>772</v>
      </c>
      <c r="C322" s="10" t="s">
        <v>728</v>
      </c>
      <c r="D322" s="9" t="s">
        <v>14</v>
      </c>
      <c r="E322" s="48">
        <f>일위대가표!F1366</f>
        <v>898882</v>
      </c>
      <c r="F322" s="47">
        <f>일위대가표!H1366</f>
        <v>872701</v>
      </c>
      <c r="G322" s="56">
        <f>일위대가표!J1366</f>
        <v>0</v>
      </c>
      <c r="H322" s="48">
        <f>일위대가표!L1366</f>
        <v>26181</v>
      </c>
      <c r="I322" s="15" t="s">
        <v>774</v>
      </c>
      <c r="J322" s="17" t="str">
        <f>"_x0007_`COD|B05340_x0005_`QTY1|1_x0005_`BQC|_x0005_`EQC|_x0005_`JDC|_x0005_`WQC|_x0005_`EDT|_x0005_`ADJ|F_x0005_`DET|"&amp;ROW(일위대가표!A1364)&amp;"_x0005_`"</f>
        <v>_x0007_`COD|B05340_x0005_`QTY1|1_x0005_`BQC|_x0005_`EQC|_x0005_`JDC|_x0005_`WQC|_x0005_`EDT|_x0005_`ADJ|F_x0005_`DET|1364_x0005_`</v>
      </c>
      <c r="K322" s="3" t="str">
        <f ca="1">HYPERLINK("#"&amp;일위대가표!N2&amp;"!A"&amp;ROW(일위대가표!A1364),"대가319 →")</f>
        <v>대가319 →</v>
      </c>
    </row>
    <row r="323" spans="1:11" ht="22.35" customHeight="1" x14ac:dyDescent="0.3">
      <c r="A323" s="9" t="s">
        <v>776</v>
      </c>
      <c r="B323" s="10" t="s">
        <v>772</v>
      </c>
      <c r="C323" s="10" t="s">
        <v>731</v>
      </c>
      <c r="D323" s="9" t="s">
        <v>14</v>
      </c>
      <c r="E323" s="48">
        <f>일위대가표!F1370</f>
        <v>898882</v>
      </c>
      <c r="F323" s="47">
        <f>일위대가표!H1370</f>
        <v>872701</v>
      </c>
      <c r="G323" s="56">
        <f>일위대가표!J1370</f>
        <v>0</v>
      </c>
      <c r="H323" s="48">
        <f>일위대가표!L1370</f>
        <v>26181</v>
      </c>
      <c r="I323" s="15" t="s">
        <v>776</v>
      </c>
      <c r="J323" s="17" t="str">
        <f>"_x0007_`COD|B05341_x0005_`QTY1|1_x0005_`BQC|_x0005_`EQC|_x0005_`JDC|_x0005_`WQC|_x0005_`EDT|_x0005_`ADJ|F_x0005_`DET|"&amp;ROW(일위대가표!A1368)&amp;"_x0005_`"</f>
        <v>_x0007_`COD|B05341_x0005_`QTY1|1_x0005_`BQC|_x0005_`EQC|_x0005_`JDC|_x0005_`WQC|_x0005_`EDT|_x0005_`ADJ|F_x0005_`DET|1368_x0005_`</v>
      </c>
      <c r="K323" s="3" t="str">
        <f ca="1">HYPERLINK("#"&amp;일위대가표!N2&amp;"!A"&amp;ROW(일위대가표!A1368),"대가320 →")</f>
        <v>대가320 →</v>
      </c>
    </row>
    <row r="324" spans="1:11" ht="22.35" customHeight="1" x14ac:dyDescent="0.3">
      <c r="A324" s="9" t="s">
        <v>778</v>
      </c>
      <c r="B324" s="10" t="s">
        <v>772</v>
      </c>
      <c r="C324" s="10" t="s">
        <v>734</v>
      </c>
      <c r="D324" s="9" t="s">
        <v>14</v>
      </c>
      <c r="E324" s="48">
        <f>일위대가표!F1374</f>
        <v>898882</v>
      </c>
      <c r="F324" s="47">
        <f>일위대가표!H1374</f>
        <v>872701</v>
      </c>
      <c r="G324" s="56">
        <f>일위대가표!J1374</f>
        <v>0</v>
      </c>
      <c r="H324" s="48">
        <f>일위대가표!L1374</f>
        <v>26181</v>
      </c>
      <c r="I324" s="15" t="s">
        <v>778</v>
      </c>
      <c r="J324" s="17" t="str">
        <f>"_x0007_`COD|B05342_x0005_`QTY1|1_x0005_`BQC|_x0005_`EQC|_x0005_`JDC|_x0005_`WQC|_x0005_`EDT|_x0005_`ADJ|F_x0005_`DET|"&amp;ROW(일위대가표!A1372)&amp;"_x0005_`"</f>
        <v>_x0007_`COD|B05342_x0005_`QTY1|1_x0005_`BQC|_x0005_`EQC|_x0005_`JDC|_x0005_`WQC|_x0005_`EDT|_x0005_`ADJ|F_x0005_`DET|1372_x0005_`</v>
      </c>
      <c r="K324" s="3" t="str">
        <f ca="1">HYPERLINK("#"&amp;일위대가표!N2&amp;"!A"&amp;ROW(일위대가표!A1372),"대가321 →")</f>
        <v>대가321 →</v>
      </c>
    </row>
    <row r="325" spans="1:11" ht="22.35" customHeight="1" x14ac:dyDescent="0.3">
      <c r="A325" s="9" t="s">
        <v>780</v>
      </c>
      <c r="B325" s="10" t="s">
        <v>781</v>
      </c>
      <c r="C325" s="10" t="s">
        <v>706</v>
      </c>
      <c r="D325" s="9" t="s">
        <v>14</v>
      </c>
      <c r="E325" s="48">
        <f>일위대가표!F1378</f>
        <v>165332</v>
      </c>
      <c r="F325" s="47">
        <f>일위대가표!H1378</f>
        <v>160517</v>
      </c>
      <c r="G325" s="56">
        <f>일위대가표!J1378</f>
        <v>0</v>
      </c>
      <c r="H325" s="48">
        <f>일위대가표!L1378</f>
        <v>4815</v>
      </c>
      <c r="I325" s="15" t="s">
        <v>780</v>
      </c>
      <c r="J325" s="17" t="str">
        <f>"_x0007_`COD|B05343_x0005_`QTY1|1_x0005_`BQC|_x0005_`EQC|_x0005_`JDC|_x0005_`WQC|_x0005_`EDT|_x0005_`ADJ|F_x0005_`DET|"&amp;ROW(일위대가표!A1376)&amp;"_x0005_`"</f>
        <v>_x0007_`COD|B05343_x0005_`QTY1|1_x0005_`BQC|_x0005_`EQC|_x0005_`JDC|_x0005_`WQC|_x0005_`EDT|_x0005_`ADJ|F_x0005_`DET|1376_x0005_`</v>
      </c>
      <c r="K325" s="3" t="str">
        <f ca="1">HYPERLINK("#"&amp;일위대가표!N2&amp;"!A"&amp;ROW(일위대가표!A1376),"대가322 →")</f>
        <v>대가322 →</v>
      </c>
    </row>
    <row r="326" spans="1:11" ht="22.35" customHeight="1" x14ac:dyDescent="0.3">
      <c r="A326" s="9" t="s">
        <v>783</v>
      </c>
      <c r="B326" s="10" t="s">
        <v>781</v>
      </c>
      <c r="C326" s="10" t="s">
        <v>709</v>
      </c>
      <c r="D326" s="9" t="s">
        <v>14</v>
      </c>
      <c r="E326" s="48">
        <f>일위대가표!F1382</f>
        <v>186955</v>
      </c>
      <c r="F326" s="47">
        <f>일위대가표!H1382</f>
        <v>181510</v>
      </c>
      <c r="G326" s="56">
        <f>일위대가표!J1382</f>
        <v>0</v>
      </c>
      <c r="H326" s="48">
        <f>일위대가표!L1382</f>
        <v>5445</v>
      </c>
      <c r="I326" s="15" t="s">
        <v>783</v>
      </c>
      <c r="J326" s="17" t="str">
        <f>"_x0007_`COD|B05344_x0005_`QTY1|1_x0005_`BQC|_x0005_`EQC|_x0005_`JDC|_x0005_`WQC|_x0005_`EDT|_x0005_`ADJ|F_x0005_`DET|"&amp;ROW(일위대가표!A1380)&amp;"_x0005_`"</f>
        <v>_x0007_`COD|B05344_x0005_`QTY1|1_x0005_`BQC|_x0005_`EQC|_x0005_`JDC|_x0005_`WQC|_x0005_`EDT|_x0005_`ADJ|F_x0005_`DET|1380_x0005_`</v>
      </c>
      <c r="K326" s="3" t="str">
        <f ca="1">HYPERLINK("#"&amp;일위대가표!N2&amp;"!A"&amp;ROW(일위대가표!A1380),"대가323 →")</f>
        <v>대가323 →</v>
      </c>
    </row>
    <row r="327" spans="1:11" ht="22.35" customHeight="1" x14ac:dyDescent="0.3">
      <c r="A327" s="9" t="s">
        <v>785</v>
      </c>
      <c r="B327" s="10" t="s">
        <v>781</v>
      </c>
      <c r="C327" s="10" t="s">
        <v>712</v>
      </c>
      <c r="D327" s="9" t="s">
        <v>14</v>
      </c>
      <c r="E327" s="48">
        <f>일위대가표!F1386</f>
        <v>207127</v>
      </c>
      <c r="F327" s="47">
        <f>일위대가표!H1386</f>
        <v>201095</v>
      </c>
      <c r="G327" s="56">
        <f>일위대가표!J1386</f>
        <v>0</v>
      </c>
      <c r="H327" s="48">
        <f>일위대가표!L1386</f>
        <v>6032</v>
      </c>
      <c r="I327" s="15" t="s">
        <v>785</v>
      </c>
      <c r="J327" s="17" t="str">
        <f>"_x0007_`COD|B05345_x0005_`QTY1|1_x0005_`BQC|_x0005_`EQC|_x0005_`JDC|_x0005_`WQC|_x0005_`EDT|_x0005_`ADJ|F_x0005_`DET|"&amp;ROW(일위대가표!A1384)&amp;"_x0005_`"</f>
        <v>_x0007_`COD|B05345_x0005_`QTY1|1_x0005_`BQC|_x0005_`EQC|_x0005_`JDC|_x0005_`WQC|_x0005_`EDT|_x0005_`ADJ|F_x0005_`DET|1384_x0005_`</v>
      </c>
      <c r="K327" s="3" t="str">
        <f ca="1">HYPERLINK("#"&amp;일위대가표!N2&amp;"!A"&amp;ROW(일위대가표!A1384),"대가324 →")</f>
        <v>대가324 →</v>
      </c>
    </row>
    <row r="328" spans="1:11" ht="22.35" customHeight="1" x14ac:dyDescent="0.3">
      <c r="A328" s="9" t="s">
        <v>787</v>
      </c>
      <c r="B328" s="10" t="s">
        <v>781</v>
      </c>
      <c r="C328" s="10" t="s">
        <v>715</v>
      </c>
      <c r="D328" s="9" t="s">
        <v>14</v>
      </c>
      <c r="E328" s="48">
        <f>일위대가표!F1390</f>
        <v>250202</v>
      </c>
      <c r="F328" s="47">
        <f>일위대가표!H1390</f>
        <v>242915</v>
      </c>
      <c r="G328" s="56">
        <f>일위대가표!J1390</f>
        <v>0</v>
      </c>
      <c r="H328" s="48">
        <f>일위대가표!L1390</f>
        <v>7287</v>
      </c>
      <c r="I328" s="15" t="s">
        <v>787</v>
      </c>
      <c r="J328" s="17" t="str">
        <f>"_x0007_`COD|B05346_x0005_`QTY1|1_x0005_`BQC|_x0005_`EQC|_x0005_`JDC|_x0005_`WQC|_x0005_`EDT|_x0005_`ADJ|F_x0005_`DET|"&amp;ROW(일위대가표!A1388)&amp;"_x0005_`"</f>
        <v>_x0007_`COD|B05346_x0005_`QTY1|1_x0005_`BQC|_x0005_`EQC|_x0005_`JDC|_x0005_`WQC|_x0005_`EDT|_x0005_`ADJ|F_x0005_`DET|1388_x0005_`</v>
      </c>
      <c r="K328" s="3" t="str">
        <f ca="1">HYPERLINK("#"&amp;일위대가표!N2&amp;"!A"&amp;ROW(일위대가표!A1388),"대가325 →")</f>
        <v>대가325 →</v>
      </c>
    </row>
    <row r="329" spans="1:11" ht="22.35" customHeight="1" x14ac:dyDescent="0.3">
      <c r="A329" s="9" t="s">
        <v>789</v>
      </c>
      <c r="B329" s="10" t="s">
        <v>781</v>
      </c>
      <c r="C329" s="10" t="s">
        <v>718</v>
      </c>
      <c r="D329" s="9" t="s">
        <v>14</v>
      </c>
      <c r="E329" s="48">
        <f>일위대가표!F1394</f>
        <v>302019</v>
      </c>
      <c r="F329" s="47">
        <f>일위대가표!H1394</f>
        <v>293223</v>
      </c>
      <c r="G329" s="56">
        <f>일위대가표!J1394</f>
        <v>0</v>
      </c>
      <c r="H329" s="48">
        <f>일위대가표!L1394</f>
        <v>8796</v>
      </c>
      <c r="I329" s="15" t="s">
        <v>789</v>
      </c>
      <c r="J329" s="17" t="str">
        <f>"_x0007_`COD|B05347_x0005_`QTY1|1_x0005_`BQC|_x0005_`EQC|_x0005_`JDC|_x0005_`WQC|_x0005_`EDT|_x0005_`ADJ|F_x0005_`DET|"&amp;ROW(일위대가표!A1392)&amp;"_x0005_`"</f>
        <v>_x0007_`COD|B05347_x0005_`QTY1|1_x0005_`BQC|_x0005_`EQC|_x0005_`JDC|_x0005_`WQC|_x0005_`EDT|_x0005_`ADJ|F_x0005_`DET|1392_x0005_`</v>
      </c>
      <c r="K329" s="3" t="str">
        <f ca="1">HYPERLINK("#"&amp;일위대가표!N2&amp;"!A"&amp;ROW(일위대가표!A1392),"대가326 →")</f>
        <v>대가326 →</v>
      </c>
    </row>
    <row r="330" spans="1:11" ht="22.35" customHeight="1" x14ac:dyDescent="0.3">
      <c r="A330" s="9" t="s">
        <v>791</v>
      </c>
      <c r="B330" s="10" t="s">
        <v>781</v>
      </c>
      <c r="C330" s="10" t="s">
        <v>721</v>
      </c>
      <c r="D330" s="9" t="s">
        <v>14</v>
      </c>
      <c r="E330" s="48">
        <f>일위대가표!F1398</f>
        <v>359552</v>
      </c>
      <c r="F330" s="47">
        <f>일위대가표!H1398</f>
        <v>349080</v>
      </c>
      <c r="G330" s="56">
        <f>일위대가표!J1398</f>
        <v>0</v>
      </c>
      <c r="H330" s="48">
        <f>일위대가표!L1398</f>
        <v>10472</v>
      </c>
      <c r="I330" s="15" t="s">
        <v>791</v>
      </c>
      <c r="J330" s="17" t="str">
        <f>"_x0007_`COD|B05348_x0005_`QTY1|1_x0005_`BQC|_x0005_`EQC|_x0005_`JDC|_x0005_`WQC|_x0005_`EDT|_x0005_`ADJ|F_x0005_`DET|"&amp;ROW(일위대가표!A1396)&amp;"_x0005_`"</f>
        <v>_x0007_`COD|B05348_x0005_`QTY1|1_x0005_`BQC|_x0005_`EQC|_x0005_`JDC|_x0005_`WQC|_x0005_`EDT|_x0005_`ADJ|F_x0005_`DET|1396_x0005_`</v>
      </c>
      <c r="K330" s="3" t="str">
        <f ca="1">HYPERLINK("#"&amp;일위대가표!N2&amp;"!A"&amp;ROW(일위대가표!A1396),"대가327 →")</f>
        <v>대가327 →</v>
      </c>
    </row>
    <row r="331" spans="1:11" ht="22.35" customHeight="1" x14ac:dyDescent="0.3">
      <c r="A331" s="9" t="s">
        <v>793</v>
      </c>
      <c r="B331" s="10" t="s">
        <v>794</v>
      </c>
      <c r="C331" s="10" t="s">
        <v>725</v>
      </c>
      <c r="D331" s="9" t="s">
        <v>14</v>
      </c>
      <c r="E331" s="48">
        <f>일위대가표!F1402</f>
        <v>359552</v>
      </c>
      <c r="F331" s="47">
        <f>일위대가표!H1402</f>
        <v>349080</v>
      </c>
      <c r="G331" s="56">
        <f>일위대가표!J1402</f>
        <v>0</v>
      </c>
      <c r="H331" s="48">
        <f>일위대가표!L1402</f>
        <v>10472</v>
      </c>
      <c r="I331" s="15" t="s">
        <v>793</v>
      </c>
      <c r="J331" s="17" t="str">
        <f>"_x0007_`COD|B05349_x0005_`QTY1|1_x0005_`BQC|_x0005_`EQC|_x0005_`JDC|_x0005_`WQC|_x0005_`EDT|_x0005_`ADJ|F_x0005_`DET|"&amp;ROW(일위대가표!A1400)&amp;"_x0005_`"</f>
        <v>_x0007_`COD|B05349_x0005_`QTY1|1_x0005_`BQC|_x0005_`EQC|_x0005_`JDC|_x0005_`WQC|_x0005_`EDT|_x0005_`ADJ|F_x0005_`DET|1400_x0005_`</v>
      </c>
      <c r="K331" s="3" t="str">
        <f ca="1">HYPERLINK("#"&amp;일위대가표!N2&amp;"!A"&amp;ROW(일위대가표!A1400),"대가328 →")</f>
        <v>대가328 →</v>
      </c>
    </row>
    <row r="332" spans="1:11" ht="22.35" customHeight="1" x14ac:dyDescent="0.3">
      <c r="A332" s="9" t="s">
        <v>796</v>
      </c>
      <c r="B332" s="10" t="s">
        <v>794</v>
      </c>
      <c r="C332" s="10" t="s">
        <v>728</v>
      </c>
      <c r="D332" s="9" t="s">
        <v>14</v>
      </c>
      <c r="E332" s="48">
        <f>일위대가표!F1406</f>
        <v>359552</v>
      </c>
      <c r="F332" s="47">
        <f>일위대가표!H1406</f>
        <v>349080</v>
      </c>
      <c r="G332" s="56">
        <f>일위대가표!J1406</f>
        <v>0</v>
      </c>
      <c r="H332" s="48">
        <f>일위대가표!L1406</f>
        <v>10472</v>
      </c>
      <c r="I332" s="15" t="s">
        <v>796</v>
      </c>
      <c r="J332" s="17" t="str">
        <f>"_x0007_`COD|B05350_x0005_`QTY1|1_x0005_`BQC|_x0005_`EQC|_x0005_`JDC|_x0005_`WQC|_x0005_`EDT|_x0005_`ADJ|F_x0005_`DET|"&amp;ROW(일위대가표!A1404)&amp;"_x0005_`"</f>
        <v>_x0007_`COD|B05350_x0005_`QTY1|1_x0005_`BQC|_x0005_`EQC|_x0005_`JDC|_x0005_`WQC|_x0005_`EDT|_x0005_`ADJ|F_x0005_`DET|1404_x0005_`</v>
      </c>
      <c r="K332" s="3" t="str">
        <f ca="1">HYPERLINK("#"&amp;일위대가표!N2&amp;"!A"&amp;ROW(일위대가표!A1404),"대가329 →")</f>
        <v>대가329 →</v>
      </c>
    </row>
    <row r="333" spans="1:11" ht="22.35" customHeight="1" x14ac:dyDescent="0.3">
      <c r="A333" s="9" t="s">
        <v>798</v>
      </c>
      <c r="B333" s="10" t="s">
        <v>794</v>
      </c>
      <c r="C333" s="10" t="s">
        <v>731</v>
      </c>
      <c r="D333" s="9" t="s">
        <v>14</v>
      </c>
      <c r="E333" s="48">
        <f>일위대가표!F1410</f>
        <v>359552</v>
      </c>
      <c r="F333" s="47">
        <f>일위대가표!H1410</f>
        <v>349080</v>
      </c>
      <c r="G333" s="56">
        <f>일위대가표!J1410</f>
        <v>0</v>
      </c>
      <c r="H333" s="48">
        <f>일위대가표!L1410</f>
        <v>10472</v>
      </c>
      <c r="I333" s="15" t="s">
        <v>798</v>
      </c>
      <c r="J333" s="17" t="str">
        <f>"_x0007_`COD|B05351_x0005_`QTY1|1_x0005_`BQC|_x0005_`EQC|_x0005_`JDC|_x0005_`WQC|_x0005_`EDT|_x0005_`ADJ|F_x0005_`DET|"&amp;ROW(일위대가표!A1408)&amp;"_x0005_`"</f>
        <v>_x0007_`COD|B05351_x0005_`QTY1|1_x0005_`BQC|_x0005_`EQC|_x0005_`JDC|_x0005_`WQC|_x0005_`EDT|_x0005_`ADJ|F_x0005_`DET|1408_x0005_`</v>
      </c>
      <c r="K333" s="3" t="str">
        <f ca="1">HYPERLINK("#"&amp;일위대가표!N2&amp;"!A"&amp;ROW(일위대가표!A1408),"대가330 →")</f>
        <v>대가330 →</v>
      </c>
    </row>
    <row r="334" spans="1:11" ht="22.35" customHeight="1" x14ac:dyDescent="0.3">
      <c r="A334" s="9" t="s">
        <v>800</v>
      </c>
      <c r="B334" s="10" t="s">
        <v>794</v>
      </c>
      <c r="C334" s="10" t="s">
        <v>734</v>
      </c>
      <c r="D334" s="9" t="s">
        <v>14</v>
      </c>
      <c r="E334" s="48">
        <f>일위대가표!F1414</f>
        <v>359552</v>
      </c>
      <c r="F334" s="47">
        <f>일위대가표!H1414</f>
        <v>349080</v>
      </c>
      <c r="G334" s="56">
        <f>일위대가표!J1414</f>
        <v>0</v>
      </c>
      <c r="H334" s="48">
        <f>일위대가표!L1414</f>
        <v>10472</v>
      </c>
      <c r="I334" s="15" t="s">
        <v>800</v>
      </c>
      <c r="J334" s="17" t="str">
        <f>"_x0007_`COD|B05352_x0005_`QTY1|1_x0005_`BQC|_x0005_`EQC|_x0005_`JDC|_x0005_`WQC|_x0005_`EDT|_x0005_`ADJ|F_x0005_`DET|"&amp;ROW(일위대가표!A1412)&amp;"_x0005_`"</f>
        <v>_x0007_`COD|B05352_x0005_`QTY1|1_x0005_`BQC|_x0005_`EQC|_x0005_`JDC|_x0005_`WQC|_x0005_`EDT|_x0005_`ADJ|F_x0005_`DET|1412_x0005_`</v>
      </c>
      <c r="K334" s="3" t="str">
        <f ca="1">HYPERLINK("#"&amp;일위대가표!N2&amp;"!A"&amp;ROW(일위대가표!A1412),"대가331 →")</f>
        <v>대가331 →</v>
      </c>
    </row>
    <row r="335" spans="1:11" ht="22.35" customHeight="1" x14ac:dyDescent="0.3">
      <c r="A335" s="9" t="s">
        <v>802</v>
      </c>
      <c r="B335" s="10" t="s">
        <v>803</v>
      </c>
      <c r="C335" s="10" t="s">
        <v>804</v>
      </c>
      <c r="D335" s="9" t="s">
        <v>14</v>
      </c>
      <c r="E335" s="48">
        <f>일위대가표!F1419</f>
        <v>915713</v>
      </c>
      <c r="F335" s="47">
        <f>일위대가표!H1419</f>
        <v>207713</v>
      </c>
      <c r="G335" s="56">
        <f>일위대가표!J1419</f>
        <v>708000</v>
      </c>
      <c r="H335" s="48">
        <f>일위대가표!L1419</f>
        <v>0</v>
      </c>
      <c r="I335" s="15" t="s">
        <v>802</v>
      </c>
      <c r="J335" s="17" t="str">
        <f>"_x0007_`COD|B04977_x0005_`QTY1|1_x0005_`BQC|_x0005_`EQC|_x0005_`JDC|_x0005_`WQC|_x0005_`EDT|_x0005_`ADJ|F_x0005_`DET|"&amp;ROW(일위대가표!A1416)&amp;"_x0005_`"</f>
        <v>_x0007_`COD|B04977_x0005_`QTY1|1_x0005_`BQC|_x0005_`EQC|_x0005_`JDC|_x0005_`WQC|_x0005_`EDT|_x0005_`ADJ|F_x0005_`DET|1416_x0005_`</v>
      </c>
      <c r="K335" s="3" t="str">
        <f ca="1">HYPERLINK("#"&amp;일위대가표!N2&amp;"!A"&amp;ROW(일위대가표!A1416),"대가332 →")</f>
        <v>대가332 →</v>
      </c>
    </row>
    <row r="336" spans="1:11" ht="22.35" customHeight="1" x14ac:dyDescent="0.3">
      <c r="A336" s="9" t="s">
        <v>806</v>
      </c>
      <c r="B336" s="10" t="s">
        <v>803</v>
      </c>
      <c r="C336" s="10" t="s">
        <v>807</v>
      </c>
      <c r="D336" s="9" t="s">
        <v>14</v>
      </c>
      <c r="E336" s="48">
        <f>일위대가표!F1424</f>
        <v>1080713</v>
      </c>
      <c r="F336" s="47">
        <f>일위대가표!H1424</f>
        <v>207713</v>
      </c>
      <c r="G336" s="56">
        <f>일위대가표!J1424</f>
        <v>873000</v>
      </c>
      <c r="H336" s="48">
        <f>일위대가표!L1424</f>
        <v>0</v>
      </c>
      <c r="I336" s="15" t="s">
        <v>806</v>
      </c>
      <c r="J336" s="17" t="str">
        <f>"_x0007_`COD|B04978_x0005_`QTY1|1_x0005_`BQC|_x0005_`EQC|_x0005_`JDC|_x0005_`WQC|_x0005_`EDT|_x0005_`ADJ|F_x0005_`DET|"&amp;ROW(일위대가표!A1421)&amp;"_x0005_`"</f>
        <v>_x0007_`COD|B04978_x0005_`QTY1|1_x0005_`BQC|_x0005_`EQC|_x0005_`JDC|_x0005_`WQC|_x0005_`EDT|_x0005_`ADJ|F_x0005_`DET|1421_x0005_`</v>
      </c>
      <c r="K336" s="3" t="str">
        <f ca="1">HYPERLINK("#"&amp;일위대가표!N2&amp;"!A"&amp;ROW(일위대가표!A1421),"대가333 →")</f>
        <v>대가333 →</v>
      </c>
    </row>
    <row r="337" spans="1:11" ht="22.35" customHeight="1" x14ac:dyDescent="0.3">
      <c r="A337" s="9" t="s">
        <v>809</v>
      </c>
      <c r="B337" s="10" t="s">
        <v>803</v>
      </c>
      <c r="C337" s="10" t="s">
        <v>810</v>
      </c>
      <c r="D337" s="9" t="s">
        <v>14</v>
      </c>
      <c r="E337" s="48">
        <f>일위대가표!F1429</f>
        <v>1319256</v>
      </c>
      <c r="F337" s="47">
        <f>일위대가표!H1429</f>
        <v>249256</v>
      </c>
      <c r="G337" s="56">
        <f>일위대가표!J1429</f>
        <v>1070000</v>
      </c>
      <c r="H337" s="48">
        <f>일위대가표!L1429</f>
        <v>0</v>
      </c>
      <c r="I337" s="15" t="s">
        <v>809</v>
      </c>
      <c r="J337" s="17" t="str">
        <f>"_x0007_`COD|B04979_x0005_`QTY1|1_x0005_`BQC|_x0005_`EQC|_x0005_`JDC|_x0005_`WQC|_x0005_`EDT|_x0005_`ADJ|F_x0005_`DET|"&amp;ROW(일위대가표!A1426)&amp;"_x0005_`"</f>
        <v>_x0007_`COD|B04979_x0005_`QTY1|1_x0005_`BQC|_x0005_`EQC|_x0005_`JDC|_x0005_`WQC|_x0005_`EDT|_x0005_`ADJ|F_x0005_`DET|1426_x0005_`</v>
      </c>
      <c r="K337" s="3" t="str">
        <f ca="1">HYPERLINK("#"&amp;일위대가표!N2&amp;"!A"&amp;ROW(일위대가표!A1426),"대가334 →")</f>
        <v>대가334 →</v>
      </c>
    </row>
    <row r="338" spans="1:11" ht="22.35" customHeight="1" x14ac:dyDescent="0.3">
      <c r="A338" s="9" t="s">
        <v>812</v>
      </c>
      <c r="B338" s="10" t="s">
        <v>803</v>
      </c>
      <c r="C338" s="10" t="s">
        <v>813</v>
      </c>
      <c r="D338" s="9" t="s">
        <v>14</v>
      </c>
      <c r="E338" s="48">
        <f>일위대가표!F1434</f>
        <v>1885799</v>
      </c>
      <c r="F338" s="47">
        <f>일위대가표!H1434</f>
        <v>290799</v>
      </c>
      <c r="G338" s="56">
        <f>일위대가표!J1434</f>
        <v>1595000</v>
      </c>
      <c r="H338" s="48">
        <f>일위대가표!L1434</f>
        <v>0</v>
      </c>
      <c r="I338" s="15" t="s">
        <v>812</v>
      </c>
      <c r="J338" s="17" t="str">
        <f>"_x0007_`COD|B04980_x0005_`QTY1|1_x0005_`BQC|_x0005_`EQC|_x0005_`JDC|_x0005_`WQC|_x0005_`EDT|_x0005_`ADJ|F_x0005_`DET|"&amp;ROW(일위대가표!A1431)&amp;"_x0005_`"</f>
        <v>_x0007_`COD|B04980_x0005_`QTY1|1_x0005_`BQC|_x0005_`EQC|_x0005_`JDC|_x0005_`WQC|_x0005_`EDT|_x0005_`ADJ|F_x0005_`DET|1431_x0005_`</v>
      </c>
      <c r="K338" s="3" t="str">
        <f ca="1">HYPERLINK("#"&amp;일위대가표!N2&amp;"!A"&amp;ROW(일위대가표!A1431),"대가335 →")</f>
        <v>대가335 →</v>
      </c>
    </row>
    <row r="339" spans="1:11" ht="22.35" customHeight="1" x14ac:dyDescent="0.3">
      <c r="A339" s="9" t="s">
        <v>815</v>
      </c>
      <c r="B339" s="10" t="s">
        <v>803</v>
      </c>
      <c r="C339" s="10" t="s">
        <v>816</v>
      </c>
      <c r="D339" s="9" t="s">
        <v>14</v>
      </c>
      <c r="E339" s="48">
        <f>일위대가표!F1439</f>
        <v>2229885</v>
      </c>
      <c r="F339" s="47">
        <f>일위대가표!H1439</f>
        <v>373885</v>
      </c>
      <c r="G339" s="56">
        <f>일위대가표!J1439</f>
        <v>1856000</v>
      </c>
      <c r="H339" s="48">
        <f>일위대가표!L1439</f>
        <v>0</v>
      </c>
      <c r="I339" s="15" t="s">
        <v>815</v>
      </c>
      <c r="J339" s="17" t="str">
        <f>"_x0007_`COD|B04981_x0005_`QTY1|1_x0005_`BQC|_x0005_`EQC|_x0005_`JDC|_x0005_`WQC|_x0005_`EDT|_x0005_`ADJ|F_x0005_`DET|"&amp;ROW(일위대가표!A1436)&amp;"_x0005_`"</f>
        <v>_x0007_`COD|B04981_x0005_`QTY1|1_x0005_`BQC|_x0005_`EQC|_x0005_`JDC|_x0005_`WQC|_x0005_`EDT|_x0005_`ADJ|F_x0005_`DET|1436_x0005_`</v>
      </c>
      <c r="K339" s="3" t="str">
        <f ca="1">HYPERLINK("#"&amp;일위대가표!N2&amp;"!A"&amp;ROW(일위대가표!A1436),"대가336 →")</f>
        <v>대가336 →</v>
      </c>
    </row>
    <row r="340" spans="1:11" ht="22.35" customHeight="1" x14ac:dyDescent="0.3">
      <c r="A340" s="9" t="s">
        <v>818</v>
      </c>
      <c r="B340" s="10" t="s">
        <v>803</v>
      </c>
      <c r="C340" s="10" t="s">
        <v>819</v>
      </c>
      <c r="D340" s="9" t="s">
        <v>14</v>
      </c>
      <c r="E340" s="48">
        <f>일위대가표!F1444</f>
        <v>5110964</v>
      </c>
      <c r="F340" s="47">
        <f>일위대가표!H1444</f>
        <v>2613964</v>
      </c>
      <c r="G340" s="56">
        <f>일위대가표!J1444</f>
        <v>2497000</v>
      </c>
      <c r="H340" s="48">
        <f>일위대가표!L1444</f>
        <v>0</v>
      </c>
      <c r="I340" s="15" t="s">
        <v>818</v>
      </c>
      <c r="J340" s="17" t="str">
        <f>"_x0007_`COD|B04982_x0005_`QTY1|1_x0005_`BQC|_x0005_`EQC|_x0005_`JDC|_x0005_`WQC|_x0005_`EDT|_x0005_`ADJ|F_x0005_`DET|"&amp;ROW(일위대가표!A1441)&amp;"_x0005_`"</f>
        <v>_x0007_`COD|B04982_x0005_`QTY1|1_x0005_`BQC|_x0005_`EQC|_x0005_`JDC|_x0005_`WQC|_x0005_`EDT|_x0005_`ADJ|F_x0005_`DET|1441_x0005_`</v>
      </c>
      <c r="K340" s="3" t="str">
        <f ca="1">HYPERLINK("#"&amp;일위대가표!N2&amp;"!A"&amp;ROW(일위대가표!A1441),"대가337 →")</f>
        <v>대가337 →</v>
      </c>
    </row>
    <row r="341" spans="1:11" ht="22.35" customHeight="1" x14ac:dyDescent="0.3">
      <c r="A341" s="9" t="s">
        <v>821</v>
      </c>
      <c r="B341" s="10" t="s">
        <v>803</v>
      </c>
      <c r="C341" s="10" t="s">
        <v>822</v>
      </c>
      <c r="D341" s="9" t="s">
        <v>14</v>
      </c>
      <c r="E341" s="48">
        <f>일위대가표!F1449</f>
        <v>3969599</v>
      </c>
      <c r="F341" s="47">
        <f>일위대가표!H1449</f>
        <v>581599</v>
      </c>
      <c r="G341" s="56">
        <f>일위대가표!J1449</f>
        <v>3388000</v>
      </c>
      <c r="H341" s="48">
        <f>일위대가표!L1449</f>
        <v>0</v>
      </c>
      <c r="I341" s="15" t="s">
        <v>821</v>
      </c>
      <c r="J341" s="17" t="str">
        <f>"_x0007_`COD|B04983_x0005_`QTY1|1_x0005_`BQC|_x0005_`EQC|_x0005_`JDC|_x0005_`WQC|_x0005_`EDT|_x0005_`ADJ|F_x0005_`DET|"&amp;ROW(일위대가표!A1446)&amp;"_x0005_`"</f>
        <v>_x0007_`COD|B04983_x0005_`QTY1|1_x0005_`BQC|_x0005_`EQC|_x0005_`JDC|_x0005_`WQC|_x0005_`EDT|_x0005_`ADJ|F_x0005_`DET|1446_x0005_`</v>
      </c>
      <c r="K341" s="3" t="str">
        <f ca="1">HYPERLINK("#"&amp;일위대가표!N2&amp;"!A"&amp;ROW(일위대가표!A1446),"대가338 →")</f>
        <v>대가338 →</v>
      </c>
    </row>
    <row r="342" spans="1:11" ht="22.35" customHeight="1" x14ac:dyDescent="0.3">
      <c r="A342" s="9" t="s">
        <v>824</v>
      </c>
      <c r="B342" s="10" t="s">
        <v>803</v>
      </c>
      <c r="C342" s="10" t="s">
        <v>825</v>
      </c>
      <c r="D342" s="9" t="s">
        <v>14</v>
      </c>
      <c r="E342" s="48">
        <f>일위대가표!F1454</f>
        <v>6085080</v>
      </c>
      <c r="F342" s="47">
        <f>일위대가표!H1454</f>
        <v>827080</v>
      </c>
      <c r="G342" s="56">
        <f>일위대가표!J1454</f>
        <v>5258000</v>
      </c>
      <c r="H342" s="48">
        <f>일위대가표!L1454</f>
        <v>0</v>
      </c>
      <c r="I342" s="15" t="s">
        <v>824</v>
      </c>
      <c r="J342" s="17" t="str">
        <f>"_x0007_`COD|B04984_x0005_`QTY1|1_x0005_`BQC|_x0005_`EQC|_x0005_`JDC|_x0005_`WQC|_x0005_`EDT|_x0005_`ADJ|F_x0005_`DET|"&amp;ROW(일위대가표!A1451)&amp;"_x0005_`"</f>
        <v>_x0007_`COD|B04984_x0005_`QTY1|1_x0005_`BQC|_x0005_`EQC|_x0005_`JDC|_x0005_`WQC|_x0005_`EDT|_x0005_`ADJ|F_x0005_`DET|1451_x0005_`</v>
      </c>
      <c r="K342" s="3" t="str">
        <f ca="1">HYPERLINK("#"&amp;일위대가표!N2&amp;"!A"&amp;ROW(일위대가표!A1451),"대가339 →")</f>
        <v>대가339 →</v>
      </c>
    </row>
    <row r="343" spans="1:11" ht="22.35" customHeight="1" x14ac:dyDescent="0.3">
      <c r="A343" s="9" t="s">
        <v>827</v>
      </c>
      <c r="B343" s="10" t="s">
        <v>803</v>
      </c>
      <c r="C343" s="10" t="s">
        <v>828</v>
      </c>
      <c r="D343" s="9" t="s">
        <v>14</v>
      </c>
      <c r="E343" s="48">
        <f>일위대가표!F1459</f>
        <v>8608338</v>
      </c>
      <c r="F343" s="47">
        <f>일위대가표!H1459</f>
        <v>1076338</v>
      </c>
      <c r="G343" s="56">
        <f>일위대가표!J1459</f>
        <v>7532000</v>
      </c>
      <c r="H343" s="48">
        <f>일위대가표!L1459</f>
        <v>0</v>
      </c>
      <c r="I343" s="15" t="s">
        <v>827</v>
      </c>
      <c r="J343" s="17" t="str">
        <f>"_x0007_`COD|B04985_x0005_`QTY1|1_x0005_`BQC|_x0005_`EQC|_x0005_`JDC|_x0005_`WQC|_x0005_`EDT|_x0005_`ADJ|F_x0005_`DET|"&amp;ROW(일위대가표!A1456)&amp;"_x0005_`"</f>
        <v>_x0007_`COD|B04985_x0005_`QTY1|1_x0005_`BQC|_x0005_`EQC|_x0005_`JDC|_x0005_`WQC|_x0005_`EDT|_x0005_`ADJ|F_x0005_`DET|1456_x0005_`</v>
      </c>
      <c r="K343" s="3" t="str">
        <f ca="1">HYPERLINK("#"&amp;일위대가표!N2&amp;"!A"&amp;ROW(일위대가표!A1456),"대가340 →")</f>
        <v>대가340 →</v>
      </c>
    </row>
    <row r="344" spans="1:11" ht="22.35" customHeight="1" x14ac:dyDescent="0.3">
      <c r="A344" s="9" t="s">
        <v>830</v>
      </c>
      <c r="B344" s="10" t="s">
        <v>803</v>
      </c>
      <c r="C344" s="10" t="s">
        <v>831</v>
      </c>
      <c r="D344" s="9" t="s">
        <v>14</v>
      </c>
      <c r="E344" s="48">
        <f>일위대가표!F1464</f>
        <v>10754509</v>
      </c>
      <c r="F344" s="47">
        <f>일위대가표!H1464</f>
        <v>1242509</v>
      </c>
      <c r="G344" s="56">
        <f>일위대가표!J1464</f>
        <v>9512000</v>
      </c>
      <c r="H344" s="48">
        <f>일위대가표!L1464</f>
        <v>0</v>
      </c>
      <c r="I344" s="15" t="s">
        <v>830</v>
      </c>
      <c r="J344" s="17" t="str">
        <f>"_x0007_`COD|B04986_x0005_`QTY1|1_x0005_`BQC|_x0005_`EQC|_x0005_`JDC|_x0005_`WQC|_x0005_`EDT|_x0005_`ADJ|F_x0005_`DET|"&amp;ROW(일위대가표!A1461)&amp;"_x0005_`"</f>
        <v>_x0007_`COD|B04986_x0005_`QTY1|1_x0005_`BQC|_x0005_`EQC|_x0005_`JDC|_x0005_`WQC|_x0005_`EDT|_x0005_`ADJ|F_x0005_`DET|1461_x0005_`</v>
      </c>
      <c r="K344" s="3" t="str">
        <f ca="1">HYPERLINK("#"&amp;일위대가표!N2&amp;"!A"&amp;ROW(일위대가표!A1461),"대가341 →")</f>
        <v>대가341 →</v>
      </c>
    </row>
    <row r="345" spans="1:11" ht="22.35" customHeight="1" x14ac:dyDescent="0.3">
      <c r="A345" s="9" t="s">
        <v>833</v>
      </c>
      <c r="B345" s="10" t="s">
        <v>803</v>
      </c>
      <c r="C345" s="10" t="s">
        <v>834</v>
      </c>
      <c r="D345" s="9" t="s">
        <v>14</v>
      </c>
      <c r="E345" s="48">
        <f>일위대가표!F1469</f>
        <v>10067681</v>
      </c>
      <c r="F345" s="47">
        <f>일위대가표!H1469</f>
        <v>1408681</v>
      </c>
      <c r="G345" s="56">
        <f>일위대가표!J1469</f>
        <v>8659000</v>
      </c>
      <c r="H345" s="48">
        <f>일위대가표!L1469</f>
        <v>0</v>
      </c>
      <c r="I345" s="15" t="s">
        <v>833</v>
      </c>
      <c r="J345" s="17" t="str">
        <f>"_x0007_`COD|B04987_x0005_`QTY1|1_x0005_`BQC|_x0005_`EQC|_x0005_`JDC|_x0005_`WQC|_x0005_`EDT|_x0005_`ADJ|F_x0005_`DET|"&amp;ROW(일위대가표!A1466)&amp;"_x0005_`"</f>
        <v>_x0007_`COD|B04987_x0005_`QTY1|1_x0005_`BQC|_x0005_`EQC|_x0005_`JDC|_x0005_`WQC|_x0005_`EDT|_x0005_`ADJ|F_x0005_`DET|1466_x0005_`</v>
      </c>
      <c r="K345" s="3" t="str">
        <f ca="1">HYPERLINK("#"&amp;일위대가표!N2&amp;"!A"&amp;ROW(일위대가표!A1466),"대가342 →")</f>
        <v>대가342 →</v>
      </c>
    </row>
    <row r="346" spans="1:11" ht="22.35" customHeight="1" x14ac:dyDescent="0.3">
      <c r="A346" s="9" t="s">
        <v>836</v>
      </c>
      <c r="B346" s="10" t="s">
        <v>803</v>
      </c>
      <c r="C346" s="10" t="s">
        <v>837</v>
      </c>
      <c r="D346" s="9" t="s">
        <v>14</v>
      </c>
      <c r="E346" s="48">
        <f>일위대가표!F1474</f>
        <v>18474211</v>
      </c>
      <c r="F346" s="47">
        <f>일위대가표!H1474</f>
        <v>2013211</v>
      </c>
      <c r="G346" s="56">
        <f>일위대가표!J1474</f>
        <v>16461000</v>
      </c>
      <c r="H346" s="48">
        <f>일위대가표!L1474</f>
        <v>0</v>
      </c>
      <c r="I346" s="15" t="s">
        <v>836</v>
      </c>
      <c r="J346" s="17" t="str">
        <f>"_x0007_`COD|B04988_x0005_`QTY1|1_x0005_`BQC|_x0005_`EQC|_x0005_`JDC|_x0005_`WQC|_x0005_`EDT|_x0005_`ADJ|F_x0005_`DET|"&amp;ROW(일위대가표!A1471)&amp;"_x0005_`"</f>
        <v>_x0007_`COD|B04988_x0005_`QTY1|1_x0005_`BQC|_x0005_`EQC|_x0005_`JDC|_x0005_`WQC|_x0005_`EDT|_x0005_`ADJ|F_x0005_`DET|1471_x0005_`</v>
      </c>
      <c r="K346" s="3" t="str">
        <f ca="1">HYPERLINK("#"&amp;일위대가표!N2&amp;"!A"&amp;ROW(일위대가표!A1471),"대가343 →")</f>
        <v>대가343 →</v>
      </c>
    </row>
    <row r="347" spans="1:11" ht="22.35" customHeight="1" x14ac:dyDescent="0.3">
      <c r="A347" s="9" t="s">
        <v>839</v>
      </c>
      <c r="B347" s="10" t="s">
        <v>840</v>
      </c>
      <c r="C347" s="10" t="s">
        <v>841</v>
      </c>
      <c r="D347" s="9" t="s">
        <v>14</v>
      </c>
      <c r="E347" s="48">
        <f>일위대가표!F1480</f>
        <v>207713</v>
      </c>
      <c r="F347" s="47">
        <f>일위대가표!H1480</f>
        <v>207713</v>
      </c>
      <c r="G347" s="56">
        <f>일위대가표!J1480</f>
        <v>0</v>
      </c>
      <c r="H347" s="48">
        <f>일위대가표!L1480</f>
        <v>0</v>
      </c>
      <c r="I347" s="15" t="s">
        <v>839</v>
      </c>
      <c r="J347" s="17" t="str">
        <f>"_x0007_`COD|B04921_x0005_`QTY1|1_x0005_`BQC|_x0005_`EQC|_x0005_`JDC|_x0005_`WQC|_x0005_`EDT|_x0005_`ADJ|F_x0005_`DET|"&amp;ROW(일위대가표!A1476)&amp;"_x0005_`"</f>
        <v>_x0007_`COD|B04921_x0005_`QTY1|1_x0005_`BQC|_x0005_`EQC|_x0005_`JDC|_x0005_`WQC|_x0005_`EDT|_x0005_`ADJ|F_x0005_`DET|1476_x0005_`</v>
      </c>
      <c r="K347" s="3" t="str">
        <f ca="1">HYPERLINK("#"&amp;일위대가표!N2&amp;"!A"&amp;ROW(일위대가표!A1476),"대가344 →")</f>
        <v>대가344 →</v>
      </c>
    </row>
    <row r="348" spans="1:11" ht="22.35" customHeight="1" x14ac:dyDescent="0.3">
      <c r="A348" s="9" t="s">
        <v>843</v>
      </c>
      <c r="B348" s="10" t="s">
        <v>840</v>
      </c>
      <c r="C348" s="10" t="s">
        <v>844</v>
      </c>
      <c r="D348" s="9" t="s">
        <v>14</v>
      </c>
      <c r="E348" s="48">
        <f>일위대가표!F1486</f>
        <v>249256</v>
      </c>
      <c r="F348" s="47">
        <f>일위대가표!H1486</f>
        <v>249256</v>
      </c>
      <c r="G348" s="56">
        <f>일위대가표!J1486</f>
        <v>0</v>
      </c>
      <c r="H348" s="48">
        <f>일위대가표!L1486</f>
        <v>0</v>
      </c>
      <c r="I348" s="15" t="s">
        <v>843</v>
      </c>
      <c r="J348" s="17" t="str">
        <f>"_x0007_`COD|B04813_x0005_`QTY1|1_x0005_`BQC|_x0005_`EQC|_x0005_`JDC|_x0005_`WQC|_x0005_`EDT|_x0005_`ADJ|F_x0005_`DET|"&amp;ROW(일위대가표!A1482)&amp;"_x0005_`"</f>
        <v>_x0007_`COD|B04813_x0005_`QTY1|1_x0005_`BQC|_x0005_`EQC|_x0005_`JDC|_x0005_`WQC|_x0005_`EDT|_x0005_`ADJ|F_x0005_`DET|1482_x0005_`</v>
      </c>
      <c r="K348" s="3" t="str">
        <f ca="1">HYPERLINK("#"&amp;일위대가표!N2&amp;"!A"&amp;ROW(일위대가표!A1482),"대가345 →")</f>
        <v>대가345 →</v>
      </c>
    </row>
    <row r="349" spans="1:11" ht="22.35" customHeight="1" x14ac:dyDescent="0.3">
      <c r="A349" s="9" t="s">
        <v>846</v>
      </c>
      <c r="B349" s="10" t="s">
        <v>840</v>
      </c>
      <c r="C349" s="10" t="s">
        <v>847</v>
      </c>
      <c r="D349" s="9" t="s">
        <v>14</v>
      </c>
      <c r="E349" s="48">
        <f>일위대가표!F1492</f>
        <v>290799</v>
      </c>
      <c r="F349" s="47">
        <f>일위대가표!H1492</f>
        <v>290799</v>
      </c>
      <c r="G349" s="56">
        <f>일위대가표!J1492</f>
        <v>0</v>
      </c>
      <c r="H349" s="48">
        <f>일위대가표!L1492</f>
        <v>0</v>
      </c>
      <c r="I349" s="15" t="s">
        <v>846</v>
      </c>
      <c r="J349" s="17" t="str">
        <f>"_x0007_`COD|B04814_x0005_`QTY1|1_x0005_`BQC|_x0005_`EQC|_x0005_`JDC|_x0005_`WQC|_x0005_`EDT|_x0005_`ADJ|F_x0005_`DET|"&amp;ROW(일위대가표!A1488)&amp;"_x0005_`"</f>
        <v>_x0007_`COD|B04814_x0005_`QTY1|1_x0005_`BQC|_x0005_`EQC|_x0005_`JDC|_x0005_`WQC|_x0005_`EDT|_x0005_`ADJ|F_x0005_`DET|1488_x0005_`</v>
      </c>
      <c r="K349" s="3" t="str">
        <f ca="1">HYPERLINK("#"&amp;일위대가표!N2&amp;"!A"&amp;ROW(일위대가표!A1488),"대가346 →")</f>
        <v>대가346 →</v>
      </c>
    </row>
    <row r="350" spans="1:11" ht="22.35" customHeight="1" x14ac:dyDescent="0.3">
      <c r="A350" s="9" t="s">
        <v>849</v>
      </c>
      <c r="B350" s="10" t="s">
        <v>840</v>
      </c>
      <c r="C350" s="10" t="s">
        <v>850</v>
      </c>
      <c r="D350" s="9" t="s">
        <v>14</v>
      </c>
      <c r="E350" s="48">
        <f>일위대가표!F1498</f>
        <v>373885</v>
      </c>
      <c r="F350" s="47">
        <f>일위대가표!H1498</f>
        <v>373885</v>
      </c>
      <c r="G350" s="56">
        <f>일위대가표!J1498</f>
        <v>0</v>
      </c>
      <c r="H350" s="48">
        <f>일위대가표!L1498</f>
        <v>0</v>
      </c>
      <c r="I350" s="15" t="s">
        <v>849</v>
      </c>
      <c r="J350" s="17" t="str">
        <f>"_x0007_`COD|B04815_x0005_`QTY1|1_x0005_`BQC|_x0005_`EQC|_x0005_`JDC|_x0005_`WQC|_x0005_`EDT|_x0005_`ADJ|F_x0005_`DET|"&amp;ROW(일위대가표!A1494)&amp;"_x0005_`"</f>
        <v>_x0007_`COD|B04815_x0005_`QTY1|1_x0005_`BQC|_x0005_`EQC|_x0005_`JDC|_x0005_`WQC|_x0005_`EDT|_x0005_`ADJ|F_x0005_`DET|1494_x0005_`</v>
      </c>
      <c r="K350" s="3" t="str">
        <f ca="1">HYPERLINK("#"&amp;일위대가표!N2&amp;"!A"&amp;ROW(일위대가표!A1494),"대가347 →")</f>
        <v>대가347 →</v>
      </c>
    </row>
    <row r="351" spans="1:11" ht="22.35" customHeight="1" x14ac:dyDescent="0.3">
      <c r="A351" s="9" t="s">
        <v>852</v>
      </c>
      <c r="B351" s="10" t="s">
        <v>840</v>
      </c>
      <c r="C351" s="10" t="s">
        <v>853</v>
      </c>
      <c r="D351" s="9" t="s">
        <v>14</v>
      </c>
      <c r="E351" s="48">
        <f>일위대가표!F1504</f>
        <v>456971</v>
      </c>
      <c r="F351" s="47">
        <f>일위대가표!H1504</f>
        <v>456971</v>
      </c>
      <c r="G351" s="56">
        <f>일위대가표!J1504</f>
        <v>0</v>
      </c>
      <c r="H351" s="48">
        <f>일위대가표!L1504</f>
        <v>0</v>
      </c>
      <c r="I351" s="15" t="s">
        <v>852</v>
      </c>
      <c r="J351" s="17" t="str">
        <f>"_x0007_`COD|B04816_x0005_`QTY1|1_x0005_`BQC|_x0005_`EQC|_x0005_`JDC|_x0005_`WQC|_x0005_`EDT|_x0005_`ADJ|F_x0005_`DET|"&amp;ROW(일위대가표!A1500)&amp;"_x0005_`"</f>
        <v>_x0007_`COD|B04816_x0005_`QTY1|1_x0005_`BQC|_x0005_`EQC|_x0005_`JDC|_x0005_`WQC|_x0005_`EDT|_x0005_`ADJ|F_x0005_`DET|1500_x0005_`</v>
      </c>
      <c r="K351" s="3" t="str">
        <f ca="1">HYPERLINK("#"&amp;일위대가표!N2&amp;"!A"&amp;ROW(일위대가표!A1500),"대가348 →")</f>
        <v>대가348 →</v>
      </c>
    </row>
    <row r="352" spans="1:11" ht="22.35" customHeight="1" x14ac:dyDescent="0.3">
      <c r="A352" s="9" t="s">
        <v>855</v>
      </c>
      <c r="B352" s="10" t="s">
        <v>840</v>
      </c>
      <c r="C352" s="10" t="s">
        <v>856</v>
      </c>
      <c r="D352" s="9" t="s">
        <v>14</v>
      </c>
      <c r="E352" s="48">
        <f>일위대가표!F1510</f>
        <v>581599</v>
      </c>
      <c r="F352" s="47">
        <f>일위대가표!H1510</f>
        <v>581599</v>
      </c>
      <c r="G352" s="56">
        <f>일위대가표!J1510</f>
        <v>0</v>
      </c>
      <c r="H352" s="48">
        <f>일위대가표!L1510</f>
        <v>0</v>
      </c>
      <c r="I352" s="15" t="s">
        <v>855</v>
      </c>
      <c r="J352" s="17" t="str">
        <f>"_x0007_`COD|B04817_x0005_`QTY1|1_x0005_`BQC|_x0005_`EQC|_x0005_`JDC|_x0005_`WQC|_x0005_`EDT|_x0005_`ADJ|F_x0005_`DET|"&amp;ROW(일위대가표!A1506)&amp;"_x0005_`"</f>
        <v>_x0007_`COD|B04817_x0005_`QTY1|1_x0005_`BQC|_x0005_`EQC|_x0005_`JDC|_x0005_`WQC|_x0005_`EDT|_x0005_`ADJ|F_x0005_`DET|1506_x0005_`</v>
      </c>
      <c r="K352" s="3" t="str">
        <f ca="1">HYPERLINK("#"&amp;일위대가표!N2&amp;"!A"&amp;ROW(일위대가표!A1506),"대가349 →")</f>
        <v>대가349 →</v>
      </c>
    </row>
    <row r="353" spans="1:11" ht="22.35" customHeight="1" x14ac:dyDescent="0.3">
      <c r="A353" s="9" t="s">
        <v>858</v>
      </c>
      <c r="B353" s="10" t="s">
        <v>840</v>
      </c>
      <c r="C353" s="10" t="s">
        <v>859</v>
      </c>
      <c r="D353" s="9" t="s">
        <v>14</v>
      </c>
      <c r="E353" s="48">
        <f>일위대가표!F1516</f>
        <v>827080</v>
      </c>
      <c r="F353" s="47">
        <f>일위대가표!H1516</f>
        <v>827080</v>
      </c>
      <c r="G353" s="56">
        <f>일위대가표!J1516</f>
        <v>0</v>
      </c>
      <c r="H353" s="48">
        <f>일위대가표!L1516</f>
        <v>0</v>
      </c>
      <c r="I353" s="15" t="s">
        <v>858</v>
      </c>
      <c r="J353" s="17" t="str">
        <f>"_x0007_`COD|B04818_x0005_`QTY1|1_x0005_`BQC|_x0005_`EQC|_x0005_`JDC|_x0005_`WQC|_x0005_`EDT|_x0005_`ADJ|F_x0005_`DET|"&amp;ROW(일위대가표!A1512)&amp;"_x0005_`"</f>
        <v>_x0007_`COD|B04818_x0005_`QTY1|1_x0005_`BQC|_x0005_`EQC|_x0005_`JDC|_x0005_`WQC|_x0005_`EDT|_x0005_`ADJ|F_x0005_`DET|1512_x0005_`</v>
      </c>
      <c r="K353" s="3" t="str">
        <f ca="1">HYPERLINK("#"&amp;일위대가표!N2&amp;"!A"&amp;ROW(일위대가표!A1512),"대가350 →")</f>
        <v>대가350 →</v>
      </c>
    </row>
    <row r="354" spans="1:11" ht="22.35" customHeight="1" x14ac:dyDescent="0.3">
      <c r="A354" s="9" t="s">
        <v>861</v>
      </c>
      <c r="B354" s="10" t="s">
        <v>840</v>
      </c>
      <c r="C354" s="10" t="s">
        <v>862</v>
      </c>
      <c r="D354" s="9" t="s">
        <v>14</v>
      </c>
      <c r="E354" s="48">
        <f>일위대가표!F1522</f>
        <v>1076338</v>
      </c>
      <c r="F354" s="47">
        <f>일위대가표!H1522</f>
        <v>1076338</v>
      </c>
      <c r="G354" s="56">
        <f>일위대가표!J1522</f>
        <v>0</v>
      </c>
      <c r="H354" s="48">
        <f>일위대가표!L1522</f>
        <v>0</v>
      </c>
      <c r="I354" s="15" t="s">
        <v>861</v>
      </c>
      <c r="J354" s="17" t="str">
        <f>"_x0007_`COD|B04819_x0005_`QTY1|1_x0005_`BQC|_x0005_`EQC|_x0005_`JDC|_x0005_`WQC|_x0005_`EDT|_x0005_`ADJ|F_x0005_`DET|"&amp;ROW(일위대가표!A1518)&amp;"_x0005_`"</f>
        <v>_x0007_`COD|B04819_x0005_`QTY1|1_x0005_`BQC|_x0005_`EQC|_x0005_`JDC|_x0005_`WQC|_x0005_`EDT|_x0005_`ADJ|F_x0005_`DET|1518_x0005_`</v>
      </c>
      <c r="K354" s="3" t="str">
        <f ca="1">HYPERLINK("#"&amp;일위대가표!N2&amp;"!A"&amp;ROW(일위대가표!A1518),"대가351 →")</f>
        <v>대가351 →</v>
      </c>
    </row>
    <row r="355" spans="1:11" ht="22.35" customHeight="1" x14ac:dyDescent="0.3">
      <c r="A355" s="9" t="s">
        <v>864</v>
      </c>
      <c r="B355" s="10" t="s">
        <v>840</v>
      </c>
      <c r="C355" s="10" t="s">
        <v>865</v>
      </c>
      <c r="D355" s="9" t="s">
        <v>14</v>
      </c>
      <c r="E355" s="48">
        <f>일위대가표!F1528</f>
        <v>1242509</v>
      </c>
      <c r="F355" s="47">
        <f>일위대가표!H1528</f>
        <v>1242509</v>
      </c>
      <c r="G355" s="56">
        <f>일위대가표!J1528</f>
        <v>0</v>
      </c>
      <c r="H355" s="48">
        <f>일위대가표!L1528</f>
        <v>0</v>
      </c>
      <c r="I355" s="15" t="s">
        <v>864</v>
      </c>
      <c r="J355" s="17" t="str">
        <f>"_x0007_`COD|B04820_x0005_`QTY1|1_x0005_`BQC|_x0005_`EQC|_x0005_`JDC|_x0005_`WQC|_x0005_`EDT|_x0005_`ADJ|F_x0005_`DET|"&amp;ROW(일위대가표!A1524)&amp;"_x0005_`"</f>
        <v>_x0007_`COD|B04820_x0005_`QTY1|1_x0005_`BQC|_x0005_`EQC|_x0005_`JDC|_x0005_`WQC|_x0005_`EDT|_x0005_`ADJ|F_x0005_`DET|1524_x0005_`</v>
      </c>
      <c r="K355" s="3" t="str">
        <f ca="1">HYPERLINK("#"&amp;일위대가표!N2&amp;"!A"&amp;ROW(일위대가표!A1524),"대가352 →")</f>
        <v>대가352 →</v>
      </c>
    </row>
    <row r="356" spans="1:11" ht="22.35" customHeight="1" x14ac:dyDescent="0.3">
      <c r="A356" s="9" t="s">
        <v>867</v>
      </c>
      <c r="B356" s="10" t="s">
        <v>840</v>
      </c>
      <c r="C356" s="10" t="s">
        <v>868</v>
      </c>
      <c r="D356" s="9" t="s">
        <v>14</v>
      </c>
      <c r="E356" s="48">
        <f>일위대가표!F1534</f>
        <v>1408681</v>
      </c>
      <c r="F356" s="47">
        <f>일위대가표!H1534</f>
        <v>1408681</v>
      </c>
      <c r="G356" s="56">
        <f>일위대가표!J1534</f>
        <v>0</v>
      </c>
      <c r="H356" s="48">
        <f>일위대가표!L1534</f>
        <v>0</v>
      </c>
      <c r="I356" s="15" t="s">
        <v>867</v>
      </c>
      <c r="J356" s="17" t="str">
        <f>"_x0007_`COD|B04821_x0005_`QTY1|1_x0005_`BQC|_x0005_`EQC|_x0005_`JDC|_x0005_`WQC|_x0005_`EDT|_x0005_`ADJ|F_x0005_`DET|"&amp;ROW(일위대가표!A1530)&amp;"_x0005_`"</f>
        <v>_x0007_`COD|B04821_x0005_`QTY1|1_x0005_`BQC|_x0005_`EQC|_x0005_`JDC|_x0005_`WQC|_x0005_`EDT|_x0005_`ADJ|F_x0005_`DET|1530_x0005_`</v>
      </c>
      <c r="K356" s="3" t="str">
        <f ca="1">HYPERLINK("#"&amp;일위대가표!N2&amp;"!A"&amp;ROW(일위대가표!A1530),"대가353 →")</f>
        <v>대가353 →</v>
      </c>
    </row>
    <row r="357" spans="1:11" ht="22.35" customHeight="1" x14ac:dyDescent="0.3">
      <c r="A357" s="9" t="s">
        <v>870</v>
      </c>
      <c r="B357" s="10" t="s">
        <v>840</v>
      </c>
      <c r="C357" s="10" t="s">
        <v>871</v>
      </c>
      <c r="D357" s="9" t="s">
        <v>14</v>
      </c>
      <c r="E357" s="48">
        <f>일위대가표!F1540</f>
        <v>2013211</v>
      </c>
      <c r="F357" s="47">
        <f>일위대가표!H1540</f>
        <v>2013211</v>
      </c>
      <c r="G357" s="56">
        <f>일위대가표!J1540</f>
        <v>0</v>
      </c>
      <c r="H357" s="48">
        <f>일위대가표!L1540</f>
        <v>0</v>
      </c>
      <c r="I357" s="15" t="s">
        <v>870</v>
      </c>
      <c r="J357" s="17" t="str">
        <f>"_x0007_`COD|B04822_x0005_`QTY1|1_x0005_`BQC|_x0005_`EQC|_x0005_`JDC|_x0005_`WQC|_x0005_`EDT|_x0005_`ADJ|F_x0005_`DET|"&amp;ROW(일위대가표!A1536)&amp;"_x0005_`"</f>
        <v>_x0007_`COD|B04822_x0005_`QTY1|1_x0005_`BQC|_x0005_`EQC|_x0005_`JDC|_x0005_`WQC|_x0005_`EDT|_x0005_`ADJ|F_x0005_`DET|1536_x0005_`</v>
      </c>
      <c r="K357" s="3" t="str">
        <f ca="1">HYPERLINK("#"&amp;일위대가표!N2&amp;"!A"&amp;ROW(일위대가표!A1536),"대가354 →")</f>
        <v>대가354 →</v>
      </c>
    </row>
    <row r="358" spans="1:11" ht="22.35" customHeight="1" x14ac:dyDescent="0.3">
      <c r="A358" s="9" t="s">
        <v>873</v>
      </c>
      <c r="B358" s="10" t="s">
        <v>840</v>
      </c>
      <c r="C358" s="10" t="s">
        <v>874</v>
      </c>
      <c r="D358" s="9" t="s">
        <v>14</v>
      </c>
      <c r="E358" s="48">
        <f>일위대가표!F1546</f>
        <v>2613964</v>
      </c>
      <c r="F358" s="47">
        <f>일위대가표!H1546</f>
        <v>2613964</v>
      </c>
      <c r="G358" s="56">
        <f>일위대가표!J1546</f>
        <v>0</v>
      </c>
      <c r="H358" s="48">
        <f>일위대가표!L1546</f>
        <v>0</v>
      </c>
      <c r="I358" s="15" t="s">
        <v>873</v>
      </c>
      <c r="J358" s="17" t="str">
        <f>"_x0007_`COD|B04823_x0005_`QTY1|1_x0005_`BQC|_x0005_`EQC|_x0005_`JDC|_x0005_`WQC|_x0005_`EDT|_x0005_`ADJ|F_x0005_`DET|"&amp;ROW(일위대가표!A1542)&amp;"_x0005_`"</f>
        <v>_x0007_`COD|B04823_x0005_`QTY1|1_x0005_`BQC|_x0005_`EQC|_x0005_`JDC|_x0005_`WQC|_x0005_`EDT|_x0005_`ADJ|F_x0005_`DET|1542_x0005_`</v>
      </c>
      <c r="K358" s="3" t="str">
        <f ca="1">HYPERLINK("#"&amp;일위대가표!N2&amp;"!A"&amp;ROW(일위대가표!A1542),"대가355 →")</f>
        <v>대가355 →</v>
      </c>
    </row>
    <row r="359" spans="1:11" ht="22.35" customHeight="1" x14ac:dyDescent="0.3">
      <c r="A359" s="9" t="s">
        <v>876</v>
      </c>
      <c r="B359" s="10" t="s">
        <v>877</v>
      </c>
      <c r="C359" s="10" t="s">
        <v>878</v>
      </c>
      <c r="D359" s="9" t="s">
        <v>14</v>
      </c>
      <c r="E359" s="48">
        <f>일위대가표!F1551</f>
        <v>148367</v>
      </c>
      <c r="F359" s="47">
        <f>일위대가표!H1551</f>
        <v>148367</v>
      </c>
      <c r="G359" s="56">
        <f>일위대가표!J1551</f>
        <v>0</v>
      </c>
      <c r="H359" s="48">
        <f>일위대가표!L1551</f>
        <v>0</v>
      </c>
      <c r="I359" s="15" t="s">
        <v>876</v>
      </c>
      <c r="J359" s="17" t="str">
        <f>"_x0007_`COD|B04788_x0005_`QTY1|1_x0005_`BQC|_x0005_`EQC|_x0005_`JDC|_x0005_`WQC|_x0005_`EDT|_x0005_`ADJ|F_x0005_`DET|"&amp;ROW(일위대가표!A1548)&amp;"_x0005_`"</f>
        <v>_x0007_`COD|B04788_x0005_`QTY1|1_x0005_`BQC|_x0005_`EQC|_x0005_`JDC|_x0005_`WQC|_x0005_`EDT|_x0005_`ADJ|F_x0005_`DET|1548_x0005_`</v>
      </c>
      <c r="K359" s="3" t="str">
        <f ca="1">HYPERLINK("#"&amp;일위대가표!N2&amp;"!A"&amp;ROW(일위대가표!A1548),"대가356 →")</f>
        <v>대가356 →</v>
      </c>
    </row>
    <row r="360" spans="1:11" ht="22.35" customHeight="1" x14ac:dyDescent="0.3">
      <c r="A360" s="9" t="s">
        <v>880</v>
      </c>
      <c r="B360" s="10" t="s">
        <v>877</v>
      </c>
      <c r="C360" s="10" t="s">
        <v>881</v>
      </c>
      <c r="D360" s="9" t="s">
        <v>14</v>
      </c>
      <c r="E360" s="48">
        <f>일위대가표!F1556</f>
        <v>178040</v>
      </c>
      <c r="F360" s="47">
        <f>일위대가표!H1556</f>
        <v>178040</v>
      </c>
      <c r="G360" s="56">
        <f>일위대가표!J1556</f>
        <v>0</v>
      </c>
      <c r="H360" s="48">
        <f>일위대가표!L1556</f>
        <v>0</v>
      </c>
      <c r="I360" s="15" t="s">
        <v>880</v>
      </c>
      <c r="J360" s="17" t="str">
        <f>"_x0007_`COD|B04789_x0005_`QTY1|1_x0005_`BQC|_x0005_`EQC|_x0005_`JDC|_x0005_`WQC|_x0005_`EDT|_x0005_`ADJ|F_x0005_`DET|"&amp;ROW(일위대가표!A1553)&amp;"_x0005_`"</f>
        <v>_x0007_`COD|B04789_x0005_`QTY1|1_x0005_`BQC|_x0005_`EQC|_x0005_`JDC|_x0005_`WQC|_x0005_`EDT|_x0005_`ADJ|F_x0005_`DET|1553_x0005_`</v>
      </c>
      <c r="K360" s="3" t="str">
        <f ca="1">HYPERLINK("#"&amp;일위대가표!N2&amp;"!A"&amp;ROW(일위대가표!A1553),"대가357 →")</f>
        <v>대가357 →</v>
      </c>
    </row>
    <row r="361" spans="1:11" ht="22.35" customHeight="1" x14ac:dyDescent="0.3">
      <c r="A361" s="9" t="s">
        <v>883</v>
      </c>
      <c r="B361" s="10" t="s">
        <v>877</v>
      </c>
      <c r="C361" s="10" t="s">
        <v>884</v>
      </c>
      <c r="D361" s="9" t="s">
        <v>14</v>
      </c>
      <c r="E361" s="48">
        <f>일위대가표!F1561</f>
        <v>207714</v>
      </c>
      <c r="F361" s="47">
        <f>일위대가표!H1561</f>
        <v>207714</v>
      </c>
      <c r="G361" s="56">
        <f>일위대가표!J1561</f>
        <v>0</v>
      </c>
      <c r="H361" s="48">
        <f>일위대가표!L1561</f>
        <v>0</v>
      </c>
      <c r="I361" s="15" t="s">
        <v>883</v>
      </c>
      <c r="J361" s="17" t="str">
        <f>"_x0007_`COD|B04790_x0005_`QTY1|1_x0005_`BQC|_x0005_`EQC|_x0005_`JDC|_x0005_`WQC|_x0005_`EDT|_x0005_`ADJ|F_x0005_`DET|"&amp;ROW(일위대가표!A1558)&amp;"_x0005_`"</f>
        <v>_x0007_`COD|B04790_x0005_`QTY1|1_x0005_`BQC|_x0005_`EQC|_x0005_`JDC|_x0005_`WQC|_x0005_`EDT|_x0005_`ADJ|F_x0005_`DET|1558_x0005_`</v>
      </c>
      <c r="K361" s="3" t="str">
        <f ca="1">HYPERLINK("#"&amp;일위대가표!N2&amp;"!A"&amp;ROW(일위대가표!A1558),"대가358 →")</f>
        <v>대가358 →</v>
      </c>
    </row>
    <row r="362" spans="1:11" ht="22.35" customHeight="1" x14ac:dyDescent="0.3">
      <c r="A362" s="9" t="s">
        <v>886</v>
      </c>
      <c r="B362" s="10" t="s">
        <v>877</v>
      </c>
      <c r="C362" s="10" t="s">
        <v>887</v>
      </c>
      <c r="D362" s="9" t="s">
        <v>14</v>
      </c>
      <c r="E362" s="48">
        <f>일위대가표!F1566</f>
        <v>267061</v>
      </c>
      <c r="F362" s="47">
        <f>일위대가표!H1566</f>
        <v>267061</v>
      </c>
      <c r="G362" s="56">
        <f>일위대가표!J1566</f>
        <v>0</v>
      </c>
      <c r="H362" s="48">
        <f>일위대가표!L1566</f>
        <v>0</v>
      </c>
      <c r="I362" s="15" t="s">
        <v>886</v>
      </c>
      <c r="J362" s="17" t="str">
        <f>"_x0007_`COD|B04791_x0005_`QTY1|1_x0005_`BQC|_x0005_`EQC|_x0005_`JDC|_x0005_`WQC|_x0005_`EDT|_x0005_`ADJ|F_x0005_`DET|"&amp;ROW(일위대가표!A1563)&amp;"_x0005_`"</f>
        <v>_x0007_`COD|B04791_x0005_`QTY1|1_x0005_`BQC|_x0005_`EQC|_x0005_`JDC|_x0005_`WQC|_x0005_`EDT|_x0005_`ADJ|F_x0005_`DET|1563_x0005_`</v>
      </c>
      <c r="K362" s="3" t="str">
        <f ca="1">HYPERLINK("#"&amp;일위대가표!N2&amp;"!A"&amp;ROW(일위대가표!A1563),"대가359 →")</f>
        <v>대가359 →</v>
      </c>
    </row>
    <row r="363" spans="1:11" ht="22.35" customHeight="1" x14ac:dyDescent="0.3">
      <c r="A363" s="9" t="s">
        <v>889</v>
      </c>
      <c r="B363" s="10" t="s">
        <v>877</v>
      </c>
      <c r="C363" s="10" t="s">
        <v>890</v>
      </c>
      <c r="D363" s="9" t="s">
        <v>14</v>
      </c>
      <c r="E363" s="48">
        <f>일위대가표!F1571</f>
        <v>326408</v>
      </c>
      <c r="F363" s="47">
        <f>일위대가표!H1571</f>
        <v>326408</v>
      </c>
      <c r="G363" s="56">
        <f>일위대가표!J1571</f>
        <v>0</v>
      </c>
      <c r="H363" s="48">
        <f>일위대가표!L1571</f>
        <v>0</v>
      </c>
      <c r="I363" s="15" t="s">
        <v>889</v>
      </c>
      <c r="J363" s="17" t="str">
        <f>"_x0007_`COD|B04792_x0005_`QTY1|1_x0005_`BQC|_x0005_`EQC|_x0005_`JDC|_x0005_`WQC|_x0005_`EDT|_x0005_`ADJ|F_x0005_`DET|"&amp;ROW(일위대가표!A1568)&amp;"_x0005_`"</f>
        <v>_x0007_`COD|B04792_x0005_`QTY1|1_x0005_`BQC|_x0005_`EQC|_x0005_`JDC|_x0005_`WQC|_x0005_`EDT|_x0005_`ADJ|F_x0005_`DET|1568_x0005_`</v>
      </c>
      <c r="K363" s="3" t="str">
        <f ca="1">HYPERLINK("#"&amp;일위대가표!N2&amp;"!A"&amp;ROW(일위대가표!A1568),"대가360 →")</f>
        <v>대가360 →</v>
      </c>
    </row>
    <row r="364" spans="1:11" ht="22.35" customHeight="1" x14ac:dyDescent="0.3">
      <c r="A364" s="9" t="s">
        <v>892</v>
      </c>
      <c r="B364" s="10" t="s">
        <v>877</v>
      </c>
      <c r="C364" s="10" t="s">
        <v>893</v>
      </c>
      <c r="D364" s="9" t="s">
        <v>14</v>
      </c>
      <c r="E364" s="48">
        <f>일위대가표!F1576</f>
        <v>415428</v>
      </c>
      <c r="F364" s="47">
        <f>일위대가표!H1576</f>
        <v>415428</v>
      </c>
      <c r="G364" s="56">
        <f>일위대가표!J1576</f>
        <v>0</v>
      </c>
      <c r="H364" s="48">
        <f>일위대가표!L1576</f>
        <v>0</v>
      </c>
      <c r="I364" s="15" t="s">
        <v>892</v>
      </c>
      <c r="J364" s="17" t="str">
        <f>"_x0007_`COD|B04793_x0005_`QTY1|1_x0005_`BQC|_x0005_`EQC|_x0005_`JDC|_x0005_`WQC|_x0005_`EDT|_x0005_`ADJ|F_x0005_`DET|"&amp;ROW(일위대가표!A1573)&amp;"_x0005_`"</f>
        <v>_x0007_`COD|B04793_x0005_`QTY1|1_x0005_`BQC|_x0005_`EQC|_x0005_`JDC|_x0005_`WQC|_x0005_`EDT|_x0005_`ADJ|F_x0005_`DET|1573_x0005_`</v>
      </c>
      <c r="K364" s="3" t="str">
        <f ca="1">HYPERLINK("#"&amp;일위대가표!N2&amp;"!A"&amp;ROW(일위대가표!A1573),"대가361 →")</f>
        <v>대가361 →</v>
      </c>
    </row>
    <row r="365" spans="1:11" ht="22.35" customHeight="1" x14ac:dyDescent="0.3">
      <c r="A365" s="9" t="s">
        <v>895</v>
      </c>
      <c r="B365" s="10" t="s">
        <v>877</v>
      </c>
      <c r="C365" s="10" t="s">
        <v>896</v>
      </c>
      <c r="D365" s="9" t="s">
        <v>14</v>
      </c>
      <c r="E365" s="48">
        <f>일위대가표!F1581</f>
        <v>590772</v>
      </c>
      <c r="F365" s="47">
        <f>일위대가표!H1581</f>
        <v>590772</v>
      </c>
      <c r="G365" s="56">
        <f>일위대가표!J1581</f>
        <v>0</v>
      </c>
      <c r="H365" s="48">
        <f>일위대가표!L1581</f>
        <v>0</v>
      </c>
      <c r="I365" s="15" t="s">
        <v>895</v>
      </c>
      <c r="J365" s="17" t="str">
        <f>"_x0007_`COD|B04794_x0005_`QTY1|1_x0005_`BQC|_x0005_`EQC|_x0005_`JDC|_x0005_`WQC|_x0005_`EDT|_x0005_`ADJ|F_x0005_`DET|"&amp;ROW(일위대가표!A1578)&amp;"_x0005_`"</f>
        <v>_x0007_`COD|B04794_x0005_`QTY1|1_x0005_`BQC|_x0005_`EQC|_x0005_`JDC|_x0005_`WQC|_x0005_`EDT|_x0005_`ADJ|F_x0005_`DET|1578_x0005_`</v>
      </c>
      <c r="K365" s="3" t="str">
        <f ca="1">HYPERLINK("#"&amp;일위대가표!N2&amp;"!A"&amp;ROW(일위대가표!A1578),"대가362 →")</f>
        <v>대가362 →</v>
      </c>
    </row>
    <row r="366" spans="1:11" ht="22.35" customHeight="1" x14ac:dyDescent="0.3">
      <c r="A366" s="9" t="s">
        <v>898</v>
      </c>
      <c r="B366" s="10" t="s">
        <v>877</v>
      </c>
      <c r="C366" s="10" t="s">
        <v>899</v>
      </c>
      <c r="D366" s="9" t="s">
        <v>14</v>
      </c>
      <c r="E366" s="48">
        <f>일위대가표!F1586</f>
        <v>768813</v>
      </c>
      <c r="F366" s="47">
        <f>일위대가표!H1586</f>
        <v>768813</v>
      </c>
      <c r="G366" s="56">
        <f>일위대가표!J1586</f>
        <v>0</v>
      </c>
      <c r="H366" s="48">
        <f>일위대가표!L1586</f>
        <v>0</v>
      </c>
      <c r="I366" s="15" t="s">
        <v>898</v>
      </c>
      <c r="J366" s="17" t="str">
        <f>"_x0007_`COD|B04795_x0005_`QTY1|1_x0005_`BQC|_x0005_`EQC|_x0005_`JDC|_x0005_`WQC|_x0005_`EDT|_x0005_`ADJ|F_x0005_`DET|"&amp;ROW(일위대가표!A1583)&amp;"_x0005_`"</f>
        <v>_x0007_`COD|B04795_x0005_`QTY1|1_x0005_`BQC|_x0005_`EQC|_x0005_`JDC|_x0005_`WQC|_x0005_`EDT|_x0005_`ADJ|F_x0005_`DET|1583_x0005_`</v>
      </c>
      <c r="K366" s="3" t="str">
        <f ca="1">HYPERLINK("#"&amp;일위대가표!N2&amp;"!A"&amp;ROW(일위대가표!A1583),"대가363 →")</f>
        <v>대가363 →</v>
      </c>
    </row>
    <row r="367" spans="1:11" ht="22.35" customHeight="1" x14ac:dyDescent="0.3">
      <c r="A367" s="9" t="s">
        <v>901</v>
      </c>
      <c r="B367" s="10" t="s">
        <v>877</v>
      </c>
      <c r="C367" s="10" t="s">
        <v>902</v>
      </c>
      <c r="D367" s="9" t="s">
        <v>14</v>
      </c>
      <c r="E367" s="48">
        <f>일위대가표!F1591</f>
        <v>887507</v>
      </c>
      <c r="F367" s="47">
        <f>일위대가표!H1591</f>
        <v>887507</v>
      </c>
      <c r="G367" s="56">
        <f>일위대가표!J1591</f>
        <v>0</v>
      </c>
      <c r="H367" s="48">
        <f>일위대가표!L1591</f>
        <v>0</v>
      </c>
      <c r="I367" s="15" t="s">
        <v>901</v>
      </c>
      <c r="J367" s="17" t="str">
        <f>"_x0007_`COD|B04796_x0005_`QTY1|1_x0005_`BQC|_x0005_`EQC|_x0005_`JDC|_x0005_`WQC|_x0005_`EDT|_x0005_`ADJ|F_x0005_`DET|"&amp;ROW(일위대가표!A1588)&amp;"_x0005_`"</f>
        <v>_x0007_`COD|B04796_x0005_`QTY1|1_x0005_`BQC|_x0005_`EQC|_x0005_`JDC|_x0005_`WQC|_x0005_`EDT|_x0005_`ADJ|F_x0005_`DET|1588_x0005_`</v>
      </c>
      <c r="K367" s="3" t="str">
        <f ca="1">HYPERLINK("#"&amp;일위대가표!N2&amp;"!A"&amp;ROW(일위대가표!A1588),"대가364 →")</f>
        <v>대가364 →</v>
      </c>
    </row>
    <row r="368" spans="1:11" ht="22.35" customHeight="1" x14ac:dyDescent="0.3">
      <c r="A368" s="9" t="s">
        <v>904</v>
      </c>
      <c r="B368" s="10" t="s">
        <v>877</v>
      </c>
      <c r="C368" s="10" t="s">
        <v>905</v>
      </c>
      <c r="D368" s="9" t="s">
        <v>14</v>
      </c>
      <c r="E368" s="48">
        <f>일위대가표!F1596</f>
        <v>1006201</v>
      </c>
      <c r="F368" s="47">
        <f>일위대가표!H1596</f>
        <v>1006201</v>
      </c>
      <c r="G368" s="56">
        <f>일위대가표!J1596</f>
        <v>0</v>
      </c>
      <c r="H368" s="48">
        <f>일위대가표!L1596</f>
        <v>0</v>
      </c>
      <c r="I368" s="15" t="s">
        <v>904</v>
      </c>
      <c r="J368" s="17" t="str">
        <f>"_x0007_`COD|B04797_x0005_`QTY1|1_x0005_`BQC|_x0005_`EQC|_x0005_`JDC|_x0005_`WQC|_x0005_`EDT|_x0005_`ADJ|F_x0005_`DET|"&amp;ROW(일위대가표!A1593)&amp;"_x0005_`"</f>
        <v>_x0007_`COD|B04797_x0005_`QTY1|1_x0005_`BQC|_x0005_`EQC|_x0005_`JDC|_x0005_`WQC|_x0005_`EDT|_x0005_`ADJ|F_x0005_`DET|1593_x0005_`</v>
      </c>
      <c r="K368" s="3" t="str">
        <f ca="1">HYPERLINK("#"&amp;일위대가표!N2&amp;"!A"&amp;ROW(일위대가표!A1593),"대가365 →")</f>
        <v>대가365 →</v>
      </c>
    </row>
    <row r="369" spans="1:11" ht="22.35" customHeight="1" x14ac:dyDescent="0.3">
      <c r="A369" s="9" t="s">
        <v>907</v>
      </c>
      <c r="B369" s="10" t="s">
        <v>877</v>
      </c>
      <c r="C369" s="10" t="s">
        <v>908</v>
      </c>
      <c r="D369" s="9" t="s">
        <v>14</v>
      </c>
      <c r="E369" s="48">
        <f>일위대가표!F1601</f>
        <v>1184242</v>
      </c>
      <c r="F369" s="47">
        <f>일위대가표!H1601</f>
        <v>1184242</v>
      </c>
      <c r="G369" s="56">
        <f>일위대가표!J1601</f>
        <v>0</v>
      </c>
      <c r="H369" s="48">
        <f>일위대가표!L1601</f>
        <v>0</v>
      </c>
      <c r="I369" s="15" t="s">
        <v>907</v>
      </c>
      <c r="J369" s="17" t="str">
        <f>"_x0007_`COD|B04798_x0005_`QTY1|1_x0005_`BQC|_x0005_`EQC|_x0005_`JDC|_x0005_`WQC|_x0005_`EDT|_x0005_`ADJ|F_x0005_`DET|"&amp;ROW(일위대가표!A1598)&amp;"_x0005_`"</f>
        <v>_x0007_`COD|B04798_x0005_`QTY1|1_x0005_`BQC|_x0005_`EQC|_x0005_`JDC|_x0005_`WQC|_x0005_`EDT|_x0005_`ADJ|F_x0005_`DET|1598_x0005_`</v>
      </c>
      <c r="K369" s="3" t="str">
        <f ca="1">HYPERLINK("#"&amp;일위대가표!N2&amp;"!A"&amp;ROW(일위대가표!A1598),"대가366 →")</f>
        <v>대가366 →</v>
      </c>
    </row>
    <row r="370" spans="1:11" ht="22.35" customHeight="1" x14ac:dyDescent="0.3">
      <c r="A370" s="9" t="s">
        <v>910</v>
      </c>
      <c r="B370" s="10" t="s">
        <v>877</v>
      </c>
      <c r="C370" s="10" t="s">
        <v>911</v>
      </c>
      <c r="D370" s="9" t="s">
        <v>14</v>
      </c>
      <c r="E370" s="48">
        <f>일위대가표!F1606</f>
        <v>1537626</v>
      </c>
      <c r="F370" s="47">
        <f>일위대가표!H1606</f>
        <v>1537626</v>
      </c>
      <c r="G370" s="56">
        <f>일위대가표!J1606</f>
        <v>0</v>
      </c>
      <c r="H370" s="48">
        <f>일위대가표!L1606</f>
        <v>0</v>
      </c>
      <c r="I370" s="15" t="s">
        <v>910</v>
      </c>
      <c r="J370" s="17" t="str">
        <f>"_x0007_`COD|B04799_x0005_`QTY1|1_x0005_`BQC|_x0005_`EQC|_x0005_`JDC|_x0005_`WQC|_x0005_`EDT|_x0005_`ADJ|F_x0005_`DET|"&amp;ROW(일위대가표!A1603)&amp;"_x0005_`"</f>
        <v>_x0007_`COD|B04799_x0005_`QTY1|1_x0005_`BQC|_x0005_`EQC|_x0005_`JDC|_x0005_`WQC|_x0005_`EDT|_x0005_`ADJ|F_x0005_`DET|1603_x0005_`</v>
      </c>
      <c r="K370" s="3" t="str">
        <f ca="1">HYPERLINK("#"&amp;일위대가표!N2&amp;"!A"&amp;ROW(일위대가표!A1603),"대가367 →")</f>
        <v>대가367 →</v>
      </c>
    </row>
    <row r="371" spans="1:11" ht="22.35" customHeight="1" x14ac:dyDescent="0.3">
      <c r="A371" s="9" t="s">
        <v>913</v>
      </c>
      <c r="B371" s="10" t="s">
        <v>914</v>
      </c>
      <c r="C371" s="10" t="s">
        <v>915</v>
      </c>
      <c r="D371" s="9" t="s">
        <v>14</v>
      </c>
      <c r="E371" s="48">
        <f>일위대가표!F1611</f>
        <v>59346</v>
      </c>
      <c r="F371" s="47">
        <f>일위대가표!H1611</f>
        <v>59346</v>
      </c>
      <c r="G371" s="56">
        <f>일위대가표!J1611</f>
        <v>0</v>
      </c>
      <c r="H371" s="48">
        <f>일위대가표!L1611</f>
        <v>0</v>
      </c>
      <c r="I371" s="15" t="s">
        <v>913</v>
      </c>
      <c r="J371" s="17" t="str">
        <f>"_x0007_`COD|B04800_x0005_`QTY1|1_x0005_`BQC|_x0005_`EQC|_x0005_`JDC|_x0005_`WQC|_x0005_`EDT|_x0005_`ADJ|F_x0005_`DET|"&amp;ROW(일위대가표!A1608)&amp;"_x0005_`"</f>
        <v>_x0007_`COD|B04800_x0005_`QTY1|1_x0005_`BQC|_x0005_`EQC|_x0005_`JDC|_x0005_`WQC|_x0005_`EDT|_x0005_`ADJ|F_x0005_`DET|1608_x0005_`</v>
      </c>
      <c r="K371" s="3" t="str">
        <f ca="1">HYPERLINK("#"&amp;일위대가표!N2&amp;"!A"&amp;ROW(일위대가표!A1608),"대가368 →")</f>
        <v>대가368 →</v>
      </c>
    </row>
    <row r="372" spans="1:11" ht="22.35" customHeight="1" x14ac:dyDescent="0.3">
      <c r="A372" s="9" t="s">
        <v>917</v>
      </c>
      <c r="B372" s="10" t="s">
        <v>914</v>
      </c>
      <c r="C372" s="10" t="s">
        <v>918</v>
      </c>
      <c r="D372" s="9" t="s">
        <v>14</v>
      </c>
      <c r="E372" s="48">
        <f>일위대가표!F1616</f>
        <v>71216</v>
      </c>
      <c r="F372" s="47">
        <f>일위대가표!H1616</f>
        <v>71216</v>
      </c>
      <c r="G372" s="56">
        <f>일위대가표!J1616</f>
        <v>0</v>
      </c>
      <c r="H372" s="48">
        <f>일위대가표!L1616</f>
        <v>0</v>
      </c>
      <c r="I372" s="15" t="s">
        <v>917</v>
      </c>
      <c r="J372" s="17" t="str">
        <f>"_x0007_`COD|B04801_x0005_`QTY1|1_x0005_`BQC|_x0005_`EQC|_x0005_`JDC|_x0005_`WQC|_x0005_`EDT|_x0005_`ADJ|F_x0005_`DET|"&amp;ROW(일위대가표!A1613)&amp;"_x0005_`"</f>
        <v>_x0007_`COD|B04801_x0005_`QTY1|1_x0005_`BQC|_x0005_`EQC|_x0005_`JDC|_x0005_`WQC|_x0005_`EDT|_x0005_`ADJ|F_x0005_`DET|1613_x0005_`</v>
      </c>
      <c r="K372" s="3" t="str">
        <f ca="1">HYPERLINK("#"&amp;일위대가표!N2&amp;"!A"&amp;ROW(일위대가표!A1613),"대가369 →")</f>
        <v>대가369 →</v>
      </c>
    </row>
    <row r="373" spans="1:11" ht="22.35" customHeight="1" x14ac:dyDescent="0.3">
      <c r="A373" s="9" t="s">
        <v>920</v>
      </c>
      <c r="B373" s="10" t="s">
        <v>914</v>
      </c>
      <c r="C373" s="10" t="s">
        <v>921</v>
      </c>
      <c r="D373" s="9" t="s">
        <v>14</v>
      </c>
      <c r="E373" s="48">
        <f>일위대가표!F1621</f>
        <v>83085</v>
      </c>
      <c r="F373" s="47">
        <f>일위대가표!H1621</f>
        <v>83085</v>
      </c>
      <c r="G373" s="56">
        <f>일위대가표!J1621</f>
        <v>0</v>
      </c>
      <c r="H373" s="48">
        <f>일위대가표!L1621</f>
        <v>0</v>
      </c>
      <c r="I373" s="15" t="s">
        <v>920</v>
      </c>
      <c r="J373" s="17" t="str">
        <f>"_x0007_`COD|B04802_x0005_`QTY1|1_x0005_`BQC|_x0005_`EQC|_x0005_`JDC|_x0005_`WQC|_x0005_`EDT|_x0005_`ADJ|F_x0005_`DET|"&amp;ROW(일위대가표!A1618)&amp;"_x0005_`"</f>
        <v>_x0007_`COD|B04802_x0005_`QTY1|1_x0005_`BQC|_x0005_`EQC|_x0005_`JDC|_x0005_`WQC|_x0005_`EDT|_x0005_`ADJ|F_x0005_`DET|1618_x0005_`</v>
      </c>
      <c r="K373" s="3" t="str">
        <f ca="1">HYPERLINK("#"&amp;일위대가표!N2&amp;"!A"&amp;ROW(일위대가표!A1618),"대가370 →")</f>
        <v>대가370 →</v>
      </c>
    </row>
    <row r="374" spans="1:11" ht="22.35" customHeight="1" x14ac:dyDescent="0.3">
      <c r="A374" s="9" t="s">
        <v>923</v>
      </c>
      <c r="B374" s="10" t="s">
        <v>914</v>
      </c>
      <c r="C374" s="10" t="s">
        <v>924</v>
      </c>
      <c r="D374" s="9" t="s">
        <v>14</v>
      </c>
      <c r="E374" s="48">
        <f>일위대가표!F1626</f>
        <v>106824</v>
      </c>
      <c r="F374" s="47">
        <f>일위대가표!H1626</f>
        <v>106824</v>
      </c>
      <c r="G374" s="56">
        <f>일위대가표!J1626</f>
        <v>0</v>
      </c>
      <c r="H374" s="48">
        <f>일위대가표!L1626</f>
        <v>0</v>
      </c>
      <c r="I374" s="15" t="s">
        <v>923</v>
      </c>
      <c r="J374" s="17" t="str">
        <f>"_x0007_`COD|B04803_x0005_`QTY1|1_x0005_`BQC|_x0005_`EQC|_x0005_`JDC|_x0005_`WQC|_x0005_`EDT|_x0005_`ADJ|F_x0005_`DET|"&amp;ROW(일위대가표!A1623)&amp;"_x0005_`"</f>
        <v>_x0007_`COD|B04803_x0005_`QTY1|1_x0005_`BQC|_x0005_`EQC|_x0005_`JDC|_x0005_`WQC|_x0005_`EDT|_x0005_`ADJ|F_x0005_`DET|1623_x0005_`</v>
      </c>
      <c r="K374" s="3" t="str">
        <f ca="1">HYPERLINK("#"&amp;일위대가표!N2&amp;"!A"&amp;ROW(일위대가표!A1623),"대가371 →")</f>
        <v>대가371 →</v>
      </c>
    </row>
    <row r="375" spans="1:11" ht="22.35" customHeight="1" x14ac:dyDescent="0.3">
      <c r="A375" s="9" t="s">
        <v>926</v>
      </c>
      <c r="B375" s="10" t="s">
        <v>914</v>
      </c>
      <c r="C375" s="10" t="s">
        <v>927</v>
      </c>
      <c r="D375" s="9" t="s">
        <v>14</v>
      </c>
      <c r="E375" s="48">
        <f>일위대가표!F1631</f>
        <v>130563</v>
      </c>
      <c r="F375" s="47">
        <f>일위대가표!H1631</f>
        <v>130563</v>
      </c>
      <c r="G375" s="56">
        <f>일위대가표!J1631</f>
        <v>0</v>
      </c>
      <c r="H375" s="48">
        <f>일위대가표!L1631</f>
        <v>0</v>
      </c>
      <c r="I375" s="15" t="s">
        <v>926</v>
      </c>
      <c r="J375" s="17" t="str">
        <f>"_x0007_`COD|B04804_x0005_`QTY1|1_x0005_`BQC|_x0005_`EQC|_x0005_`JDC|_x0005_`WQC|_x0005_`EDT|_x0005_`ADJ|F_x0005_`DET|"&amp;ROW(일위대가표!A1628)&amp;"_x0005_`"</f>
        <v>_x0007_`COD|B04804_x0005_`QTY1|1_x0005_`BQC|_x0005_`EQC|_x0005_`JDC|_x0005_`WQC|_x0005_`EDT|_x0005_`ADJ|F_x0005_`DET|1628_x0005_`</v>
      </c>
      <c r="K375" s="3" t="str">
        <f ca="1">HYPERLINK("#"&amp;일위대가표!N2&amp;"!A"&amp;ROW(일위대가표!A1628),"대가372 →")</f>
        <v>대가372 →</v>
      </c>
    </row>
    <row r="376" spans="1:11" ht="22.35" customHeight="1" x14ac:dyDescent="0.3">
      <c r="A376" s="9" t="s">
        <v>929</v>
      </c>
      <c r="B376" s="10" t="s">
        <v>914</v>
      </c>
      <c r="C376" s="10" t="s">
        <v>930</v>
      </c>
      <c r="D376" s="9" t="s">
        <v>14</v>
      </c>
      <c r="E376" s="48">
        <f>일위대가표!F1636</f>
        <v>166171</v>
      </c>
      <c r="F376" s="47">
        <f>일위대가표!H1636</f>
        <v>166171</v>
      </c>
      <c r="G376" s="56">
        <f>일위대가표!J1636</f>
        <v>0</v>
      </c>
      <c r="H376" s="48">
        <f>일위대가표!L1636</f>
        <v>0</v>
      </c>
      <c r="I376" s="15" t="s">
        <v>929</v>
      </c>
      <c r="J376" s="17" t="str">
        <f>"_x0007_`COD|B04805_x0005_`QTY1|1_x0005_`BQC|_x0005_`EQC|_x0005_`JDC|_x0005_`WQC|_x0005_`EDT|_x0005_`ADJ|F_x0005_`DET|"&amp;ROW(일위대가표!A1633)&amp;"_x0005_`"</f>
        <v>_x0007_`COD|B04805_x0005_`QTY1|1_x0005_`BQC|_x0005_`EQC|_x0005_`JDC|_x0005_`WQC|_x0005_`EDT|_x0005_`ADJ|F_x0005_`DET|1633_x0005_`</v>
      </c>
      <c r="K376" s="3" t="str">
        <f ca="1">HYPERLINK("#"&amp;일위대가표!N2&amp;"!A"&amp;ROW(일위대가표!A1633),"대가373 →")</f>
        <v>대가373 →</v>
      </c>
    </row>
    <row r="377" spans="1:11" ht="22.35" customHeight="1" x14ac:dyDescent="0.3">
      <c r="A377" s="9" t="s">
        <v>932</v>
      </c>
      <c r="B377" s="10" t="s">
        <v>914</v>
      </c>
      <c r="C377" s="10" t="s">
        <v>933</v>
      </c>
      <c r="D377" s="9" t="s">
        <v>14</v>
      </c>
      <c r="E377" s="48">
        <f>일위대가표!F1641</f>
        <v>236308</v>
      </c>
      <c r="F377" s="47">
        <f>일위대가표!H1641</f>
        <v>236308</v>
      </c>
      <c r="G377" s="56">
        <f>일위대가표!J1641</f>
        <v>0</v>
      </c>
      <c r="H377" s="48">
        <f>일위대가표!L1641</f>
        <v>0</v>
      </c>
      <c r="I377" s="15" t="s">
        <v>932</v>
      </c>
      <c r="J377" s="17" t="str">
        <f>"_x0007_`COD|B04806_x0005_`QTY1|1_x0005_`BQC|_x0005_`EQC|_x0005_`JDC|_x0005_`WQC|_x0005_`EDT|_x0005_`ADJ|F_x0005_`DET|"&amp;ROW(일위대가표!A1638)&amp;"_x0005_`"</f>
        <v>_x0007_`COD|B04806_x0005_`QTY1|1_x0005_`BQC|_x0005_`EQC|_x0005_`JDC|_x0005_`WQC|_x0005_`EDT|_x0005_`ADJ|F_x0005_`DET|1638_x0005_`</v>
      </c>
      <c r="K377" s="3" t="str">
        <f ca="1">HYPERLINK("#"&amp;일위대가표!N2&amp;"!A"&amp;ROW(일위대가표!A1638),"대가374 →")</f>
        <v>대가374 →</v>
      </c>
    </row>
    <row r="378" spans="1:11" ht="22.35" customHeight="1" x14ac:dyDescent="0.3">
      <c r="A378" s="9" t="s">
        <v>935</v>
      </c>
      <c r="B378" s="10" t="s">
        <v>914</v>
      </c>
      <c r="C378" s="10" t="s">
        <v>936</v>
      </c>
      <c r="D378" s="9" t="s">
        <v>14</v>
      </c>
      <c r="E378" s="48">
        <f>일위대가표!F1646</f>
        <v>307525</v>
      </c>
      <c r="F378" s="47">
        <f>일위대가표!H1646</f>
        <v>307525</v>
      </c>
      <c r="G378" s="56">
        <f>일위대가표!J1646</f>
        <v>0</v>
      </c>
      <c r="H378" s="48">
        <f>일위대가표!L1646</f>
        <v>0</v>
      </c>
      <c r="I378" s="15" t="s">
        <v>935</v>
      </c>
      <c r="J378" s="17" t="str">
        <f>"_x0007_`COD|B04807_x0005_`QTY1|1_x0005_`BQC|_x0005_`EQC|_x0005_`JDC|_x0005_`WQC|_x0005_`EDT|_x0005_`ADJ|F_x0005_`DET|"&amp;ROW(일위대가표!A1643)&amp;"_x0005_`"</f>
        <v>_x0007_`COD|B04807_x0005_`QTY1|1_x0005_`BQC|_x0005_`EQC|_x0005_`JDC|_x0005_`WQC|_x0005_`EDT|_x0005_`ADJ|F_x0005_`DET|1643_x0005_`</v>
      </c>
      <c r="K378" s="3" t="str">
        <f ca="1">HYPERLINK("#"&amp;일위대가표!N2&amp;"!A"&amp;ROW(일위대가표!A1643),"대가375 →")</f>
        <v>대가375 →</v>
      </c>
    </row>
    <row r="379" spans="1:11" ht="22.35" customHeight="1" x14ac:dyDescent="0.3">
      <c r="A379" s="9" t="s">
        <v>938</v>
      </c>
      <c r="B379" s="10" t="s">
        <v>914</v>
      </c>
      <c r="C379" s="10" t="s">
        <v>939</v>
      </c>
      <c r="D379" s="9" t="s">
        <v>14</v>
      </c>
      <c r="E379" s="48">
        <f>일위대가표!F1651</f>
        <v>355002</v>
      </c>
      <c r="F379" s="47">
        <f>일위대가표!H1651</f>
        <v>355002</v>
      </c>
      <c r="G379" s="56">
        <f>일위대가표!J1651</f>
        <v>0</v>
      </c>
      <c r="H379" s="48">
        <f>일위대가표!L1651</f>
        <v>0</v>
      </c>
      <c r="I379" s="15" t="s">
        <v>938</v>
      </c>
      <c r="J379" s="17" t="str">
        <f>"_x0007_`COD|B04808_x0005_`QTY1|1_x0005_`BQC|_x0005_`EQC|_x0005_`JDC|_x0005_`WQC|_x0005_`EDT|_x0005_`ADJ|F_x0005_`DET|"&amp;ROW(일위대가표!A1648)&amp;"_x0005_`"</f>
        <v>_x0007_`COD|B04808_x0005_`QTY1|1_x0005_`BQC|_x0005_`EQC|_x0005_`JDC|_x0005_`WQC|_x0005_`EDT|_x0005_`ADJ|F_x0005_`DET|1648_x0005_`</v>
      </c>
      <c r="K379" s="3" t="str">
        <f ca="1">HYPERLINK("#"&amp;일위대가표!N2&amp;"!A"&amp;ROW(일위대가표!A1648),"대가376 →")</f>
        <v>대가376 →</v>
      </c>
    </row>
    <row r="380" spans="1:11" ht="22.35" customHeight="1" x14ac:dyDescent="0.3">
      <c r="A380" s="9" t="s">
        <v>941</v>
      </c>
      <c r="B380" s="10" t="s">
        <v>914</v>
      </c>
      <c r="C380" s="10" t="s">
        <v>942</v>
      </c>
      <c r="D380" s="9" t="s">
        <v>14</v>
      </c>
      <c r="E380" s="48">
        <f>일위대가표!F1656</f>
        <v>402480</v>
      </c>
      <c r="F380" s="47">
        <f>일위대가표!H1656</f>
        <v>402480</v>
      </c>
      <c r="G380" s="56">
        <f>일위대가표!J1656</f>
        <v>0</v>
      </c>
      <c r="H380" s="48">
        <f>일위대가표!L1656</f>
        <v>0</v>
      </c>
      <c r="I380" s="15" t="s">
        <v>941</v>
      </c>
      <c r="J380" s="17" t="str">
        <f>"_x0007_`COD|B04809_x0005_`QTY1|1_x0005_`BQC|_x0005_`EQC|_x0005_`JDC|_x0005_`WQC|_x0005_`EDT|_x0005_`ADJ|F_x0005_`DET|"&amp;ROW(일위대가표!A1653)&amp;"_x0005_`"</f>
        <v>_x0007_`COD|B04809_x0005_`QTY1|1_x0005_`BQC|_x0005_`EQC|_x0005_`JDC|_x0005_`WQC|_x0005_`EDT|_x0005_`ADJ|F_x0005_`DET|1653_x0005_`</v>
      </c>
      <c r="K380" s="3" t="str">
        <f ca="1">HYPERLINK("#"&amp;일위대가표!N2&amp;"!A"&amp;ROW(일위대가표!A1653),"대가377 →")</f>
        <v>대가377 →</v>
      </c>
    </row>
    <row r="381" spans="1:11" ht="22.35" customHeight="1" x14ac:dyDescent="0.3">
      <c r="A381" s="9" t="s">
        <v>944</v>
      </c>
      <c r="B381" s="10" t="s">
        <v>914</v>
      </c>
      <c r="C381" s="10" t="s">
        <v>945</v>
      </c>
      <c r="D381" s="9" t="s">
        <v>14</v>
      </c>
      <c r="E381" s="48">
        <f>일위대가표!F1661</f>
        <v>828969</v>
      </c>
      <c r="F381" s="47">
        <f>일위대가표!H1661</f>
        <v>828969</v>
      </c>
      <c r="G381" s="56">
        <f>일위대가표!J1661</f>
        <v>0</v>
      </c>
      <c r="H381" s="48">
        <f>일위대가표!L1661</f>
        <v>0</v>
      </c>
      <c r="I381" s="15" t="s">
        <v>944</v>
      </c>
      <c r="J381" s="17" t="str">
        <f>"_x0007_`COD|B04810_x0005_`QTY1|1_x0005_`BQC|_x0005_`EQC|_x0005_`JDC|_x0005_`WQC|_x0005_`EDT|_x0005_`ADJ|F_x0005_`DET|"&amp;ROW(일위대가표!A1658)&amp;"_x0005_`"</f>
        <v>_x0007_`COD|B04810_x0005_`QTY1|1_x0005_`BQC|_x0005_`EQC|_x0005_`JDC|_x0005_`WQC|_x0005_`EDT|_x0005_`ADJ|F_x0005_`DET|1658_x0005_`</v>
      </c>
      <c r="K381" s="3" t="str">
        <f ca="1">HYPERLINK("#"&amp;일위대가표!N2&amp;"!A"&amp;ROW(일위대가표!A1658),"대가378 →")</f>
        <v>대가378 →</v>
      </c>
    </row>
    <row r="382" spans="1:11" ht="22.35" customHeight="1" x14ac:dyDescent="0.3">
      <c r="A382" s="9" t="s">
        <v>947</v>
      </c>
      <c r="B382" s="10" t="s">
        <v>914</v>
      </c>
      <c r="C382" s="10" t="s">
        <v>948</v>
      </c>
      <c r="D382" s="9" t="s">
        <v>14</v>
      </c>
      <c r="E382" s="48">
        <f>일위대가표!F1666</f>
        <v>1076338</v>
      </c>
      <c r="F382" s="47">
        <f>일위대가표!H1666</f>
        <v>1076338</v>
      </c>
      <c r="G382" s="56">
        <f>일위대가표!J1666</f>
        <v>0</v>
      </c>
      <c r="H382" s="48">
        <f>일위대가표!L1666</f>
        <v>0</v>
      </c>
      <c r="I382" s="15" t="s">
        <v>947</v>
      </c>
      <c r="J382" s="17" t="str">
        <f>"_x0007_`COD|B04811_x0005_`QTY1|1_x0005_`BQC|_x0005_`EQC|_x0005_`JDC|_x0005_`WQC|_x0005_`EDT|_x0005_`ADJ|F_x0005_`DET|"&amp;ROW(일위대가표!A1663)&amp;"_x0005_`"</f>
        <v>_x0007_`COD|B04811_x0005_`QTY1|1_x0005_`BQC|_x0005_`EQC|_x0005_`JDC|_x0005_`WQC|_x0005_`EDT|_x0005_`ADJ|F_x0005_`DET|1663_x0005_`</v>
      </c>
      <c r="K382" s="3" t="str">
        <f ca="1">HYPERLINK("#"&amp;일위대가표!N2&amp;"!A"&amp;ROW(일위대가표!A1663),"대가379 →")</f>
        <v>대가379 →</v>
      </c>
    </row>
    <row r="383" spans="1:11" ht="22.35" customHeight="1" x14ac:dyDescent="0.3">
      <c r="A383" s="9" t="s">
        <v>950</v>
      </c>
      <c r="B383" s="10" t="s">
        <v>951</v>
      </c>
      <c r="C383" s="10" t="s">
        <v>952</v>
      </c>
      <c r="D383" s="9" t="s">
        <v>14</v>
      </c>
      <c r="E383" s="48">
        <f>일위대가표!F1671</f>
        <v>686000</v>
      </c>
      <c r="F383" s="47">
        <f>일위대가표!H1671</f>
        <v>270000</v>
      </c>
      <c r="G383" s="56">
        <f>일위대가표!J1671</f>
        <v>416000</v>
      </c>
      <c r="H383" s="48">
        <f>일위대가표!L1671</f>
        <v>0</v>
      </c>
      <c r="I383" s="15" t="s">
        <v>950</v>
      </c>
      <c r="J383" s="17" t="str">
        <f>"_x0007_`COD|B04998_x0005_`QTY1|1_x0005_`BQC|_x0005_`EQC|_x0005_`JDC|_x0005_`WQC|_x0005_`EDT|_x0005_`ADJ|F_x0005_`DET|"&amp;ROW(일위대가표!A1668)&amp;"_x0005_`"</f>
        <v>_x0007_`COD|B04998_x0005_`QTY1|1_x0005_`BQC|_x0005_`EQC|_x0005_`JDC|_x0005_`WQC|_x0005_`EDT|_x0005_`ADJ|F_x0005_`DET|1668_x0005_`</v>
      </c>
      <c r="K383" s="3" t="str">
        <f ca="1">HYPERLINK("#"&amp;일위대가표!N2&amp;"!A"&amp;ROW(일위대가표!A1668),"대가380 →")</f>
        <v>대가380 →</v>
      </c>
    </row>
    <row r="384" spans="1:11" ht="22.35" customHeight="1" x14ac:dyDescent="0.3">
      <c r="A384" s="9" t="s">
        <v>954</v>
      </c>
      <c r="B384" s="10" t="s">
        <v>951</v>
      </c>
      <c r="C384" s="10" t="s">
        <v>955</v>
      </c>
      <c r="D384" s="9" t="s">
        <v>14</v>
      </c>
      <c r="E384" s="48">
        <f>일위대가표!F1676</f>
        <v>857000</v>
      </c>
      <c r="F384" s="47">
        <f>일위대가표!H1676</f>
        <v>270000</v>
      </c>
      <c r="G384" s="56">
        <f>일위대가표!J1676</f>
        <v>587000</v>
      </c>
      <c r="H384" s="48">
        <f>일위대가표!L1676</f>
        <v>0</v>
      </c>
      <c r="I384" s="15" t="s">
        <v>954</v>
      </c>
      <c r="J384" s="17" t="str">
        <f>"_x0007_`COD|B04999_x0005_`QTY1|1_x0005_`BQC|_x0005_`EQC|_x0005_`JDC|_x0005_`WQC|_x0005_`EDT|_x0005_`ADJ|F_x0005_`DET|"&amp;ROW(일위대가표!A1673)&amp;"_x0005_`"</f>
        <v>_x0007_`COD|B04999_x0005_`QTY1|1_x0005_`BQC|_x0005_`EQC|_x0005_`JDC|_x0005_`WQC|_x0005_`EDT|_x0005_`ADJ|F_x0005_`DET|1673_x0005_`</v>
      </c>
      <c r="K384" s="3" t="str">
        <f ca="1">HYPERLINK("#"&amp;일위대가표!N2&amp;"!A"&amp;ROW(일위대가표!A1673),"대가381 →")</f>
        <v>대가381 →</v>
      </c>
    </row>
    <row r="385" spans="1:11" ht="22.35" customHeight="1" x14ac:dyDescent="0.3">
      <c r="A385" s="9" t="s">
        <v>957</v>
      </c>
      <c r="B385" s="10" t="s">
        <v>951</v>
      </c>
      <c r="C385" s="10" t="s">
        <v>958</v>
      </c>
      <c r="D385" s="9" t="s">
        <v>14</v>
      </c>
      <c r="E385" s="48">
        <f>일위대가표!F1681</f>
        <v>1958000</v>
      </c>
      <c r="F385" s="47">
        <f>일위대가표!H1681</f>
        <v>330000</v>
      </c>
      <c r="G385" s="56">
        <f>일위대가표!J1681</f>
        <v>1628000</v>
      </c>
      <c r="H385" s="48">
        <f>일위대가표!L1681</f>
        <v>0</v>
      </c>
      <c r="I385" s="15" t="s">
        <v>957</v>
      </c>
      <c r="J385" s="17" t="str">
        <f>"_x0007_`COD|B04994_x0005_`QTY1|1_x0005_`BQC|_x0005_`EQC|_x0005_`JDC|_x0005_`WQC|_x0005_`EDT|_x0005_`ADJ|F_x0005_`DET|"&amp;ROW(일위대가표!A1678)&amp;"_x0005_`"</f>
        <v>_x0007_`COD|B04994_x0005_`QTY1|1_x0005_`BQC|_x0005_`EQC|_x0005_`JDC|_x0005_`WQC|_x0005_`EDT|_x0005_`ADJ|F_x0005_`DET|1678_x0005_`</v>
      </c>
      <c r="K385" s="3" t="str">
        <f ca="1">HYPERLINK("#"&amp;일위대가표!N2&amp;"!A"&amp;ROW(일위대가표!A1678),"대가382 →")</f>
        <v>대가382 →</v>
      </c>
    </row>
    <row r="386" spans="1:11" ht="22.35" customHeight="1" x14ac:dyDescent="0.3">
      <c r="A386" s="9" t="s">
        <v>960</v>
      </c>
      <c r="B386" s="10" t="s">
        <v>951</v>
      </c>
      <c r="C386" s="10" t="s">
        <v>961</v>
      </c>
      <c r="D386" s="9" t="s">
        <v>14</v>
      </c>
      <c r="E386" s="48">
        <f>일위대가표!F1686</f>
        <v>2384000</v>
      </c>
      <c r="F386" s="47">
        <f>일위대가표!H1686</f>
        <v>330000</v>
      </c>
      <c r="G386" s="56">
        <f>일위대가표!J1686</f>
        <v>2054000</v>
      </c>
      <c r="H386" s="48">
        <f>일위대가표!L1686</f>
        <v>0</v>
      </c>
      <c r="I386" s="15" t="s">
        <v>960</v>
      </c>
      <c r="J386" s="17" t="str">
        <f>"_x0007_`COD|B04995_x0005_`QTY1|1_x0005_`BQC|_x0005_`EQC|_x0005_`JDC|_x0005_`WQC|_x0005_`EDT|_x0005_`ADJ|F_x0005_`DET|"&amp;ROW(일위대가표!A1683)&amp;"_x0005_`"</f>
        <v>_x0007_`COD|B04995_x0005_`QTY1|1_x0005_`BQC|_x0005_`EQC|_x0005_`JDC|_x0005_`WQC|_x0005_`EDT|_x0005_`ADJ|F_x0005_`DET|1683_x0005_`</v>
      </c>
      <c r="K386" s="3" t="str">
        <f ca="1">HYPERLINK("#"&amp;일위대가표!N2&amp;"!A"&amp;ROW(일위대가표!A1683),"대가383 →")</f>
        <v>대가383 →</v>
      </c>
    </row>
    <row r="387" spans="1:11" ht="22.35" customHeight="1" x14ac:dyDescent="0.3">
      <c r="A387" s="9" t="s">
        <v>963</v>
      </c>
      <c r="B387" s="10" t="s">
        <v>951</v>
      </c>
      <c r="C387" s="10" t="s">
        <v>964</v>
      </c>
      <c r="D387" s="9" t="s">
        <v>14</v>
      </c>
      <c r="E387" s="48">
        <f>일위대가표!F1691</f>
        <v>3150000</v>
      </c>
      <c r="F387" s="47">
        <f>일위대가표!H1691</f>
        <v>450000</v>
      </c>
      <c r="G387" s="56">
        <f>일위대가표!J1691</f>
        <v>2700000</v>
      </c>
      <c r="H387" s="48">
        <f>일위대가표!L1691</f>
        <v>0</v>
      </c>
      <c r="I387" s="15" t="s">
        <v>963</v>
      </c>
      <c r="J387" s="17" t="str">
        <f>"_x0007_`COD|B04996_x0005_`QTY1|1_x0005_`BQC|_x0005_`EQC|_x0005_`JDC|_x0005_`WQC|_x0005_`EDT|_x0005_`ADJ|F_x0005_`DET|"&amp;ROW(일위대가표!A1688)&amp;"_x0005_`"</f>
        <v>_x0007_`COD|B04996_x0005_`QTY1|1_x0005_`BQC|_x0005_`EQC|_x0005_`JDC|_x0005_`WQC|_x0005_`EDT|_x0005_`ADJ|F_x0005_`DET|1688_x0005_`</v>
      </c>
      <c r="K387" s="3" t="str">
        <f ca="1">HYPERLINK("#"&amp;일위대가표!N2&amp;"!A"&amp;ROW(일위대가표!A1688),"대가384 →")</f>
        <v>대가384 →</v>
      </c>
    </row>
    <row r="388" spans="1:11" ht="22.35" customHeight="1" x14ac:dyDescent="0.3">
      <c r="A388" s="9" t="s">
        <v>966</v>
      </c>
      <c r="B388" s="10" t="s">
        <v>951</v>
      </c>
      <c r="C388" s="10" t="s">
        <v>967</v>
      </c>
      <c r="D388" s="9" t="s">
        <v>14</v>
      </c>
      <c r="E388" s="48">
        <f>일위대가표!F1696</f>
        <v>3834000</v>
      </c>
      <c r="F388" s="47">
        <f>일위대가표!H1696</f>
        <v>450000</v>
      </c>
      <c r="G388" s="56">
        <f>일위대가표!J1696</f>
        <v>3384000</v>
      </c>
      <c r="H388" s="48">
        <f>일위대가표!L1696</f>
        <v>0</v>
      </c>
      <c r="I388" s="15" t="s">
        <v>966</v>
      </c>
      <c r="J388" s="17" t="str">
        <f>"_x0007_`COD|B04997_x0005_`QTY1|1_x0005_`BQC|_x0005_`EQC|_x0005_`JDC|_x0005_`WQC|_x0005_`EDT|_x0005_`ADJ|F_x0005_`DET|"&amp;ROW(일위대가표!A1693)&amp;"_x0005_`"</f>
        <v>_x0007_`COD|B04997_x0005_`QTY1|1_x0005_`BQC|_x0005_`EQC|_x0005_`JDC|_x0005_`WQC|_x0005_`EDT|_x0005_`ADJ|F_x0005_`DET|1693_x0005_`</v>
      </c>
      <c r="K388" s="3" t="str">
        <f ca="1">HYPERLINK("#"&amp;일위대가표!N2&amp;"!A"&amp;ROW(일위대가표!A1693),"대가385 →")</f>
        <v>대가385 →</v>
      </c>
    </row>
    <row r="389" spans="1:11" ht="22.35" customHeight="1" x14ac:dyDescent="0.3">
      <c r="A389" s="9" t="s">
        <v>969</v>
      </c>
      <c r="B389" s="10" t="s">
        <v>970</v>
      </c>
      <c r="C389" s="10" t="s">
        <v>971</v>
      </c>
      <c r="D389" s="9" t="s">
        <v>14</v>
      </c>
      <c r="E389" s="48">
        <f>일위대가표!F1700</f>
        <v>270000</v>
      </c>
      <c r="F389" s="47">
        <f>일위대가표!H1700</f>
        <v>270000</v>
      </c>
      <c r="G389" s="56">
        <f>일위대가표!J1700</f>
        <v>0</v>
      </c>
      <c r="H389" s="48">
        <f>일위대가표!L1700</f>
        <v>0</v>
      </c>
      <c r="I389" s="15" t="s">
        <v>969</v>
      </c>
      <c r="J389" s="17" t="str">
        <f>"_x0007_`COD|B04989_x0005_`QTY1|1_x0005_`BQC|_x0005_`EQC|_x0005_`JDC|_x0005_`WQC|_x0005_`EDT|_x0005_`ADJ|F_x0005_`DET|"&amp;ROW(일위대가표!A1698)&amp;"_x0005_`"</f>
        <v>_x0007_`COD|B04989_x0005_`QTY1|1_x0005_`BQC|_x0005_`EQC|_x0005_`JDC|_x0005_`WQC|_x0005_`EDT|_x0005_`ADJ|F_x0005_`DET|1698_x0005_`</v>
      </c>
      <c r="K389" s="3" t="str">
        <f ca="1">HYPERLINK("#"&amp;일위대가표!N2&amp;"!A"&amp;ROW(일위대가표!A1698),"대가386 →")</f>
        <v>대가386 →</v>
      </c>
    </row>
    <row r="390" spans="1:11" ht="22.35" customHeight="1" x14ac:dyDescent="0.3">
      <c r="A390" s="9" t="s">
        <v>973</v>
      </c>
      <c r="B390" s="10" t="s">
        <v>970</v>
      </c>
      <c r="C390" s="10" t="s">
        <v>958</v>
      </c>
      <c r="D390" s="9" t="s">
        <v>14</v>
      </c>
      <c r="E390" s="48">
        <f>일위대가표!F1704</f>
        <v>330000</v>
      </c>
      <c r="F390" s="47">
        <f>일위대가표!H1704</f>
        <v>330000</v>
      </c>
      <c r="G390" s="56">
        <f>일위대가표!J1704</f>
        <v>0</v>
      </c>
      <c r="H390" s="48">
        <f>일위대가표!L1704</f>
        <v>0</v>
      </c>
      <c r="I390" s="15" t="s">
        <v>973</v>
      </c>
      <c r="J390" s="17" t="str">
        <f>"_x0007_`COD|B04990_x0005_`QTY1|1_x0005_`BQC|_x0005_`EQC|_x0005_`JDC|_x0005_`WQC|_x0005_`EDT|_x0005_`ADJ|F_x0005_`DET|"&amp;ROW(일위대가표!A1702)&amp;"_x0005_`"</f>
        <v>_x0007_`COD|B04990_x0005_`QTY1|1_x0005_`BQC|_x0005_`EQC|_x0005_`JDC|_x0005_`WQC|_x0005_`EDT|_x0005_`ADJ|F_x0005_`DET|1702_x0005_`</v>
      </c>
      <c r="K390" s="3" t="str">
        <f ca="1">HYPERLINK("#"&amp;일위대가표!N2&amp;"!A"&amp;ROW(일위대가표!A1702),"대가387 →")</f>
        <v>대가387 →</v>
      </c>
    </row>
    <row r="391" spans="1:11" ht="22.35" customHeight="1" x14ac:dyDescent="0.3">
      <c r="A391" s="9" t="s">
        <v>975</v>
      </c>
      <c r="B391" s="10" t="s">
        <v>970</v>
      </c>
      <c r="C391" s="10" t="s">
        <v>961</v>
      </c>
      <c r="D391" s="9" t="s">
        <v>14</v>
      </c>
      <c r="E391" s="48">
        <f>일위대가표!F1708</f>
        <v>330000</v>
      </c>
      <c r="F391" s="47">
        <f>일위대가표!H1708</f>
        <v>330000</v>
      </c>
      <c r="G391" s="56">
        <f>일위대가표!J1708</f>
        <v>0</v>
      </c>
      <c r="H391" s="48">
        <f>일위대가표!L1708</f>
        <v>0</v>
      </c>
      <c r="I391" s="15" t="s">
        <v>975</v>
      </c>
      <c r="J391" s="17" t="str">
        <f>"_x0007_`COD|B04991_x0005_`QTY1|1_x0005_`BQC|_x0005_`EQC|_x0005_`JDC|_x0005_`WQC|_x0005_`EDT|_x0005_`ADJ|F_x0005_`DET|"&amp;ROW(일위대가표!A1706)&amp;"_x0005_`"</f>
        <v>_x0007_`COD|B04991_x0005_`QTY1|1_x0005_`BQC|_x0005_`EQC|_x0005_`JDC|_x0005_`WQC|_x0005_`EDT|_x0005_`ADJ|F_x0005_`DET|1706_x0005_`</v>
      </c>
      <c r="K391" s="3" t="str">
        <f ca="1">HYPERLINK("#"&amp;일위대가표!N2&amp;"!A"&amp;ROW(일위대가표!A1706),"대가388 →")</f>
        <v>대가388 →</v>
      </c>
    </row>
    <row r="392" spans="1:11" ht="22.35" customHeight="1" x14ac:dyDescent="0.3">
      <c r="A392" s="9" t="s">
        <v>977</v>
      </c>
      <c r="B392" s="10" t="s">
        <v>970</v>
      </c>
      <c r="C392" s="10" t="s">
        <v>964</v>
      </c>
      <c r="D392" s="9" t="s">
        <v>14</v>
      </c>
      <c r="E392" s="48">
        <f>일위대가표!F1712</f>
        <v>450000</v>
      </c>
      <c r="F392" s="47">
        <f>일위대가표!H1712</f>
        <v>450000</v>
      </c>
      <c r="G392" s="56">
        <f>일위대가표!J1712</f>
        <v>0</v>
      </c>
      <c r="H392" s="48">
        <f>일위대가표!L1712</f>
        <v>0</v>
      </c>
      <c r="I392" s="15" t="s">
        <v>977</v>
      </c>
      <c r="J392" s="17" t="str">
        <f>"_x0007_`COD|B04992_x0005_`QTY1|1_x0005_`BQC|_x0005_`EQC|_x0005_`JDC|_x0005_`WQC|_x0005_`EDT|_x0005_`ADJ|F_x0005_`DET|"&amp;ROW(일위대가표!A1710)&amp;"_x0005_`"</f>
        <v>_x0007_`COD|B04992_x0005_`QTY1|1_x0005_`BQC|_x0005_`EQC|_x0005_`JDC|_x0005_`WQC|_x0005_`EDT|_x0005_`ADJ|F_x0005_`DET|1710_x0005_`</v>
      </c>
      <c r="K392" s="3" t="str">
        <f ca="1">HYPERLINK("#"&amp;일위대가표!N2&amp;"!A"&amp;ROW(일위대가표!A1710),"대가389 →")</f>
        <v>대가389 →</v>
      </c>
    </row>
    <row r="393" spans="1:11" ht="22.35" customHeight="1" x14ac:dyDescent="0.3">
      <c r="A393" s="9" t="s">
        <v>979</v>
      </c>
      <c r="B393" s="10" t="s">
        <v>970</v>
      </c>
      <c r="C393" s="10" t="s">
        <v>967</v>
      </c>
      <c r="D393" s="9" t="s">
        <v>14</v>
      </c>
      <c r="E393" s="48">
        <f>일위대가표!F1716</f>
        <v>450000</v>
      </c>
      <c r="F393" s="47">
        <f>일위대가표!H1716</f>
        <v>450000</v>
      </c>
      <c r="G393" s="56">
        <f>일위대가표!J1716</f>
        <v>0</v>
      </c>
      <c r="H393" s="48">
        <f>일위대가표!L1716</f>
        <v>0</v>
      </c>
      <c r="I393" s="15" t="s">
        <v>979</v>
      </c>
      <c r="J393" s="17" t="str">
        <f>"_x0007_`COD|B04993_x0005_`QTY1|1_x0005_`BQC|_x0005_`EQC|_x0005_`JDC|_x0005_`WQC|_x0005_`EDT|_x0005_`ADJ|F_x0005_`DET|"&amp;ROW(일위대가표!A1714)&amp;"_x0005_`"</f>
        <v>_x0007_`COD|B04993_x0005_`QTY1|1_x0005_`BQC|_x0005_`EQC|_x0005_`JDC|_x0005_`WQC|_x0005_`EDT|_x0005_`ADJ|F_x0005_`DET|1714_x0005_`</v>
      </c>
      <c r="K393" s="3" t="str">
        <f ca="1">HYPERLINK("#"&amp;일위대가표!N2&amp;"!A"&amp;ROW(일위대가표!A1714),"대가390 →")</f>
        <v>대가390 →</v>
      </c>
    </row>
    <row r="394" spans="1:11" ht="22.35" customHeight="1" x14ac:dyDescent="0.3">
      <c r="A394" s="9" t="s">
        <v>981</v>
      </c>
      <c r="B394" s="10" t="s">
        <v>982</v>
      </c>
      <c r="C394" s="10" t="s">
        <v>983</v>
      </c>
      <c r="D394" s="9" t="s">
        <v>14</v>
      </c>
      <c r="E394" s="48">
        <f>일위대가표!F1721</f>
        <v>3950000</v>
      </c>
      <c r="F394" s="47">
        <f>일위대가표!H1721</f>
        <v>350000</v>
      </c>
      <c r="G394" s="56">
        <f>일위대가표!J1721</f>
        <v>3600000</v>
      </c>
      <c r="H394" s="48">
        <f>일위대가표!L1721</f>
        <v>0</v>
      </c>
      <c r="I394" s="15" t="s">
        <v>981</v>
      </c>
      <c r="J394" s="17" t="str">
        <f>"_x0007_`COD|B05004_x0005_`QTY1|1_x0005_`BQC|_x0005_`EQC|_x0005_`JDC|_x0005_`WQC|_x0005_`EDT|_x0005_`ADJ|F_x0005_`DET|"&amp;ROW(일위대가표!A1718)&amp;"_x0005_`"</f>
        <v>_x0007_`COD|B05004_x0005_`QTY1|1_x0005_`BQC|_x0005_`EQC|_x0005_`JDC|_x0005_`WQC|_x0005_`EDT|_x0005_`ADJ|F_x0005_`DET|1718_x0005_`</v>
      </c>
      <c r="K394" s="3" t="str">
        <f ca="1">HYPERLINK("#"&amp;일위대가표!N2&amp;"!A"&amp;ROW(일위대가표!A1718),"대가391 →")</f>
        <v>대가391 →</v>
      </c>
    </row>
    <row r="395" spans="1:11" ht="22.35" customHeight="1" x14ac:dyDescent="0.3">
      <c r="A395" s="9" t="s">
        <v>985</v>
      </c>
      <c r="B395" s="10" t="s">
        <v>982</v>
      </c>
      <c r="C395" s="10" t="s">
        <v>986</v>
      </c>
      <c r="D395" s="9" t="s">
        <v>14</v>
      </c>
      <c r="E395" s="48">
        <f>일위대가표!F1726</f>
        <v>4550000</v>
      </c>
      <c r="F395" s="47">
        <f>일위대가표!H1726</f>
        <v>350000</v>
      </c>
      <c r="G395" s="56">
        <f>일위대가표!J1726</f>
        <v>4200000</v>
      </c>
      <c r="H395" s="48">
        <f>일위대가표!L1726</f>
        <v>0</v>
      </c>
      <c r="I395" s="15" t="s">
        <v>985</v>
      </c>
      <c r="J395" s="17" t="str">
        <f>"_x0007_`COD|B05005_x0005_`QTY1|1_x0005_`BQC|_x0005_`EQC|_x0005_`JDC|_x0005_`WQC|_x0005_`EDT|_x0005_`ADJ|F_x0005_`DET|"&amp;ROW(일위대가표!A1723)&amp;"_x0005_`"</f>
        <v>_x0007_`COD|B05005_x0005_`QTY1|1_x0005_`BQC|_x0005_`EQC|_x0005_`JDC|_x0005_`WQC|_x0005_`EDT|_x0005_`ADJ|F_x0005_`DET|1723_x0005_`</v>
      </c>
      <c r="K395" s="3" t="str">
        <f ca="1">HYPERLINK("#"&amp;일위대가표!N2&amp;"!A"&amp;ROW(일위대가표!A1723),"대가392 →")</f>
        <v>대가392 →</v>
      </c>
    </row>
    <row r="396" spans="1:11" ht="22.35" customHeight="1" x14ac:dyDescent="0.3">
      <c r="A396" s="9" t="s">
        <v>988</v>
      </c>
      <c r="B396" s="10" t="s">
        <v>982</v>
      </c>
      <c r="C396" s="10" t="s">
        <v>989</v>
      </c>
      <c r="D396" s="9" t="s">
        <v>14</v>
      </c>
      <c r="E396" s="48">
        <f>일위대가표!F1731</f>
        <v>4900000</v>
      </c>
      <c r="F396" s="47">
        <f>일위대가표!H1731</f>
        <v>350000</v>
      </c>
      <c r="G396" s="56">
        <f>일위대가표!J1731</f>
        <v>4550000</v>
      </c>
      <c r="H396" s="48">
        <f>일위대가표!L1731</f>
        <v>0</v>
      </c>
      <c r="I396" s="15" t="s">
        <v>988</v>
      </c>
      <c r="J396" s="17" t="str">
        <f>"_x0007_`COD|B05006_x0005_`QTY1|1_x0005_`BQC|_x0005_`EQC|_x0005_`JDC|_x0005_`WQC|_x0005_`EDT|_x0005_`ADJ|F_x0005_`DET|"&amp;ROW(일위대가표!A1728)&amp;"_x0005_`"</f>
        <v>_x0007_`COD|B05006_x0005_`QTY1|1_x0005_`BQC|_x0005_`EQC|_x0005_`JDC|_x0005_`WQC|_x0005_`EDT|_x0005_`ADJ|F_x0005_`DET|1728_x0005_`</v>
      </c>
      <c r="K396" s="3" t="str">
        <f ca="1">HYPERLINK("#"&amp;일위대가표!N2&amp;"!A"&amp;ROW(일위대가표!A1728),"대가393 →")</f>
        <v>대가393 →</v>
      </c>
    </row>
    <row r="397" spans="1:11" ht="22.35" customHeight="1" x14ac:dyDescent="0.3">
      <c r="A397" s="9" t="s">
        <v>991</v>
      </c>
      <c r="B397" s="10" t="s">
        <v>982</v>
      </c>
      <c r="C397" s="10" t="s">
        <v>992</v>
      </c>
      <c r="D397" s="9" t="s">
        <v>14</v>
      </c>
      <c r="E397" s="48">
        <f>일위대가표!F1736</f>
        <v>6030000</v>
      </c>
      <c r="F397" s="47">
        <f>일위대가표!H1736</f>
        <v>350000</v>
      </c>
      <c r="G397" s="56">
        <f>일위대가표!J1736</f>
        <v>5680000</v>
      </c>
      <c r="H397" s="48">
        <f>일위대가표!L1736</f>
        <v>0</v>
      </c>
      <c r="I397" s="15" t="s">
        <v>991</v>
      </c>
      <c r="J397" s="17" t="str">
        <f>"_x0007_`COD|B05007_x0005_`QTY1|1_x0005_`BQC|_x0005_`EQC|_x0005_`JDC|_x0005_`WQC|_x0005_`EDT|_x0005_`ADJ|F_x0005_`DET|"&amp;ROW(일위대가표!A1733)&amp;"_x0005_`"</f>
        <v>_x0007_`COD|B05007_x0005_`QTY1|1_x0005_`BQC|_x0005_`EQC|_x0005_`JDC|_x0005_`WQC|_x0005_`EDT|_x0005_`ADJ|F_x0005_`DET|1733_x0005_`</v>
      </c>
      <c r="K397" s="3" t="str">
        <f ca="1">HYPERLINK("#"&amp;일위대가표!N2&amp;"!A"&amp;ROW(일위대가표!A1733),"대가394 →")</f>
        <v>대가394 →</v>
      </c>
    </row>
    <row r="398" spans="1:11" ht="22.35" customHeight="1" x14ac:dyDescent="0.3">
      <c r="A398" s="9" t="s">
        <v>994</v>
      </c>
      <c r="B398" s="10" t="s">
        <v>995</v>
      </c>
      <c r="C398" s="10" t="s">
        <v>996</v>
      </c>
      <c r="D398" s="9" t="s">
        <v>14</v>
      </c>
      <c r="E398" s="48">
        <f>일위대가표!F1740</f>
        <v>350000</v>
      </c>
      <c r="F398" s="47">
        <f>일위대가표!H1740</f>
        <v>350000</v>
      </c>
      <c r="G398" s="56">
        <f>일위대가표!J1740</f>
        <v>0</v>
      </c>
      <c r="H398" s="48">
        <f>일위대가표!L1740</f>
        <v>0</v>
      </c>
      <c r="I398" s="15" t="s">
        <v>994</v>
      </c>
      <c r="J398" s="17" t="str">
        <f>"_x0007_`COD|B05000_x0005_`QTY1|1_x0005_`BQC|_x0005_`EQC|_x0005_`JDC|_x0005_`WQC|_x0005_`EDT|_x0005_`ADJ|F_x0005_`DET|"&amp;ROW(일위대가표!A1738)&amp;"_x0005_`"</f>
        <v>_x0007_`COD|B05000_x0005_`QTY1|1_x0005_`BQC|_x0005_`EQC|_x0005_`JDC|_x0005_`WQC|_x0005_`EDT|_x0005_`ADJ|F_x0005_`DET|1738_x0005_`</v>
      </c>
      <c r="K398" s="3" t="str">
        <f ca="1">HYPERLINK("#"&amp;일위대가표!N2&amp;"!A"&amp;ROW(일위대가표!A1738),"대가395 →")</f>
        <v>대가395 →</v>
      </c>
    </row>
    <row r="399" spans="1:11" ht="22.35" customHeight="1" x14ac:dyDescent="0.3">
      <c r="A399" s="9" t="s">
        <v>998</v>
      </c>
      <c r="B399" s="10" t="s">
        <v>995</v>
      </c>
      <c r="C399" s="10" t="s">
        <v>999</v>
      </c>
      <c r="D399" s="9" t="s">
        <v>14</v>
      </c>
      <c r="E399" s="48">
        <f>일위대가표!F1744</f>
        <v>350000</v>
      </c>
      <c r="F399" s="47">
        <f>일위대가표!H1744</f>
        <v>350000</v>
      </c>
      <c r="G399" s="56">
        <f>일위대가표!J1744</f>
        <v>0</v>
      </c>
      <c r="H399" s="48">
        <f>일위대가표!L1744</f>
        <v>0</v>
      </c>
      <c r="I399" s="15" t="s">
        <v>998</v>
      </c>
      <c r="J399" s="17" t="str">
        <f>"_x0007_`COD|B05001_x0005_`QTY1|1_x0005_`BQC|_x0005_`EQC|_x0005_`JDC|_x0005_`WQC|_x0005_`EDT|_x0005_`ADJ|F_x0005_`DET|"&amp;ROW(일위대가표!A1742)&amp;"_x0005_`"</f>
        <v>_x0007_`COD|B05001_x0005_`QTY1|1_x0005_`BQC|_x0005_`EQC|_x0005_`JDC|_x0005_`WQC|_x0005_`EDT|_x0005_`ADJ|F_x0005_`DET|1742_x0005_`</v>
      </c>
      <c r="K399" s="3" t="str">
        <f ca="1">HYPERLINK("#"&amp;일위대가표!N2&amp;"!A"&amp;ROW(일위대가표!A1742),"대가396 →")</f>
        <v>대가396 →</v>
      </c>
    </row>
    <row r="400" spans="1:11" ht="22.35" customHeight="1" x14ac:dyDescent="0.3">
      <c r="A400" s="9" t="s">
        <v>1001</v>
      </c>
      <c r="B400" s="10" t="s">
        <v>995</v>
      </c>
      <c r="C400" s="10" t="s">
        <v>1002</v>
      </c>
      <c r="D400" s="9" t="s">
        <v>14</v>
      </c>
      <c r="E400" s="48">
        <f>일위대가표!F1748</f>
        <v>350000</v>
      </c>
      <c r="F400" s="47">
        <f>일위대가표!H1748</f>
        <v>350000</v>
      </c>
      <c r="G400" s="56">
        <f>일위대가표!J1748</f>
        <v>0</v>
      </c>
      <c r="H400" s="48">
        <f>일위대가표!L1748</f>
        <v>0</v>
      </c>
      <c r="I400" s="15" t="s">
        <v>1001</v>
      </c>
      <c r="J400" s="17" t="str">
        <f>"_x0007_`COD|B05002_x0005_`QTY1|1_x0005_`BQC|_x0005_`EQC|_x0005_`JDC|_x0005_`WQC|_x0005_`EDT|_x0005_`ADJ|F_x0005_`DET|"&amp;ROW(일위대가표!A1746)&amp;"_x0005_`"</f>
        <v>_x0007_`COD|B05002_x0005_`QTY1|1_x0005_`BQC|_x0005_`EQC|_x0005_`JDC|_x0005_`WQC|_x0005_`EDT|_x0005_`ADJ|F_x0005_`DET|1746_x0005_`</v>
      </c>
      <c r="K400" s="3" t="str">
        <f ca="1">HYPERLINK("#"&amp;일위대가표!N2&amp;"!A"&amp;ROW(일위대가표!A1746),"대가397 →")</f>
        <v>대가397 →</v>
      </c>
    </row>
    <row r="401" spans="1:11" ht="22.35" customHeight="1" x14ac:dyDescent="0.3">
      <c r="A401" s="9" t="s">
        <v>1004</v>
      </c>
      <c r="B401" s="10" t="s">
        <v>995</v>
      </c>
      <c r="C401" s="10" t="s">
        <v>1005</v>
      </c>
      <c r="D401" s="9" t="s">
        <v>14</v>
      </c>
      <c r="E401" s="48">
        <f>일위대가표!F1752</f>
        <v>350000</v>
      </c>
      <c r="F401" s="47">
        <f>일위대가표!H1752</f>
        <v>350000</v>
      </c>
      <c r="G401" s="56">
        <f>일위대가표!J1752</f>
        <v>0</v>
      </c>
      <c r="H401" s="48">
        <f>일위대가표!L1752</f>
        <v>0</v>
      </c>
      <c r="I401" s="15" t="s">
        <v>1004</v>
      </c>
      <c r="J401" s="17" t="str">
        <f>"_x0007_`COD|B05003_x0005_`QTY1|1_x0005_`BQC|_x0005_`EQC|_x0005_`JDC|_x0005_`WQC|_x0005_`EDT|_x0005_`ADJ|F_x0005_`DET|"&amp;ROW(일위대가표!A1750)&amp;"_x0005_`"</f>
        <v>_x0007_`COD|B05003_x0005_`QTY1|1_x0005_`BQC|_x0005_`EQC|_x0005_`JDC|_x0005_`WQC|_x0005_`EDT|_x0005_`ADJ|F_x0005_`DET|1750_x0005_`</v>
      </c>
      <c r="K401" s="3" t="str">
        <f ca="1">HYPERLINK("#"&amp;일위대가표!N2&amp;"!A"&amp;ROW(일위대가표!A1750),"대가398 →")</f>
        <v>대가398 →</v>
      </c>
    </row>
    <row r="402" spans="1:11" ht="22.35" customHeight="1" x14ac:dyDescent="0.3">
      <c r="A402" s="9" t="s">
        <v>1007</v>
      </c>
      <c r="B402" s="10" t="s">
        <v>1008</v>
      </c>
      <c r="C402" s="10" t="s">
        <v>1009</v>
      </c>
      <c r="D402" s="9" t="s">
        <v>1010</v>
      </c>
      <c r="E402" s="48">
        <f>일위대가표!F1757</f>
        <v>494775</v>
      </c>
      <c r="F402" s="47">
        <f>일위대가표!H1757</f>
        <v>100753</v>
      </c>
      <c r="G402" s="56">
        <f>일위대가표!J1757</f>
        <v>391000</v>
      </c>
      <c r="H402" s="48">
        <f>일위대가표!L1757</f>
        <v>3022</v>
      </c>
      <c r="I402" s="15" t="s">
        <v>1007</v>
      </c>
      <c r="J402" s="17" t="str">
        <f>"_x0007_`COD|B05008_x0005_`QTY1|1_x0005_`BQC|_x0005_`EQC|_x0005_`JDC|_x0005_`WQC|_x0005_`EDT|_x0005_`ADJ|F_x0005_`DET|"&amp;ROW(일위대가표!A1754)&amp;"_x0005_`"</f>
        <v>_x0007_`COD|B05008_x0005_`QTY1|1_x0005_`BQC|_x0005_`EQC|_x0005_`JDC|_x0005_`WQC|_x0005_`EDT|_x0005_`ADJ|F_x0005_`DET|1754_x0005_`</v>
      </c>
      <c r="K402" s="3" t="str">
        <f ca="1">HYPERLINK("#"&amp;일위대가표!N2&amp;"!A"&amp;ROW(일위대가표!A1754),"대가399 →")</f>
        <v>대가399 →</v>
      </c>
    </row>
    <row r="403" spans="1:11" ht="22.35" customHeight="1" x14ac:dyDescent="0.3">
      <c r="A403" s="9" t="s">
        <v>1012</v>
      </c>
      <c r="B403" s="10" t="s">
        <v>1008</v>
      </c>
      <c r="C403" s="10" t="s">
        <v>1013</v>
      </c>
      <c r="D403" s="9" t="s">
        <v>1010</v>
      </c>
      <c r="E403" s="48">
        <f>일위대가표!F1762</f>
        <v>614668</v>
      </c>
      <c r="F403" s="47">
        <f>일위대가표!H1762</f>
        <v>145668</v>
      </c>
      <c r="G403" s="56">
        <f>일위대가표!J1762</f>
        <v>469000</v>
      </c>
      <c r="H403" s="48">
        <f>일위대가표!L1762</f>
        <v>0</v>
      </c>
      <c r="I403" s="15" t="s">
        <v>1012</v>
      </c>
      <c r="J403" s="17" t="str">
        <f>"_x0007_`COD|B05009_x0005_`QTY1|1_x0005_`BQC|_x0005_`EQC|_x0005_`JDC|_x0005_`WQC|_x0005_`EDT|_x0005_`ADJ|F_x0005_`DET|"&amp;ROW(일위대가표!A1759)&amp;"_x0005_`"</f>
        <v>_x0007_`COD|B05009_x0005_`QTY1|1_x0005_`BQC|_x0005_`EQC|_x0005_`JDC|_x0005_`WQC|_x0005_`EDT|_x0005_`ADJ|F_x0005_`DET|1759_x0005_`</v>
      </c>
      <c r="K403" s="3" t="str">
        <f ca="1">HYPERLINK("#"&amp;일위대가표!N2&amp;"!A"&amp;ROW(일위대가표!A1759),"대가400 →")</f>
        <v>대가400 →</v>
      </c>
    </row>
    <row r="404" spans="1:11" ht="22.35" customHeight="1" x14ac:dyDescent="0.3">
      <c r="A404" s="9" t="s">
        <v>1015</v>
      </c>
      <c r="B404" s="10" t="s">
        <v>1008</v>
      </c>
      <c r="C404" s="10" t="s">
        <v>1016</v>
      </c>
      <c r="D404" s="9" t="s">
        <v>1010</v>
      </c>
      <c r="E404" s="48">
        <f>일위대가표!F1767</f>
        <v>1048819</v>
      </c>
      <c r="F404" s="47">
        <f>일위대가표!H1767</f>
        <v>189819</v>
      </c>
      <c r="G404" s="56">
        <f>일위대가표!J1767</f>
        <v>859000</v>
      </c>
      <c r="H404" s="48">
        <f>일위대가표!L1767</f>
        <v>0</v>
      </c>
      <c r="I404" s="15" t="s">
        <v>1015</v>
      </c>
      <c r="J404" s="17" t="str">
        <f>"_x0007_`COD|B05010_x0005_`QTY1|1_x0005_`BQC|_x0005_`EQC|_x0005_`JDC|_x0005_`WQC|_x0005_`EDT|_x0005_`ADJ|F_x0005_`DET|"&amp;ROW(일위대가표!A1764)&amp;"_x0005_`"</f>
        <v>_x0007_`COD|B05010_x0005_`QTY1|1_x0005_`BQC|_x0005_`EQC|_x0005_`JDC|_x0005_`WQC|_x0005_`EDT|_x0005_`ADJ|F_x0005_`DET|1764_x0005_`</v>
      </c>
      <c r="K404" s="3" t="str">
        <f ca="1">HYPERLINK("#"&amp;일위대가표!N2&amp;"!A"&amp;ROW(일위대가표!A1764),"대가401 →")</f>
        <v>대가401 →</v>
      </c>
    </row>
    <row r="405" spans="1:11" ht="22.35" customHeight="1" x14ac:dyDescent="0.3">
      <c r="A405" s="9" t="s">
        <v>1018</v>
      </c>
      <c r="B405" s="10" t="s">
        <v>1008</v>
      </c>
      <c r="C405" s="10" t="s">
        <v>1019</v>
      </c>
      <c r="D405" s="9" t="s">
        <v>1010</v>
      </c>
      <c r="E405" s="48">
        <f>일위대가표!F1772</f>
        <v>1446873</v>
      </c>
      <c r="F405" s="47">
        <f>일위대가표!H1772</f>
        <v>246873</v>
      </c>
      <c r="G405" s="56">
        <f>일위대가표!J1772</f>
        <v>1200000</v>
      </c>
      <c r="H405" s="48">
        <f>일위대가표!L1772</f>
        <v>0</v>
      </c>
      <c r="I405" s="15" t="s">
        <v>1018</v>
      </c>
      <c r="J405" s="17" t="str">
        <f>"_x0007_`COD|B05011_x0005_`QTY1|1_x0005_`BQC|_x0005_`EQC|_x0005_`JDC|_x0005_`WQC|_x0005_`EDT|_x0005_`ADJ|F_x0005_`DET|"&amp;ROW(일위대가표!A1769)&amp;"_x0005_`"</f>
        <v>_x0007_`COD|B05011_x0005_`QTY1|1_x0005_`BQC|_x0005_`EQC|_x0005_`JDC|_x0005_`WQC|_x0005_`EDT|_x0005_`ADJ|F_x0005_`DET|1769_x0005_`</v>
      </c>
      <c r="K405" s="3" t="str">
        <f ca="1">HYPERLINK("#"&amp;일위대가표!N2&amp;"!A"&amp;ROW(일위대가표!A1769),"대가402 →")</f>
        <v>대가402 →</v>
      </c>
    </row>
    <row r="406" spans="1:11" ht="22.35" customHeight="1" x14ac:dyDescent="0.3">
      <c r="A406" s="9" t="s">
        <v>1021</v>
      </c>
      <c r="B406" s="10" t="s">
        <v>1022</v>
      </c>
      <c r="C406" s="10" t="s">
        <v>1009</v>
      </c>
      <c r="D406" s="9" t="s">
        <v>14</v>
      </c>
      <c r="E406" s="48">
        <f>일위대가표!F1776</f>
        <v>103775</v>
      </c>
      <c r="F406" s="47">
        <f>일위대가표!H1776</f>
        <v>100753</v>
      </c>
      <c r="G406" s="56">
        <f>일위대가표!J1776</f>
        <v>0</v>
      </c>
      <c r="H406" s="48">
        <f>일위대가표!L1776</f>
        <v>3022</v>
      </c>
      <c r="I406" s="15" t="s">
        <v>1021</v>
      </c>
      <c r="J406" s="17" t="str">
        <f>"_x0007_`COD|B05353_x0005_`QTY1|1_x0005_`BQC|_x0005_`EQC|_x0005_`JDC|_x0005_`WQC|_x0005_`EDT|_x0005_`ADJ|F_x0005_`DET|"&amp;ROW(일위대가표!A1774)&amp;"_x0005_`"</f>
        <v>_x0007_`COD|B05353_x0005_`QTY1|1_x0005_`BQC|_x0005_`EQC|_x0005_`JDC|_x0005_`WQC|_x0005_`EDT|_x0005_`ADJ|F_x0005_`DET|1774_x0005_`</v>
      </c>
      <c r="K406" s="3" t="str">
        <f ca="1">HYPERLINK("#"&amp;일위대가표!N2&amp;"!A"&amp;ROW(일위대가표!A1774),"대가403 →")</f>
        <v>대가403 →</v>
      </c>
    </row>
    <row r="407" spans="1:11" ht="22.35" customHeight="1" x14ac:dyDescent="0.3">
      <c r="A407" s="9" t="s">
        <v>1024</v>
      </c>
      <c r="B407" s="10" t="s">
        <v>1022</v>
      </c>
      <c r="C407" s="10" t="s">
        <v>1013</v>
      </c>
      <c r="D407" s="9" t="s">
        <v>14</v>
      </c>
      <c r="E407" s="48">
        <f>일위대가표!F1780</f>
        <v>145668</v>
      </c>
      <c r="F407" s="47">
        <f>일위대가표!H1780</f>
        <v>145668</v>
      </c>
      <c r="G407" s="56">
        <f>일위대가표!J1780</f>
        <v>0</v>
      </c>
      <c r="H407" s="48">
        <f>일위대가표!L1780</f>
        <v>0</v>
      </c>
      <c r="I407" s="15" t="s">
        <v>1024</v>
      </c>
      <c r="J407" s="17" t="str">
        <f>"_x0007_`COD|B05354_x0005_`QTY1|1_x0005_`BQC|_x0005_`EQC|_x0005_`JDC|_x0005_`WQC|_x0005_`EDT|_x0005_`ADJ|F_x0005_`DET|"&amp;ROW(일위대가표!A1778)&amp;"_x0005_`"</f>
        <v>_x0007_`COD|B05354_x0005_`QTY1|1_x0005_`BQC|_x0005_`EQC|_x0005_`JDC|_x0005_`WQC|_x0005_`EDT|_x0005_`ADJ|F_x0005_`DET|1778_x0005_`</v>
      </c>
      <c r="K407" s="3" t="str">
        <f ca="1">HYPERLINK("#"&amp;일위대가표!N2&amp;"!A"&amp;ROW(일위대가표!A1778),"대가404 →")</f>
        <v>대가404 →</v>
      </c>
    </row>
    <row r="408" spans="1:11" ht="22.35" customHeight="1" x14ac:dyDescent="0.3">
      <c r="A408" s="9" t="s">
        <v>1026</v>
      </c>
      <c r="B408" s="10" t="s">
        <v>1022</v>
      </c>
      <c r="C408" s="10" t="s">
        <v>1016</v>
      </c>
      <c r="D408" s="9" t="s">
        <v>14</v>
      </c>
      <c r="E408" s="48">
        <f>일위대가표!F1784</f>
        <v>189819</v>
      </c>
      <c r="F408" s="47">
        <f>일위대가표!H1784</f>
        <v>189819</v>
      </c>
      <c r="G408" s="56">
        <f>일위대가표!J1784</f>
        <v>0</v>
      </c>
      <c r="H408" s="48">
        <f>일위대가표!L1784</f>
        <v>0</v>
      </c>
      <c r="I408" s="15" t="s">
        <v>1026</v>
      </c>
      <c r="J408" s="17" t="str">
        <f>"_x0007_`COD|B05355_x0005_`QTY1|1_x0005_`BQC|_x0005_`EQC|_x0005_`JDC|_x0005_`WQC|_x0005_`EDT|_x0005_`ADJ|F_x0005_`DET|"&amp;ROW(일위대가표!A1782)&amp;"_x0005_`"</f>
        <v>_x0007_`COD|B05355_x0005_`QTY1|1_x0005_`BQC|_x0005_`EQC|_x0005_`JDC|_x0005_`WQC|_x0005_`EDT|_x0005_`ADJ|F_x0005_`DET|1782_x0005_`</v>
      </c>
      <c r="K408" s="3" t="str">
        <f ca="1">HYPERLINK("#"&amp;일위대가표!N2&amp;"!A"&amp;ROW(일위대가표!A1782),"대가405 →")</f>
        <v>대가405 →</v>
      </c>
    </row>
    <row r="409" spans="1:11" ht="22.35" customHeight="1" x14ac:dyDescent="0.3">
      <c r="A409" s="9" t="s">
        <v>1028</v>
      </c>
      <c r="B409" s="10" t="s">
        <v>1022</v>
      </c>
      <c r="C409" s="10" t="s">
        <v>1019</v>
      </c>
      <c r="D409" s="9" t="s">
        <v>14</v>
      </c>
      <c r="E409" s="48">
        <f>일위대가표!F1788</f>
        <v>246873</v>
      </c>
      <c r="F409" s="47">
        <f>일위대가표!H1788</f>
        <v>246873</v>
      </c>
      <c r="G409" s="56">
        <f>일위대가표!J1788</f>
        <v>0</v>
      </c>
      <c r="H409" s="48">
        <f>일위대가표!L1788</f>
        <v>0</v>
      </c>
      <c r="I409" s="15" t="s">
        <v>1028</v>
      </c>
      <c r="J409" s="17" t="str">
        <f>"_x0007_`COD|B05356_x0005_`QTY1|1_x0005_`BQC|_x0005_`EQC|_x0005_`JDC|_x0005_`WQC|_x0005_`EDT|_x0005_`ADJ|F_x0005_`DET|"&amp;ROW(일위대가표!A1786)&amp;"_x0005_`"</f>
        <v>_x0007_`COD|B05356_x0005_`QTY1|1_x0005_`BQC|_x0005_`EQC|_x0005_`JDC|_x0005_`WQC|_x0005_`EDT|_x0005_`ADJ|F_x0005_`DET|1786_x0005_`</v>
      </c>
      <c r="K409" s="3" t="str">
        <f ca="1">HYPERLINK("#"&amp;일위대가표!N2&amp;"!A"&amp;ROW(일위대가표!A1786),"대가406 →")</f>
        <v>대가406 →</v>
      </c>
    </row>
    <row r="410" spans="1:11" ht="22.35" customHeight="1" x14ac:dyDescent="0.3">
      <c r="A410" s="9" t="s">
        <v>1030</v>
      </c>
      <c r="B410" s="10" t="s">
        <v>1031</v>
      </c>
      <c r="C410" s="10" t="s">
        <v>1009</v>
      </c>
      <c r="D410" s="9" t="s">
        <v>14</v>
      </c>
      <c r="E410" s="48">
        <f>일위대가표!F1792</f>
        <v>74126</v>
      </c>
      <c r="F410" s="47">
        <f>일위대가표!H1792</f>
        <v>71967</v>
      </c>
      <c r="G410" s="56">
        <f>일위대가표!J1792</f>
        <v>0</v>
      </c>
      <c r="H410" s="48">
        <f>일위대가표!L1792</f>
        <v>2159</v>
      </c>
      <c r="I410" s="15" t="s">
        <v>1030</v>
      </c>
      <c r="J410" s="17" t="str">
        <f>"_x0007_`COD|B05357_x0005_`QTY1|1_x0005_`BQC|_x0005_`EQC|_x0005_`JDC|_x0005_`WQC|_x0005_`EDT|_x0005_`ADJ|F_x0005_`DET|"&amp;ROW(일위대가표!A1790)&amp;"_x0005_`"</f>
        <v>_x0007_`COD|B05357_x0005_`QTY1|1_x0005_`BQC|_x0005_`EQC|_x0005_`JDC|_x0005_`WQC|_x0005_`EDT|_x0005_`ADJ|F_x0005_`DET|1790_x0005_`</v>
      </c>
      <c r="K410" s="3" t="str">
        <f ca="1">HYPERLINK("#"&amp;일위대가표!N2&amp;"!A"&amp;ROW(일위대가표!A1790),"대가407 →")</f>
        <v>대가407 →</v>
      </c>
    </row>
    <row r="411" spans="1:11" ht="22.35" customHeight="1" x14ac:dyDescent="0.3">
      <c r="A411" s="9" t="s">
        <v>1033</v>
      </c>
      <c r="B411" s="10" t="s">
        <v>1031</v>
      </c>
      <c r="C411" s="10" t="s">
        <v>1013</v>
      </c>
      <c r="D411" s="9" t="s">
        <v>14</v>
      </c>
      <c r="E411" s="48">
        <f>일위대가표!F1796</f>
        <v>104049</v>
      </c>
      <c r="F411" s="47">
        <f>일위대가표!H1796</f>
        <v>104049</v>
      </c>
      <c r="G411" s="56">
        <f>일위대가표!J1796</f>
        <v>0</v>
      </c>
      <c r="H411" s="48">
        <f>일위대가표!L1796</f>
        <v>0</v>
      </c>
      <c r="I411" s="15" t="s">
        <v>1033</v>
      </c>
      <c r="J411" s="17" t="str">
        <f>"_x0007_`COD|B05358_x0005_`QTY1|1_x0005_`BQC|_x0005_`EQC|_x0005_`JDC|_x0005_`WQC|_x0005_`EDT|_x0005_`ADJ|F_x0005_`DET|"&amp;ROW(일위대가표!A1794)&amp;"_x0005_`"</f>
        <v>_x0007_`COD|B05358_x0005_`QTY1|1_x0005_`BQC|_x0005_`EQC|_x0005_`JDC|_x0005_`WQC|_x0005_`EDT|_x0005_`ADJ|F_x0005_`DET|1794_x0005_`</v>
      </c>
      <c r="K411" s="3" t="str">
        <f ca="1">HYPERLINK("#"&amp;일위대가표!N2&amp;"!A"&amp;ROW(일위대가표!A1794),"대가408 →")</f>
        <v>대가408 →</v>
      </c>
    </row>
    <row r="412" spans="1:11" ht="22.35" customHeight="1" x14ac:dyDescent="0.3">
      <c r="A412" s="9" t="s">
        <v>1035</v>
      </c>
      <c r="B412" s="10" t="s">
        <v>1031</v>
      </c>
      <c r="C412" s="10" t="s">
        <v>1016</v>
      </c>
      <c r="D412" s="9" t="s">
        <v>14</v>
      </c>
      <c r="E412" s="48">
        <f>일위대가표!F1800</f>
        <v>135585</v>
      </c>
      <c r="F412" s="47">
        <f>일위대가표!H1800</f>
        <v>135585</v>
      </c>
      <c r="G412" s="56">
        <f>일위대가표!J1800</f>
        <v>0</v>
      </c>
      <c r="H412" s="48">
        <f>일위대가표!L1800</f>
        <v>0</v>
      </c>
      <c r="I412" s="15" t="s">
        <v>1035</v>
      </c>
      <c r="J412" s="17" t="str">
        <f>"_x0007_`COD|B05359_x0005_`QTY1|1_x0005_`BQC|_x0005_`EQC|_x0005_`JDC|_x0005_`WQC|_x0005_`EDT|_x0005_`ADJ|F_x0005_`DET|"&amp;ROW(일위대가표!A1798)&amp;"_x0005_`"</f>
        <v>_x0007_`COD|B05359_x0005_`QTY1|1_x0005_`BQC|_x0005_`EQC|_x0005_`JDC|_x0005_`WQC|_x0005_`EDT|_x0005_`ADJ|F_x0005_`DET|1798_x0005_`</v>
      </c>
      <c r="K412" s="3" t="str">
        <f ca="1">HYPERLINK("#"&amp;일위대가표!N2&amp;"!A"&amp;ROW(일위대가표!A1798),"대가409 →")</f>
        <v>대가409 →</v>
      </c>
    </row>
    <row r="413" spans="1:11" ht="22.35" customHeight="1" x14ac:dyDescent="0.3">
      <c r="A413" s="9" t="s">
        <v>1037</v>
      </c>
      <c r="B413" s="10" t="s">
        <v>1031</v>
      </c>
      <c r="C413" s="10" t="s">
        <v>1019</v>
      </c>
      <c r="D413" s="9" t="s">
        <v>14</v>
      </c>
      <c r="E413" s="48">
        <f>일위대가표!F1804</f>
        <v>176338</v>
      </c>
      <c r="F413" s="47">
        <f>일위대가표!H1804</f>
        <v>176338</v>
      </c>
      <c r="G413" s="56">
        <f>일위대가표!J1804</f>
        <v>0</v>
      </c>
      <c r="H413" s="48">
        <f>일위대가표!L1804</f>
        <v>0</v>
      </c>
      <c r="I413" s="15" t="s">
        <v>1037</v>
      </c>
      <c r="J413" s="17" t="str">
        <f>"_x0007_`COD|B05360_x0005_`QTY1|1_x0005_`BQC|_x0005_`EQC|_x0005_`JDC|_x0005_`WQC|_x0005_`EDT|_x0005_`ADJ|F_x0005_`DET|"&amp;ROW(일위대가표!A1802)&amp;"_x0005_`"</f>
        <v>_x0007_`COD|B05360_x0005_`QTY1|1_x0005_`BQC|_x0005_`EQC|_x0005_`JDC|_x0005_`WQC|_x0005_`EDT|_x0005_`ADJ|F_x0005_`DET|1802_x0005_`</v>
      </c>
      <c r="K413" s="3" t="str">
        <f ca="1">HYPERLINK("#"&amp;일위대가표!N2&amp;"!A"&amp;ROW(일위대가표!A1802),"대가410 →")</f>
        <v>대가410 →</v>
      </c>
    </row>
    <row r="414" spans="1:11" ht="22.35" customHeight="1" x14ac:dyDescent="0.3">
      <c r="A414" s="9" t="s">
        <v>1039</v>
      </c>
      <c r="B414" s="10" t="s">
        <v>1040</v>
      </c>
      <c r="C414" s="10" t="s">
        <v>1009</v>
      </c>
      <c r="D414" s="9" t="s">
        <v>14</v>
      </c>
      <c r="E414" s="48">
        <f>일위대가표!F1808</f>
        <v>29649</v>
      </c>
      <c r="F414" s="47">
        <f>일위대가표!H1808</f>
        <v>28786</v>
      </c>
      <c r="G414" s="56">
        <f>일위대가표!J1808</f>
        <v>0</v>
      </c>
      <c r="H414" s="48">
        <f>일위대가표!L1808</f>
        <v>863</v>
      </c>
      <c r="I414" s="15" t="s">
        <v>1039</v>
      </c>
      <c r="J414" s="17" t="str">
        <f>"_x0007_`COD|B05361_x0005_`QTY1|1_x0005_`BQC|_x0005_`EQC|_x0005_`JDC|_x0005_`WQC|_x0005_`EDT|_x0005_`ADJ|F_x0005_`DET|"&amp;ROW(일위대가표!A1806)&amp;"_x0005_`"</f>
        <v>_x0007_`COD|B05361_x0005_`QTY1|1_x0005_`BQC|_x0005_`EQC|_x0005_`JDC|_x0005_`WQC|_x0005_`EDT|_x0005_`ADJ|F_x0005_`DET|1806_x0005_`</v>
      </c>
      <c r="K414" s="3" t="str">
        <f ca="1">HYPERLINK("#"&amp;일위대가표!N2&amp;"!A"&amp;ROW(일위대가표!A1806),"대가411 →")</f>
        <v>대가411 →</v>
      </c>
    </row>
    <row r="415" spans="1:11" ht="22.35" customHeight="1" x14ac:dyDescent="0.3">
      <c r="A415" s="9" t="s">
        <v>1042</v>
      </c>
      <c r="B415" s="10" t="s">
        <v>1040</v>
      </c>
      <c r="C415" s="10" t="s">
        <v>1013</v>
      </c>
      <c r="D415" s="9" t="s">
        <v>14</v>
      </c>
      <c r="E415" s="48">
        <f>일위대가표!F1812</f>
        <v>41619</v>
      </c>
      <c r="F415" s="47">
        <f>일위대가표!H1812</f>
        <v>41619</v>
      </c>
      <c r="G415" s="56">
        <f>일위대가표!J1812</f>
        <v>0</v>
      </c>
      <c r="H415" s="48">
        <f>일위대가표!L1812</f>
        <v>0</v>
      </c>
      <c r="I415" s="15" t="s">
        <v>1042</v>
      </c>
      <c r="J415" s="17" t="str">
        <f>"_x0007_`COD|B05362_x0005_`QTY1|1_x0005_`BQC|_x0005_`EQC|_x0005_`JDC|_x0005_`WQC|_x0005_`EDT|_x0005_`ADJ|F_x0005_`DET|"&amp;ROW(일위대가표!A1810)&amp;"_x0005_`"</f>
        <v>_x0007_`COD|B05362_x0005_`QTY1|1_x0005_`BQC|_x0005_`EQC|_x0005_`JDC|_x0005_`WQC|_x0005_`EDT|_x0005_`ADJ|F_x0005_`DET|1810_x0005_`</v>
      </c>
      <c r="K415" s="3" t="str">
        <f ca="1">HYPERLINK("#"&amp;일위대가표!N2&amp;"!A"&amp;ROW(일위대가표!A1810),"대가412 →")</f>
        <v>대가412 →</v>
      </c>
    </row>
    <row r="416" spans="1:11" ht="22.35" customHeight="1" x14ac:dyDescent="0.3">
      <c r="A416" s="9" t="s">
        <v>1044</v>
      </c>
      <c r="B416" s="10" t="s">
        <v>1040</v>
      </c>
      <c r="C416" s="10" t="s">
        <v>1016</v>
      </c>
      <c r="D416" s="9" t="s">
        <v>14</v>
      </c>
      <c r="E416" s="48">
        <f>일위대가표!F1816</f>
        <v>54234</v>
      </c>
      <c r="F416" s="47">
        <f>일위대가표!H1816</f>
        <v>54234</v>
      </c>
      <c r="G416" s="56">
        <f>일위대가표!J1816</f>
        <v>0</v>
      </c>
      <c r="H416" s="48">
        <f>일위대가표!L1816</f>
        <v>0</v>
      </c>
      <c r="I416" s="15" t="s">
        <v>1044</v>
      </c>
      <c r="J416" s="17" t="str">
        <f>"_x0007_`COD|B05363_x0005_`QTY1|1_x0005_`BQC|_x0005_`EQC|_x0005_`JDC|_x0005_`WQC|_x0005_`EDT|_x0005_`ADJ|F_x0005_`DET|"&amp;ROW(일위대가표!A1814)&amp;"_x0005_`"</f>
        <v>_x0007_`COD|B05363_x0005_`QTY1|1_x0005_`BQC|_x0005_`EQC|_x0005_`JDC|_x0005_`WQC|_x0005_`EDT|_x0005_`ADJ|F_x0005_`DET|1814_x0005_`</v>
      </c>
      <c r="K416" s="3" t="str">
        <f ca="1">HYPERLINK("#"&amp;일위대가표!N2&amp;"!A"&amp;ROW(일위대가표!A1814),"대가413 →")</f>
        <v>대가413 →</v>
      </c>
    </row>
    <row r="417" spans="1:11" ht="22.35" customHeight="1" x14ac:dyDescent="0.3">
      <c r="A417" s="9" t="s">
        <v>1046</v>
      </c>
      <c r="B417" s="10" t="s">
        <v>1040</v>
      </c>
      <c r="C417" s="10" t="s">
        <v>1019</v>
      </c>
      <c r="D417" s="9" t="s">
        <v>14</v>
      </c>
      <c r="E417" s="48">
        <f>일위대가표!F1820</f>
        <v>70535</v>
      </c>
      <c r="F417" s="47">
        <f>일위대가표!H1820</f>
        <v>70535</v>
      </c>
      <c r="G417" s="56">
        <f>일위대가표!J1820</f>
        <v>0</v>
      </c>
      <c r="H417" s="48">
        <f>일위대가표!L1820</f>
        <v>0</v>
      </c>
      <c r="I417" s="15" t="s">
        <v>1046</v>
      </c>
      <c r="J417" s="17" t="str">
        <f>"_x0007_`COD|B05364_x0005_`QTY1|1_x0005_`BQC|_x0005_`EQC|_x0005_`JDC|_x0005_`WQC|_x0005_`EDT|_x0005_`ADJ|F_x0005_`DET|"&amp;ROW(일위대가표!A1818)&amp;"_x0005_`"</f>
        <v>_x0007_`COD|B05364_x0005_`QTY1|1_x0005_`BQC|_x0005_`EQC|_x0005_`JDC|_x0005_`WQC|_x0005_`EDT|_x0005_`ADJ|F_x0005_`DET|1818_x0005_`</v>
      </c>
      <c r="K417" s="3" t="str">
        <f ca="1">HYPERLINK("#"&amp;일위대가표!N2&amp;"!A"&amp;ROW(일위대가표!A1818),"대가414 →")</f>
        <v>대가414 →</v>
      </c>
    </row>
    <row r="418" spans="1:11" ht="22.35" customHeight="1" x14ac:dyDescent="0.3">
      <c r="A418" s="9" t="s">
        <v>1048</v>
      </c>
      <c r="B418" s="10" t="s">
        <v>1049</v>
      </c>
      <c r="C418" s="10" t="s">
        <v>1050</v>
      </c>
      <c r="D418" s="9" t="s">
        <v>1010</v>
      </c>
      <c r="E418" s="48">
        <f>일위대가표!F1825</f>
        <v>390695</v>
      </c>
      <c r="F418" s="47">
        <f>일위대가표!H1825</f>
        <v>60695</v>
      </c>
      <c r="G418" s="56">
        <f>일위대가표!J1825</f>
        <v>330000</v>
      </c>
      <c r="H418" s="48">
        <f>일위대가표!L1825</f>
        <v>0</v>
      </c>
      <c r="I418" s="15" t="s">
        <v>1048</v>
      </c>
      <c r="J418" s="17" t="str">
        <f>"_x0007_`COD|B05012_x0005_`QTY1|1_x0005_`BQC|_x0005_`EQC|_x0005_`JDC|_x0005_`WQC|_x0005_`EDT|_x0005_`ADJ|F_x0005_`DET|"&amp;ROW(일위대가표!A1822)&amp;"_x0005_`"</f>
        <v>_x0007_`COD|B05012_x0005_`QTY1|1_x0005_`BQC|_x0005_`EQC|_x0005_`JDC|_x0005_`WQC|_x0005_`EDT|_x0005_`ADJ|F_x0005_`DET|1822_x0005_`</v>
      </c>
      <c r="K418" s="3" t="str">
        <f ca="1">HYPERLINK("#"&amp;일위대가표!N2&amp;"!A"&amp;ROW(일위대가표!A1822),"대가415 →")</f>
        <v>대가415 →</v>
      </c>
    </row>
    <row r="419" spans="1:11" ht="22.35" customHeight="1" x14ac:dyDescent="0.3">
      <c r="A419" s="9" t="s">
        <v>1052</v>
      </c>
      <c r="B419" s="10" t="s">
        <v>1049</v>
      </c>
      <c r="C419" s="10" t="s">
        <v>1053</v>
      </c>
      <c r="D419" s="9" t="s">
        <v>1010</v>
      </c>
      <c r="E419" s="48">
        <f>일위대가표!F1830</f>
        <v>683775</v>
      </c>
      <c r="F419" s="47">
        <f>일위대가표!H1830</f>
        <v>100753</v>
      </c>
      <c r="G419" s="56">
        <f>일위대가표!J1830</f>
        <v>580000</v>
      </c>
      <c r="H419" s="48">
        <f>일위대가표!L1830</f>
        <v>3022</v>
      </c>
      <c r="I419" s="15" t="s">
        <v>1052</v>
      </c>
      <c r="J419" s="17" t="str">
        <f>"_x0007_`COD|B05013_x0005_`QTY1|1_x0005_`BQC|_x0005_`EQC|_x0005_`JDC|_x0005_`WQC|_x0005_`EDT|_x0005_`ADJ|F_x0005_`DET|"&amp;ROW(일위대가표!A1827)&amp;"_x0005_`"</f>
        <v>_x0007_`COD|B05013_x0005_`QTY1|1_x0005_`BQC|_x0005_`EQC|_x0005_`JDC|_x0005_`WQC|_x0005_`EDT|_x0005_`ADJ|F_x0005_`DET|1827_x0005_`</v>
      </c>
      <c r="K419" s="3" t="str">
        <f ca="1">HYPERLINK("#"&amp;일위대가표!N2&amp;"!A"&amp;ROW(일위대가표!A1827),"대가416 →")</f>
        <v>대가416 →</v>
      </c>
    </row>
    <row r="420" spans="1:11" ht="22.35" customHeight="1" x14ac:dyDescent="0.3">
      <c r="A420" s="9" t="s">
        <v>1055</v>
      </c>
      <c r="B420" s="10" t="s">
        <v>1049</v>
      </c>
      <c r="C420" s="10" t="s">
        <v>1056</v>
      </c>
      <c r="D420" s="9" t="s">
        <v>1010</v>
      </c>
      <c r="E420" s="48">
        <f>일위대가표!F1835</f>
        <v>965668</v>
      </c>
      <c r="F420" s="47">
        <f>일위대가표!H1835</f>
        <v>145668</v>
      </c>
      <c r="G420" s="56">
        <f>일위대가표!J1835</f>
        <v>820000</v>
      </c>
      <c r="H420" s="48">
        <f>일위대가표!L1835</f>
        <v>0</v>
      </c>
      <c r="I420" s="15" t="s">
        <v>1055</v>
      </c>
      <c r="J420" s="17" t="str">
        <f>"_x0007_`COD|B05014_x0005_`QTY1|1_x0005_`BQC|_x0005_`EQC|_x0005_`JDC|_x0005_`WQC|_x0005_`EDT|_x0005_`ADJ|F_x0005_`DET|"&amp;ROW(일위대가표!A1832)&amp;"_x0005_`"</f>
        <v>_x0007_`COD|B05014_x0005_`QTY1|1_x0005_`BQC|_x0005_`EQC|_x0005_`JDC|_x0005_`WQC|_x0005_`EDT|_x0005_`ADJ|F_x0005_`DET|1832_x0005_`</v>
      </c>
      <c r="K420" s="3" t="str">
        <f ca="1">HYPERLINK("#"&amp;일위대가표!N2&amp;"!A"&amp;ROW(일위대가표!A1832),"대가417 →")</f>
        <v>대가417 →</v>
      </c>
    </row>
    <row r="421" spans="1:11" ht="22.35" customHeight="1" x14ac:dyDescent="0.3">
      <c r="A421" s="9" t="s">
        <v>1058</v>
      </c>
      <c r="B421" s="10" t="s">
        <v>1049</v>
      </c>
      <c r="C421" s="10" t="s">
        <v>1059</v>
      </c>
      <c r="D421" s="9" t="s">
        <v>1010</v>
      </c>
      <c r="E421" s="48">
        <f>일위대가표!F1840</f>
        <v>1639819</v>
      </c>
      <c r="F421" s="47">
        <f>일위대가표!H1840</f>
        <v>189819</v>
      </c>
      <c r="G421" s="56">
        <f>일위대가표!J1840</f>
        <v>1450000</v>
      </c>
      <c r="H421" s="48">
        <f>일위대가표!L1840</f>
        <v>0</v>
      </c>
      <c r="I421" s="15" t="s">
        <v>1058</v>
      </c>
      <c r="J421" s="17" t="str">
        <f>"_x0007_`COD|B05015_x0005_`QTY1|1_x0005_`BQC|_x0005_`EQC|_x0005_`JDC|_x0005_`WQC|_x0005_`EDT|_x0005_`ADJ|F_x0005_`DET|"&amp;ROW(일위대가표!A1837)&amp;"_x0005_`"</f>
        <v>_x0007_`COD|B05015_x0005_`QTY1|1_x0005_`BQC|_x0005_`EQC|_x0005_`JDC|_x0005_`WQC|_x0005_`EDT|_x0005_`ADJ|F_x0005_`DET|1837_x0005_`</v>
      </c>
      <c r="K421" s="3" t="str">
        <f ca="1">HYPERLINK("#"&amp;일위대가표!N2&amp;"!A"&amp;ROW(일위대가표!A1837),"대가418 →")</f>
        <v>대가418 →</v>
      </c>
    </row>
    <row r="422" spans="1:11" ht="22.35" customHeight="1" x14ac:dyDescent="0.3">
      <c r="A422" s="9" t="s">
        <v>1061</v>
      </c>
      <c r="B422" s="10" t="s">
        <v>1049</v>
      </c>
      <c r="C422" s="10" t="s">
        <v>1062</v>
      </c>
      <c r="D422" s="9" t="s">
        <v>1010</v>
      </c>
      <c r="E422" s="48">
        <f>일위대가표!F1845</f>
        <v>2246873</v>
      </c>
      <c r="F422" s="47">
        <f>일위대가표!H1845</f>
        <v>246873</v>
      </c>
      <c r="G422" s="56">
        <f>일위대가표!J1845</f>
        <v>2000000</v>
      </c>
      <c r="H422" s="48">
        <f>일위대가표!L1845</f>
        <v>0</v>
      </c>
      <c r="I422" s="15" t="s">
        <v>1061</v>
      </c>
      <c r="J422" s="17" t="str">
        <f>"_x0007_`COD|B05016_x0005_`QTY1|1_x0005_`BQC|_x0005_`EQC|_x0005_`JDC|_x0005_`WQC|_x0005_`EDT|_x0005_`ADJ|F_x0005_`DET|"&amp;ROW(일위대가표!A1842)&amp;"_x0005_`"</f>
        <v>_x0007_`COD|B05016_x0005_`QTY1|1_x0005_`BQC|_x0005_`EQC|_x0005_`JDC|_x0005_`WQC|_x0005_`EDT|_x0005_`ADJ|F_x0005_`DET|1842_x0005_`</v>
      </c>
      <c r="K422" s="3" t="str">
        <f ca="1">HYPERLINK("#"&amp;일위대가표!N2&amp;"!A"&amp;ROW(일위대가표!A1842),"대가419 →")</f>
        <v>대가419 →</v>
      </c>
    </row>
    <row r="423" spans="1:11" ht="22.35" customHeight="1" x14ac:dyDescent="0.3">
      <c r="A423" s="9" t="s">
        <v>1064</v>
      </c>
      <c r="B423" s="10" t="s">
        <v>1049</v>
      </c>
      <c r="C423" s="10" t="s">
        <v>1065</v>
      </c>
      <c r="D423" s="9" t="s">
        <v>1010</v>
      </c>
      <c r="E423" s="48">
        <f>일위대가표!F1850</f>
        <v>3820535</v>
      </c>
      <c r="F423" s="47">
        <f>일위대가표!H1850</f>
        <v>70535</v>
      </c>
      <c r="G423" s="56">
        <f>일위대가표!J1850</f>
        <v>3750000</v>
      </c>
      <c r="H423" s="48">
        <f>일위대가표!L1850</f>
        <v>0</v>
      </c>
      <c r="I423" s="15" t="s">
        <v>1064</v>
      </c>
      <c r="J423" s="17" t="str">
        <f>"_x0007_`COD|B05065_x0005_`QTY1|1_x0005_`BQC|_x0005_`EQC|_x0005_`JDC|_x0005_`WQC|_x0005_`EDT|_x0005_`ADJ|F_x0005_`DET|"&amp;ROW(일위대가표!A1847)&amp;"_x0005_`"</f>
        <v>_x0007_`COD|B05065_x0005_`QTY1|1_x0005_`BQC|_x0005_`EQC|_x0005_`JDC|_x0005_`WQC|_x0005_`EDT|_x0005_`ADJ|F_x0005_`DET|1847_x0005_`</v>
      </c>
      <c r="K423" s="3" t="str">
        <f ca="1">HYPERLINK("#"&amp;일위대가표!N2&amp;"!A"&amp;ROW(일위대가표!A1847),"대가420 →")</f>
        <v>대가420 →</v>
      </c>
    </row>
    <row r="424" spans="1:11" ht="22.35" customHeight="1" x14ac:dyDescent="0.3">
      <c r="A424" s="9" t="s">
        <v>1067</v>
      </c>
      <c r="B424" s="10" t="s">
        <v>1068</v>
      </c>
      <c r="C424" s="10" t="s">
        <v>1050</v>
      </c>
      <c r="D424" s="9" t="s">
        <v>1010</v>
      </c>
      <c r="E424" s="48">
        <f>일위대가표!F1854</f>
        <v>60695</v>
      </c>
      <c r="F424" s="47">
        <f>일위대가표!H1854</f>
        <v>60695</v>
      </c>
      <c r="G424" s="56">
        <f>일위대가표!J1854</f>
        <v>0</v>
      </c>
      <c r="H424" s="48">
        <f>일위대가표!L1854</f>
        <v>0</v>
      </c>
      <c r="I424" s="15" t="s">
        <v>1067</v>
      </c>
      <c r="J424" s="17" t="str">
        <f>"_x0007_`COD|B05365_x0005_`QTY1|1_x0005_`BQC|_x0005_`EQC|_x0005_`JDC|_x0005_`WQC|_x0005_`EDT|_x0005_`ADJ|F_x0005_`DET|"&amp;ROW(일위대가표!A1852)&amp;"_x0005_`"</f>
        <v>_x0007_`COD|B05365_x0005_`QTY1|1_x0005_`BQC|_x0005_`EQC|_x0005_`JDC|_x0005_`WQC|_x0005_`EDT|_x0005_`ADJ|F_x0005_`DET|1852_x0005_`</v>
      </c>
      <c r="K424" s="3" t="str">
        <f ca="1">HYPERLINK("#"&amp;일위대가표!N2&amp;"!A"&amp;ROW(일위대가표!A1852),"대가421 →")</f>
        <v>대가421 →</v>
      </c>
    </row>
    <row r="425" spans="1:11" ht="22.35" customHeight="1" x14ac:dyDescent="0.3">
      <c r="A425" s="9" t="s">
        <v>1070</v>
      </c>
      <c r="B425" s="10" t="s">
        <v>1068</v>
      </c>
      <c r="C425" s="10" t="s">
        <v>1053</v>
      </c>
      <c r="D425" s="9" t="s">
        <v>1010</v>
      </c>
      <c r="E425" s="48">
        <f>일위대가표!F1858</f>
        <v>103775</v>
      </c>
      <c r="F425" s="47">
        <f>일위대가표!H1858</f>
        <v>100753</v>
      </c>
      <c r="G425" s="56">
        <f>일위대가표!J1858</f>
        <v>0</v>
      </c>
      <c r="H425" s="48">
        <f>일위대가표!L1858</f>
        <v>3022</v>
      </c>
      <c r="I425" s="15" t="s">
        <v>1070</v>
      </c>
      <c r="J425" s="17" t="str">
        <f>"_x0007_`COD|B05366_x0005_`QTY1|1_x0005_`BQC|_x0005_`EQC|_x0005_`JDC|_x0005_`WQC|_x0005_`EDT|_x0005_`ADJ|F_x0005_`DET|"&amp;ROW(일위대가표!A1856)&amp;"_x0005_`"</f>
        <v>_x0007_`COD|B05366_x0005_`QTY1|1_x0005_`BQC|_x0005_`EQC|_x0005_`JDC|_x0005_`WQC|_x0005_`EDT|_x0005_`ADJ|F_x0005_`DET|1856_x0005_`</v>
      </c>
      <c r="K425" s="3" t="str">
        <f ca="1">HYPERLINK("#"&amp;일위대가표!N2&amp;"!A"&amp;ROW(일위대가표!A1856),"대가422 →")</f>
        <v>대가422 →</v>
      </c>
    </row>
    <row r="426" spans="1:11" ht="22.35" customHeight="1" x14ac:dyDescent="0.3">
      <c r="A426" s="9" t="s">
        <v>1072</v>
      </c>
      <c r="B426" s="10" t="s">
        <v>1068</v>
      </c>
      <c r="C426" s="10" t="s">
        <v>1056</v>
      </c>
      <c r="D426" s="9" t="s">
        <v>1010</v>
      </c>
      <c r="E426" s="48">
        <f>일위대가표!F1862</f>
        <v>145668</v>
      </c>
      <c r="F426" s="47">
        <f>일위대가표!H1862</f>
        <v>145668</v>
      </c>
      <c r="G426" s="56">
        <f>일위대가표!J1862</f>
        <v>0</v>
      </c>
      <c r="H426" s="48">
        <f>일위대가표!L1862</f>
        <v>0</v>
      </c>
      <c r="I426" s="15" t="s">
        <v>1072</v>
      </c>
      <c r="J426" s="17" t="str">
        <f>"_x0007_`COD|B05367_x0005_`QTY1|1_x0005_`BQC|_x0005_`EQC|_x0005_`JDC|_x0005_`WQC|_x0005_`EDT|_x0005_`ADJ|F_x0005_`DET|"&amp;ROW(일위대가표!A1860)&amp;"_x0005_`"</f>
        <v>_x0007_`COD|B05367_x0005_`QTY1|1_x0005_`BQC|_x0005_`EQC|_x0005_`JDC|_x0005_`WQC|_x0005_`EDT|_x0005_`ADJ|F_x0005_`DET|1860_x0005_`</v>
      </c>
      <c r="K426" s="3" t="str">
        <f ca="1">HYPERLINK("#"&amp;일위대가표!N2&amp;"!A"&amp;ROW(일위대가표!A1860),"대가423 →")</f>
        <v>대가423 →</v>
      </c>
    </row>
    <row r="427" spans="1:11" ht="22.35" customHeight="1" x14ac:dyDescent="0.3">
      <c r="A427" s="9" t="s">
        <v>1074</v>
      </c>
      <c r="B427" s="10" t="s">
        <v>1068</v>
      </c>
      <c r="C427" s="10" t="s">
        <v>1059</v>
      </c>
      <c r="D427" s="9" t="s">
        <v>1010</v>
      </c>
      <c r="E427" s="48">
        <f>일위대가표!F1866</f>
        <v>189819</v>
      </c>
      <c r="F427" s="47">
        <f>일위대가표!H1866</f>
        <v>189819</v>
      </c>
      <c r="G427" s="56">
        <f>일위대가표!J1866</f>
        <v>0</v>
      </c>
      <c r="H427" s="48">
        <f>일위대가표!L1866</f>
        <v>0</v>
      </c>
      <c r="I427" s="15" t="s">
        <v>1074</v>
      </c>
      <c r="J427" s="17" t="str">
        <f>"_x0007_`COD|B05368_x0005_`QTY1|1_x0005_`BQC|_x0005_`EQC|_x0005_`JDC|_x0005_`WQC|_x0005_`EDT|_x0005_`ADJ|F_x0005_`DET|"&amp;ROW(일위대가표!A1864)&amp;"_x0005_`"</f>
        <v>_x0007_`COD|B05368_x0005_`QTY1|1_x0005_`BQC|_x0005_`EQC|_x0005_`JDC|_x0005_`WQC|_x0005_`EDT|_x0005_`ADJ|F_x0005_`DET|1864_x0005_`</v>
      </c>
      <c r="K427" s="3" t="str">
        <f ca="1">HYPERLINK("#"&amp;일위대가표!N2&amp;"!A"&amp;ROW(일위대가표!A1864),"대가424 →")</f>
        <v>대가424 →</v>
      </c>
    </row>
    <row r="428" spans="1:11" ht="22.35" customHeight="1" x14ac:dyDescent="0.3">
      <c r="A428" s="9" t="s">
        <v>1076</v>
      </c>
      <c r="B428" s="10" t="s">
        <v>1068</v>
      </c>
      <c r="C428" s="10" t="s">
        <v>1062</v>
      </c>
      <c r="D428" s="9" t="s">
        <v>1010</v>
      </c>
      <c r="E428" s="48">
        <f>일위대가표!F1870</f>
        <v>246873</v>
      </c>
      <c r="F428" s="47">
        <f>일위대가표!H1870</f>
        <v>246873</v>
      </c>
      <c r="G428" s="56">
        <f>일위대가표!J1870</f>
        <v>0</v>
      </c>
      <c r="H428" s="48">
        <f>일위대가표!L1870</f>
        <v>0</v>
      </c>
      <c r="I428" s="15" t="s">
        <v>1076</v>
      </c>
      <c r="J428" s="17" t="str">
        <f>"_x0007_`COD|B05369_x0005_`QTY1|1_x0005_`BQC|_x0005_`EQC|_x0005_`JDC|_x0005_`WQC|_x0005_`EDT|_x0005_`ADJ|F_x0005_`DET|"&amp;ROW(일위대가표!A1868)&amp;"_x0005_`"</f>
        <v>_x0007_`COD|B05369_x0005_`QTY1|1_x0005_`BQC|_x0005_`EQC|_x0005_`JDC|_x0005_`WQC|_x0005_`EDT|_x0005_`ADJ|F_x0005_`DET|1868_x0005_`</v>
      </c>
      <c r="K428" s="3" t="str">
        <f ca="1">HYPERLINK("#"&amp;일위대가표!N2&amp;"!A"&amp;ROW(일위대가표!A1868),"대가425 →")</f>
        <v>대가425 →</v>
      </c>
    </row>
    <row r="429" spans="1:11" ht="22.35" customHeight="1" x14ac:dyDescent="0.3">
      <c r="A429" s="9" t="s">
        <v>1078</v>
      </c>
      <c r="B429" s="10" t="s">
        <v>1068</v>
      </c>
      <c r="C429" s="10" t="s">
        <v>1065</v>
      </c>
      <c r="D429" s="9" t="s">
        <v>1010</v>
      </c>
      <c r="E429" s="48">
        <f>일위대가표!F1874</f>
        <v>70535</v>
      </c>
      <c r="F429" s="47">
        <f>일위대가표!H1874</f>
        <v>70535</v>
      </c>
      <c r="G429" s="56">
        <f>일위대가표!J1874</f>
        <v>0</v>
      </c>
      <c r="H429" s="48">
        <f>일위대가표!L1874</f>
        <v>0</v>
      </c>
      <c r="I429" s="15" t="s">
        <v>1078</v>
      </c>
      <c r="J429" s="17" t="str">
        <f>"_x0007_`COD|B05370_x0005_`QTY1|1_x0005_`BQC|_x0005_`EQC|_x0005_`JDC|_x0005_`WQC|_x0005_`EDT|_x0005_`ADJ|F_x0005_`DET|"&amp;ROW(일위대가표!A1872)&amp;"_x0005_`"</f>
        <v>_x0007_`COD|B05370_x0005_`QTY1|1_x0005_`BQC|_x0005_`EQC|_x0005_`JDC|_x0005_`WQC|_x0005_`EDT|_x0005_`ADJ|F_x0005_`DET|1872_x0005_`</v>
      </c>
      <c r="K429" s="3" t="str">
        <f ca="1">HYPERLINK("#"&amp;일위대가표!N2&amp;"!A"&amp;ROW(일위대가표!A1872),"대가426 →")</f>
        <v>대가426 →</v>
      </c>
    </row>
    <row r="430" spans="1:11" ht="22.35" customHeight="1" x14ac:dyDescent="0.3">
      <c r="A430" s="9" t="s">
        <v>1080</v>
      </c>
      <c r="B430" s="10" t="s">
        <v>1081</v>
      </c>
      <c r="C430" s="10" t="s">
        <v>1050</v>
      </c>
      <c r="D430" s="9" t="s">
        <v>1010</v>
      </c>
      <c r="E430" s="48">
        <f>일위대가표!F1878</f>
        <v>43354</v>
      </c>
      <c r="F430" s="47">
        <f>일위대가표!H1878</f>
        <v>43354</v>
      </c>
      <c r="G430" s="56">
        <f>일위대가표!J1878</f>
        <v>0</v>
      </c>
      <c r="H430" s="48">
        <f>일위대가표!L1878</f>
        <v>0</v>
      </c>
      <c r="I430" s="15" t="s">
        <v>1080</v>
      </c>
      <c r="J430" s="17" t="str">
        <f>"_x0007_`COD|B05371_x0005_`QTY1|1_x0005_`BQC|_x0005_`EQC|_x0005_`JDC|_x0005_`WQC|_x0005_`EDT|_x0005_`ADJ|F_x0005_`DET|"&amp;ROW(일위대가표!A1876)&amp;"_x0005_`"</f>
        <v>_x0007_`COD|B05371_x0005_`QTY1|1_x0005_`BQC|_x0005_`EQC|_x0005_`JDC|_x0005_`WQC|_x0005_`EDT|_x0005_`ADJ|F_x0005_`DET|1876_x0005_`</v>
      </c>
      <c r="K430" s="3" t="str">
        <f ca="1">HYPERLINK("#"&amp;일위대가표!N2&amp;"!A"&amp;ROW(일위대가표!A1876),"대가427 →")</f>
        <v>대가427 →</v>
      </c>
    </row>
    <row r="431" spans="1:11" ht="22.35" customHeight="1" x14ac:dyDescent="0.3">
      <c r="A431" s="9" t="s">
        <v>1083</v>
      </c>
      <c r="B431" s="10" t="s">
        <v>1081</v>
      </c>
      <c r="C431" s="10" t="s">
        <v>1053</v>
      </c>
      <c r="D431" s="9" t="s">
        <v>1010</v>
      </c>
      <c r="E431" s="48">
        <f>일위대가표!F1882</f>
        <v>74126</v>
      </c>
      <c r="F431" s="47">
        <f>일위대가표!H1882</f>
        <v>71967</v>
      </c>
      <c r="G431" s="56">
        <f>일위대가표!J1882</f>
        <v>0</v>
      </c>
      <c r="H431" s="48">
        <f>일위대가표!L1882</f>
        <v>2159</v>
      </c>
      <c r="I431" s="15" t="s">
        <v>1083</v>
      </c>
      <c r="J431" s="17" t="str">
        <f>"_x0007_`COD|B05372_x0005_`QTY1|1_x0005_`BQC|_x0005_`EQC|_x0005_`JDC|_x0005_`WQC|_x0005_`EDT|_x0005_`ADJ|F_x0005_`DET|"&amp;ROW(일위대가표!A1880)&amp;"_x0005_`"</f>
        <v>_x0007_`COD|B05372_x0005_`QTY1|1_x0005_`BQC|_x0005_`EQC|_x0005_`JDC|_x0005_`WQC|_x0005_`EDT|_x0005_`ADJ|F_x0005_`DET|1880_x0005_`</v>
      </c>
      <c r="K431" s="3" t="str">
        <f ca="1">HYPERLINK("#"&amp;일위대가표!N2&amp;"!A"&amp;ROW(일위대가표!A1880),"대가428 →")</f>
        <v>대가428 →</v>
      </c>
    </row>
    <row r="432" spans="1:11" ht="22.35" customHeight="1" x14ac:dyDescent="0.3">
      <c r="A432" s="9" t="s">
        <v>1085</v>
      </c>
      <c r="B432" s="10" t="s">
        <v>1081</v>
      </c>
      <c r="C432" s="10" t="s">
        <v>1056</v>
      </c>
      <c r="D432" s="9" t="s">
        <v>1010</v>
      </c>
      <c r="E432" s="48">
        <f>일위대가표!F1886</f>
        <v>104049</v>
      </c>
      <c r="F432" s="47">
        <f>일위대가표!H1886</f>
        <v>104049</v>
      </c>
      <c r="G432" s="56">
        <f>일위대가표!J1886</f>
        <v>0</v>
      </c>
      <c r="H432" s="48">
        <f>일위대가표!L1886</f>
        <v>0</v>
      </c>
      <c r="I432" s="15" t="s">
        <v>1085</v>
      </c>
      <c r="J432" s="17" t="str">
        <f>"_x0007_`COD|B05373_x0005_`QTY1|1_x0005_`BQC|_x0005_`EQC|_x0005_`JDC|_x0005_`WQC|_x0005_`EDT|_x0005_`ADJ|F_x0005_`DET|"&amp;ROW(일위대가표!A1884)&amp;"_x0005_`"</f>
        <v>_x0007_`COD|B05373_x0005_`QTY1|1_x0005_`BQC|_x0005_`EQC|_x0005_`JDC|_x0005_`WQC|_x0005_`EDT|_x0005_`ADJ|F_x0005_`DET|1884_x0005_`</v>
      </c>
      <c r="K432" s="3" t="str">
        <f ca="1">HYPERLINK("#"&amp;일위대가표!N2&amp;"!A"&amp;ROW(일위대가표!A1884),"대가429 →")</f>
        <v>대가429 →</v>
      </c>
    </row>
    <row r="433" spans="1:11" ht="22.35" customHeight="1" x14ac:dyDescent="0.3">
      <c r="A433" s="9" t="s">
        <v>1087</v>
      </c>
      <c r="B433" s="10" t="s">
        <v>1081</v>
      </c>
      <c r="C433" s="10" t="s">
        <v>1059</v>
      </c>
      <c r="D433" s="9" t="s">
        <v>1010</v>
      </c>
      <c r="E433" s="48">
        <f>일위대가표!F1890</f>
        <v>135585</v>
      </c>
      <c r="F433" s="47">
        <f>일위대가표!H1890</f>
        <v>135585</v>
      </c>
      <c r="G433" s="56">
        <f>일위대가표!J1890</f>
        <v>0</v>
      </c>
      <c r="H433" s="48">
        <f>일위대가표!L1890</f>
        <v>0</v>
      </c>
      <c r="I433" s="15" t="s">
        <v>1087</v>
      </c>
      <c r="J433" s="17" t="str">
        <f>"_x0007_`COD|B05374_x0005_`QTY1|1_x0005_`BQC|_x0005_`EQC|_x0005_`JDC|_x0005_`WQC|_x0005_`EDT|_x0005_`ADJ|F_x0005_`DET|"&amp;ROW(일위대가표!A1888)&amp;"_x0005_`"</f>
        <v>_x0007_`COD|B05374_x0005_`QTY1|1_x0005_`BQC|_x0005_`EQC|_x0005_`JDC|_x0005_`WQC|_x0005_`EDT|_x0005_`ADJ|F_x0005_`DET|1888_x0005_`</v>
      </c>
      <c r="K433" s="3" t="str">
        <f ca="1">HYPERLINK("#"&amp;일위대가표!N2&amp;"!A"&amp;ROW(일위대가표!A1888),"대가430 →")</f>
        <v>대가430 →</v>
      </c>
    </row>
    <row r="434" spans="1:11" ht="22.35" customHeight="1" x14ac:dyDescent="0.3">
      <c r="A434" s="9" t="s">
        <v>1089</v>
      </c>
      <c r="B434" s="10" t="s">
        <v>1081</v>
      </c>
      <c r="C434" s="10" t="s">
        <v>1062</v>
      </c>
      <c r="D434" s="9" t="s">
        <v>1010</v>
      </c>
      <c r="E434" s="48">
        <f>일위대가표!F1894</f>
        <v>176338</v>
      </c>
      <c r="F434" s="47">
        <f>일위대가표!H1894</f>
        <v>176338</v>
      </c>
      <c r="G434" s="56">
        <f>일위대가표!J1894</f>
        <v>0</v>
      </c>
      <c r="H434" s="48">
        <f>일위대가표!L1894</f>
        <v>0</v>
      </c>
      <c r="I434" s="15" t="s">
        <v>1089</v>
      </c>
      <c r="J434" s="17" t="str">
        <f>"_x0007_`COD|B05375_x0005_`QTY1|1_x0005_`BQC|_x0005_`EQC|_x0005_`JDC|_x0005_`WQC|_x0005_`EDT|_x0005_`ADJ|F_x0005_`DET|"&amp;ROW(일위대가표!A1892)&amp;"_x0005_`"</f>
        <v>_x0007_`COD|B05375_x0005_`QTY1|1_x0005_`BQC|_x0005_`EQC|_x0005_`JDC|_x0005_`WQC|_x0005_`EDT|_x0005_`ADJ|F_x0005_`DET|1892_x0005_`</v>
      </c>
      <c r="K434" s="3" t="str">
        <f ca="1">HYPERLINK("#"&amp;일위대가표!N2&amp;"!A"&amp;ROW(일위대가표!A1892),"대가431 →")</f>
        <v>대가431 →</v>
      </c>
    </row>
    <row r="435" spans="1:11" ht="22.35" customHeight="1" x14ac:dyDescent="0.3">
      <c r="A435" s="9" t="s">
        <v>1091</v>
      </c>
      <c r="B435" s="10" t="s">
        <v>1081</v>
      </c>
      <c r="C435" s="10" t="s">
        <v>1065</v>
      </c>
      <c r="D435" s="9" t="s">
        <v>1010</v>
      </c>
      <c r="E435" s="48">
        <f>일위대가표!F1898</f>
        <v>176338</v>
      </c>
      <c r="F435" s="47">
        <f>일위대가표!H1898</f>
        <v>176338</v>
      </c>
      <c r="G435" s="56">
        <f>일위대가표!J1898</f>
        <v>0</v>
      </c>
      <c r="H435" s="48">
        <f>일위대가표!L1898</f>
        <v>0</v>
      </c>
      <c r="I435" s="15" t="s">
        <v>1091</v>
      </c>
      <c r="J435" s="17" t="str">
        <f>"_x0007_`COD|B05376_x0005_`QTY1|1_x0005_`BQC|_x0005_`EQC|_x0005_`JDC|_x0005_`WQC|_x0005_`EDT|_x0005_`ADJ|F_x0005_`DET|"&amp;ROW(일위대가표!A1896)&amp;"_x0005_`"</f>
        <v>_x0007_`COD|B05376_x0005_`QTY1|1_x0005_`BQC|_x0005_`EQC|_x0005_`JDC|_x0005_`WQC|_x0005_`EDT|_x0005_`ADJ|F_x0005_`DET|1896_x0005_`</v>
      </c>
      <c r="K435" s="3" t="str">
        <f ca="1">HYPERLINK("#"&amp;일위대가표!N2&amp;"!A"&amp;ROW(일위대가표!A1896),"대가432 →")</f>
        <v>대가432 →</v>
      </c>
    </row>
    <row r="436" spans="1:11" ht="22.35" customHeight="1" x14ac:dyDescent="0.3">
      <c r="A436" s="9" t="s">
        <v>1093</v>
      </c>
      <c r="B436" s="10" t="s">
        <v>1094</v>
      </c>
      <c r="C436" s="10" t="s">
        <v>1050</v>
      </c>
      <c r="D436" s="9" t="s">
        <v>1010</v>
      </c>
      <c r="E436" s="48">
        <f>일위대가표!F1902</f>
        <v>17341</v>
      </c>
      <c r="F436" s="47">
        <f>일위대가표!H1902</f>
        <v>17341</v>
      </c>
      <c r="G436" s="56">
        <f>일위대가표!J1902</f>
        <v>0</v>
      </c>
      <c r="H436" s="48">
        <f>일위대가표!L1902</f>
        <v>0</v>
      </c>
      <c r="I436" s="15" t="s">
        <v>1093</v>
      </c>
      <c r="J436" s="17" t="str">
        <f>"_x0007_`COD|B05377_x0005_`QTY1|1_x0005_`BQC|_x0005_`EQC|_x0005_`JDC|_x0005_`WQC|_x0005_`EDT|_x0005_`ADJ|F_x0005_`DET|"&amp;ROW(일위대가표!A1900)&amp;"_x0005_`"</f>
        <v>_x0007_`COD|B05377_x0005_`QTY1|1_x0005_`BQC|_x0005_`EQC|_x0005_`JDC|_x0005_`WQC|_x0005_`EDT|_x0005_`ADJ|F_x0005_`DET|1900_x0005_`</v>
      </c>
      <c r="K436" s="3" t="str">
        <f ca="1">HYPERLINK("#"&amp;일위대가표!N2&amp;"!A"&amp;ROW(일위대가표!A1900),"대가433 →")</f>
        <v>대가433 →</v>
      </c>
    </row>
    <row r="437" spans="1:11" ht="22.35" customHeight="1" x14ac:dyDescent="0.3">
      <c r="A437" s="9" t="s">
        <v>1096</v>
      </c>
      <c r="B437" s="10" t="s">
        <v>1094</v>
      </c>
      <c r="C437" s="10" t="s">
        <v>1053</v>
      </c>
      <c r="D437" s="9" t="s">
        <v>1010</v>
      </c>
      <c r="E437" s="48">
        <f>일위대가표!F1906</f>
        <v>29649</v>
      </c>
      <c r="F437" s="47">
        <f>일위대가표!H1906</f>
        <v>28786</v>
      </c>
      <c r="G437" s="56">
        <f>일위대가표!J1906</f>
        <v>0</v>
      </c>
      <c r="H437" s="48">
        <f>일위대가표!L1906</f>
        <v>863</v>
      </c>
      <c r="I437" s="15" t="s">
        <v>1096</v>
      </c>
      <c r="J437" s="17" t="str">
        <f>"_x0007_`COD|B05378_x0005_`QTY1|1_x0005_`BQC|_x0005_`EQC|_x0005_`JDC|_x0005_`WQC|_x0005_`EDT|_x0005_`ADJ|F_x0005_`DET|"&amp;ROW(일위대가표!A1904)&amp;"_x0005_`"</f>
        <v>_x0007_`COD|B05378_x0005_`QTY1|1_x0005_`BQC|_x0005_`EQC|_x0005_`JDC|_x0005_`WQC|_x0005_`EDT|_x0005_`ADJ|F_x0005_`DET|1904_x0005_`</v>
      </c>
      <c r="K437" s="3" t="str">
        <f ca="1">HYPERLINK("#"&amp;일위대가표!N2&amp;"!A"&amp;ROW(일위대가표!A1904),"대가434 →")</f>
        <v>대가434 →</v>
      </c>
    </row>
    <row r="438" spans="1:11" ht="22.35" customHeight="1" x14ac:dyDescent="0.3">
      <c r="A438" s="9" t="s">
        <v>1098</v>
      </c>
      <c r="B438" s="10" t="s">
        <v>1094</v>
      </c>
      <c r="C438" s="10" t="s">
        <v>1056</v>
      </c>
      <c r="D438" s="9" t="s">
        <v>1010</v>
      </c>
      <c r="E438" s="48">
        <f>일위대가표!F1910</f>
        <v>41619</v>
      </c>
      <c r="F438" s="47">
        <f>일위대가표!H1910</f>
        <v>41619</v>
      </c>
      <c r="G438" s="56">
        <f>일위대가표!J1910</f>
        <v>0</v>
      </c>
      <c r="H438" s="48">
        <f>일위대가표!L1910</f>
        <v>0</v>
      </c>
      <c r="I438" s="15" t="s">
        <v>1098</v>
      </c>
      <c r="J438" s="17" t="str">
        <f>"_x0007_`COD|B05379_x0005_`QTY1|1_x0005_`BQC|_x0005_`EQC|_x0005_`JDC|_x0005_`WQC|_x0005_`EDT|_x0005_`ADJ|F_x0005_`DET|"&amp;ROW(일위대가표!A1908)&amp;"_x0005_`"</f>
        <v>_x0007_`COD|B05379_x0005_`QTY1|1_x0005_`BQC|_x0005_`EQC|_x0005_`JDC|_x0005_`WQC|_x0005_`EDT|_x0005_`ADJ|F_x0005_`DET|1908_x0005_`</v>
      </c>
      <c r="K438" s="3" t="str">
        <f ca="1">HYPERLINK("#"&amp;일위대가표!N2&amp;"!A"&amp;ROW(일위대가표!A1908),"대가435 →")</f>
        <v>대가435 →</v>
      </c>
    </row>
    <row r="439" spans="1:11" ht="22.35" customHeight="1" x14ac:dyDescent="0.3">
      <c r="A439" s="9" t="s">
        <v>1100</v>
      </c>
      <c r="B439" s="10" t="s">
        <v>1094</v>
      </c>
      <c r="C439" s="10" t="s">
        <v>1059</v>
      </c>
      <c r="D439" s="9" t="s">
        <v>1010</v>
      </c>
      <c r="E439" s="48">
        <f>일위대가표!F1914</f>
        <v>54234</v>
      </c>
      <c r="F439" s="47">
        <f>일위대가표!H1914</f>
        <v>54234</v>
      </c>
      <c r="G439" s="56">
        <f>일위대가표!J1914</f>
        <v>0</v>
      </c>
      <c r="H439" s="48">
        <f>일위대가표!L1914</f>
        <v>0</v>
      </c>
      <c r="I439" s="15" t="s">
        <v>1100</v>
      </c>
      <c r="J439" s="17" t="str">
        <f>"_x0007_`COD|B05380_x0005_`QTY1|1_x0005_`BQC|_x0005_`EQC|_x0005_`JDC|_x0005_`WQC|_x0005_`EDT|_x0005_`ADJ|F_x0005_`DET|"&amp;ROW(일위대가표!A1912)&amp;"_x0005_`"</f>
        <v>_x0007_`COD|B05380_x0005_`QTY1|1_x0005_`BQC|_x0005_`EQC|_x0005_`JDC|_x0005_`WQC|_x0005_`EDT|_x0005_`ADJ|F_x0005_`DET|1912_x0005_`</v>
      </c>
      <c r="K439" s="3" t="str">
        <f ca="1">HYPERLINK("#"&amp;일위대가표!N2&amp;"!A"&amp;ROW(일위대가표!A1912),"대가436 →")</f>
        <v>대가436 →</v>
      </c>
    </row>
    <row r="440" spans="1:11" ht="22.35" customHeight="1" x14ac:dyDescent="0.3">
      <c r="A440" s="9" t="s">
        <v>1102</v>
      </c>
      <c r="B440" s="10" t="s">
        <v>1094</v>
      </c>
      <c r="C440" s="10" t="s">
        <v>1062</v>
      </c>
      <c r="D440" s="9" t="s">
        <v>1010</v>
      </c>
      <c r="E440" s="48">
        <f>일위대가표!F1918</f>
        <v>70535</v>
      </c>
      <c r="F440" s="47">
        <f>일위대가표!H1918</f>
        <v>70535</v>
      </c>
      <c r="G440" s="56">
        <f>일위대가표!J1918</f>
        <v>0</v>
      </c>
      <c r="H440" s="48">
        <f>일위대가표!L1918</f>
        <v>0</v>
      </c>
      <c r="I440" s="15" t="s">
        <v>1102</v>
      </c>
      <c r="J440" s="17" t="str">
        <f>"_x0007_`COD|B05381_x0005_`QTY1|1_x0005_`BQC|_x0005_`EQC|_x0005_`JDC|_x0005_`WQC|_x0005_`EDT|_x0005_`ADJ|F_x0005_`DET|"&amp;ROW(일위대가표!A1916)&amp;"_x0005_`"</f>
        <v>_x0007_`COD|B05381_x0005_`QTY1|1_x0005_`BQC|_x0005_`EQC|_x0005_`JDC|_x0005_`WQC|_x0005_`EDT|_x0005_`ADJ|F_x0005_`DET|1916_x0005_`</v>
      </c>
      <c r="K440" s="3" t="str">
        <f ca="1">HYPERLINK("#"&amp;일위대가표!N2&amp;"!A"&amp;ROW(일위대가표!A1916),"대가437 →")</f>
        <v>대가437 →</v>
      </c>
    </row>
    <row r="441" spans="1:11" ht="22.35" customHeight="1" x14ac:dyDescent="0.3">
      <c r="A441" s="9" t="s">
        <v>1104</v>
      </c>
      <c r="B441" s="10" t="s">
        <v>1094</v>
      </c>
      <c r="C441" s="10" t="s">
        <v>1065</v>
      </c>
      <c r="D441" s="9" t="s">
        <v>1010</v>
      </c>
      <c r="E441" s="48">
        <f>일위대가표!F1922</f>
        <v>70535</v>
      </c>
      <c r="F441" s="47">
        <f>일위대가표!H1922</f>
        <v>70535</v>
      </c>
      <c r="G441" s="56">
        <f>일위대가표!J1922</f>
        <v>0</v>
      </c>
      <c r="H441" s="48">
        <f>일위대가표!L1922</f>
        <v>0</v>
      </c>
      <c r="I441" s="15" t="s">
        <v>1104</v>
      </c>
      <c r="J441" s="17" t="str">
        <f>"_x0007_`COD|B05382_x0005_`QTY1|1_x0005_`BQC|_x0005_`EQC|_x0005_`JDC|_x0005_`WQC|_x0005_`EDT|_x0005_`ADJ|F_x0005_`DET|"&amp;ROW(일위대가표!A1920)&amp;"_x0005_`"</f>
        <v>_x0007_`COD|B05382_x0005_`QTY1|1_x0005_`BQC|_x0005_`EQC|_x0005_`JDC|_x0005_`WQC|_x0005_`EDT|_x0005_`ADJ|F_x0005_`DET|1920_x0005_`</v>
      </c>
      <c r="K441" s="3" t="str">
        <f ca="1">HYPERLINK("#"&amp;일위대가표!N2&amp;"!A"&amp;ROW(일위대가표!A1920),"대가438 →")</f>
        <v>대가438 →</v>
      </c>
    </row>
    <row r="442" spans="1:11" ht="22.35" customHeight="1" x14ac:dyDescent="0.3">
      <c r="A442" s="9" t="s">
        <v>1106</v>
      </c>
      <c r="B442" s="10" t="s">
        <v>1107</v>
      </c>
      <c r="C442" s="10" t="s">
        <v>1108</v>
      </c>
      <c r="D442" s="9" t="s">
        <v>1010</v>
      </c>
      <c r="E442" s="48">
        <f>일위대가표!F1927</f>
        <v>333695</v>
      </c>
      <c r="F442" s="47">
        <f>일위대가표!H1927</f>
        <v>60695</v>
      </c>
      <c r="G442" s="56">
        <f>일위대가표!J1927</f>
        <v>273000</v>
      </c>
      <c r="H442" s="48">
        <f>일위대가표!L1927</f>
        <v>0</v>
      </c>
      <c r="I442" s="15" t="s">
        <v>1106</v>
      </c>
      <c r="J442" s="17" t="str">
        <f>"_x0007_`COD|B05017_x0005_`QTY1|1_x0005_`BQC|_x0005_`EQC|_x0005_`JDC|_x0005_`WQC|_x0005_`EDT|_x0005_`ADJ|F_x0005_`DET|"&amp;ROW(일위대가표!A1924)&amp;"_x0005_`"</f>
        <v>_x0007_`COD|B05017_x0005_`QTY1|1_x0005_`BQC|_x0005_`EQC|_x0005_`JDC|_x0005_`WQC|_x0005_`EDT|_x0005_`ADJ|F_x0005_`DET|1924_x0005_`</v>
      </c>
      <c r="K442" s="3" t="str">
        <f ca="1">HYPERLINK("#"&amp;일위대가표!N2&amp;"!A"&amp;ROW(일위대가표!A1924),"대가439 →")</f>
        <v>대가439 →</v>
      </c>
    </row>
    <row r="443" spans="1:11" ht="22.35" customHeight="1" x14ac:dyDescent="0.3">
      <c r="A443" s="9" t="s">
        <v>1110</v>
      </c>
      <c r="B443" s="10" t="s">
        <v>1107</v>
      </c>
      <c r="C443" s="10" t="s">
        <v>1111</v>
      </c>
      <c r="D443" s="9" t="s">
        <v>1010</v>
      </c>
      <c r="E443" s="48">
        <f>일위대가표!F1932</f>
        <v>457775</v>
      </c>
      <c r="F443" s="47">
        <f>일위대가표!H1932</f>
        <v>100753</v>
      </c>
      <c r="G443" s="56">
        <f>일위대가표!J1932</f>
        <v>354000</v>
      </c>
      <c r="H443" s="48">
        <f>일위대가표!L1932</f>
        <v>3022</v>
      </c>
      <c r="I443" s="15" t="s">
        <v>1110</v>
      </c>
      <c r="J443" s="17" t="str">
        <f>"_x0007_`COD|B05018_x0005_`QTY1|1_x0005_`BQC|_x0005_`EQC|_x0005_`JDC|_x0005_`WQC|_x0005_`EDT|_x0005_`ADJ|F_x0005_`DET|"&amp;ROW(일위대가표!A1929)&amp;"_x0005_`"</f>
        <v>_x0007_`COD|B05018_x0005_`QTY1|1_x0005_`BQC|_x0005_`EQC|_x0005_`JDC|_x0005_`WQC|_x0005_`EDT|_x0005_`ADJ|F_x0005_`DET|1929_x0005_`</v>
      </c>
      <c r="K443" s="3" t="str">
        <f ca="1">HYPERLINK("#"&amp;일위대가표!N2&amp;"!A"&amp;ROW(일위대가표!A1929),"대가440 →")</f>
        <v>대가440 →</v>
      </c>
    </row>
    <row r="444" spans="1:11" ht="22.35" customHeight="1" x14ac:dyDescent="0.3">
      <c r="A444" s="9" t="s">
        <v>1113</v>
      </c>
      <c r="B444" s="10" t="s">
        <v>1107</v>
      </c>
      <c r="C444" s="10" t="s">
        <v>1114</v>
      </c>
      <c r="D444" s="9" t="s">
        <v>1010</v>
      </c>
      <c r="E444" s="48">
        <f>일위대가표!F1937</f>
        <v>663668</v>
      </c>
      <c r="F444" s="47">
        <f>일위대가표!H1937</f>
        <v>145668</v>
      </c>
      <c r="G444" s="56">
        <f>일위대가표!J1937</f>
        <v>518000</v>
      </c>
      <c r="H444" s="48">
        <f>일위대가표!L1937</f>
        <v>0</v>
      </c>
      <c r="I444" s="15" t="s">
        <v>1113</v>
      </c>
      <c r="J444" s="17" t="str">
        <f>"_x0007_`COD|B05019_x0005_`QTY1|1_x0005_`BQC|_x0005_`EQC|_x0005_`JDC|_x0005_`WQC|_x0005_`EDT|_x0005_`ADJ|F_x0005_`DET|"&amp;ROW(일위대가표!A1934)&amp;"_x0005_`"</f>
        <v>_x0007_`COD|B05019_x0005_`QTY1|1_x0005_`BQC|_x0005_`EQC|_x0005_`JDC|_x0005_`WQC|_x0005_`EDT|_x0005_`ADJ|F_x0005_`DET|1934_x0005_`</v>
      </c>
      <c r="K444" s="3" t="str">
        <f ca="1">HYPERLINK("#"&amp;일위대가표!N2&amp;"!A"&amp;ROW(일위대가표!A1934),"대가441 →")</f>
        <v>대가441 →</v>
      </c>
    </row>
    <row r="445" spans="1:11" ht="22.35" customHeight="1" x14ac:dyDescent="0.3">
      <c r="A445" s="9" t="s">
        <v>1116</v>
      </c>
      <c r="B445" s="10" t="s">
        <v>1107</v>
      </c>
      <c r="C445" s="10" t="s">
        <v>1117</v>
      </c>
      <c r="D445" s="9" t="s">
        <v>1010</v>
      </c>
      <c r="E445" s="48">
        <f>일위대가표!F1942</f>
        <v>1155819</v>
      </c>
      <c r="F445" s="47">
        <f>일위대가표!H1942</f>
        <v>189819</v>
      </c>
      <c r="G445" s="56">
        <f>일위대가표!J1942</f>
        <v>966000</v>
      </c>
      <c r="H445" s="48">
        <f>일위대가표!L1942</f>
        <v>0</v>
      </c>
      <c r="I445" s="15" t="s">
        <v>1116</v>
      </c>
      <c r="J445" s="17" t="str">
        <f>"_x0007_`COD|B05020_x0005_`QTY1|1_x0005_`BQC|_x0005_`EQC|_x0005_`JDC|_x0005_`WQC|_x0005_`EDT|_x0005_`ADJ|F_x0005_`DET|"&amp;ROW(일위대가표!A1939)&amp;"_x0005_`"</f>
        <v>_x0007_`COD|B05020_x0005_`QTY1|1_x0005_`BQC|_x0005_`EQC|_x0005_`JDC|_x0005_`WQC|_x0005_`EDT|_x0005_`ADJ|F_x0005_`DET|1939_x0005_`</v>
      </c>
      <c r="K445" s="3" t="str">
        <f ca="1">HYPERLINK("#"&amp;일위대가표!N2&amp;"!A"&amp;ROW(일위대가표!A1939),"대가442 →")</f>
        <v>대가442 →</v>
      </c>
    </row>
    <row r="446" spans="1:11" ht="22.35" customHeight="1" x14ac:dyDescent="0.3">
      <c r="A446" s="9" t="s">
        <v>1119</v>
      </c>
      <c r="B446" s="10" t="s">
        <v>1107</v>
      </c>
      <c r="C446" s="10" t="s">
        <v>1120</v>
      </c>
      <c r="D446" s="9" t="s">
        <v>1010</v>
      </c>
      <c r="E446" s="48">
        <f>일위대가표!F1947</f>
        <v>1768873</v>
      </c>
      <c r="F446" s="47">
        <f>일위대가표!H1947</f>
        <v>246873</v>
      </c>
      <c r="G446" s="56">
        <f>일위대가표!J1947</f>
        <v>1522000</v>
      </c>
      <c r="H446" s="48">
        <f>일위대가표!L1947</f>
        <v>0</v>
      </c>
      <c r="I446" s="15" t="s">
        <v>1119</v>
      </c>
      <c r="J446" s="17" t="str">
        <f>"_x0007_`COD|B05021_x0005_`QTY1|1_x0005_`BQC|_x0005_`EQC|_x0005_`JDC|_x0005_`WQC|_x0005_`EDT|_x0005_`ADJ|F_x0005_`DET|"&amp;ROW(일위대가표!A1944)&amp;"_x0005_`"</f>
        <v>_x0007_`COD|B05021_x0005_`QTY1|1_x0005_`BQC|_x0005_`EQC|_x0005_`JDC|_x0005_`WQC|_x0005_`EDT|_x0005_`ADJ|F_x0005_`DET|1944_x0005_`</v>
      </c>
      <c r="K446" s="3" t="str">
        <f ca="1">HYPERLINK("#"&amp;일위대가표!N2&amp;"!A"&amp;ROW(일위대가표!A1944),"대가443 →")</f>
        <v>대가443 →</v>
      </c>
    </row>
    <row r="447" spans="1:11" ht="22.35" customHeight="1" x14ac:dyDescent="0.3">
      <c r="A447" s="9" t="s">
        <v>1122</v>
      </c>
      <c r="B447" s="10" t="s">
        <v>1123</v>
      </c>
      <c r="C447" s="10" t="s">
        <v>1108</v>
      </c>
      <c r="D447" s="9" t="s">
        <v>1010</v>
      </c>
      <c r="E447" s="48">
        <f>일위대가표!F1951</f>
        <v>60695</v>
      </c>
      <c r="F447" s="47">
        <f>일위대가표!H1951</f>
        <v>60695</v>
      </c>
      <c r="G447" s="56">
        <f>일위대가표!J1951</f>
        <v>0</v>
      </c>
      <c r="H447" s="48">
        <f>일위대가표!L1951</f>
        <v>0</v>
      </c>
      <c r="I447" s="15" t="s">
        <v>1122</v>
      </c>
      <c r="J447" s="17" t="str">
        <f>"_x0007_`COD|B05383_x0005_`QTY1|1_x0005_`BQC|_x0005_`EQC|_x0005_`JDC|_x0005_`WQC|_x0005_`EDT|_x0005_`ADJ|F_x0005_`DET|"&amp;ROW(일위대가표!A1949)&amp;"_x0005_`"</f>
        <v>_x0007_`COD|B05383_x0005_`QTY1|1_x0005_`BQC|_x0005_`EQC|_x0005_`JDC|_x0005_`WQC|_x0005_`EDT|_x0005_`ADJ|F_x0005_`DET|1949_x0005_`</v>
      </c>
      <c r="K447" s="3" t="str">
        <f ca="1">HYPERLINK("#"&amp;일위대가표!N2&amp;"!A"&amp;ROW(일위대가표!A1949),"대가444 →")</f>
        <v>대가444 →</v>
      </c>
    </row>
    <row r="448" spans="1:11" ht="22.35" customHeight="1" x14ac:dyDescent="0.3">
      <c r="A448" s="9" t="s">
        <v>1125</v>
      </c>
      <c r="B448" s="10" t="s">
        <v>1123</v>
      </c>
      <c r="C448" s="10" t="s">
        <v>1111</v>
      </c>
      <c r="D448" s="9" t="s">
        <v>1010</v>
      </c>
      <c r="E448" s="48">
        <f>일위대가표!F1955</f>
        <v>103775</v>
      </c>
      <c r="F448" s="47">
        <f>일위대가표!H1955</f>
        <v>100753</v>
      </c>
      <c r="G448" s="56">
        <f>일위대가표!J1955</f>
        <v>0</v>
      </c>
      <c r="H448" s="48">
        <f>일위대가표!L1955</f>
        <v>3022</v>
      </c>
      <c r="I448" s="15" t="s">
        <v>1125</v>
      </c>
      <c r="J448" s="17" t="str">
        <f>"_x0007_`COD|B05384_x0005_`QTY1|1_x0005_`BQC|_x0005_`EQC|_x0005_`JDC|_x0005_`WQC|_x0005_`EDT|_x0005_`ADJ|F_x0005_`DET|"&amp;ROW(일위대가표!A1953)&amp;"_x0005_`"</f>
        <v>_x0007_`COD|B05384_x0005_`QTY1|1_x0005_`BQC|_x0005_`EQC|_x0005_`JDC|_x0005_`WQC|_x0005_`EDT|_x0005_`ADJ|F_x0005_`DET|1953_x0005_`</v>
      </c>
      <c r="K448" s="3" t="str">
        <f ca="1">HYPERLINK("#"&amp;일위대가표!N2&amp;"!A"&amp;ROW(일위대가표!A1953),"대가445 →")</f>
        <v>대가445 →</v>
      </c>
    </row>
    <row r="449" spans="1:11" ht="22.35" customHeight="1" x14ac:dyDescent="0.3">
      <c r="A449" s="9" t="s">
        <v>1127</v>
      </c>
      <c r="B449" s="10" t="s">
        <v>1123</v>
      </c>
      <c r="C449" s="10" t="s">
        <v>1114</v>
      </c>
      <c r="D449" s="9" t="s">
        <v>1010</v>
      </c>
      <c r="E449" s="48">
        <f>일위대가표!F1959</f>
        <v>145668</v>
      </c>
      <c r="F449" s="47">
        <f>일위대가표!H1959</f>
        <v>145668</v>
      </c>
      <c r="G449" s="56">
        <f>일위대가표!J1959</f>
        <v>0</v>
      </c>
      <c r="H449" s="48">
        <f>일위대가표!L1959</f>
        <v>0</v>
      </c>
      <c r="I449" s="15" t="s">
        <v>1127</v>
      </c>
      <c r="J449" s="17" t="str">
        <f>"_x0007_`COD|B05385_x0005_`QTY1|1_x0005_`BQC|_x0005_`EQC|_x0005_`JDC|_x0005_`WQC|_x0005_`EDT|_x0005_`ADJ|F_x0005_`DET|"&amp;ROW(일위대가표!A1957)&amp;"_x0005_`"</f>
        <v>_x0007_`COD|B05385_x0005_`QTY1|1_x0005_`BQC|_x0005_`EQC|_x0005_`JDC|_x0005_`WQC|_x0005_`EDT|_x0005_`ADJ|F_x0005_`DET|1957_x0005_`</v>
      </c>
      <c r="K449" s="3" t="str">
        <f ca="1">HYPERLINK("#"&amp;일위대가표!N2&amp;"!A"&amp;ROW(일위대가표!A1957),"대가446 →")</f>
        <v>대가446 →</v>
      </c>
    </row>
    <row r="450" spans="1:11" ht="22.35" customHeight="1" x14ac:dyDescent="0.3">
      <c r="A450" s="9" t="s">
        <v>1129</v>
      </c>
      <c r="B450" s="10" t="s">
        <v>1123</v>
      </c>
      <c r="C450" s="10" t="s">
        <v>1117</v>
      </c>
      <c r="D450" s="9" t="s">
        <v>1010</v>
      </c>
      <c r="E450" s="48">
        <f>일위대가표!F1963</f>
        <v>189819</v>
      </c>
      <c r="F450" s="47">
        <f>일위대가표!H1963</f>
        <v>189819</v>
      </c>
      <c r="G450" s="56">
        <f>일위대가표!J1963</f>
        <v>0</v>
      </c>
      <c r="H450" s="48">
        <f>일위대가표!L1963</f>
        <v>0</v>
      </c>
      <c r="I450" s="15" t="s">
        <v>1129</v>
      </c>
      <c r="J450" s="17" t="str">
        <f>"_x0007_`COD|B05386_x0005_`QTY1|1_x0005_`BQC|_x0005_`EQC|_x0005_`JDC|_x0005_`WQC|_x0005_`EDT|_x0005_`ADJ|F_x0005_`DET|"&amp;ROW(일위대가표!A1961)&amp;"_x0005_`"</f>
        <v>_x0007_`COD|B05386_x0005_`QTY1|1_x0005_`BQC|_x0005_`EQC|_x0005_`JDC|_x0005_`WQC|_x0005_`EDT|_x0005_`ADJ|F_x0005_`DET|1961_x0005_`</v>
      </c>
      <c r="K450" s="3" t="str">
        <f ca="1">HYPERLINK("#"&amp;일위대가표!N2&amp;"!A"&amp;ROW(일위대가표!A1961),"대가447 →")</f>
        <v>대가447 →</v>
      </c>
    </row>
    <row r="451" spans="1:11" ht="22.35" customHeight="1" x14ac:dyDescent="0.3">
      <c r="A451" s="9" t="s">
        <v>1131</v>
      </c>
      <c r="B451" s="10" t="s">
        <v>1123</v>
      </c>
      <c r="C451" s="10" t="s">
        <v>1120</v>
      </c>
      <c r="D451" s="9" t="s">
        <v>1010</v>
      </c>
      <c r="E451" s="48">
        <f>일위대가표!F1967</f>
        <v>246873</v>
      </c>
      <c r="F451" s="47">
        <f>일위대가표!H1967</f>
        <v>246873</v>
      </c>
      <c r="G451" s="56">
        <f>일위대가표!J1967</f>
        <v>0</v>
      </c>
      <c r="H451" s="48">
        <f>일위대가표!L1967</f>
        <v>0</v>
      </c>
      <c r="I451" s="15" t="s">
        <v>1131</v>
      </c>
      <c r="J451" s="17" t="str">
        <f>"_x0007_`COD|B05387_x0005_`QTY1|1_x0005_`BQC|_x0005_`EQC|_x0005_`JDC|_x0005_`WQC|_x0005_`EDT|_x0005_`ADJ|F_x0005_`DET|"&amp;ROW(일위대가표!A1965)&amp;"_x0005_`"</f>
        <v>_x0007_`COD|B05387_x0005_`QTY1|1_x0005_`BQC|_x0005_`EQC|_x0005_`JDC|_x0005_`WQC|_x0005_`EDT|_x0005_`ADJ|F_x0005_`DET|1965_x0005_`</v>
      </c>
      <c r="K451" s="3" t="str">
        <f ca="1">HYPERLINK("#"&amp;일위대가표!N2&amp;"!A"&amp;ROW(일위대가표!A1965),"대가448 →")</f>
        <v>대가448 →</v>
      </c>
    </row>
    <row r="452" spans="1:11" ht="22.35" customHeight="1" x14ac:dyDescent="0.3">
      <c r="A452" s="9" t="s">
        <v>1133</v>
      </c>
      <c r="B452" s="10" t="s">
        <v>1134</v>
      </c>
      <c r="C452" s="10" t="s">
        <v>1108</v>
      </c>
      <c r="D452" s="9" t="s">
        <v>1010</v>
      </c>
      <c r="E452" s="48">
        <f>일위대가표!F1971</f>
        <v>43354</v>
      </c>
      <c r="F452" s="47">
        <f>일위대가표!H1971</f>
        <v>43354</v>
      </c>
      <c r="G452" s="56">
        <f>일위대가표!J1971</f>
        <v>0</v>
      </c>
      <c r="H452" s="48">
        <f>일위대가표!L1971</f>
        <v>0</v>
      </c>
      <c r="I452" s="15" t="s">
        <v>1133</v>
      </c>
      <c r="J452" s="17" t="str">
        <f>"_x0007_`COD|B05388_x0005_`QTY1|1_x0005_`BQC|_x0005_`EQC|_x0005_`JDC|_x0005_`WQC|_x0005_`EDT|_x0005_`ADJ|F_x0005_`DET|"&amp;ROW(일위대가표!A1969)&amp;"_x0005_`"</f>
        <v>_x0007_`COD|B05388_x0005_`QTY1|1_x0005_`BQC|_x0005_`EQC|_x0005_`JDC|_x0005_`WQC|_x0005_`EDT|_x0005_`ADJ|F_x0005_`DET|1969_x0005_`</v>
      </c>
      <c r="K452" s="3" t="str">
        <f ca="1">HYPERLINK("#"&amp;일위대가표!N2&amp;"!A"&amp;ROW(일위대가표!A1969),"대가449 →")</f>
        <v>대가449 →</v>
      </c>
    </row>
    <row r="453" spans="1:11" ht="22.35" customHeight="1" x14ac:dyDescent="0.3">
      <c r="A453" s="9" t="s">
        <v>1136</v>
      </c>
      <c r="B453" s="10" t="s">
        <v>1134</v>
      </c>
      <c r="C453" s="10" t="s">
        <v>1111</v>
      </c>
      <c r="D453" s="9" t="s">
        <v>1010</v>
      </c>
      <c r="E453" s="48">
        <f>일위대가표!F1975</f>
        <v>74126</v>
      </c>
      <c r="F453" s="47">
        <f>일위대가표!H1975</f>
        <v>71967</v>
      </c>
      <c r="G453" s="56">
        <f>일위대가표!J1975</f>
        <v>0</v>
      </c>
      <c r="H453" s="48">
        <f>일위대가표!L1975</f>
        <v>2159</v>
      </c>
      <c r="I453" s="15" t="s">
        <v>1136</v>
      </c>
      <c r="J453" s="17" t="str">
        <f>"_x0007_`COD|B05389_x0005_`QTY1|1_x0005_`BQC|_x0005_`EQC|_x0005_`JDC|_x0005_`WQC|_x0005_`EDT|_x0005_`ADJ|F_x0005_`DET|"&amp;ROW(일위대가표!A1973)&amp;"_x0005_`"</f>
        <v>_x0007_`COD|B05389_x0005_`QTY1|1_x0005_`BQC|_x0005_`EQC|_x0005_`JDC|_x0005_`WQC|_x0005_`EDT|_x0005_`ADJ|F_x0005_`DET|1973_x0005_`</v>
      </c>
      <c r="K453" s="3" t="str">
        <f ca="1">HYPERLINK("#"&amp;일위대가표!N2&amp;"!A"&amp;ROW(일위대가표!A1973),"대가450 →")</f>
        <v>대가450 →</v>
      </c>
    </row>
    <row r="454" spans="1:11" ht="22.35" customHeight="1" x14ac:dyDescent="0.3">
      <c r="A454" s="9" t="s">
        <v>1138</v>
      </c>
      <c r="B454" s="10" t="s">
        <v>1134</v>
      </c>
      <c r="C454" s="10" t="s">
        <v>1114</v>
      </c>
      <c r="D454" s="9" t="s">
        <v>1010</v>
      </c>
      <c r="E454" s="48">
        <f>일위대가표!F1979</f>
        <v>104049</v>
      </c>
      <c r="F454" s="47">
        <f>일위대가표!H1979</f>
        <v>104049</v>
      </c>
      <c r="G454" s="56">
        <f>일위대가표!J1979</f>
        <v>0</v>
      </c>
      <c r="H454" s="48">
        <f>일위대가표!L1979</f>
        <v>0</v>
      </c>
      <c r="I454" s="15" t="s">
        <v>1138</v>
      </c>
      <c r="J454" s="17" t="str">
        <f>"_x0007_`COD|B05390_x0005_`QTY1|1_x0005_`BQC|_x0005_`EQC|_x0005_`JDC|_x0005_`WQC|_x0005_`EDT|_x0005_`ADJ|F_x0005_`DET|"&amp;ROW(일위대가표!A1977)&amp;"_x0005_`"</f>
        <v>_x0007_`COD|B05390_x0005_`QTY1|1_x0005_`BQC|_x0005_`EQC|_x0005_`JDC|_x0005_`WQC|_x0005_`EDT|_x0005_`ADJ|F_x0005_`DET|1977_x0005_`</v>
      </c>
      <c r="K454" s="3" t="str">
        <f ca="1">HYPERLINK("#"&amp;일위대가표!N2&amp;"!A"&amp;ROW(일위대가표!A1977),"대가451 →")</f>
        <v>대가451 →</v>
      </c>
    </row>
    <row r="455" spans="1:11" ht="22.35" customHeight="1" x14ac:dyDescent="0.3">
      <c r="A455" s="9" t="s">
        <v>1140</v>
      </c>
      <c r="B455" s="10" t="s">
        <v>1134</v>
      </c>
      <c r="C455" s="10" t="s">
        <v>1117</v>
      </c>
      <c r="D455" s="9" t="s">
        <v>1010</v>
      </c>
      <c r="E455" s="48">
        <f>일위대가표!F1983</f>
        <v>135585</v>
      </c>
      <c r="F455" s="47">
        <f>일위대가표!H1983</f>
        <v>135585</v>
      </c>
      <c r="G455" s="56">
        <f>일위대가표!J1983</f>
        <v>0</v>
      </c>
      <c r="H455" s="48">
        <f>일위대가표!L1983</f>
        <v>0</v>
      </c>
      <c r="I455" s="15" t="s">
        <v>1140</v>
      </c>
      <c r="J455" s="17" t="str">
        <f>"_x0007_`COD|B05391_x0005_`QTY1|1_x0005_`BQC|_x0005_`EQC|_x0005_`JDC|_x0005_`WQC|_x0005_`EDT|_x0005_`ADJ|F_x0005_`DET|"&amp;ROW(일위대가표!A1981)&amp;"_x0005_`"</f>
        <v>_x0007_`COD|B05391_x0005_`QTY1|1_x0005_`BQC|_x0005_`EQC|_x0005_`JDC|_x0005_`WQC|_x0005_`EDT|_x0005_`ADJ|F_x0005_`DET|1981_x0005_`</v>
      </c>
      <c r="K455" s="3" t="str">
        <f ca="1">HYPERLINK("#"&amp;일위대가표!N2&amp;"!A"&amp;ROW(일위대가표!A1981),"대가452 →")</f>
        <v>대가452 →</v>
      </c>
    </row>
    <row r="456" spans="1:11" ht="22.35" customHeight="1" x14ac:dyDescent="0.3">
      <c r="A456" s="9" t="s">
        <v>1142</v>
      </c>
      <c r="B456" s="10" t="s">
        <v>1134</v>
      </c>
      <c r="C456" s="10" t="s">
        <v>1120</v>
      </c>
      <c r="D456" s="9" t="s">
        <v>1010</v>
      </c>
      <c r="E456" s="48">
        <f>일위대가표!F1987</f>
        <v>176338</v>
      </c>
      <c r="F456" s="47">
        <f>일위대가표!H1987</f>
        <v>176338</v>
      </c>
      <c r="G456" s="56">
        <f>일위대가표!J1987</f>
        <v>0</v>
      </c>
      <c r="H456" s="48">
        <f>일위대가표!L1987</f>
        <v>0</v>
      </c>
      <c r="I456" s="15" t="s">
        <v>1142</v>
      </c>
      <c r="J456" s="17" t="str">
        <f>"_x0007_`COD|B05392_x0005_`QTY1|1_x0005_`BQC|_x0005_`EQC|_x0005_`JDC|_x0005_`WQC|_x0005_`EDT|_x0005_`ADJ|F_x0005_`DET|"&amp;ROW(일위대가표!A1985)&amp;"_x0005_`"</f>
        <v>_x0007_`COD|B05392_x0005_`QTY1|1_x0005_`BQC|_x0005_`EQC|_x0005_`JDC|_x0005_`WQC|_x0005_`EDT|_x0005_`ADJ|F_x0005_`DET|1985_x0005_`</v>
      </c>
      <c r="K456" s="3" t="str">
        <f ca="1">HYPERLINK("#"&amp;일위대가표!N2&amp;"!A"&amp;ROW(일위대가표!A1985),"대가453 →")</f>
        <v>대가453 →</v>
      </c>
    </row>
    <row r="457" spans="1:11" ht="22.35" customHeight="1" x14ac:dyDescent="0.3">
      <c r="A457" s="9" t="s">
        <v>1144</v>
      </c>
      <c r="B457" s="10" t="s">
        <v>1145</v>
      </c>
      <c r="C457" s="10" t="s">
        <v>1108</v>
      </c>
      <c r="D457" s="9" t="s">
        <v>1010</v>
      </c>
      <c r="E457" s="48">
        <f>일위대가표!F1991</f>
        <v>17341</v>
      </c>
      <c r="F457" s="47">
        <f>일위대가표!H1991</f>
        <v>17341</v>
      </c>
      <c r="G457" s="56">
        <f>일위대가표!J1991</f>
        <v>0</v>
      </c>
      <c r="H457" s="48">
        <f>일위대가표!L1991</f>
        <v>0</v>
      </c>
      <c r="I457" s="15" t="s">
        <v>1144</v>
      </c>
      <c r="J457" s="17" t="str">
        <f>"_x0007_`COD|B05393_x0005_`QTY1|1_x0005_`BQC|_x0005_`EQC|_x0005_`JDC|_x0005_`WQC|_x0005_`EDT|_x0005_`ADJ|F_x0005_`DET|"&amp;ROW(일위대가표!A1989)&amp;"_x0005_`"</f>
        <v>_x0007_`COD|B05393_x0005_`QTY1|1_x0005_`BQC|_x0005_`EQC|_x0005_`JDC|_x0005_`WQC|_x0005_`EDT|_x0005_`ADJ|F_x0005_`DET|1989_x0005_`</v>
      </c>
      <c r="K457" s="3" t="str">
        <f ca="1">HYPERLINK("#"&amp;일위대가표!N2&amp;"!A"&amp;ROW(일위대가표!A1989),"대가454 →")</f>
        <v>대가454 →</v>
      </c>
    </row>
    <row r="458" spans="1:11" ht="22.35" customHeight="1" x14ac:dyDescent="0.3">
      <c r="A458" s="9" t="s">
        <v>1147</v>
      </c>
      <c r="B458" s="10" t="s">
        <v>1145</v>
      </c>
      <c r="C458" s="10" t="s">
        <v>1111</v>
      </c>
      <c r="D458" s="9" t="s">
        <v>1010</v>
      </c>
      <c r="E458" s="48">
        <f>일위대가표!F1995</f>
        <v>29649</v>
      </c>
      <c r="F458" s="47">
        <f>일위대가표!H1995</f>
        <v>28786</v>
      </c>
      <c r="G458" s="56">
        <f>일위대가표!J1995</f>
        <v>0</v>
      </c>
      <c r="H458" s="48">
        <f>일위대가표!L1995</f>
        <v>863</v>
      </c>
      <c r="I458" s="15" t="s">
        <v>1147</v>
      </c>
      <c r="J458" s="17" t="str">
        <f>"_x0007_`COD|B05394_x0005_`QTY1|1_x0005_`BQC|_x0005_`EQC|_x0005_`JDC|_x0005_`WQC|_x0005_`EDT|_x0005_`ADJ|F_x0005_`DET|"&amp;ROW(일위대가표!A1993)&amp;"_x0005_`"</f>
        <v>_x0007_`COD|B05394_x0005_`QTY1|1_x0005_`BQC|_x0005_`EQC|_x0005_`JDC|_x0005_`WQC|_x0005_`EDT|_x0005_`ADJ|F_x0005_`DET|1993_x0005_`</v>
      </c>
      <c r="K458" s="3" t="str">
        <f ca="1">HYPERLINK("#"&amp;일위대가표!N2&amp;"!A"&amp;ROW(일위대가표!A1993),"대가455 →")</f>
        <v>대가455 →</v>
      </c>
    </row>
    <row r="459" spans="1:11" ht="22.35" customHeight="1" x14ac:dyDescent="0.3">
      <c r="A459" s="9" t="s">
        <v>1149</v>
      </c>
      <c r="B459" s="10" t="s">
        <v>1145</v>
      </c>
      <c r="C459" s="10" t="s">
        <v>1114</v>
      </c>
      <c r="D459" s="9" t="s">
        <v>1010</v>
      </c>
      <c r="E459" s="48">
        <f>일위대가표!F1999</f>
        <v>41619</v>
      </c>
      <c r="F459" s="47">
        <f>일위대가표!H1999</f>
        <v>41619</v>
      </c>
      <c r="G459" s="56">
        <f>일위대가표!J1999</f>
        <v>0</v>
      </c>
      <c r="H459" s="48">
        <f>일위대가표!L1999</f>
        <v>0</v>
      </c>
      <c r="I459" s="15" t="s">
        <v>1149</v>
      </c>
      <c r="J459" s="17" t="str">
        <f>"_x0007_`COD|B05395_x0005_`QTY1|1_x0005_`BQC|_x0005_`EQC|_x0005_`JDC|_x0005_`WQC|_x0005_`EDT|_x0005_`ADJ|F_x0005_`DET|"&amp;ROW(일위대가표!A1997)&amp;"_x0005_`"</f>
        <v>_x0007_`COD|B05395_x0005_`QTY1|1_x0005_`BQC|_x0005_`EQC|_x0005_`JDC|_x0005_`WQC|_x0005_`EDT|_x0005_`ADJ|F_x0005_`DET|1997_x0005_`</v>
      </c>
      <c r="K459" s="3" t="str">
        <f ca="1">HYPERLINK("#"&amp;일위대가표!N2&amp;"!A"&amp;ROW(일위대가표!A1997),"대가456 →")</f>
        <v>대가456 →</v>
      </c>
    </row>
    <row r="460" spans="1:11" ht="22.35" customHeight="1" x14ac:dyDescent="0.3">
      <c r="A460" s="9" t="s">
        <v>1151</v>
      </c>
      <c r="B460" s="10" t="s">
        <v>1145</v>
      </c>
      <c r="C460" s="10" t="s">
        <v>1117</v>
      </c>
      <c r="D460" s="9" t="s">
        <v>1010</v>
      </c>
      <c r="E460" s="48">
        <f>일위대가표!F2003</f>
        <v>54234</v>
      </c>
      <c r="F460" s="47">
        <f>일위대가표!H2003</f>
        <v>54234</v>
      </c>
      <c r="G460" s="56">
        <f>일위대가표!J2003</f>
        <v>0</v>
      </c>
      <c r="H460" s="48">
        <f>일위대가표!L2003</f>
        <v>0</v>
      </c>
      <c r="I460" s="15" t="s">
        <v>1151</v>
      </c>
      <c r="J460" s="17" t="str">
        <f>"_x0007_`COD|B05396_x0005_`QTY1|1_x0005_`BQC|_x0005_`EQC|_x0005_`JDC|_x0005_`WQC|_x0005_`EDT|_x0005_`ADJ|F_x0005_`DET|"&amp;ROW(일위대가표!A2001)&amp;"_x0005_`"</f>
        <v>_x0007_`COD|B05396_x0005_`QTY1|1_x0005_`BQC|_x0005_`EQC|_x0005_`JDC|_x0005_`WQC|_x0005_`EDT|_x0005_`ADJ|F_x0005_`DET|2001_x0005_`</v>
      </c>
      <c r="K460" s="3" t="str">
        <f ca="1">HYPERLINK("#"&amp;일위대가표!N2&amp;"!A"&amp;ROW(일위대가표!A2001),"대가457 →")</f>
        <v>대가457 →</v>
      </c>
    </row>
    <row r="461" spans="1:11" ht="22.35" customHeight="1" x14ac:dyDescent="0.3">
      <c r="A461" s="9" t="s">
        <v>1153</v>
      </c>
      <c r="B461" s="10" t="s">
        <v>1145</v>
      </c>
      <c r="C461" s="10" t="s">
        <v>1120</v>
      </c>
      <c r="D461" s="9" t="s">
        <v>1010</v>
      </c>
      <c r="E461" s="48">
        <f>일위대가표!F2007</f>
        <v>70535</v>
      </c>
      <c r="F461" s="47">
        <f>일위대가표!H2007</f>
        <v>70535</v>
      </c>
      <c r="G461" s="56">
        <f>일위대가표!J2007</f>
        <v>0</v>
      </c>
      <c r="H461" s="48">
        <f>일위대가표!L2007</f>
        <v>0</v>
      </c>
      <c r="I461" s="15" t="s">
        <v>1153</v>
      </c>
      <c r="J461" s="17" t="str">
        <f>"_x0007_`COD|B05397_x0005_`QTY1|1_x0005_`BQC|_x0005_`EQC|_x0005_`JDC|_x0005_`WQC|_x0005_`EDT|_x0005_`ADJ|F_x0005_`DET|"&amp;ROW(일위대가표!A2005)&amp;"_x0005_`"</f>
        <v>_x0007_`COD|B05397_x0005_`QTY1|1_x0005_`BQC|_x0005_`EQC|_x0005_`JDC|_x0005_`WQC|_x0005_`EDT|_x0005_`ADJ|F_x0005_`DET|2005_x0005_`</v>
      </c>
      <c r="K461" s="3" t="str">
        <f ca="1">HYPERLINK("#"&amp;일위대가표!N2&amp;"!A"&amp;ROW(일위대가표!A2005),"대가458 →")</f>
        <v>대가458 →</v>
      </c>
    </row>
    <row r="462" spans="1:11" ht="22.35" customHeight="1" x14ac:dyDescent="0.3">
      <c r="A462" s="9" t="s">
        <v>1155</v>
      </c>
      <c r="B462" s="10" t="s">
        <v>1156</v>
      </c>
      <c r="C462" s="10" t="s">
        <v>1157</v>
      </c>
      <c r="D462" s="9" t="s">
        <v>1010</v>
      </c>
      <c r="E462" s="48">
        <f>일위대가표!F2012</f>
        <v>169695</v>
      </c>
      <c r="F462" s="47">
        <f>일위대가표!H2012</f>
        <v>60695</v>
      </c>
      <c r="G462" s="56">
        <f>일위대가표!J2012</f>
        <v>109000</v>
      </c>
      <c r="H462" s="48">
        <f>일위대가표!L2012</f>
        <v>0</v>
      </c>
      <c r="I462" s="15" t="s">
        <v>1155</v>
      </c>
      <c r="J462" s="17" t="str">
        <f>"_x0007_`COD|B05067_x0005_`QTY1|1_x0005_`BQC|_x0005_`EQC|_x0005_`JDC|_x0005_`WQC|_x0005_`EDT|_x0005_`ADJ|F_x0005_`DET|"&amp;ROW(일위대가표!A2009)&amp;"_x0005_`"</f>
        <v>_x0007_`COD|B05067_x0005_`QTY1|1_x0005_`BQC|_x0005_`EQC|_x0005_`JDC|_x0005_`WQC|_x0005_`EDT|_x0005_`ADJ|F_x0005_`DET|2009_x0005_`</v>
      </c>
      <c r="K462" s="3" t="str">
        <f ca="1">HYPERLINK("#"&amp;일위대가표!N2&amp;"!A"&amp;ROW(일위대가표!A2009),"대가459 →")</f>
        <v>대가459 →</v>
      </c>
    </row>
    <row r="463" spans="1:11" ht="22.35" customHeight="1" x14ac:dyDescent="0.3">
      <c r="A463" s="9" t="s">
        <v>1159</v>
      </c>
      <c r="B463" s="10" t="s">
        <v>1156</v>
      </c>
      <c r="C463" s="10" t="s">
        <v>1160</v>
      </c>
      <c r="D463" s="9" t="s">
        <v>1010</v>
      </c>
      <c r="E463" s="48">
        <f>일위대가표!F2017</f>
        <v>211895</v>
      </c>
      <c r="F463" s="47">
        <f>일위대가표!H2017</f>
        <v>60695</v>
      </c>
      <c r="G463" s="56">
        <f>일위대가표!J2017</f>
        <v>151200</v>
      </c>
      <c r="H463" s="48">
        <f>일위대가표!L2017</f>
        <v>0</v>
      </c>
      <c r="I463" s="15" t="s">
        <v>1159</v>
      </c>
      <c r="J463" s="17" t="str">
        <f>"_x0007_`COD|B05022_x0005_`QTY1|1_x0005_`BQC|_x0005_`EQC|_x0005_`JDC|_x0005_`WQC|_x0005_`EDT|_x0005_`ADJ|F_x0005_`DET|"&amp;ROW(일위대가표!A2014)&amp;"_x0005_`"</f>
        <v>_x0007_`COD|B05022_x0005_`QTY1|1_x0005_`BQC|_x0005_`EQC|_x0005_`JDC|_x0005_`WQC|_x0005_`EDT|_x0005_`ADJ|F_x0005_`DET|2014_x0005_`</v>
      </c>
      <c r="K463" s="3" t="str">
        <f ca="1">HYPERLINK("#"&amp;일위대가표!N2&amp;"!A"&amp;ROW(일위대가표!A2014),"대가460 →")</f>
        <v>대가460 →</v>
      </c>
    </row>
    <row r="464" spans="1:11" ht="22.35" customHeight="1" x14ac:dyDescent="0.3">
      <c r="A464" s="9" t="s">
        <v>1162</v>
      </c>
      <c r="B464" s="10" t="s">
        <v>1163</v>
      </c>
      <c r="C464" s="10" t="s">
        <v>1157</v>
      </c>
      <c r="D464" s="9" t="s">
        <v>1010</v>
      </c>
      <c r="E464" s="48">
        <f>일위대가표!F2021</f>
        <v>60695</v>
      </c>
      <c r="F464" s="47">
        <f>일위대가표!H2021</f>
        <v>60695</v>
      </c>
      <c r="G464" s="56">
        <f>일위대가표!J2021</f>
        <v>0</v>
      </c>
      <c r="H464" s="48">
        <f>일위대가표!L2021</f>
        <v>0</v>
      </c>
      <c r="I464" s="15" t="s">
        <v>1162</v>
      </c>
      <c r="J464" s="17" t="str">
        <f>"_x0007_`COD|B05398_x0005_`QTY1|1_x0005_`BQC|_x0005_`EQC|_x0005_`JDC|_x0005_`WQC|_x0005_`EDT|_x0005_`ADJ|F_x0005_`DET|"&amp;ROW(일위대가표!A2019)&amp;"_x0005_`"</f>
        <v>_x0007_`COD|B05398_x0005_`QTY1|1_x0005_`BQC|_x0005_`EQC|_x0005_`JDC|_x0005_`WQC|_x0005_`EDT|_x0005_`ADJ|F_x0005_`DET|2019_x0005_`</v>
      </c>
      <c r="K464" s="3" t="str">
        <f ca="1">HYPERLINK("#"&amp;일위대가표!N2&amp;"!A"&amp;ROW(일위대가표!A2019),"대가461 →")</f>
        <v>대가461 →</v>
      </c>
    </row>
    <row r="465" spans="1:11" ht="22.35" customHeight="1" x14ac:dyDescent="0.3">
      <c r="A465" s="9" t="s">
        <v>1165</v>
      </c>
      <c r="B465" s="10" t="s">
        <v>1163</v>
      </c>
      <c r="C465" s="10" t="s">
        <v>1160</v>
      </c>
      <c r="D465" s="9" t="s">
        <v>1010</v>
      </c>
      <c r="E465" s="48">
        <f>일위대가표!F2025</f>
        <v>60695</v>
      </c>
      <c r="F465" s="47">
        <f>일위대가표!H2025</f>
        <v>60695</v>
      </c>
      <c r="G465" s="56">
        <f>일위대가표!J2025</f>
        <v>0</v>
      </c>
      <c r="H465" s="48">
        <f>일위대가표!L2025</f>
        <v>0</v>
      </c>
      <c r="I465" s="15" t="s">
        <v>1165</v>
      </c>
      <c r="J465" s="17" t="str">
        <f>"_x0007_`COD|B05399_x0005_`QTY1|1_x0005_`BQC|_x0005_`EQC|_x0005_`JDC|_x0005_`WQC|_x0005_`EDT|_x0005_`ADJ|F_x0005_`DET|"&amp;ROW(일위대가표!A2023)&amp;"_x0005_`"</f>
        <v>_x0007_`COD|B05399_x0005_`QTY1|1_x0005_`BQC|_x0005_`EQC|_x0005_`JDC|_x0005_`WQC|_x0005_`EDT|_x0005_`ADJ|F_x0005_`DET|2023_x0005_`</v>
      </c>
      <c r="K465" s="3" t="str">
        <f ca="1">HYPERLINK("#"&amp;일위대가표!N2&amp;"!A"&amp;ROW(일위대가표!A2023),"대가462 →")</f>
        <v>대가462 →</v>
      </c>
    </row>
    <row r="466" spans="1:11" ht="22.35" customHeight="1" x14ac:dyDescent="0.3">
      <c r="A466" s="9" t="s">
        <v>1167</v>
      </c>
      <c r="B466" s="10" t="s">
        <v>1168</v>
      </c>
      <c r="C466" s="10" t="s">
        <v>1157</v>
      </c>
      <c r="D466" s="9" t="s">
        <v>1010</v>
      </c>
      <c r="E466" s="48">
        <f>일위대가표!F2029</f>
        <v>43354</v>
      </c>
      <c r="F466" s="47">
        <f>일위대가표!H2029</f>
        <v>43354</v>
      </c>
      <c r="G466" s="56">
        <f>일위대가표!J2029</f>
        <v>0</v>
      </c>
      <c r="H466" s="48">
        <f>일위대가표!L2029</f>
        <v>0</v>
      </c>
      <c r="I466" s="15" t="s">
        <v>1167</v>
      </c>
      <c r="J466" s="17" t="str">
        <f>"_x0007_`COD|B05400_x0005_`QTY1|1_x0005_`BQC|_x0005_`EQC|_x0005_`JDC|_x0005_`WQC|_x0005_`EDT|_x0005_`ADJ|F_x0005_`DET|"&amp;ROW(일위대가표!A2027)&amp;"_x0005_`"</f>
        <v>_x0007_`COD|B05400_x0005_`QTY1|1_x0005_`BQC|_x0005_`EQC|_x0005_`JDC|_x0005_`WQC|_x0005_`EDT|_x0005_`ADJ|F_x0005_`DET|2027_x0005_`</v>
      </c>
      <c r="K466" s="3" t="str">
        <f ca="1">HYPERLINK("#"&amp;일위대가표!N2&amp;"!A"&amp;ROW(일위대가표!A2027),"대가463 →")</f>
        <v>대가463 →</v>
      </c>
    </row>
    <row r="467" spans="1:11" ht="22.35" customHeight="1" x14ac:dyDescent="0.3">
      <c r="A467" s="9" t="s">
        <v>1170</v>
      </c>
      <c r="B467" s="10" t="s">
        <v>1168</v>
      </c>
      <c r="C467" s="10" t="s">
        <v>1160</v>
      </c>
      <c r="D467" s="9" t="s">
        <v>1010</v>
      </c>
      <c r="E467" s="48">
        <f>일위대가표!F2033</f>
        <v>43354</v>
      </c>
      <c r="F467" s="47">
        <f>일위대가표!H2033</f>
        <v>43354</v>
      </c>
      <c r="G467" s="56">
        <f>일위대가표!J2033</f>
        <v>0</v>
      </c>
      <c r="H467" s="48">
        <f>일위대가표!L2033</f>
        <v>0</v>
      </c>
      <c r="I467" s="15" t="s">
        <v>1170</v>
      </c>
      <c r="J467" s="17" t="str">
        <f>"_x0007_`COD|B05401_x0005_`QTY1|1_x0005_`BQC|_x0005_`EQC|_x0005_`JDC|_x0005_`WQC|_x0005_`EDT|_x0005_`ADJ|F_x0005_`DET|"&amp;ROW(일위대가표!A2031)&amp;"_x0005_`"</f>
        <v>_x0007_`COD|B05401_x0005_`QTY1|1_x0005_`BQC|_x0005_`EQC|_x0005_`JDC|_x0005_`WQC|_x0005_`EDT|_x0005_`ADJ|F_x0005_`DET|2031_x0005_`</v>
      </c>
      <c r="K467" s="3" t="str">
        <f ca="1">HYPERLINK("#"&amp;일위대가표!N2&amp;"!A"&amp;ROW(일위대가표!A2031),"대가464 →")</f>
        <v>대가464 →</v>
      </c>
    </row>
    <row r="468" spans="1:11" ht="22.35" customHeight="1" x14ac:dyDescent="0.3">
      <c r="A468" s="9" t="s">
        <v>1172</v>
      </c>
      <c r="B468" s="10" t="s">
        <v>1173</v>
      </c>
      <c r="C468" s="10" t="s">
        <v>1157</v>
      </c>
      <c r="D468" s="9" t="s">
        <v>1010</v>
      </c>
      <c r="E468" s="48">
        <f>일위대가표!F2037</f>
        <v>17341</v>
      </c>
      <c r="F468" s="47">
        <f>일위대가표!H2037</f>
        <v>17341</v>
      </c>
      <c r="G468" s="56">
        <f>일위대가표!J2037</f>
        <v>0</v>
      </c>
      <c r="H468" s="48">
        <f>일위대가표!L2037</f>
        <v>0</v>
      </c>
      <c r="I468" s="15" t="s">
        <v>1172</v>
      </c>
      <c r="J468" s="17" t="str">
        <f>"_x0007_`COD|B05402_x0005_`QTY1|1_x0005_`BQC|_x0005_`EQC|_x0005_`JDC|_x0005_`WQC|_x0005_`EDT|_x0005_`ADJ|F_x0005_`DET|"&amp;ROW(일위대가표!A2035)&amp;"_x0005_`"</f>
        <v>_x0007_`COD|B05402_x0005_`QTY1|1_x0005_`BQC|_x0005_`EQC|_x0005_`JDC|_x0005_`WQC|_x0005_`EDT|_x0005_`ADJ|F_x0005_`DET|2035_x0005_`</v>
      </c>
      <c r="K468" s="3" t="str">
        <f ca="1">HYPERLINK("#"&amp;일위대가표!N2&amp;"!A"&amp;ROW(일위대가표!A2035),"대가465 →")</f>
        <v>대가465 →</v>
      </c>
    </row>
    <row r="469" spans="1:11" ht="22.35" customHeight="1" x14ac:dyDescent="0.3">
      <c r="A469" s="9" t="s">
        <v>1175</v>
      </c>
      <c r="B469" s="10" t="s">
        <v>1173</v>
      </c>
      <c r="C469" s="10" t="s">
        <v>1160</v>
      </c>
      <c r="D469" s="9" t="s">
        <v>1010</v>
      </c>
      <c r="E469" s="48">
        <f>일위대가표!F2041</f>
        <v>17341</v>
      </c>
      <c r="F469" s="47">
        <f>일위대가표!H2041</f>
        <v>17341</v>
      </c>
      <c r="G469" s="56">
        <f>일위대가표!J2041</f>
        <v>0</v>
      </c>
      <c r="H469" s="48">
        <f>일위대가표!L2041</f>
        <v>0</v>
      </c>
      <c r="I469" s="15" t="s">
        <v>1175</v>
      </c>
      <c r="J469" s="17" t="str">
        <f>"_x0007_`COD|B05403_x0005_`QTY1|1_x0005_`BQC|_x0005_`EQC|_x0005_`JDC|_x0005_`WQC|_x0005_`EDT|_x0005_`ADJ|F_x0005_`DET|"&amp;ROW(일위대가표!A2039)&amp;"_x0005_`"</f>
        <v>_x0007_`COD|B05403_x0005_`QTY1|1_x0005_`BQC|_x0005_`EQC|_x0005_`JDC|_x0005_`WQC|_x0005_`EDT|_x0005_`ADJ|F_x0005_`DET|2039_x0005_`</v>
      </c>
      <c r="K469" s="3" t="str">
        <f ca="1">HYPERLINK("#"&amp;일위대가표!N2&amp;"!A"&amp;ROW(일위대가표!A2039),"대가466 →")</f>
        <v>대가466 →</v>
      </c>
    </row>
    <row r="470" spans="1:11" ht="22.35" customHeight="1" x14ac:dyDescent="0.3">
      <c r="A470" s="9" t="s">
        <v>1177</v>
      </c>
      <c r="B470" s="10" t="s">
        <v>1178</v>
      </c>
      <c r="C470" s="10" t="s">
        <v>1053</v>
      </c>
      <c r="D470" s="9" t="s">
        <v>1010</v>
      </c>
      <c r="E470" s="48">
        <f>일위대가표!F2046</f>
        <v>683775</v>
      </c>
      <c r="F470" s="47">
        <f>일위대가표!H2046</f>
        <v>100753</v>
      </c>
      <c r="G470" s="56">
        <f>일위대가표!J2046</f>
        <v>580000</v>
      </c>
      <c r="H470" s="48">
        <f>일위대가표!L2046</f>
        <v>3022</v>
      </c>
      <c r="I470" s="15" t="s">
        <v>1177</v>
      </c>
      <c r="J470" s="17" t="str">
        <f>"_x0007_`COD|B05023_x0005_`QTY1|1_x0005_`BQC|_x0005_`EQC|_x0005_`JDC|_x0005_`WQC|_x0005_`EDT|_x0005_`ADJ|F_x0005_`DET|"&amp;ROW(일위대가표!A2043)&amp;"_x0005_`"</f>
        <v>_x0007_`COD|B05023_x0005_`QTY1|1_x0005_`BQC|_x0005_`EQC|_x0005_`JDC|_x0005_`WQC|_x0005_`EDT|_x0005_`ADJ|F_x0005_`DET|2043_x0005_`</v>
      </c>
      <c r="K470" s="3" t="str">
        <f ca="1">HYPERLINK("#"&amp;일위대가표!N2&amp;"!A"&amp;ROW(일위대가표!A2043),"대가467 →")</f>
        <v>대가467 →</v>
      </c>
    </row>
    <row r="471" spans="1:11" ht="22.35" customHeight="1" x14ac:dyDescent="0.3">
      <c r="A471" s="9" t="s">
        <v>1180</v>
      </c>
      <c r="B471" s="10" t="s">
        <v>1178</v>
      </c>
      <c r="C471" s="10" t="s">
        <v>1056</v>
      </c>
      <c r="D471" s="9" t="s">
        <v>1010</v>
      </c>
      <c r="E471" s="48">
        <f>일위대가표!F2051</f>
        <v>975668</v>
      </c>
      <c r="F471" s="47">
        <f>일위대가표!H2051</f>
        <v>145668</v>
      </c>
      <c r="G471" s="56">
        <f>일위대가표!J2051</f>
        <v>830000</v>
      </c>
      <c r="H471" s="48">
        <f>일위대가표!L2051</f>
        <v>0</v>
      </c>
      <c r="I471" s="15" t="s">
        <v>1180</v>
      </c>
      <c r="J471" s="17" t="str">
        <f>"_x0007_`COD|B05024_x0005_`QTY1|1_x0005_`BQC|_x0005_`EQC|_x0005_`JDC|_x0005_`WQC|_x0005_`EDT|_x0005_`ADJ|F_x0005_`DET|"&amp;ROW(일위대가표!A2048)&amp;"_x0005_`"</f>
        <v>_x0007_`COD|B05024_x0005_`QTY1|1_x0005_`BQC|_x0005_`EQC|_x0005_`JDC|_x0005_`WQC|_x0005_`EDT|_x0005_`ADJ|F_x0005_`DET|2048_x0005_`</v>
      </c>
      <c r="K471" s="3" t="str">
        <f ca="1">HYPERLINK("#"&amp;일위대가표!N2&amp;"!A"&amp;ROW(일위대가표!A2048),"대가468 →")</f>
        <v>대가468 →</v>
      </c>
    </row>
    <row r="472" spans="1:11" ht="22.35" customHeight="1" x14ac:dyDescent="0.3">
      <c r="A472" s="9" t="s">
        <v>1182</v>
      </c>
      <c r="B472" s="10" t="s">
        <v>1178</v>
      </c>
      <c r="C472" s="10" t="s">
        <v>1059</v>
      </c>
      <c r="D472" s="9" t="s">
        <v>1010</v>
      </c>
      <c r="E472" s="48">
        <f>일위대가표!F2056</f>
        <v>1639819</v>
      </c>
      <c r="F472" s="47">
        <f>일위대가표!H2056</f>
        <v>189819</v>
      </c>
      <c r="G472" s="56">
        <f>일위대가표!J2056</f>
        <v>1450000</v>
      </c>
      <c r="H472" s="48">
        <f>일위대가표!L2056</f>
        <v>0</v>
      </c>
      <c r="I472" s="15" t="s">
        <v>1182</v>
      </c>
      <c r="J472" s="17" t="str">
        <f>"_x0007_`COD|B05025_x0005_`QTY1|1_x0005_`BQC|_x0005_`EQC|_x0005_`JDC|_x0005_`WQC|_x0005_`EDT|_x0005_`ADJ|F_x0005_`DET|"&amp;ROW(일위대가표!A2053)&amp;"_x0005_`"</f>
        <v>_x0007_`COD|B05025_x0005_`QTY1|1_x0005_`BQC|_x0005_`EQC|_x0005_`JDC|_x0005_`WQC|_x0005_`EDT|_x0005_`ADJ|F_x0005_`DET|2053_x0005_`</v>
      </c>
      <c r="K472" s="3" t="str">
        <f ca="1">HYPERLINK("#"&amp;일위대가표!N2&amp;"!A"&amp;ROW(일위대가표!A2053),"대가469 →")</f>
        <v>대가469 →</v>
      </c>
    </row>
    <row r="473" spans="1:11" ht="22.35" customHeight="1" x14ac:dyDescent="0.3">
      <c r="A473" s="9" t="s">
        <v>1184</v>
      </c>
      <c r="B473" s="10" t="s">
        <v>1178</v>
      </c>
      <c r="C473" s="10" t="s">
        <v>1062</v>
      </c>
      <c r="D473" s="9" t="s">
        <v>1010</v>
      </c>
      <c r="E473" s="48">
        <f>일위대가표!F2061</f>
        <v>2476873</v>
      </c>
      <c r="F473" s="47">
        <f>일위대가표!H2061</f>
        <v>246873</v>
      </c>
      <c r="G473" s="56">
        <f>일위대가표!J2061</f>
        <v>2230000</v>
      </c>
      <c r="H473" s="48">
        <f>일위대가표!L2061</f>
        <v>0</v>
      </c>
      <c r="I473" s="15" t="s">
        <v>1184</v>
      </c>
      <c r="J473" s="17" t="str">
        <f>"_x0007_`COD|B05026_x0005_`QTY1|1_x0005_`BQC|_x0005_`EQC|_x0005_`JDC|_x0005_`WQC|_x0005_`EDT|_x0005_`ADJ|F_x0005_`DET|"&amp;ROW(일위대가표!A2058)&amp;"_x0005_`"</f>
        <v>_x0007_`COD|B05026_x0005_`QTY1|1_x0005_`BQC|_x0005_`EQC|_x0005_`JDC|_x0005_`WQC|_x0005_`EDT|_x0005_`ADJ|F_x0005_`DET|2058_x0005_`</v>
      </c>
      <c r="K473" s="3" t="str">
        <f ca="1">HYPERLINK("#"&amp;일위대가표!N2&amp;"!A"&amp;ROW(일위대가표!A2058),"대가470 →")</f>
        <v>대가470 →</v>
      </c>
    </row>
    <row r="474" spans="1:11" ht="22.35" customHeight="1" x14ac:dyDescent="0.3">
      <c r="A474" s="9" t="s">
        <v>1186</v>
      </c>
      <c r="B474" s="10" t="s">
        <v>1178</v>
      </c>
      <c r="C474" s="10" t="s">
        <v>1065</v>
      </c>
      <c r="D474" s="9" t="s">
        <v>1010</v>
      </c>
      <c r="E474" s="48">
        <f>일위대가표!F2066</f>
        <v>4046873</v>
      </c>
      <c r="F474" s="47">
        <f>일위대가표!H2066</f>
        <v>246873</v>
      </c>
      <c r="G474" s="56">
        <f>일위대가표!J2066</f>
        <v>3800000</v>
      </c>
      <c r="H474" s="48">
        <f>일위대가표!L2066</f>
        <v>0</v>
      </c>
      <c r="I474" s="15" t="s">
        <v>1186</v>
      </c>
      <c r="J474" s="17" t="str">
        <f>"_x0007_`COD|B05070_x0005_`QTY1|1_x0005_`BQC|_x0005_`EQC|_x0005_`JDC|_x0005_`WQC|_x0005_`EDT|_x0005_`ADJ|F_x0005_`DET|"&amp;ROW(일위대가표!A2063)&amp;"_x0005_`"</f>
        <v>_x0007_`COD|B05070_x0005_`QTY1|1_x0005_`BQC|_x0005_`EQC|_x0005_`JDC|_x0005_`WQC|_x0005_`EDT|_x0005_`ADJ|F_x0005_`DET|2063_x0005_`</v>
      </c>
      <c r="K474" s="3" t="str">
        <f ca="1">HYPERLINK("#"&amp;일위대가표!N2&amp;"!A"&amp;ROW(일위대가표!A2063),"대가471 →")</f>
        <v>대가471 →</v>
      </c>
    </row>
    <row r="475" spans="1:11" ht="22.35" customHeight="1" x14ac:dyDescent="0.3">
      <c r="A475" s="9" t="s">
        <v>1188</v>
      </c>
      <c r="B475" s="10" t="s">
        <v>1189</v>
      </c>
      <c r="C475" s="10" t="s">
        <v>1053</v>
      </c>
      <c r="D475" s="9" t="s">
        <v>1010</v>
      </c>
      <c r="E475" s="48">
        <f>일위대가표!F2070</f>
        <v>103775</v>
      </c>
      <c r="F475" s="47">
        <f>일위대가표!H2070</f>
        <v>100753</v>
      </c>
      <c r="G475" s="56">
        <f>일위대가표!J2070</f>
        <v>0</v>
      </c>
      <c r="H475" s="48">
        <f>일위대가표!L2070</f>
        <v>3022</v>
      </c>
      <c r="I475" s="15" t="s">
        <v>1188</v>
      </c>
      <c r="J475" s="17" t="str">
        <f>"_x0007_`COD|B05404_x0005_`QTY1|1_x0005_`BQC|_x0005_`EQC|_x0005_`JDC|_x0005_`WQC|_x0005_`EDT|_x0005_`ADJ|F_x0005_`DET|"&amp;ROW(일위대가표!A2068)&amp;"_x0005_`"</f>
        <v>_x0007_`COD|B05404_x0005_`QTY1|1_x0005_`BQC|_x0005_`EQC|_x0005_`JDC|_x0005_`WQC|_x0005_`EDT|_x0005_`ADJ|F_x0005_`DET|2068_x0005_`</v>
      </c>
      <c r="K475" s="3" t="str">
        <f ca="1">HYPERLINK("#"&amp;일위대가표!N2&amp;"!A"&amp;ROW(일위대가표!A2068),"대가472 →")</f>
        <v>대가472 →</v>
      </c>
    </row>
    <row r="476" spans="1:11" ht="22.35" customHeight="1" x14ac:dyDescent="0.3">
      <c r="A476" s="9" t="s">
        <v>1191</v>
      </c>
      <c r="B476" s="10" t="s">
        <v>1189</v>
      </c>
      <c r="C476" s="10" t="s">
        <v>1056</v>
      </c>
      <c r="D476" s="9" t="s">
        <v>1010</v>
      </c>
      <c r="E476" s="48">
        <f>일위대가표!F2074</f>
        <v>145668</v>
      </c>
      <c r="F476" s="47">
        <f>일위대가표!H2074</f>
        <v>145668</v>
      </c>
      <c r="G476" s="56">
        <f>일위대가표!J2074</f>
        <v>0</v>
      </c>
      <c r="H476" s="48">
        <f>일위대가표!L2074</f>
        <v>0</v>
      </c>
      <c r="I476" s="15" t="s">
        <v>1191</v>
      </c>
      <c r="J476" s="17" t="str">
        <f>"_x0007_`COD|B05405_x0005_`QTY1|1_x0005_`BQC|_x0005_`EQC|_x0005_`JDC|_x0005_`WQC|_x0005_`EDT|_x0005_`ADJ|F_x0005_`DET|"&amp;ROW(일위대가표!A2072)&amp;"_x0005_`"</f>
        <v>_x0007_`COD|B05405_x0005_`QTY1|1_x0005_`BQC|_x0005_`EQC|_x0005_`JDC|_x0005_`WQC|_x0005_`EDT|_x0005_`ADJ|F_x0005_`DET|2072_x0005_`</v>
      </c>
      <c r="K476" s="3" t="str">
        <f ca="1">HYPERLINK("#"&amp;일위대가표!N2&amp;"!A"&amp;ROW(일위대가표!A2072),"대가473 →")</f>
        <v>대가473 →</v>
      </c>
    </row>
    <row r="477" spans="1:11" ht="22.35" customHeight="1" x14ac:dyDescent="0.3">
      <c r="A477" s="9" t="s">
        <v>1193</v>
      </c>
      <c r="B477" s="10" t="s">
        <v>1189</v>
      </c>
      <c r="C477" s="10" t="s">
        <v>1059</v>
      </c>
      <c r="D477" s="9" t="s">
        <v>1010</v>
      </c>
      <c r="E477" s="48">
        <f>일위대가표!F2078</f>
        <v>189819</v>
      </c>
      <c r="F477" s="47">
        <f>일위대가표!H2078</f>
        <v>189819</v>
      </c>
      <c r="G477" s="56">
        <f>일위대가표!J2078</f>
        <v>0</v>
      </c>
      <c r="H477" s="48">
        <f>일위대가표!L2078</f>
        <v>0</v>
      </c>
      <c r="I477" s="15" t="s">
        <v>1193</v>
      </c>
      <c r="J477" s="17" t="str">
        <f>"_x0007_`COD|B05406_x0005_`QTY1|1_x0005_`BQC|_x0005_`EQC|_x0005_`JDC|_x0005_`WQC|_x0005_`EDT|_x0005_`ADJ|F_x0005_`DET|"&amp;ROW(일위대가표!A2076)&amp;"_x0005_`"</f>
        <v>_x0007_`COD|B05406_x0005_`QTY1|1_x0005_`BQC|_x0005_`EQC|_x0005_`JDC|_x0005_`WQC|_x0005_`EDT|_x0005_`ADJ|F_x0005_`DET|2076_x0005_`</v>
      </c>
      <c r="K477" s="3" t="str">
        <f ca="1">HYPERLINK("#"&amp;일위대가표!N2&amp;"!A"&amp;ROW(일위대가표!A2076),"대가474 →")</f>
        <v>대가474 →</v>
      </c>
    </row>
    <row r="478" spans="1:11" ht="22.35" customHeight="1" x14ac:dyDescent="0.3">
      <c r="A478" s="9" t="s">
        <v>1195</v>
      </c>
      <c r="B478" s="10" t="s">
        <v>1189</v>
      </c>
      <c r="C478" s="10" t="s">
        <v>1062</v>
      </c>
      <c r="D478" s="9" t="s">
        <v>1010</v>
      </c>
      <c r="E478" s="48">
        <f>일위대가표!F2082</f>
        <v>246873</v>
      </c>
      <c r="F478" s="47">
        <f>일위대가표!H2082</f>
        <v>246873</v>
      </c>
      <c r="G478" s="56">
        <f>일위대가표!J2082</f>
        <v>0</v>
      </c>
      <c r="H478" s="48">
        <f>일위대가표!L2082</f>
        <v>0</v>
      </c>
      <c r="I478" s="15" t="s">
        <v>1195</v>
      </c>
      <c r="J478" s="17" t="str">
        <f>"_x0007_`COD|B05407_x0005_`QTY1|1_x0005_`BQC|_x0005_`EQC|_x0005_`JDC|_x0005_`WQC|_x0005_`EDT|_x0005_`ADJ|F_x0005_`DET|"&amp;ROW(일위대가표!A2080)&amp;"_x0005_`"</f>
        <v>_x0007_`COD|B05407_x0005_`QTY1|1_x0005_`BQC|_x0005_`EQC|_x0005_`JDC|_x0005_`WQC|_x0005_`EDT|_x0005_`ADJ|F_x0005_`DET|2080_x0005_`</v>
      </c>
      <c r="K478" s="3" t="str">
        <f ca="1">HYPERLINK("#"&amp;일위대가표!N2&amp;"!A"&amp;ROW(일위대가표!A2080),"대가475 →")</f>
        <v>대가475 →</v>
      </c>
    </row>
    <row r="479" spans="1:11" ht="22.35" customHeight="1" x14ac:dyDescent="0.3">
      <c r="A479" s="9" t="s">
        <v>1197</v>
      </c>
      <c r="B479" s="10" t="s">
        <v>1198</v>
      </c>
      <c r="C479" s="10" t="s">
        <v>1053</v>
      </c>
      <c r="D479" s="9" t="s">
        <v>1010</v>
      </c>
      <c r="E479" s="48">
        <f>일위대가표!F2086</f>
        <v>74126</v>
      </c>
      <c r="F479" s="47">
        <f>일위대가표!H2086</f>
        <v>71967</v>
      </c>
      <c r="G479" s="56">
        <f>일위대가표!J2086</f>
        <v>0</v>
      </c>
      <c r="H479" s="48">
        <f>일위대가표!L2086</f>
        <v>2159</v>
      </c>
      <c r="I479" s="15" t="s">
        <v>1197</v>
      </c>
      <c r="J479" s="17" t="str">
        <f>"_x0007_`COD|B05408_x0005_`QTY1|1_x0005_`BQC|_x0005_`EQC|_x0005_`JDC|_x0005_`WQC|_x0005_`EDT|_x0005_`ADJ|F_x0005_`DET|"&amp;ROW(일위대가표!A2084)&amp;"_x0005_`"</f>
        <v>_x0007_`COD|B05408_x0005_`QTY1|1_x0005_`BQC|_x0005_`EQC|_x0005_`JDC|_x0005_`WQC|_x0005_`EDT|_x0005_`ADJ|F_x0005_`DET|2084_x0005_`</v>
      </c>
      <c r="K479" s="3" t="str">
        <f ca="1">HYPERLINK("#"&amp;일위대가표!N2&amp;"!A"&amp;ROW(일위대가표!A2084),"대가476 →")</f>
        <v>대가476 →</v>
      </c>
    </row>
    <row r="480" spans="1:11" ht="22.35" customHeight="1" x14ac:dyDescent="0.3">
      <c r="A480" s="9" t="s">
        <v>1200</v>
      </c>
      <c r="B480" s="10" t="s">
        <v>1198</v>
      </c>
      <c r="C480" s="10" t="s">
        <v>1056</v>
      </c>
      <c r="D480" s="9" t="s">
        <v>1010</v>
      </c>
      <c r="E480" s="48">
        <f>일위대가표!F2090</f>
        <v>104049</v>
      </c>
      <c r="F480" s="47">
        <f>일위대가표!H2090</f>
        <v>104049</v>
      </c>
      <c r="G480" s="56">
        <f>일위대가표!J2090</f>
        <v>0</v>
      </c>
      <c r="H480" s="48">
        <f>일위대가표!L2090</f>
        <v>0</v>
      </c>
      <c r="I480" s="15" t="s">
        <v>1200</v>
      </c>
      <c r="J480" s="17" t="str">
        <f>"_x0007_`COD|B05409_x0005_`QTY1|1_x0005_`BQC|_x0005_`EQC|_x0005_`JDC|_x0005_`WQC|_x0005_`EDT|_x0005_`ADJ|F_x0005_`DET|"&amp;ROW(일위대가표!A2088)&amp;"_x0005_`"</f>
        <v>_x0007_`COD|B05409_x0005_`QTY1|1_x0005_`BQC|_x0005_`EQC|_x0005_`JDC|_x0005_`WQC|_x0005_`EDT|_x0005_`ADJ|F_x0005_`DET|2088_x0005_`</v>
      </c>
      <c r="K480" s="3" t="str">
        <f ca="1">HYPERLINK("#"&amp;일위대가표!N2&amp;"!A"&amp;ROW(일위대가표!A2088),"대가477 →")</f>
        <v>대가477 →</v>
      </c>
    </row>
    <row r="481" spans="1:11" ht="22.35" customHeight="1" x14ac:dyDescent="0.3">
      <c r="A481" s="9" t="s">
        <v>1202</v>
      </c>
      <c r="B481" s="10" t="s">
        <v>1198</v>
      </c>
      <c r="C481" s="10" t="s">
        <v>1059</v>
      </c>
      <c r="D481" s="9" t="s">
        <v>1010</v>
      </c>
      <c r="E481" s="48">
        <f>일위대가표!F2094</f>
        <v>135585</v>
      </c>
      <c r="F481" s="47">
        <f>일위대가표!H2094</f>
        <v>135585</v>
      </c>
      <c r="G481" s="56">
        <f>일위대가표!J2094</f>
        <v>0</v>
      </c>
      <c r="H481" s="48">
        <f>일위대가표!L2094</f>
        <v>0</v>
      </c>
      <c r="I481" s="15" t="s">
        <v>1202</v>
      </c>
      <c r="J481" s="17" t="str">
        <f>"_x0007_`COD|B05410_x0005_`QTY1|1_x0005_`BQC|_x0005_`EQC|_x0005_`JDC|_x0005_`WQC|_x0005_`EDT|_x0005_`ADJ|F_x0005_`DET|"&amp;ROW(일위대가표!A2092)&amp;"_x0005_`"</f>
        <v>_x0007_`COD|B05410_x0005_`QTY1|1_x0005_`BQC|_x0005_`EQC|_x0005_`JDC|_x0005_`WQC|_x0005_`EDT|_x0005_`ADJ|F_x0005_`DET|2092_x0005_`</v>
      </c>
      <c r="K481" s="3" t="str">
        <f ca="1">HYPERLINK("#"&amp;일위대가표!N2&amp;"!A"&amp;ROW(일위대가표!A2092),"대가478 →")</f>
        <v>대가478 →</v>
      </c>
    </row>
    <row r="482" spans="1:11" ht="22.35" customHeight="1" x14ac:dyDescent="0.3">
      <c r="A482" s="9" t="s">
        <v>1204</v>
      </c>
      <c r="B482" s="10" t="s">
        <v>1198</v>
      </c>
      <c r="C482" s="10" t="s">
        <v>1062</v>
      </c>
      <c r="D482" s="9" t="s">
        <v>1010</v>
      </c>
      <c r="E482" s="48">
        <f>일위대가표!F2098</f>
        <v>176338</v>
      </c>
      <c r="F482" s="47">
        <f>일위대가표!H2098</f>
        <v>176338</v>
      </c>
      <c r="G482" s="56">
        <f>일위대가표!J2098</f>
        <v>0</v>
      </c>
      <c r="H482" s="48">
        <f>일위대가표!L2098</f>
        <v>0</v>
      </c>
      <c r="I482" s="15" t="s">
        <v>1204</v>
      </c>
      <c r="J482" s="17" t="str">
        <f>"_x0007_`COD|B05411_x0005_`QTY1|1_x0005_`BQC|_x0005_`EQC|_x0005_`JDC|_x0005_`WQC|_x0005_`EDT|_x0005_`ADJ|F_x0005_`DET|"&amp;ROW(일위대가표!A2096)&amp;"_x0005_`"</f>
        <v>_x0007_`COD|B05411_x0005_`QTY1|1_x0005_`BQC|_x0005_`EQC|_x0005_`JDC|_x0005_`WQC|_x0005_`EDT|_x0005_`ADJ|F_x0005_`DET|2096_x0005_`</v>
      </c>
      <c r="K482" s="3" t="str">
        <f ca="1">HYPERLINK("#"&amp;일위대가표!N2&amp;"!A"&amp;ROW(일위대가표!A2096),"대가479 →")</f>
        <v>대가479 →</v>
      </c>
    </row>
    <row r="483" spans="1:11" ht="22.35" customHeight="1" x14ac:dyDescent="0.3">
      <c r="A483" s="9" t="s">
        <v>1206</v>
      </c>
      <c r="B483" s="10" t="s">
        <v>1207</v>
      </c>
      <c r="C483" s="10" t="s">
        <v>1053</v>
      </c>
      <c r="D483" s="9" t="s">
        <v>1010</v>
      </c>
      <c r="E483" s="48">
        <f>일위대가표!F2102</f>
        <v>29649</v>
      </c>
      <c r="F483" s="47">
        <f>일위대가표!H2102</f>
        <v>28786</v>
      </c>
      <c r="G483" s="56">
        <f>일위대가표!J2102</f>
        <v>0</v>
      </c>
      <c r="H483" s="48">
        <f>일위대가표!L2102</f>
        <v>863</v>
      </c>
      <c r="I483" s="15" t="s">
        <v>1206</v>
      </c>
      <c r="J483" s="17" t="str">
        <f>"_x0007_`COD|B05412_x0005_`QTY1|1_x0005_`BQC|_x0005_`EQC|_x0005_`JDC|_x0005_`WQC|_x0005_`EDT|_x0005_`ADJ|F_x0005_`DET|"&amp;ROW(일위대가표!A2100)&amp;"_x0005_`"</f>
        <v>_x0007_`COD|B05412_x0005_`QTY1|1_x0005_`BQC|_x0005_`EQC|_x0005_`JDC|_x0005_`WQC|_x0005_`EDT|_x0005_`ADJ|F_x0005_`DET|2100_x0005_`</v>
      </c>
      <c r="K483" s="3" t="str">
        <f ca="1">HYPERLINK("#"&amp;일위대가표!N2&amp;"!A"&amp;ROW(일위대가표!A2100),"대가480 →")</f>
        <v>대가480 →</v>
      </c>
    </row>
    <row r="484" spans="1:11" ht="22.35" customHeight="1" x14ac:dyDescent="0.3">
      <c r="A484" s="9" t="s">
        <v>1209</v>
      </c>
      <c r="B484" s="10" t="s">
        <v>1207</v>
      </c>
      <c r="C484" s="10" t="s">
        <v>1056</v>
      </c>
      <c r="D484" s="9" t="s">
        <v>1010</v>
      </c>
      <c r="E484" s="48">
        <f>일위대가표!F2106</f>
        <v>41619</v>
      </c>
      <c r="F484" s="47">
        <f>일위대가표!H2106</f>
        <v>41619</v>
      </c>
      <c r="G484" s="56">
        <f>일위대가표!J2106</f>
        <v>0</v>
      </c>
      <c r="H484" s="48">
        <f>일위대가표!L2106</f>
        <v>0</v>
      </c>
      <c r="I484" s="15" t="s">
        <v>1209</v>
      </c>
      <c r="J484" s="17" t="str">
        <f>"_x0007_`COD|B05413_x0005_`QTY1|1_x0005_`BQC|_x0005_`EQC|_x0005_`JDC|_x0005_`WQC|_x0005_`EDT|_x0005_`ADJ|F_x0005_`DET|"&amp;ROW(일위대가표!A2104)&amp;"_x0005_`"</f>
        <v>_x0007_`COD|B05413_x0005_`QTY1|1_x0005_`BQC|_x0005_`EQC|_x0005_`JDC|_x0005_`WQC|_x0005_`EDT|_x0005_`ADJ|F_x0005_`DET|2104_x0005_`</v>
      </c>
      <c r="K484" s="3" t="str">
        <f ca="1">HYPERLINK("#"&amp;일위대가표!N2&amp;"!A"&amp;ROW(일위대가표!A2104),"대가481 →")</f>
        <v>대가481 →</v>
      </c>
    </row>
    <row r="485" spans="1:11" ht="22.35" customHeight="1" x14ac:dyDescent="0.3">
      <c r="A485" s="9" t="s">
        <v>1211</v>
      </c>
      <c r="B485" s="10" t="s">
        <v>1207</v>
      </c>
      <c r="C485" s="10" t="s">
        <v>1059</v>
      </c>
      <c r="D485" s="9" t="s">
        <v>1010</v>
      </c>
      <c r="E485" s="48">
        <f>일위대가표!F2110</f>
        <v>54234</v>
      </c>
      <c r="F485" s="47">
        <f>일위대가표!H2110</f>
        <v>54234</v>
      </c>
      <c r="G485" s="56">
        <f>일위대가표!J2110</f>
        <v>0</v>
      </c>
      <c r="H485" s="48">
        <f>일위대가표!L2110</f>
        <v>0</v>
      </c>
      <c r="I485" s="15" t="s">
        <v>1211</v>
      </c>
      <c r="J485" s="17" t="str">
        <f>"_x0007_`COD|B05414_x0005_`QTY1|1_x0005_`BQC|_x0005_`EQC|_x0005_`JDC|_x0005_`WQC|_x0005_`EDT|_x0005_`ADJ|F_x0005_`DET|"&amp;ROW(일위대가표!A2108)&amp;"_x0005_`"</f>
        <v>_x0007_`COD|B05414_x0005_`QTY1|1_x0005_`BQC|_x0005_`EQC|_x0005_`JDC|_x0005_`WQC|_x0005_`EDT|_x0005_`ADJ|F_x0005_`DET|2108_x0005_`</v>
      </c>
      <c r="K485" s="3" t="str">
        <f ca="1">HYPERLINK("#"&amp;일위대가표!N2&amp;"!A"&amp;ROW(일위대가표!A2108),"대가482 →")</f>
        <v>대가482 →</v>
      </c>
    </row>
    <row r="486" spans="1:11" ht="22.35" customHeight="1" x14ac:dyDescent="0.3">
      <c r="A486" s="9" t="s">
        <v>1213</v>
      </c>
      <c r="B486" s="10" t="s">
        <v>1207</v>
      </c>
      <c r="C486" s="10" t="s">
        <v>1062</v>
      </c>
      <c r="D486" s="9" t="s">
        <v>1010</v>
      </c>
      <c r="E486" s="48">
        <f>일위대가표!F2114</f>
        <v>70535</v>
      </c>
      <c r="F486" s="47">
        <f>일위대가표!H2114</f>
        <v>70535</v>
      </c>
      <c r="G486" s="56">
        <f>일위대가표!J2114</f>
        <v>0</v>
      </c>
      <c r="H486" s="48">
        <f>일위대가표!L2114</f>
        <v>0</v>
      </c>
      <c r="I486" s="15" t="s">
        <v>1213</v>
      </c>
      <c r="J486" s="17" t="str">
        <f>"_x0007_`COD|B05415_x0005_`QTY1|1_x0005_`BQC|_x0005_`EQC|_x0005_`JDC|_x0005_`WQC|_x0005_`EDT|_x0005_`ADJ|F_x0005_`DET|"&amp;ROW(일위대가표!A2112)&amp;"_x0005_`"</f>
        <v>_x0007_`COD|B05415_x0005_`QTY1|1_x0005_`BQC|_x0005_`EQC|_x0005_`JDC|_x0005_`WQC|_x0005_`EDT|_x0005_`ADJ|F_x0005_`DET|2112_x0005_`</v>
      </c>
      <c r="K486" s="3" t="str">
        <f ca="1">HYPERLINK("#"&amp;일위대가표!N2&amp;"!A"&amp;ROW(일위대가표!A2112),"대가483 →")</f>
        <v>대가483 →</v>
      </c>
    </row>
    <row r="487" spans="1:11" ht="22.35" customHeight="1" x14ac:dyDescent="0.3">
      <c r="A487" s="9" t="s">
        <v>1215</v>
      </c>
      <c r="B487" s="10" t="s">
        <v>1216</v>
      </c>
      <c r="C487" s="10" t="s">
        <v>1050</v>
      </c>
      <c r="D487" s="9" t="s">
        <v>1010</v>
      </c>
      <c r="E487" s="48">
        <f>일위대가표!F2119</f>
        <v>410695</v>
      </c>
      <c r="F487" s="47">
        <f>일위대가표!H2119</f>
        <v>60695</v>
      </c>
      <c r="G487" s="56">
        <f>일위대가표!J2119</f>
        <v>350000</v>
      </c>
      <c r="H487" s="48">
        <f>일위대가표!L2119</f>
        <v>0</v>
      </c>
      <c r="I487" s="15" t="s">
        <v>1215</v>
      </c>
      <c r="J487" s="17" t="str">
        <f>"_x0007_`COD|B05027_x0005_`QTY1|1_x0005_`BQC|_x0005_`EQC|_x0005_`JDC|_x0005_`WQC|_x0005_`EDT|_x0005_`ADJ|F_x0005_`DET|"&amp;ROW(일위대가표!A2116)&amp;"_x0005_`"</f>
        <v>_x0007_`COD|B05027_x0005_`QTY1|1_x0005_`BQC|_x0005_`EQC|_x0005_`JDC|_x0005_`WQC|_x0005_`EDT|_x0005_`ADJ|F_x0005_`DET|2116_x0005_`</v>
      </c>
      <c r="K487" s="3" t="str">
        <f ca="1">HYPERLINK("#"&amp;일위대가표!N2&amp;"!A"&amp;ROW(일위대가표!A2116),"대가484 →")</f>
        <v>대가484 →</v>
      </c>
    </row>
    <row r="488" spans="1:11" ht="22.35" customHeight="1" x14ac:dyDescent="0.3">
      <c r="A488" s="9" t="s">
        <v>1218</v>
      </c>
      <c r="B488" s="10" t="s">
        <v>1216</v>
      </c>
      <c r="C488" s="10" t="s">
        <v>1053</v>
      </c>
      <c r="D488" s="9" t="s">
        <v>1010</v>
      </c>
      <c r="E488" s="48">
        <f>일위대가표!F2124</f>
        <v>753775</v>
      </c>
      <c r="F488" s="47">
        <f>일위대가표!H2124</f>
        <v>100753</v>
      </c>
      <c r="G488" s="56">
        <f>일위대가표!J2124</f>
        <v>650000</v>
      </c>
      <c r="H488" s="48">
        <f>일위대가표!L2124</f>
        <v>3022</v>
      </c>
      <c r="I488" s="15" t="s">
        <v>1218</v>
      </c>
      <c r="J488" s="17" t="str">
        <f>"_x0007_`COD|B05028_x0005_`QTY1|1_x0005_`BQC|_x0005_`EQC|_x0005_`JDC|_x0005_`WQC|_x0005_`EDT|_x0005_`ADJ|F_x0005_`DET|"&amp;ROW(일위대가표!A2121)&amp;"_x0005_`"</f>
        <v>_x0007_`COD|B05028_x0005_`QTY1|1_x0005_`BQC|_x0005_`EQC|_x0005_`JDC|_x0005_`WQC|_x0005_`EDT|_x0005_`ADJ|F_x0005_`DET|2121_x0005_`</v>
      </c>
      <c r="K488" s="3" t="str">
        <f ca="1">HYPERLINK("#"&amp;일위대가표!N2&amp;"!A"&amp;ROW(일위대가표!A2121),"대가485 →")</f>
        <v>대가485 →</v>
      </c>
    </row>
    <row r="489" spans="1:11" ht="22.35" customHeight="1" x14ac:dyDescent="0.3">
      <c r="A489" s="9" t="s">
        <v>1220</v>
      </c>
      <c r="B489" s="10" t="s">
        <v>1216</v>
      </c>
      <c r="C489" s="10" t="s">
        <v>1056</v>
      </c>
      <c r="D489" s="9" t="s">
        <v>1010</v>
      </c>
      <c r="E489" s="48">
        <f>일위대가표!F2129</f>
        <v>1005668</v>
      </c>
      <c r="F489" s="47">
        <f>일위대가표!H2129</f>
        <v>145668</v>
      </c>
      <c r="G489" s="56">
        <f>일위대가표!J2129</f>
        <v>860000</v>
      </c>
      <c r="H489" s="48">
        <f>일위대가표!L2129</f>
        <v>0</v>
      </c>
      <c r="I489" s="15" t="s">
        <v>1220</v>
      </c>
      <c r="J489" s="17" t="str">
        <f>"_x0007_`COD|B05029_x0005_`QTY1|1_x0005_`BQC|_x0005_`EQC|_x0005_`JDC|_x0005_`WQC|_x0005_`EDT|_x0005_`ADJ|F_x0005_`DET|"&amp;ROW(일위대가표!A2126)&amp;"_x0005_`"</f>
        <v>_x0007_`COD|B05029_x0005_`QTY1|1_x0005_`BQC|_x0005_`EQC|_x0005_`JDC|_x0005_`WQC|_x0005_`EDT|_x0005_`ADJ|F_x0005_`DET|2126_x0005_`</v>
      </c>
      <c r="K489" s="3" t="str">
        <f ca="1">HYPERLINK("#"&amp;일위대가표!N2&amp;"!A"&amp;ROW(일위대가표!A2126),"대가486 →")</f>
        <v>대가486 →</v>
      </c>
    </row>
    <row r="490" spans="1:11" ht="22.35" customHeight="1" x14ac:dyDescent="0.3">
      <c r="A490" s="9" t="s">
        <v>1222</v>
      </c>
      <c r="B490" s="10" t="s">
        <v>1216</v>
      </c>
      <c r="C490" s="10" t="s">
        <v>1059</v>
      </c>
      <c r="D490" s="9" t="s">
        <v>1010</v>
      </c>
      <c r="E490" s="48">
        <f>일위대가표!F2134</f>
        <v>1669819</v>
      </c>
      <c r="F490" s="47">
        <f>일위대가표!H2134</f>
        <v>189819</v>
      </c>
      <c r="G490" s="56">
        <f>일위대가표!J2134</f>
        <v>1480000</v>
      </c>
      <c r="H490" s="48">
        <f>일위대가표!L2134</f>
        <v>0</v>
      </c>
      <c r="I490" s="15" t="s">
        <v>1222</v>
      </c>
      <c r="J490" s="17" t="str">
        <f>"_x0007_`COD|B05030_x0005_`QTY1|1_x0005_`BQC|_x0005_`EQC|_x0005_`JDC|_x0005_`WQC|_x0005_`EDT|_x0005_`ADJ|F_x0005_`DET|"&amp;ROW(일위대가표!A2131)&amp;"_x0005_`"</f>
        <v>_x0007_`COD|B05030_x0005_`QTY1|1_x0005_`BQC|_x0005_`EQC|_x0005_`JDC|_x0005_`WQC|_x0005_`EDT|_x0005_`ADJ|F_x0005_`DET|2131_x0005_`</v>
      </c>
      <c r="K490" s="3" t="str">
        <f ca="1">HYPERLINK("#"&amp;일위대가표!N2&amp;"!A"&amp;ROW(일위대가표!A2131),"대가487 →")</f>
        <v>대가487 →</v>
      </c>
    </row>
    <row r="491" spans="1:11" ht="22.35" customHeight="1" x14ac:dyDescent="0.3">
      <c r="A491" s="9" t="s">
        <v>1224</v>
      </c>
      <c r="B491" s="10" t="s">
        <v>1216</v>
      </c>
      <c r="C491" s="10" t="s">
        <v>1062</v>
      </c>
      <c r="D491" s="9" t="s">
        <v>1010</v>
      </c>
      <c r="E491" s="48">
        <f>일위대가표!F2139</f>
        <v>2296873</v>
      </c>
      <c r="F491" s="47">
        <f>일위대가표!H2139</f>
        <v>246873</v>
      </c>
      <c r="G491" s="56">
        <f>일위대가표!J2139</f>
        <v>2050000</v>
      </c>
      <c r="H491" s="48">
        <f>일위대가표!L2139</f>
        <v>0</v>
      </c>
      <c r="I491" s="15" t="s">
        <v>1224</v>
      </c>
      <c r="J491" s="17" t="str">
        <f>"_x0007_`COD|B05031_x0005_`QTY1|1_x0005_`BQC|_x0005_`EQC|_x0005_`JDC|_x0005_`WQC|_x0005_`EDT|_x0005_`ADJ|F_x0005_`DET|"&amp;ROW(일위대가표!A2136)&amp;"_x0005_`"</f>
        <v>_x0007_`COD|B05031_x0005_`QTY1|1_x0005_`BQC|_x0005_`EQC|_x0005_`JDC|_x0005_`WQC|_x0005_`EDT|_x0005_`ADJ|F_x0005_`DET|2136_x0005_`</v>
      </c>
      <c r="K491" s="3" t="str">
        <f ca="1">HYPERLINK("#"&amp;일위대가표!N2&amp;"!A"&amp;ROW(일위대가표!A2136),"대가488 →")</f>
        <v>대가488 →</v>
      </c>
    </row>
    <row r="492" spans="1:11" ht="22.35" customHeight="1" x14ac:dyDescent="0.3">
      <c r="A492" s="9" t="s">
        <v>1226</v>
      </c>
      <c r="B492" s="10" t="s">
        <v>1216</v>
      </c>
      <c r="C492" s="10" t="s">
        <v>1065</v>
      </c>
      <c r="D492" s="9" t="s">
        <v>1010</v>
      </c>
      <c r="E492" s="48">
        <f>일위대가표!F2144</f>
        <v>3876873</v>
      </c>
      <c r="F492" s="47">
        <f>일위대가표!H2144</f>
        <v>246873</v>
      </c>
      <c r="G492" s="56">
        <f>일위대가표!J2144</f>
        <v>3630000</v>
      </c>
      <c r="H492" s="48">
        <f>일위대가표!L2144</f>
        <v>0</v>
      </c>
      <c r="I492" s="15" t="s">
        <v>1226</v>
      </c>
      <c r="J492" s="17" t="str">
        <f>"_x0007_`COD|B05072_x0005_`QTY1|1_x0005_`BQC|_x0005_`EQC|_x0005_`JDC|_x0005_`WQC|_x0005_`EDT|_x0005_`ADJ|F_x0005_`DET|"&amp;ROW(일위대가표!A2141)&amp;"_x0005_`"</f>
        <v>_x0007_`COD|B05072_x0005_`QTY1|1_x0005_`BQC|_x0005_`EQC|_x0005_`JDC|_x0005_`WQC|_x0005_`EDT|_x0005_`ADJ|F_x0005_`DET|2141_x0005_`</v>
      </c>
      <c r="K492" s="3" t="str">
        <f ca="1">HYPERLINK("#"&amp;일위대가표!N2&amp;"!A"&amp;ROW(일위대가표!A2141),"대가489 →")</f>
        <v>대가489 →</v>
      </c>
    </row>
    <row r="493" spans="1:11" ht="22.35" customHeight="1" x14ac:dyDescent="0.3">
      <c r="A493" s="9" t="s">
        <v>1228</v>
      </c>
      <c r="B493" s="10" t="s">
        <v>1229</v>
      </c>
      <c r="C493" s="10" t="s">
        <v>1050</v>
      </c>
      <c r="D493" s="9" t="s">
        <v>1010</v>
      </c>
      <c r="E493" s="48">
        <f>일위대가표!F2148</f>
        <v>60695</v>
      </c>
      <c r="F493" s="47">
        <f>일위대가표!H2148</f>
        <v>60695</v>
      </c>
      <c r="G493" s="56">
        <f>일위대가표!J2148</f>
        <v>0</v>
      </c>
      <c r="H493" s="48">
        <f>일위대가표!L2148</f>
        <v>0</v>
      </c>
      <c r="I493" s="15" t="s">
        <v>1228</v>
      </c>
      <c r="J493" s="17" t="str">
        <f>"_x0007_`COD|B05416_x0005_`QTY1|1_x0005_`BQC|_x0005_`EQC|_x0005_`JDC|_x0005_`WQC|_x0005_`EDT|_x0005_`ADJ|F_x0005_`DET|"&amp;ROW(일위대가표!A2146)&amp;"_x0005_`"</f>
        <v>_x0007_`COD|B05416_x0005_`QTY1|1_x0005_`BQC|_x0005_`EQC|_x0005_`JDC|_x0005_`WQC|_x0005_`EDT|_x0005_`ADJ|F_x0005_`DET|2146_x0005_`</v>
      </c>
      <c r="K493" s="3" t="str">
        <f ca="1">HYPERLINK("#"&amp;일위대가표!N2&amp;"!A"&amp;ROW(일위대가표!A2146),"대가490 →")</f>
        <v>대가490 →</v>
      </c>
    </row>
    <row r="494" spans="1:11" ht="22.35" customHeight="1" x14ac:dyDescent="0.3">
      <c r="A494" s="9" t="s">
        <v>1231</v>
      </c>
      <c r="B494" s="10" t="s">
        <v>1229</v>
      </c>
      <c r="C494" s="10" t="s">
        <v>1053</v>
      </c>
      <c r="D494" s="9" t="s">
        <v>1010</v>
      </c>
      <c r="E494" s="48">
        <f>일위대가표!F2152</f>
        <v>103775</v>
      </c>
      <c r="F494" s="47">
        <f>일위대가표!H2152</f>
        <v>100753</v>
      </c>
      <c r="G494" s="56">
        <f>일위대가표!J2152</f>
        <v>0</v>
      </c>
      <c r="H494" s="48">
        <f>일위대가표!L2152</f>
        <v>3022</v>
      </c>
      <c r="I494" s="15" t="s">
        <v>1231</v>
      </c>
      <c r="J494" s="17" t="str">
        <f>"_x0007_`COD|B05417_x0005_`QTY1|1_x0005_`BQC|_x0005_`EQC|_x0005_`JDC|_x0005_`WQC|_x0005_`EDT|_x0005_`ADJ|F_x0005_`DET|"&amp;ROW(일위대가표!A2150)&amp;"_x0005_`"</f>
        <v>_x0007_`COD|B05417_x0005_`QTY1|1_x0005_`BQC|_x0005_`EQC|_x0005_`JDC|_x0005_`WQC|_x0005_`EDT|_x0005_`ADJ|F_x0005_`DET|2150_x0005_`</v>
      </c>
      <c r="K494" s="3" t="str">
        <f ca="1">HYPERLINK("#"&amp;일위대가표!N2&amp;"!A"&amp;ROW(일위대가표!A2150),"대가491 →")</f>
        <v>대가491 →</v>
      </c>
    </row>
    <row r="495" spans="1:11" ht="22.35" customHeight="1" x14ac:dyDescent="0.3">
      <c r="A495" s="9" t="s">
        <v>1233</v>
      </c>
      <c r="B495" s="10" t="s">
        <v>1229</v>
      </c>
      <c r="C495" s="10" t="s">
        <v>1056</v>
      </c>
      <c r="D495" s="9" t="s">
        <v>1010</v>
      </c>
      <c r="E495" s="48">
        <f>일위대가표!F2156</f>
        <v>145668</v>
      </c>
      <c r="F495" s="47">
        <f>일위대가표!H2156</f>
        <v>145668</v>
      </c>
      <c r="G495" s="56">
        <f>일위대가표!J2156</f>
        <v>0</v>
      </c>
      <c r="H495" s="48">
        <f>일위대가표!L2156</f>
        <v>0</v>
      </c>
      <c r="I495" s="15" t="s">
        <v>1233</v>
      </c>
      <c r="J495" s="17" t="str">
        <f>"_x0007_`COD|B05418_x0005_`QTY1|1_x0005_`BQC|_x0005_`EQC|_x0005_`JDC|_x0005_`WQC|_x0005_`EDT|_x0005_`ADJ|F_x0005_`DET|"&amp;ROW(일위대가표!A2154)&amp;"_x0005_`"</f>
        <v>_x0007_`COD|B05418_x0005_`QTY1|1_x0005_`BQC|_x0005_`EQC|_x0005_`JDC|_x0005_`WQC|_x0005_`EDT|_x0005_`ADJ|F_x0005_`DET|2154_x0005_`</v>
      </c>
      <c r="K495" s="3" t="str">
        <f ca="1">HYPERLINK("#"&amp;일위대가표!N2&amp;"!A"&amp;ROW(일위대가표!A2154),"대가492 →")</f>
        <v>대가492 →</v>
      </c>
    </row>
    <row r="496" spans="1:11" ht="22.35" customHeight="1" x14ac:dyDescent="0.3">
      <c r="A496" s="9" t="s">
        <v>1235</v>
      </c>
      <c r="B496" s="10" t="s">
        <v>1229</v>
      </c>
      <c r="C496" s="10" t="s">
        <v>1059</v>
      </c>
      <c r="D496" s="9" t="s">
        <v>1010</v>
      </c>
      <c r="E496" s="48">
        <f>일위대가표!F2160</f>
        <v>189819</v>
      </c>
      <c r="F496" s="47">
        <f>일위대가표!H2160</f>
        <v>189819</v>
      </c>
      <c r="G496" s="56">
        <f>일위대가표!J2160</f>
        <v>0</v>
      </c>
      <c r="H496" s="48">
        <f>일위대가표!L2160</f>
        <v>0</v>
      </c>
      <c r="I496" s="15" t="s">
        <v>1235</v>
      </c>
      <c r="J496" s="17" t="str">
        <f>"_x0007_`COD|B05419_x0005_`QTY1|1_x0005_`BQC|_x0005_`EQC|_x0005_`JDC|_x0005_`WQC|_x0005_`EDT|_x0005_`ADJ|F_x0005_`DET|"&amp;ROW(일위대가표!A2158)&amp;"_x0005_`"</f>
        <v>_x0007_`COD|B05419_x0005_`QTY1|1_x0005_`BQC|_x0005_`EQC|_x0005_`JDC|_x0005_`WQC|_x0005_`EDT|_x0005_`ADJ|F_x0005_`DET|2158_x0005_`</v>
      </c>
      <c r="K496" s="3" t="str">
        <f ca="1">HYPERLINK("#"&amp;일위대가표!N2&amp;"!A"&amp;ROW(일위대가표!A2158),"대가493 →")</f>
        <v>대가493 →</v>
      </c>
    </row>
    <row r="497" spans="1:11" ht="22.35" customHeight="1" x14ac:dyDescent="0.3">
      <c r="A497" s="9" t="s">
        <v>1237</v>
      </c>
      <c r="B497" s="10" t="s">
        <v>1229</v>
      </c>
      <c r="C497" s="10" t="s">
        <v>1062</v>
      </c>
      <c r="D497" s="9" t="s">
        <v>1010</v>
      </c>
      <c r="E497" s="48">
        <f>일위대가표!F2164</f>
        <v>246873</v>
      </c>
      <c r="F497" s="47">
        <f>일위대가표!H2164</f>
        <v>246873</v>
      </c>
      <c r="G497" s="56">
        <f>일위대가표!J2164</f>
        <v>0</v>
      </c>
      <c r="H497" s="48">
        <f>일위대가표!L2164</f>
        <v>0</v>
      </c>
      <c r="I497" s="15" t="s">
        <v>1237</v>
      </c>
      <c r="J497" s="17" t="str">
        <f>"_x0007_`COD|B05420_x0005_`QTY1|1_x0005_`BQC|_x0005_`EQC|_x0005_`JDC|_x0005_`WQC|_x0005_`EDT|_x0005_`ADJ|F_x0005_`DET|"&amp;ROW(일위대가표!A2162)&amp;"_x0005_`"</f>
        <v>_x0007_`COD|B05420_x0005_`QTY1|1_x0005_`BQC|_x0005_`EQC|_x0005_`JDC|_x0005_`WQC|_x0005_`EDT|_x0005_`ADJ|F_x0005_`DET|2162_x0005_`</v>
      </c>
      <c r="K497" s="3" t="str">
        <f ca="1">HYPERLINK("#"&amp;일위대가표!N2&amp;"!A"&amp;ROW(일위대가표!A2162),"대가494 →")</f>
        <v>대가494 →</v>
      </c>
    </row>
    <row r="498" spans="1:11" ht="22.35" customHeight="1" x14ac:dyDescent="0.3">
      <c r="A498" s="9" t="s">
        <v>1239</v>
      </c>
      <c r="B498" s="10" t="s">
        <v>1229</v>
      </c>
      <c r="C498" s="10" t="s">
        <v>1065</v>
      </c>
      <c r="D498" s="9" t="s">
        <v>1010</v>
      </c>
      <c r="E498" s="48">
        <f>일위대가표!F2168</f>
        <v>246873</v>
      </c>
      <c r="F498" s="47">
        <f>일위대가표!H2168</f>
        <v>246873</v>
      </c>
      <c r="G498" s="56">
        <f>일위대가표!J2168</f>
        <v>0</v>
      </c>
      <c r="H498" s="48">
        <f>일위대가표!L2168</f>
        <v>0</v>
      </c>
      <c r="I498" s="15" t="s">
        <v>1239</v>
      </c>
      <c r="J498" s="17" t="str">
        <f>"_x0007_`COD|B05421_x0005_`QTY1|1_x0005_`BQC|_x0005_`EQC|_x0005_`JDC|_x0005_`WQC|_x0005_`EDT|_x0005_`ADJ|F_x0005_`DET|"&amp;ROW(일위대가표!A2166)&amp;"_x0005_`"</f>
        <v>_x0007_`COD|B05421_x0005_`QTY1|1_x0005_`BQC|_x0005_`EQC|_x0005_`JDC|_x0005_`WQC|_x0005_`EDT|_x0005_`ADJ|F_x0005_`DET|2166_x0005_`</v>
      </c>
      <c r="K498" s="3" t="str">
        <f ca="1">HYPERLINK("#"&amp;일위대가표!N2&amp;"!A"&amp;ROW(일위대가표!A2166),"대가495 →")</f>
        <v>대가495 →</v>
      </c>
    </row>
    <row r="499" spans="1:11" ht="22.35" customHeight="1" x14ac:dyDescent="0.3">
      <c r="A499" s="9" t="s">
        <v>1241</v>
      </c>
      <c r="B499" s="10" t="s">
        <v>1242</v>
      </c>
      <c r="C499" s="10" t="s">
        <v>1050</v>
      </c>
      <c r="D499" s="9" t="s">
        <v>1010</v>
      </c>
      <c r="E499" s="48">
        <f>일위대가표!F2172</f>
        <v>43354</v>
      </c>
      <c r="F499" s="47">
        <f>일위대가표!H2172</f>
        <v>43354</v>
      </c>
      <c r="G499" s="56">
        <f>일위대가표!J2172</f>
        <v>0</v>
      </c>
      <c r="H499" s="48">
        <f>일위대가표!L2172</f>
        <v>0</v>
      </c>
      <c r="I499" s="15" t="s">
        <v>1241</v>
      </c>
      <c r="J499" s="17" t="str">
        <f>"_x0007_`COD|B05422_x0005_`QTY1|1_x0005_`BQC|_x0005_`EQC|_x0005_`JDC|_x0005_`WQC|_x0005_`EDT|_x0005_`ADJ|F_x0005_`DET|"&amp;ROW(일위대가표!A2170)&amp;"_x0005_`"</f>
        <v>_x0007_`COD|B05422_x0005_`QTY1|1_x0005_`BQC|_x0005_`EQC|_x0005_`JDC|_x0005_`WQC|_x0005_`EDT|_x0005_`ADJ|F_x0005_`DET|2170_x0005_`</v>
      </c>
      <c r="K499" s="3" t="str">
        <f ca="1">HYPERLINK("#"&amp;일위대가표!N2&amp;"!A"&amp;ROW(일위대가표!A2170),"대가496 →")</f>
        <v>대가496 →</v>
      </c>
    </row>
    <row r="500" spans="1:11" ht="22.35" customHeight="1" x14ac:dyDescent="0.3">
      <c r="A500" s="9" t="s">
        <v>1244</v>
      </c>
      <c r="B500" s="10" t="s">
        <v>1242</v>
      </c>
      <c r="C500" s="10" t="s">
        <v>1053</v>
      </c>
      <c r="D500" s="9" t="s">
        <v>1010</v>
      </c>
      <c r="E500" s="48">
        <f>일위대가표!F2176</f>
        <v>74126</v>
      </c>
      <c r="F500" s="47">
        <f>일위대가표!H2176</f>
        <v>71967</v>
      </c>
      <c r="G500" s="56">
        <f>일위대가표!J2176</f>
        <v>0</v>
      </c>
      <c r="H500" s="48">
        <f>일위대가표!L2176</f>
        <v>2159</v>
      </c>
      <c r="I500" s="15" t="s">
        <v>1244</v>
      </c>
      <c r="J500" s="17" t="str">
        <f>"_x0007_`COD|B05423_x0005_`QTY1|1_x0005_`BQC|_x0005_`EQC|_x0005_`JDC|_x0005_`WQC|_x0005_`EDT|_x0005_`ADJ|F_x0005_`DET|"&amp;ROW(일위대가표!A2174)&amp;"_x0005_`"</f>
        <v>_x0007_`COD|B05423_x0005_`QTY1|1_x0005_`BQC|_x0005_`EQC|_x0005_`JDC|_x0005_`WQC|_x0005_`EDT|_x0005_`ADJ|F_x0005_`DET|2174_x0005_`</v>
      </c>
      <c r="K500" s="3" t="str">
        <f ca="1">HYPERLINK("#"&amp;일위대가표!N2&amp;"!A"&amp;ROW(일위대가표!A2174),"대가497 →")</f>
        <v>대가497 →</v>
      </c>
    </row>
    <row r="501" spans="1:11" ht="22.35" customHeight="1" x14ac:dyDescent="0.3">
      <c r="A501" s="9" t="s">
        <v>1246</v>
      </c>
      <c r="B501" s="10" t="s">
        <v>1242</v>
      </c>
      <c r="C501" s="10" t="s">
        <v>1056</v>
      </c>
      <c r="D501" s="9" t="s">
        <v>1010</v>
      </c>
      <c r="E501" s="48">
        <f>일위대가표!F2180</f>
        <v>104049</v>
      </c>
      <c r="F501" s="47">
        <f>일위대가표!H2180</f>
        <v>104049</v>
      </c>
      <c r="G501" s="56">
        <f>일위대가표!J2180</f>
        <v>0</v>
      </c>
      <c r="H501" s="48">
        <f>일위대가표!L2180</f>
        <v>0</v>
      </c>
      <c r="I501" s="15" t="s">
        <v>1246</v>
      </c>
      <c r="J501" s="17" t="str">
        <f>"_x0007_`COD|B05424_x0005_`QTY1|1_x0005_`BQC|_x0005_`EQC|_x0005_`JDC|_x0005_`WQC|_x0005_`EDT|_x0005_`ADJ|F_x0005_`DET|"&amp;ROW(일위대가표!A2178)&amp;"_x0005_`"</f>
        <v>_x0007_`COD|B05424_x0005_`QTY1|1_x0005_`BQC|_x0005_`EQC|_x0005_`JDC|_x0005_`WQC|_x0005_`EDT|_x0005_`ADJ|F_x0005_`DET|2178_x0005_`</v>
      </c>
      <c r="K501" s="3" t="str">
        <f ca="1">HYPERLINK("#"&amp;일위대가표!N2&amp;"!A"&amp;ROW(일위대가표!A2178),"대가498 →")</f>
        <v>대가498 →</v>
      </c>
    </row>
    <row r="502" spans="1:11" ht="22.35" customHeight="1" x14ac:dyDescent="0.3">
      <c r="A502" s="9" t="s">
        <v>1248</v>
      </c>
      <c r="B502" s="10" t="s">
        <v>1242</v>
      </c>
      <c r="C502" s="10" t="s">
        <v>1059</v>
      </c>
      <c r="D502" s="9" t="s">
        <v>1010</v>
      </c>
      <c r="E502" s="48">
        <f>일위대가표!F2184</f>
        <v>135585</v>
      </c>
      <c r="F502" s="47">
        <f>일위대가표!H2184</f>
        <v>135585</v>
      </c>
      <c r="G502" s="56">
        <f>일위대가표!J2184</f>
        <v>0</v>
      </c>
      <c r="H502" s="48">
        <f>일위대가표!L2184</f>
        <v>0</v>
      </c>
      <c r="I502" s="15" t="s">
        <v>1248</v>
      </c>
      <c r="J502" s="17" t="str">
        <f>"_x0007_`COD|B05425_x0005_`QTY1|1_x0005_`BQC|_x0005_`EQC|_x0005_`JDC|_x0005_`WQC|_x0005_`EDT|_x0005_`ADJ|F_x0005_`DET|"&amp;ROW(일위대가표!A2182)&amp;"_x0005_`"</f>
        <v>_x0007_`COD|B05425_x0005_`QTY1|1_x0005_`BQC|_x0005_`EQC|_x0005_`JDC|_x0005_`WQC|_x0005_`EDT|_x0005_`ADJ|F_x0005_`DET|2182_x0005_`</v>
      </c>
      <c r="K502" s="3" t="str">
        <f ca="1">HYPERLINK("#"&amp;일위대가표!N2&amp;"!A"&amp;ROW(일위대가표!A2182),"대가499 →")</f>
        <v>대가499 →</v>
      </c>
    </row>
    <row r="503" spans="1:11" ht="22.35" customHeight="1" x14ac:dyDescent="0.3">
      <c r="A503" s="9" t="s">
        <v>1250</v>
      </c>
      <c r="B503" s="10" t="s">
        <v>1242</v>
      </c>
      <c r="C503" s="10" t="s">
        <v>1062</v>
      </c>
      <c r="D503" s="9" t="s">
        <v>1010</v>
      </c>
      <c r="E503" s="48">
        <f>일위대가표!F2188</f>
        <v>176338</v>
      </c>
      <c r="F503" s="47">
        <f>일위대가표!H2188</f>
        <v>176338</v>
      </c>
      <c r="G503" s="56">
        <f>일위대가표!J2188</f>
        <v>0</v>
      </c>
      <c r="H503" s="48">
        <f>일위대가표!L2188</f>
        <v>0</v>
      </c>
      <c r="I503" s="15" t="s">
        <v>1250</v>
      </c>
      <c r="J503" s="17" t="str">
        <f>"_x0007_`COD|B05426_x0005_`QTY1|1_x0005_`BQC|_x0005_`EQC|_x0005_`JDC|_x0005_`WQC|_x0005_`EDT|_x0005_`ADJ|F_x0005_`DET|"&amp;ROW(일위대가표!A2186)&amp;"_x0005_`"</f>
        <v>_x0007_`COD|B05426_x0005_`QTY1|1_x0005_`BQC|_x0005_`EQC|_x0005_`JDC|_x0005_`WQC|_x0005_`EDT|_x0005_`ADJ|F_x0005_`DET|2186_x0005_`</v>
      </c>
      <c r="K503" s="3" t="str">
        <f ca="1">HYPERLINK("#"&amp;일위대가표!N2&amp;"!A"&amp;ROW(일위대가표!A2186),"대가500 →")</f>
        <v>대가500 →</v>
      </c>
    </row>
    <row r="504" spans="1:11" ht="22.35" customHeight="1" x14ac:dyDescent="0.3">
      <c r="A504" s="9" t="s">
        <v>1252</v>
      </c>
      <c r="B504" s="10" t="s">
        <v>1242</v>
      </c>
      <c r="C504" s="10" t="s">
        <v>1065</v>
      </c>
      <c r="D504" s="9" t="s">
        <v>1010</v>
      </c>
      <c r="E504" s="48">
        <f>일위대가표!F2192</f>
        <v>176338</v>
      </c>
      <c r="F504" s="47">
        <f>일위대가표!H2192</f>
        <v>176338</v>
      </c>
      <c r="G504" s="56">
        <f>일위대가표!J2192</f>
        <v>0</v>
      </c>
      <c r="H504" s="48">
        <f>일위대가표!L2192</f>
        <v>0</v>
      </c>
      <c r="I504" s="15" t="s">
        <v>1252</v>
      </c>
      <c r="J504" s="17" t="str">
        <f>"_x0007_`COD|B05427_x0005_`QTY1|1_x0005_`BQC|_x0005_`EQC|_x0005_`JDC|_x0005_`WQC|_x0005_`EDT|_x0005_`ADJ|F_x0005_`DET|"&amp;ROW(일위대가표!A2190)&amp;"_x0005_`"</f>
        <v>_x0007_`COD|B05427_x0005_`QTY1|1_x0005_`BQC|_x0005_`EQC|_x0005_`JDC|_x0005_`WQC|_x0005_`EDT|_x0005_`ADJ|F_x0005_`DET|2190_x0005_`</v>
      </c>
      <c r="K504" s="3" t="str">
        <f ca="1">HYPERLINK("#"&amp;일위대가표!N2&amp;"!A"&amp;ROW(일위대가표!A2190),"대가501 →")</f>
        <v>대가501 →</v>
      </c>
    </row>
    <row r="505" spans="1:11" ht="22.35" customHeight="1" x14ac:dyDescent="0.3">
      <c r="A505" s="9" t="s">
        <v>1254</v>
      </c>
      <c r="B505" s="10" t="s">
        <v>1255</v>
      </c>
      <c r="C505" s="10" t="s">
        <v>1050</v>
      </c>
      <c r="D505" s="9" t="s">
        <v>1010</v>
      </c>
      <c r="E505" s="48">
        <f>일위대가표!F2196</f>
        <v>17341</v>
      </c>
      <c r="F505" s="47">
        <f>일위대가표!H2196</f>
        <v>17341</v>
      </c>
      <c r="G505" s="56">
        <f>일위대가표!J2196</f>
        <v>0</v>
      </c>
      <c r="H505" s="48">
        <f>일위대가표!L2196</f>
        <v>0</v>
      </c>
      <c r="I505" s="15" t="s">
        <v>1254</v>
      </c>
      <c r="J505" s="17" t="str">
        <f>"_x0007_`COD|B05428_x0005_`QTY1|1_x0005_`BQC|_x0005_`EQC|_x0005_`JDC|_x0005_`WQC|_x0005_`EDT|_x0005_`ADJ|F_x0005_`DET|"&amp;ROW(일위대가표!A2194)&amp;"_x0005_`"</f>
        <v>_x0007_`COD|B05428_x0005_`QTY1|1_x0005_`BQC|_x0005_`EQC|_x0005_`JDC|_x0005_`WQC|_x0005_`EDT|_x0005_`ADJ|F_x0005_`DET|2194_x0005_`</v>
      </c>
      <c r="K505" s="3" t="str">
        <f ca="1">HYPERLINK("#"&amp;일위대가표!N2&amp;"!A"&amp;ROW(일위대가표!A2194),"대가502 →")</f>
        <v>대가502 →</v>
      </c>
    </row>
    <row r="506" spans="1:11" ht="22.35" customHeight="1" x14ac:dyDescent="0.3">
      <c r="A506" s="9" t="s">
        <v>1257</v>
      </c>
      <c r="B506" s="10" t="s">
        <v>1255</v>
      </c>
      <c r="C506" s="10" t="s">
        <v>1053</v>
      </c>
      <c r="D506" s="9" t="s">
        <v>1010</v>
      </c>
      <c r="E506" s="48">
        <f>일위대가표!F2200</f>
        <v>29649</v>
      </c>
      <c r="F506" s="47">
        <f>일위대가표!H2200</f>
        <v>28786</v>
      </c>
      <c r="G506" s="56">
        <f>일위대가표!J2200</f>
        <v>0</v>
      </c>
      <c r="H506" s="48">
        <f>일위대가표!L2200</f>
        <v>863</v>
      </c>
      <c r="I506" s="15" t="s">
        <v>1257</v>
      </c>
      <c r="J506" s="17" t="str">
        <f>"_x0007_`COD|B05429_x0005_`QTY1|1_x0005_`BQC|_x0005_`EQC|_x0005_`JDC|_x0005_`WQC|_x0005_`EDT|_x0005_`ADJ|F_x0005_`DET|"&amp;ROW(일위대가표!A2198)&amp;"_x0005_`"</f>
        <v>_x0007_`COD|B05429_x0005_`QTY1|1_x0005_`BQC|_x0005_`EQC|_x0005_`JDC|_x0005_`WQC|_x0005_`EDT|_x0005_`ADJ|F_x0005_`DET|2198_x0005_`</v>
      </c>
      <c r="K506" s="3" t="str">
        <f ca="1">HYPERLINK("#"&amp;일위대가표!N2&amp;"!A"&amp;ROW(일위대가표!A2198),"대가503 →")</f>
        <v>대가503 →</v>
      </c>
    </row>
    <row r="507" spans="1:11" ht="22.35" customHeight="1" x14ac:dyDescent="0.3">
      <c r="A507" s="9" t="s">
        <v>1259</v>
      </c>
      <c r="B507" s="10" t="s">
        <v>1255</v>
      </c>
      <c r="C507" s="10" t="s">
        <v>1056</v>
      </c>
      <c r="D507" s="9" t="s">
        <v>1010</v>
      </c>
      <c r="E507" s="48">
        <f>일위대가표!F2204</f>
        <v>41619</v>
      </c>
      <c r="F507" s="47">
        <f>일위대가표!H2204</f>
        <v>41619</v>
      </c>
      <c r="G507" s="56">
        <f>일위대가표!J2204</f>
        <v>0</v>
      </c>
      <c r="H507" s="48">
        <f>일위대가표!L2204</f>
        <v>0</v>
      </c>
      <c r="I507" s="15" t="s">
        <v>1259</v>
      </c>
      <c r="J507" s="17" t="str">
        <f>"_x0007_`COD|B05430_x0005_`QTY1|1_x0005_`BQC|_x0005_`EQC|_x0005_`JDC|_x0005_`WQC|_x0005_`EDT|_x0005_`ADJ|F_x0005_`DET|"&amp;ROW(일위대가표!A2202)&amp;"_x0005_`"</f>
        <v>_x0007_`COD|B05430_x0005_`QTY1|1_x0005_`BQC|_x0005_`EQC|_x0005_`JDC|_x0005_`WQC|_x0005_`EDT|_x0005_`ADJ|F_x0005_`DET|2202_x0005_`</v>
      </c>
      <c r="K507" s="3" t="str">
        <f ca="1">HYPERLINK("#"&amp;일위대가표!N2&amp;"!A"&amp;ROW(일위대가표!A2202),"대가504 →")</f>
        <v>대가504 →</v>
      </c>
    </row>
    <row r="508" spans="1:11" ht="22.35" customHeight="1" x14ac:dyDescent="0.3">
      <c r="A508" s="9" t="s">
        <v>1261</v>
      </c>
      <c r="B508" s="10" t="s">
        <v>1255</v>
      </c>
      <c r="C508" s="10" t="s">
        <v>1059</v>
      </c>
      <c r="D508" s="9" t="s">
        <v>1010</v>
      </c>
      <c r="E508" s="48">
        <f>일위대가표!F2208</f>
        <v>54234</v>
      </c>
      <c r="F508" s="47">
        <f>일위대가표!H2208</f>
        <v>54234</v>
      </c>
      <c r="G508" s="56">
        <f>일위대가표!J2208</f>
        <v>0</v>
      </c>
      <c r="H508" s="48">
        <f>일위대가표!L2208</f>
        <v>0</v>
      </c>
      <c r="I508" s="15" t="s">
        <v>1261</v>
      </c>
      <c r="J508" s="17" t="str">
        <f>"_x0007_`COD|B05431_x0005_`QTY1|1_x0005_`BQC|_x0005_`EQC|_x0005_`JDC|_x0005_`WQC|_x0005_`EDT|_x0005_`ADJ|F_x0005_`DET|"&amp;ROW(일위대가표!A2206)&amp;"_x0005_`"</f>
        <v>_x0007_`COD|B05431_x0005_`QTY1|1_x0005_`BQC|_x0005_`EQC|_x0005_`JDC|_x0005_`WQC|_x0005_`EDT|_x0005_`ADJ|F_x0005_`DET|2206_x0005_`</v>
      </c>
      <c r="K508" s="3" t="str">
        <f ca="1">HYPERLINK("#"&amp;일위대가표!N2&amp;"!A"&amp;ROW(일위대가표!A2206),"대가505 →")</f>
        <v>대가505 →</v>
      </c>
    </row>
    <row r="509" spans="1:11" ht="22.35" customHeight="1" x14ac:dyDescent="0.3">
      <c r="A509" s="9" t="s">
        <v>1263</v>
      </c>
      <c r="B509" s="10" t="s">
        <v>1255</v>
      </c>
      <c r="C509" s="10" t="s">
        <v>1062</v>
      </c>
      <c r="D509" s="9" t="s">
        <v>1010</v>
      </c>
      <c r="E509" s="48">
        <f>일위대가표!F2212</f>
        <v>70535</v>
      </c>
      <c r="F509" s="47">
        <f>일위대가표!H2212</f>
        <v>70535</v>
      </c>
      <c r="G509" s="56">
        <f>일위대가표!J2212</f>
        <v>0</v>
      </c>
      <c r="H509" s="48">
        <f>일위대가표!L2212</f>
        <v>0</v>
      </c>
      <c r="I509" s="15" t="s">
        <v>1263</v>
      </c>
      <c r="J509" s="17" t="str">
        <f>"_x0007_`COD|B05432_x0005_`QTY1|1_x0005_`BQC|_x0005_`EQC|_x0005_`JDC|_x0005_`WQC|_x0005_`EDT|_x0005_`ADJ|F_x0005_`DET|"&amp;ROW(일위대가표!A2210)&amp;"_x0005_`"</f>
        <v>_x0007_`COD|B05432_x0005_`QTY1|1_x0005_`BQC|_x0005_`EQC|_x0005_`JDC|_x0005_`WQC|_x0005_`EDT|_x0005_`ADJ|F_x0005_`DET|2210_x0005_`</v>
      </c>
      <c r="K509" s="3" t="str">
        <f ca="1">HYPERLINK("#"&amp;일위대가표!N2&amp;"!A"&amp;ROW(일위대가표!A2210),"대가506 →")</f>
        <v>대가506 →</v>
      </c>
    </row>
    <row r="510" spans="1:11" ht="22.35" customHeight="1" x14ac:dyDescent="0.3">
      <c r="A510" s="9" t="s">
        <v>1265</v>
      </c>
      <c r="B510" s="10" t="s">
        <v>1255</v>
      </c>
      <c r="C510" s="10" t="s">
        <v>1065</v>
      </c>
      <c r="D510" s="9" t="s">
        <v>1010</v>
      </c>
      <c r="E510" s="48">
        <f>일위대가표!F2216</f>
        <v>70535</v>
      </c>
      <c r="F510" s="47">
        <f>일위대가표!H2216</f>
        <v>70535</v>
      </c>
      <c r="G510" s="56">
        <f>일위대가표!J2216</f>
        <v>0</v>
      </c>
      <c r="H510" s="48">
        <f>일위대가표!L2216</f>
        <v>0</v>
      </c>
      <c r="I510" s="15" t="s">
        <v>1265</v>
      </c>
      <c r="J510" s="17" t="str">
        <f>"_x0007_`COD|B05433_x0005_`QTY1|1_x0005_`BQC|_x0005_`EQC|_x0005_`JDC|_x0005_`WQC|_x0005_`EDT|_x0005_`ADJ|F_x0005_`DET|"&amp;ROW(일위대가표!A2214)&amp;"_x0005_`"</f>
        <v>_x0007_`COD|B05433_x0005_`QTY1|1_x0005_`BQC|_x0005_`EQC|_x0005_`JDC|_x0005_`WQC|_x0005_`EDT|_x0005_`ADJ|F_x0005_`DET|2214_x0005_`</v>
      </c>
      <c r="K510" s="3" t="str">
        <f ca="1">HYPERLINK("#"&amp;일위대가표!N2&amp;"!A"&amp;ROW(일위대가표!A2214),"대가507 →")</f>
        <v>대가507 →</v>
      </c>
    </row>
    <row r="511" spans="1:11" ht="22.35" customHeight="1" x14ac:dyDescent="0.3">
      <c r="A511" s="9" t="s">
        <v>1267</v>
      </c>
      <c r="B511" s="10" t="s">
        <v>1268</v>
      </c>
      <c r="C511" s="10" t="s">
        <v>1269</v>
      </c>
      <c r="D511" s="9" t="s">
        <v>1010</v>
      </c>
      <c r="E511" s="48">
        <f>일위대가표!F2221</f>
        <v>175395</v>
      </c>
      <c r="F511" s="47">
        <f>일위대가표!H2221</f>
        <v>60695</v>
      </c>
      <c r="G511" s="56">
        <f>일위대가표!J2221</f>
        <v>114700</v>
      </c>
      <c r="H511" s="48">
        <f>일위대가표!L2221</f>
        <v>0</v>
      </c>
      <c r="I511" s="15" t="s">
        <v>1267</v>
      </c>
      <c r="J511" s="17" t="str">
        <f>"_x0007_`COD|B05032_x0005_`QTY1|1_x0005_`BQC|_x0005_`EQC|_x0005_`JDC|_x0005_`WQC|_x0005_`EDT|_x0005_`ADJ|F_x0005_`DET|"&amp;ROW(일위대가표!A2218)&amp;"_x0005_`"</f>
        <v>_x0007_`COD|B05032_x0005_`QTY1|1_x0005_`BQC|_x0005_`EQC|_x0005_`JDC|_x0005_`WQC|_x0005_`EDT|_x0005_`ADJ|F_x0005_`DET|2218_x0005_`</v>
      </c>
      <c r="K511" s="3" t="str">
        <f ca="1">HYPERLINK("#"&amp;일위대가표!N2&amp;"!A"&amp;ROW(일위대가표!A2218),"대가508 →")</f>
        <v>대가508 →</v>
      </c>
    </row>
    <row r="512" spans="1:11" ht="22.35" customHeight="1" x14ac:dyDescent="0.3">
      <c r="A512" s="9" t="s">
        <v>1271</v>
      </c>
      <c r="B512" s="10" t="s">
        <v>1268</v>
      </c>
      <c r="C512" s="10" t="s">
        <v>1272</v>
      </c>
      <c r="D512" s="9" t="s">
        <v>1010</v>
      </c>
      <c r="E512" s="48">
        <f>일위대가표!F2226</f>
        <v>252675</v>
      </c>
      <c r="F512" s="47">
        <f>일위대가표!H2226</f>
        <v>100753</v>
      </c>
      <c r="G512" s="56">
        <f>일위대가표!J2226</f>
        <v>148900</v>
      </c>
      <c r="H512" s="48">
        <f>일위대가표!L2226</f>
        <v>3022</v>
      </c>
      <c r="I512" s="15" t="s">
        <v>1271</v>
      </c>
      <c r="J512" s="17" t="str">
        <f>"_x0007_`COD|B05033_x0005_`QTY1|1_x0005_`BQC|_x0005_`EQC|_x0005_`JDC|_x0005_`WQC|_x0005_`EDT|_x0005_`ADJ|F_x0005_`DET|"&amp;ROW(일위대가표!A2223)&amp;"_x0005_`"</f>
        <v>_x0007_`COD|B05033_x0005_`QTY1|1_x0005_`BQC|_x0005_`EQC|_x0005_`JDC|_x0005_`WQC|_x0005_`EDT|_x0005_`ADJ|F_x0005_`DET|2223_x0005_`</v>
      </c>
      <c r="K512" s="3" t="str">
        <f ca="1">HYPERLINK("#"&amp;일위대가표!N2&amp;"!A"&amp;ROW(일위대가표!A2223),"대가509 →")</f>
        <v>대가509 →</v>
      </c>
    </row>
    <row r="513" spans="1:11" ht="22.35" customHeight="1" x14ac:dyDescent="0.3">
      <c r="A513" s="9" t="s">
        <v>1274</v>
      </c>
      <c r="B513" s="10" t="s">
        <v>1268</v>
      </c>
      <c r="C513" s="10" t="s">
        <v>1275</v>
      </c>
      <c r="D513" s="9" t="s">
        <v>1010</v>
      </c>
      <c r="E513" s="48">
        <f>일위대가표!F2231</f>
        <v>400168</v>
      </c>
      <c r="F513" s="47">
        <f>일위대가표!H2231</f>
        <v>145668</v>
      </c>
      <c r="G513" s="56">
        <f>일위대가표!J2231</f>
        <v>254500</v>
      </c>
      <c r="H513" s="48">
        <f>일위대가표!L2231</f>
        <v>0</v>
      </c>
      <c r="I513" s="15" t="s">
        <v>1274</v>
      </c>
      <c r="J513" s="17" t="str">
        <f>"_x0007_`COD|B05034_x0005_`QTY1|1_x0005_`BQC|_x0005_`EQC|_x0005_`JDC|_x0005_`WQC|_x0005_`EDT|_x0005_`ADJ|F_x0005_`DET|"&amp;ROW(일위대가표!A2228)&amp;"_x0005_`"</f>
        <v>_x0007_`COD|B05034_x0005_`QTY1|1_x0005_`BQC|_x0005_`EQC|_x0005_`JDC|_x0005_`WQC|_x0005_`EDT|_x0005_`ADJ|F_x0005_`DET|2228_x0005_`</v>
      </c>
      <c r="K513" s="3" t="str">
        <f ca="1">HYPERLINK("#"&amp;일위대가표!N2&amp;"!A"&amp;ROW(일위대가표!A2228),"대가510 →")</f>
        <v>대가510 →</v>
      </c>
    </row>
    <row r="514" spans="1:11" ht="22.35" customHeight="1" x14ac:dyDescent="0.3">
      <c r="A514" s="9" t="s">
        <v>1277</v>
      </c>
      <c r="B514" s="10" t="s">
        <v>1268</v>
      </c>
      <c r="C514" s="10" t="s">
        <v>1278</v>
      </c>
      <c r="D514" s="9" t="s">
        <v>1010</v>
      </c>
      <c r="E514" s="48">
        <f>일위대가표!F2236</f>
        <v>608719</v>
      </c>
      <c r="F514" s="47">
        <f>일위대가표!H2236</f>
        <v>189819</v>
      </c>
      <c r="G514" s="56">
        <f>일위대가표!J2236</f>
        <v>418900</v>
      </c>
      <c r="H514" s="48">
        <f>일위대가표!L2236</f>
        <v>0</v>
      </c>
      <c r="I514" s="15" t="s">
        <v>1277</v>
      </c>
      <c r="J514" s="17" t="str">
        <f>"_x0007_`COD|B05035_x0005_`QTY1|1_x0005_`BQC|_x0005_`EQC|_x0005_`JDC|_x0005_`WQC|_x0005_`EDT|_x0005_`ADJ|F_x0005_`DET|"&amp;ROW(일위대가표!A2233)&amp;"_x0005_`"</f>
        <v>_x0007_`COD|B05035_x0005_`QTY1|1_x0005_`BQC|_x0005_`EQC|_x0005_`JDC|_x0005_`WQC|_x0005_`EDT|_x0005_`ADJ|F_x0005_`DET|2233_x0005_`</v>
      </c>
      <c r="K514" s="3" t="str">
        <f ca="1">HYPERLINK("#"&amp;일위대가표!N2&amp;"!A"&amp;ROW(일위대가표!A2233),"대가511 →")</f>
        <v>대가511 →</v>
      </c>
    </row>
    <row r="515" spans="1:11" ht="22.35" customHeight="1" x14ac:dyDescent="0.3">
      <c r="A515" s="9" t="s">
        <v>1280</v>
      </c>
      <c r="B515" s="10" t="s">
        <v>1268</v>
      </c>
      <c r="C515" s="10" t="s">
        <v>1281</v>
      </c>
      <c r="D515" s="9" t="s">
        <v>1010</v>
      </c>
      <c r="E515" s="48">
        <f>일위대가표!F2241</f>
        <v>897173</v>
      </c>
      <c r="F515" s="47">
        <f>일위대가표!H2241</f>
        <v>246873</v>
      </c>
      <c r="G515" s="56">
        <f>일위대가표!J2241</f>
        <v>650300</v>
      </c>
      <c r="H515" s="48">
        <f>일위대가표!L2241</f>
        <v>0</v>
      </c>
      <c r="I515" s="15" t="s">
        <v>1280</v>
      </c>
      <c r="J515" s="17" t="str">
        <f>"_x0007_`COD|B05036_x0005_`QTY1|1_x0005_`BQC|_x0005_`EQC|_x0005_`JDC|_x0005_`WQC|_x0005_`EDT|_x0005_`ADJ|F_x0005_`DET|"&amp;ROW(일위대가표!A2238)&amp;"_x0005_`"</f>
        <v>_x0007_`COD|B05036_x0005_`QTY1|1_x0005_`BQC|_x0005_`EQC|_x0005_`JDC|_x0005_`WQC|_x0005_`EDT|_x0005_`ADJ|F_x0005_`DET|2238_x0005_`</v>
      </c>
      <c r="K515" s="3" t="str">
        <f ca="1">HYPERLINK("#"&amp;일위대가표!N2&amp;"!A"&amp;ROW(일위대가표!A2238),"대가512 →")</f>
        <v>대가512 →</v>
      </c>
    </row>
    <row r="516" spans="1:11" ht="22.35" customHeight="1" x14ac:dyDescent="0.3">
      <c r="A516" s="9" t="s">
        <v>1283</v>
      </c>
      <c r="B516" s="10" t="s">
        <v>1284</v>
      </c>
      <c r="C516" s="10" t="s">
        <v>1269</v>
      </c>
      <c r="D516" s="9" t="s">
        <v>1010</v>
      </c>
      <c r="E516" s="48">
        <f>일위대가표!F2245</f>
        <v>60695</v>
      </c>
      <c r="F516" s="47">
        <f>일위대가표!H2245</f>
        <v>60695</v>
      </c>
      <c r="G516" s="56">
        <f>일위대가표!J2245</f>
        <v>0</v>
      </c>
      <c r="H516" s="48">
        <f>일위대가표!L2245</f>
        <v>0</v>
      </c>
      <c r="I516" s="15" t="s">
        <v>1283</v>
      </c>
      <c r="J516" s="17" t="str">
        <f>"_x0007_`COD|B05434_x0005_`QTY1|1_x0005_`BQC|_x0005_`EQC|_x0005_`JDC|_x0005_`WQC|_x0005_`EDT|_x0005_`ADJ|F_x0005_`DET|"&amp;ROW(일위대가표!A2243)&amp;"_x0005_`"</f>
        <v>_x0007_`COD|B05434_x0005_`QTY1|1_x0005_`BQC|_x0005_`EQC|_x0005_`JDC|_x0005_`WQC|_x0005_`EDT|_x0005_`ADJ|F_x0005_`DET|2243_x0005_`</v>
      </c>
      <c r="K516" s="3" t="str">
        <f ca="1">HYPERLINK("#"&amp;일위대가표!N2&amp;"!A"&amp;ROW(일위대가표!A2243),"대가513 →")</f>
        <v>대가513 →</v>
      </c>
    </row>
    <row r="517" spans="1:11" ht="22.35" customHeight="1" x14ac:dyDescent="0.3">
      <c r="A517" s="9" t="s">
        <v>1286</v>
      </c>
      <c r="B517" s="10" t="s">
        <v>1284</v>
      </c>
      <c r="C517" s="10" t="s">
        <v>1272</v>
      </c>
      <c r="D517" s="9" t="s">
        <v>1010</v>
      </c>
      <c r="E517" s="48">
        <f>일위대가표!F2249</f>
        <v>103775</v>
      </c>
      <c r="F517" s="47">
        <f>일위대가표!H2249</f>
        <v>100753</v>
      </c>
      <c r="G517" s="56">
        <f>일위대가표!J2249</f>
        <v>0</v>
      </c>
      <c r="H517" s="48">
        <f>일위대가표!L2249</f>
        <v>3022</v>
      </c>
      <c r="I517" s="15" t="s">
        <v>1286</v>
      </c>
      <c r="J517" s="17" t="str">
        <f>"_x0007_`COD|B05435_x0005_`QTY1|1_x0005_`BQC|_x0005_`EQC|_x0005_`JDC|_x0005_`WQC|_x0005_`EDT|_x0005_`ADJ|F_x0005_`DET|"&amp;ROW(일위대가표!A2247)&amp;"_x0005_`"</f>
        <v>_x0007_`COD|B05435_x0005_`QTY1|1_x0005_`BQC|_x0005_`EQC|_x0005_`JDC|_x0005_`WQC|_x0005_`EDT|_x0005_`ADJ|F_x0005_`DET|2247_x0005_`</v>
      </c>
      <c r="K517" s="3" t="str">
        <f ca="1">HYPERLINK("#"&amp;일위대가표!N2&amp;"!A"&amp;ROW(일위대가표!A2247),"대가514 →")</f>
        <v>대가514 →</v>
      </c>
    </row>
    <row r="518" spans="1:11" ht="22.35" customHeight="1" x14ac:dyDescent="0.3">
      <c r="A518" s="9" t="s">
        <v>1288</v>
      </c>
      <c r="B518" s="10" t="s">
        <v>1284</v>
      </c>
      <c r="C518" s="10" t="s">
        <v>1275</v>
      </c>
      <c r="D518" s="9" t="s">
        <v>1010</v>
      </c>
      <c r="E518" s="48">
        <f>일위대가표!F2253</f>
        <v>145668</v>
      </c>
      <c r="F518" s="47">
        <f>일위대가표!H2253</f>
        <v>145668</v>
      </c>
      <c r="G518" s="56">
        <f>일위대가표!J2253</f>
        <v>0</v>
      </c>
      <c r="H518" s="48">
        <f>일위대가표!L2253</f>
        <v>0</v>
      </c>
      <c r="I518" s="15" t="s">
        <v>1288</v>
      </c>
      <c r="J518" s="17" t="str">
        <f>"_x0007_`COD|B05436_x0005_`QTY1|1_x0005_`BQC|_x0005_`EQC|_x0005_`JDC|_x0005_`WQC|_x0005_`EDT|_x0005_`ADJ|F_x0005_`DET|"&amp;ROW(일위대가표!A2251)&amp;"_x0005_`"</f>
        <v>_x0007_`COD|B05436_x0005_`QTY1|1_x0005_`BQC|_x0005_`EQC|_x0005_`JDC|_x0005_`WQC|_x0005_`EDT|_x0005_`ADJ|F_x0005_`DET|2251_x0005_`</v>
      </c>
      <c r="K518" s="3" t="str">
        <f ca="1">HYPERLINK("#"&amp;일위대가표!N2&amp;"!A"&amp;ROW(일위대가표!A2251),"대가515 →")</f>
        <v>대가515 →</v>
      </c>
    </row>
    <row r="519" spans="1:11" ht="22.35" customHeight="1" x14ac:dyDescent="0.3">
      <c r="A519" s="9" t="s">
        <v>1290</v>
      </c>
      <c r="B519" s="10" t="s">
        <v>1284</v>
      </c>
      <c r="C519" s="10" t="s">
        <v>1278</v>
      </c>
      <c r="D519" s="9" t="s">
        <v>1010</v>
      </c>
      <c r="E519" s="48">
        <f>일위대가표!F2257</f>
        <v>189819</v>
      </c>
      <c r="F519" s="47">
        <f>일위대가표!H2257</f>
        <v>189819</v>
      </c>
      <c r="G519" s="56">
        <f>일위대가표!J2257</f>
        <v>0</v>
      </c>
      <c r="H519" s="48">
        <f>일위대가표!L2257</f>
        <v>0</v>
      </c>
      <c r="I519" s="15" t="s">
        <v>1290</v>
      </c>
      <c r="J519" s="17" t="str">
        <f>"_x0007_`COD|B05437_x0005_`QTY1|1_x0005_`BQC|_x0005_`EQC|_x0005_`JDC|_x0005_`WQC|_x0005_`EDT|_x0005_`ADJ|F_x0005_`DET|"&amp;ROW(일위대가표!A2255)&amp;"_x0005_`"</f>
        <v>_x0007_`COD|B05437_x0005_`QTY1|1_x0005_`BQC|_x0005_`EQC|_x0005_`JDC|_x0005_`WQC|_x0005_`EDT|_x0005_`ADJ|F_x0005_`DET|2255_x0005_`</v>
      </c>
      <c r="K519" s="3" t="str">
        <f ca="1">HYPERLINK("#"&amp;일위대가표!N2&amp;"!A"&amp;ROW(일위대가표!A2255),"대가516 →")</f>
        <v>대가516 →</v>
      </c>
    </row>
    <row r="520" spans="1:11" ht="22.35" customHeight="1" x14ac:dyDescent="0.3">
      <c r="A520" s="9" t="s">
        <v>1292</v>
      </c>
      <c r="B520" s="10" t="s">
        <v>1284</v>
      </c>
      <c r="C520" s="10" t="s">
        <v>1281</v>
      </c>
      <c r="D520" s="9" t="s">
        <v>1010</v>
      </c>
      <c r="E520" s="48">
        <f>일위대가표!F2261</f>
        <v>246873</v>
      </c>
      <c r="F520" s="47">
        <f>일위대가표!H2261</f>
        <v>246873</v>
      </c>
      <c r="G520" s="56">
        <f>일위대가표!J2261</f>
        <v>0</v>
      </c>
      <c r="H520" s="48">
        <f>일위대가표!L2261</f>
        <v>0</v>
      </c>
      <c r="I520" s="15" t="s">
        <v>1292</v>
      </c>
      <c r="J520" s="17" t="str">
        <f>"_x0007_`COD|B05438_x0005_`QTY1|1_x0005_`BQC|_x0005_`EQC|_x0005_`JDC|_x0005_`WQC|_x0005_`EDT|_x0005_`ADJ|F_x0005_`DET|"&amp;ROW(일위대가표!A2259)&amp;"_x0005_`"</f>
        <v>_x0007_`COD|B05438_x0005_`QTY1|1_x0005_`BQC|_x0005_`EQC|_x0005_`JDC|_x0005_`WQC|_x0005_`EDT|_x0005_`ADJ|F_x0005_`DET|2259_x0005_`</v>
      </c>
      <c r="K520" s="3" t="str">
        <f ca="1">HYPERLINK("#"&amp;일위대가표!N2&amp;"!A"&amp;ROW(일위대가표!A2259),"대가517 →")</f>
        <v>대가517 →</v>
      </c>
    </row>
    <row r="521" spans="1:11" ht="22.35" customHeight="1" x14ac:dyDescent="0.3">
      <c r="A521" s="9" t="s">
        <v>1294</v>
      </c>
      <c r="B521" s="10" t="s">
        <v>1295</v>
      </c>
      <c r="C521" s="10" t="s">
        <v>1269</v>
      </c>
      <c r="D521" s="9" t="s">
        <v>1010</v>
      </c>
      <c r="E521" s="48">
        <f>일위대가표!F2265</f>
        <v>43354</v>
      </c>
      <c r="F521" s="47">
        <f>일위대가표!H2265</f>
        <v>43354</v>
      </c>
      <c r="G521" s="56">
        <f>일위대가표!J2265</f>
        <v>0</v>
      </c>
      <c r="H521" s="48">
        <f>일위대가표!L2265</f>
        <v>0</v>
      </c>
      <c r="I521" s="15" t="s">
        <v>1294</v>
      </c>
      <c r="J521" s="17" t="str">
        <f>"_x0007_`COD|B05439_x0005_`QTY1|1_x0005_`BQC|_x0005_`EQC|_x0005_`JDC|_x0005_`WQC|_x0005_`EDT|_x0005_`ADJ|F_x0005_`DET|"&amp;ROW(일위대가표!A2263)&amp;"_x0005_`"</f>
        <v>_x0007_`COD|B05439_x0005_`QTY1|1_x0005_`BQC|_x0005_`EQC|_x0005_`JDC|_x0005_`WQC|_x0005_`EDT|_x0005_`ADJ|F_x0005_`DET|2263_x0005_`</v>
      </c>
      <c r="K521" s="3" t="str">
        <f ca="1">HYPERLINK("#"&amp;일위대가표!N2&amp;"!A"&amp;ROW(일위대가표!A2263),"대가518 →")</f>
        <v>대가518 →</v>
      </c>
    </row>
    <row r="522" spans="1:11" ht="22.35" customHeight="1" x14ac:dyDescent="0.3">
      <c r="A522" s="9" t="s">
        <v>1297</v>
      </c>
      <c r="B522" s="10" t="s">
        <v>1295</v>
      </c>
      <c r="C522" s="10" t="s">
        <v>1272</v>
      </c>
      <c r="D522" s="9" t="s">
        <v>1010</v>
      </c>
      <c r="E522" s="48">
        <f>일위대가표!F2269</f>
        <v>74126</v>
      </c>
      <c r="F522" s="47">
        <f>일위대가표!H2269</f>
        <v>71967</v>
      </c>
      <c r="G522" s="56">
        <f>일위대가표!J2269</f>
        <v>0</v>
      </c>
      <c r="H522" s="48">
        <f>일위대가표!L2269</f>
        <v>2159</v>
      </c>
      <c r="I522" s="15" t="s">
        <v>1297</v>
      </c>
      <c r="J522" s="17" t="str">
        <f>"_x0007_`COD|B05440_x0005_`QTY1|1_x0005_`BQC|_x0005_`EQC|_x0005_`JDC|_x0005_`WQC|_x0005_`EDT|_x0005_`ADJ|F_x0005_`DET|"&amp;ROW(일위대가표!A2267)&amp;"_x0005_`"</f>
        <v>_x0007_`COD|B05440_x0005_`QTY1|1_x0005_`BQC|_x0005_`EQC|_x0005_`JDC|_x0005_`WQC|_x0005_`EDT|_x0005_`ADJ|F_x0005_`DET|2267_x0005_`</v>
      </c>
      <c r="K522" s="3" t="str">
        <f ca="1">HYPERLINK("#"&amp;일위대가표!N2&amp;"!A"&amp;ROW(일위대가표!A2267),"대가519 →")</f>
        <v>대가519 →</v>
      </c>
    </row>
    <row r="523" spans="1:11" ht="22.35" customHeight="1" x14ac:dyDescent="0.3">
      <c r="A523" s="9" t="s">
        <v>1299</v>
      </c>
      <c r="B523" s="10" t="s">
        <v>1295</v>
      </c>
      <c r="C523" s="10" t="s">
        <v>1275</v>
      </c>
      <c r="D523" s="9" t="s">
        <v>1010</v>
      </c>
      <c r="E523" s="48">
        <f>일위대가표!F2273</f>
        <v>104049</v>
      </c>
      <c r="F523" s="47">
        <f>일위대가표!H2273</f>
        <v>104049</v>
      </c>
      <c r="G523" s="56">
        <f>일위대가표!J2273</f>
        <v>0</v>
      </c>
      <c r="H523" s="48">
        <f>일위대가표!L2273</f>
        <v>0</v>
      </c>
      <c r="I523" s="15" t="s">
        <v>1299</v>
      </c>
      <c r="J523" s="17" t="str">
        <f>"_x0007_`COD|B05441_x0005_`QTY1|1_x0005_`BQC|_x0005_`EQC|_x0005_`JDC|_x0005_`WQC|_x0005_`EDT|_x0005_`ADJ|F_x0005_`DET|"&amp;ROW(일위대가표!A2271)&amp;"_x0005_`"</f>
        <v>_x0007_`COD|B05441_x0005_`QTY1|1_x0005_`BQC|_x0005_`EQC|_x0005_`JDC|_x0005_`WQC|_x0005_`EDT|_x0005_`ADJ|F_x0005_`DET|2271_x0005_`</v>
      </c>
      <c r="K523" s="3" t="str">
        <f ca="1">HYPERLINK("#"&amp;일위대가표!N2&amp;"!A"&amp;ROW(일위대가표!A2271),"대가520 →")</f>
        <v>대가520 →</v>
      </c>
    </row>
    <row r="524" spans="1:11" ht="22.35" customHeight="1" x14ac:dyDescent="0.3">
      <c r="A524" s="9" t="s">
        <v>1301</v>
      </c>
      <c r="B524" s="10" t="s">
        <v>1295</v>
      </c>
      <c r="C524" s="10" t="s">
        <v>1278</v>
      </c>
      <c r="D524" s="9" t="s">
        <v>1010</v>
      </c>
      <c r="E524" s="48">
        <f>일위대가표!F2277</f>
        <v>135585</v>
      </c>
      <c r="F524" s="47">
        <f>일위대가표!H2277</f>
        <v>135585</v>
      </c>
      <c r="G524" s="56">
        <f>일위대가표!J2277</f>
        <v>0</v>
      </c>
      <c r="H524" s="48">
        <f>일위대가표!L2277</f>
        <v>0</v>
      </c>
      <c r="I524" s="15" t="s">
        <v>1301</v>
      </c>
      <c r="J524" s="17" t="str">
        <f>"_x0007_`COD|B05442_x0005_`QTY1|1_x0005_`BQC|_x0005_`EQC|_x0005_`JDC|_x0005_`WQC|_x0005_`EDT|_x0005_`ADJ|F_x0005_`DET|"&amp;ROW(일위대가표!A2275)&amp;"_x0005_`"</f>
        <v>_x0007_`COD|B05442_x0005_`QTY1|1_x0005_`BQC|_x0005_`EQC|_x0005_`JDC|_x0005_`WQC|_x0005_`EDT|_x0005_`ADJ|F_x0005_`DET|2275_x0005_`</v>
      </c>
      <c r="K524" s="3" t="str">
        <f ca="1">HYPERLINK("#"&amp;일위대가표!N2&amp;"!A"&amp;ROW(일위대가표!A2275),"대가521 →")</f>
        <v>대가521 →</v>
      </c>
    </row>
    <row r="525" spans="1:11" ht="22.35" customHeight="1" x14ac:dyDescent="0.3">
      <c r="A525" s="9" t="s">
        <v>1303</v>
      </c>
      <c r="B525" s="10" t="s">
        <v>1295</v>
      </c>
      <c r="C525" s="10" t="s">
        <v>1281</v>
      </c>
      <c r="D525" s="9" t="s">
        <v>1010</v>
      </c>
      <c r="E525" s="48">
        <f>일위대가표!F2281</f>
        <v>176338</v>
      </c>
      <c r="F525" s="47">
        <f>일위대가표!H2281</f>
        <v>176338</v>
      </c>
      <c r="G525" s="56">
        <f>일위대가표!J2281</f>
        <v>0</v>
      </c>
      <c r="H525" s="48">
        <f>일위대가표!L2281</f>
        <v>0</v>
      </c>
      <c r="I525" s="15" t="s">
        <v>1303</v>
      </c>
      <c r="J525" s="17" t="str">
        <f>"_x0007_`COD|B05443_x0005_`QTY1|1_x0005_`BQC|_x0005_`EQC|_x0005_`JDC|_x0005_`WQC|_x0005_`EDT|_x0005_`ADJ|F_x0005_`DET|"&amp;ROW(일위대가표!A2279)&amp;"_x0005_`"</f>
        <v>_x0007_`COD|B05443_x0005_`QTY1|1_x0005_`BQC|_x0005_`EQC|_x0005_`JDC|_x0005_`WQC|_x0005_`EDT|_x0005_`ADJ|F_x0005_`DET|2279_x0005_`</v>
      </c>
      <c r="K525" s="3" t="str">
        <f ca="1">HYPERLINK("#"&amp;일위대가표!N2&amp;"!A"&amp;ROW(일위대가표!A2279),"대가522 →")</f>
        <v>대가522 →</v>
      </c>
    </row>
    <row r="526" spans="1:11" ht="22.35" customHeight="1" x14ac:dyDescent="0.3">
      <c r="A526" s="9" t="s">
        <v>1305</v>
      </c>
      <c r="B526" s="10" t="s">
        <v>1306</v>
      </c>
      <c r="C526" s="10" t="s">
        <v>1269</v>
      </c>
      <c r="D526" s="9" t="s">
        <v>1010</v>
      </c>
      <c r="E526" s="48">
        <f>일위대가표!F2285</f>
        <v>17341</v>
      </c>
      <c r="F526" s="47">
        <f>일위대가표!H2285</f>
        <v>17341</v>
      </c>
      <c r="G526" s="56">
        <f>일위대가표!J2285</f>
        <v>0</v>
      </c>
      <c r="H526" s="48">
        <f>일위대가표!L2285</f>
        <v>0</v>
      </c>
      <c r="I526" s="15" t="s">
        <v>1305</v>
      </c>
      <c r="J526" s="17" t="str">
        <f>"_x0007_`COD|B05444_x0005_`QTY1|1_x0005_`BQC|_x0005_`EQC|_x0005_`JDC|_x0005_`WQC|_x0005_`EDT|_x0005_`ADJ|F_x0005_`DET|"&amp;ROW(일위대가표!A2283)&amp;"_x0005_`"</f>
        <v>_x0007_`COD|B05444_x0005_`QTY1|1_x0005_`BQC|_x0005_`EQC|_x0005_`JDC|_x0005_`WQC|_x0005_`EDT|_x0005_`ADJ|F_x0005_`DET|2283_x0005_`</v>
      </c>
      <c r="K526" s="3" t="str">
        <f ca="1">HYPERLINK("#"&amp;일위대가표!N2&amp;"!A"&amp;ROW(일위대가표!A2283),"대가523 →")</f>
        <v>대가523 →</v>
      </c>
    </row>
    <row r="527" spans="1:11" ht="22.35" customHeight="1" x14ac:dyDescent="0.3">
      <c r="A527" s="9" t="s">
        <v>1308</v>
      </c>
      <c r="B527" s="10" t="s">
        <v>1306</v>
      </c>
      <c r="C527" s="10" t="s">
        <v>1272</v>
      </c>
      <c r="D527" s="9" t="s">
        <v>1010</v>
      </c>
      <c r="E527" s="48">
        <f>일위대가표!F2289</f>
        <v>29649</v>
      </c>
      <c r="F527" s="47">
        <f>일위대가표!H2289</f>
        <v>28786</v>
      </c>
      <c r="G527" s="56">
        <f>일위대가표!J2289</f>
        <v>0</v>
      </c>
      <c r="H527" s="48">
        <f>일위대가표!L2289</f>
        <v>863</v>
      </c>
      <c r="I527" s="15" t="s">
        <v>1308</v>
      </c>
      <c r="J527" s="17" t="str">
        <f>"_x0007_`COD|B05445_x0005_`QTY1|1_x0005_`BQC|_x0005_`EQC|_x0005_`JDC|_x0005_`WQC|_x0005_`EDT|_x0005_`ADJ|F_x0005_`DET|"&amp;ROW(일위대가표!A2287)&amp;"_x0005_`"</f>
        <v>_x0007_`COD|B05445_x0005_`QTY1|1_x0005_`BQC|_x0005_`EQC|_x0005_`JDC|_x0005_`WQC|_x0005_`EDT|_x0005_`ADJ|F_x0005_`DET|2287_x0005_`</v>
      </c>
      <c r="K527" s="3" t="str">
        <f ca="1">HYPERLINK("#"&amp;일위대가표!N2&amp;"!A"&amp;ROW(일위대가표!A2287),"대가524 →")</f>
        <v>대가524 →</v>
      </c>
    </row>
    <row r="528" spans="1:11" ht="22.35" customHeight="1" x14ac:dyDescent="0.3">
      <c r="A528" s="9" t="s">
        <v>1310</v>
      </c>
      <c r="B528" s="10" t="s">
        <v>1306</v>
      </c>
      <c r="C528" s="10" t="s">
        <v>1275</v>
      </c>
      <c r="D528" s="9" t="s">
        <v>1010</v>
      </c>
      <c r="E528" s="48">
        <f>일위대가표!F2293</f>
        <v>41619</v>
      </c>
      <c r="F528" s="47">
        <f>일위대가표!H2293</f>
        <v>41619</v>
      </c>
      <c r="G528" s="56">
        <f>일위대가표!J2293</f>
        <v>0</v>
      </c>
      <c r="H528" s="48">
        <f>일위대가표!L2293</f>
        <v>0</v>
      </c>
      <c r="I528" s="15" t="s">
        <v>1310</v>
      </c>
      <c r="J528" s="17" t="str">
        <f>"_x0007_`COD|B05446_x0005_`QTY1|1_x0005_`BQC|_x0005_`EQC|_x0005_`JDC|_x0005_`WQC|_x0005_`EDT|_x0005_`ADJ|F_x0005_`DET|"&amp;ROW(일위대가표!A2291)&amp;"_x0005_`"</f>
        <v>_x0007_`COD|B05446_x0005_`QTY1|1_x0005_`BQC|_x0005_`EQC|_x0005_`JDC|_x0005_`WQC|_x0005_`EDT|_x0005_`ADJ|F_x0005_`DET|2291_x0005_`</v>
      </c>
      <c r="K528" s="3" t="str">
        <f ca="1">HYPERLINK("#"&amp;일위대가표!N2&amp;"!A"&amp;ROW(일위대가표!A2291),"대가525 →")</f>
        <v>대가525 →</v>
      </c>
    </row>
    <row r="529" spans="1:11" ht="22.35" customHeight="1" x14ac:dyDescent="0.3">
      <c r="A529" s="9" t="s">
        <v>1312</v>
      </c>
      <c r="B529" s="10" t="s">
        <v>1306</v>
      </c>
      <c r="C529" s="10" t="s">
        <v>1278</v>
      </c>
      <c r="D529" s="9" t="s">
        <v>1010</v>
      </c>
      <c r="E529" s="48">
        <f>일위대가표!F2297</f>
        <v>54234</v>
      </c>
      <c r="F529" s="47">
        <f>일위대가표!H2297</f>
        <v>54234</v>
      </c>
      <c r="G529" s="56">
        <f>일위대가표!J2297</f>
        <v>0</v>
      </c>
      <c r="H529" s="48">
        <f>일위대가표!L2297</f>
        <v>0</v>
      </c>
      <c r="I529" s="15" t="s">
        <v>1312</v>
      </c>
      <c r="J529" s="17" t="str">
        <f>"_x0007_`COD|B05447_x0005_`QTY1|1_x0005_`BQC|_x0005_`EQC|_x0005_`JDC|_x0005_`WQC|_x0005_`EDT|_x0005_`ADJ|F_x0005_`DET|"&amp;ROW(일위대가표!A2295)&amp;"_x0005_`"</f>
        <v>_x0007_`COD|B05447_x0005_`QTY1|1_x0005_`BQC|_x0005_`EQC|_x0005_`JDC|_x0005_`WQC|_x0005_`EDT|_x0005_`ADJ|F_x0005_`DET|2295_x0005_`</v>
      </c>
      <c r="K529" s="3" t="str">
        <f ca="1">HYPERLINK("#"&amp;일위대가표!N2&amp;"!A"&amp;ROW(일위대가표!A2295),"대가526 →")</f>
        <v>대가526 →</v>
      </c>
    </row>
    <row r="530" spans="1:11" ht="22.35" customHeight="1" x14ac:dyDescent="0.3">
      <c r="A530" s="9" t="s">
        <v>1314</v>
      </c>
      <c r="B530" s="10" t="s">
        <v>1306</v>
      </c>
      <c r="C530" s="10" t="s">
        <v>1281</v>
      </c>
      <c r="D530" s="9" t="s">
        <v>1010</v>
      </c>
      <c r="E530" s="48">
        <f>일위대가표!F2301</f>
        <v>70535</v>
      </c>
      <c r="F530" s="47">
        <f>일위대가표!H2301</f>
        <v>70535</v>
      </c>
      <c r="G530" s="56">
        <f>일위대가표!J2301</f>
        <v>0</v>
      </c>
      <c r="H530" s="48">
        <f>일위대가표!L2301</f>
        <v>0</v>
      </c>
      <c r="I530" s="15" t="s">
        <v>1314</v>
      </c>
      <c r="J530" s="17" t="str">
        <f>"_x0007_`COD|B05448_x0005_`QTY1|1_x0005_`BQC|_x0005_`EQC|_x0005_`JDC|_x0005_`WQC|_x0005_`EDT|_x0005_`ADJ|F_x0005_`DET|"&amp;ROW(일위대가표!A2299)&amp;"_x0005_`"</f>
        <v>_x0007_`COD|B05448_x0005_`QTY1|1_x0005_`BQC|_x0005_`EQC|_x0005_`JDC|_x0005_`WQC|_x0005_`EDT|_x0005_`ADJ|F_x0005_`DET|2299_x0005_`</v>
      </c>
      <c r="K530" s="3" t="str">
        <f ca="1">HYPERLINK("#"&amp;일위대가표!N2&amp;"!A"&amp;ROW(일위대가표!A2299),"대가527 →")</f>
        <v>대가527 →</v>
      </c>
    </row>
    <row r="531" spans="1:11" ht="22.35" customHeight="1" x14ac:dyDescent="0.3">
      <c r="A531" s="9" t="s">
        <v>1316</v>
      </c>
      <c r="B531" s="10" t="s">
        <v>1317</v>
      </c>
      <c r="C531" s="10" t="s">
        <v>1318</v>
      </c>
      <c r="D531" s="9" t="s">
        <v>1010</v>
      </c>
      <c r="E531" s="48">
        <f>일위대가표!F2306</f>
        <v>117735</v>
      </c>
      <c r="F531" s="47">
        <f>일위대가표!H2306</f>
        <v>42735</v>
      </c>
      <c r="G531" s="56">
        <f>일위대가표!J2306</f>
        <v>75000</v>
      </c>
      <c r="H531" s="48">
        <f>일위대가표!L2306</f>
        <v>0</v>
      </c>
      <c r="I531" s="15" t="s">
        <v>1316</v>
      </c>
      <c r="J531" s="17" t="str">
        <f>"_x0007_`COD|B05037_x0005_`QTY1|1_x0005_`BQC|_x0005_`EQC|_x0005_`JDC|_x0005_`WQC|_x0005_`EDT|_x0005_`ADJ|F_x0005_`DET|"&amp;ROW(일위대가표!A2303)&amp;"_x0005_`"</f>
        <v>_x0007_`COD|B05037_x0005_`QTY1|1_x0005_`BQC|_x0005_`EQC|_x0005_`JDC|_x0005_`WQC|_x0005_`EDT|_x0005_`ADJ|F_x0005_`DET|2303_x0005_`</v>
      </c>
      <c r="K531" s="3" t="str">
        <f ca="1">HYPERLINK("#"&amp;일위대가표!N2&amp;"!A"&amp;ROW(일위대가표!A2303),"대가528 →")</f>
        <v>대가528 →</v>
      </c>
    </row>
    <row r="532" spans="1:11" ht="22.35" customHeight="1" x14ac:dyDescent="0.3">
      <c r="A532" s="9" t="s">
        <v>1320</v>
      </c>
      <c r="B532" s="10" t="s">
        <v>1317</v>
      </c>
      <c r="C532" s="10" t="s">
        <v>1321</v>
      </c>
      <c r="D532" s="9" t="s">
        <v>1010</v>
      </c>
      <c r="E532" s="48">
        <f>일위대가표!F2311</f>
        <v>246102</v>
      </c>
      <c r="F532" s="47">
        <f>일위대가표!H2311</f>
        <v>126102</v>
      </c>
      <c r="G532" s="56">
        <f>일위대가표!J2311</f>
        <v>120000</v>
      </c>
      <c r="H532" s="48">
        <f>일위대가표!L2311</f>
        <v>0</v>
      </c>
      <c r="I532" s="15" t="s">
        <v>1320</v>
      </c>
      <c r="J532" s="17" t="str">
        <f>"_x0007_`COD|B05045_x0005_`QTY1|1_x0005_`BQC|_x0005_`EQC|_x0005_`JDC|_x0005_`WQC|_x0005_`EDT|_x0005_`ADJ|F_x0005_`DET|"&amp;ROW(일위대가표!A2308)&amp;"_x0005_`"</f>
        <v>_x0007_`COD|B05045_x0005_`QTY1|1_x0005_`BQC|_x0005_`EQC|_x0005_`JDC|_x0005_`WQC|_x0005_`EDT|_x0005_`ADJ|F_x0005_`DET|2308_x0005_`</v>
      </c>
      <c r="K532" s="3" t="str">
        <f ca="1">HYPERLINK("#"&amp;일위대가표!N2&amp;"!A"&amp;ROW(일위대가표!A2308),"대가529 →")</f>
        <v>대가529 →</v>
      </c>
    </row>
    <row r="533" spans="1:11" ht="22.35" customHeight="1" x14ac:dyDescent="0.3">
      <c r="A533" s="9" t="s">
        <v>1323</v>
      </c>
      <c r="B533" s="10" t="s">
        <v>1317</v>
      </c>
      <c r="C533" s="10" t="s">
        <v>1324</v>
      </c>
      <c r="D533" s="9" t="s">
        <v>1010</v>
      </c>
      <c r="E533" s="48">
        <f>일위대가표!F2316</f>
        <v>327711</v>
      </c>
      <c r="F533" s="47">
        <f>일위대가표!H2316</f>
        <v>187711</v>
      </c>
      <c r="G533" s="56">
        <f>일위대가표!J2316</f>
        <v>140000</v>
      </c>
      <c r="H533" s="48">
        <f>일위대가표!L2316</f>
        <v>0</v>
      </c>
      <c r="I533" s="15" t="s">
        <v>1323</v>
      </c>
      <c r="J533" s="17" t="str">
        <f>"_x0007_`COD|B05046_x0005_`QTY1|1_x0005_`BQC|_x0005_`EQC|_x0005_`JDC|_x0005_`WQC|_x0005_`EDT|_x0005_`ADJ|F_x0005_`DET|"&amp;ROW(일위대가표!A2313)&amp;"_x0005_`"</f>
        <v>_x0007_`COD|B05046_x0005_`QTY1|1_x0005_`BQC|_x0005_`EQC|_x0005_`JDC|_x0005_`WQC|_x0005_`EDT|_x0005_`ADJ|F_x0005_`DET|2313_x0005_`</v>
      </c>
      <c r="K533" s="3" t="str">
        <f ca="1">HYPERLINK("#"&amp;일위대가표!N2&amp;"!A"&amp;ROW(일위대가표!A2313),"대가530 →")</f>
        <v>대가530 →</v>
      </c>
    </row>
    <row r="534" spans="1:11" ht="22.35" customHeight="1" x14ac:dyDescent="0.3">
      <c r="A534" s="9" t="s">
        <v>1326</v>
      </c>
      <c r="B534" s="10" t="s">
        <v>1317</v>
      </c>
      <c r="C534" s="10" t="s">
        <v>1327</v>
      </c>
      <c r="D534" s="9" t="s">
        <v>1010</v>
      </c>
      <c r="E534" s="48">
        <f>일위대가표!F2321</f>
        <v>569974</v>
      </c>
      <c r="F534" s="47">
        <f>일위대가표!H2321</f>
        <v>319974</v>
      </c>
      <c r="G534" s="56">
        <f>일위대가표!J2321</f>
        <v>250000</v>
      </c>
      <c r="H534" s="48">
        <f>일위대가표!L2321</f>
        <v>0</v>
      </c>
      <c r="I534" s="15" t="s">
        <v>1326</v>
      </c>
      <c r="J534" s="17" t="str">
        <f>"_x0007_`COD|B05047_x0005_`QTY1|1_x0005_`BQC|_x0005_`EQC|_x0005_`JDC|_x0005_`WQC|_x0005_`EDT|_x0005_`ADJ|F_x0005_`DET|"&amp;ROW(일위대가표!A2318)&amp;"_x0005_`"</f>
        <v>_x0007_`COD|B05047_x0005_`QTY1|1_x0005_`BQC|_x0005_`EQC|_x0005_`JDC|_x0005_`WQC|_x0005_`EDT|_x0005_`ADJ|F_x0005_`DET|2318_x0005_`</v>
      </c>
      <c r="K534" s="3" t="str">
        <f ca="1">HYPERLINK("#"&amp;일위대가표!N2&amp;"!A"&amp;ROW(일위대가표!A2318),"대가531 →")</f>
        <v>대가531 →</v>
      </c>
    </row>
    <row r="535" spans="1:11" ht="22.35" customHeight="1" x14ac:dyDescent="0.3">
      <c r="A535" s="9" t="s">
        <v>1329</v>
      </c>
      <c r="B535" s="10" t="s">
        <v>1317</v>
      </c>
      <c r="C535" s="10" t="s">
        <v>1330</v>
      </c>
      <c r="D535" s="9" t="s">
        <v>1010</v>
      </c>
      <c r="E535" s="48">
        <f>일위대가표!F2326</f>
        <v>732247</v>
      </c>
      <c r="F535" s="47">
        <f>일위대가표!H2326</f>
        <v>441247</v>
      </c>
      <c r="G535" s="56">
        <f>일위대가표!J2326</f>
        <v>291000</v>
      </c>
      <c r="H535" s="48">
        <f>일위대가표!L2326</f>
        <v>0</v>
      </c>
      <c r="I535" s="15" t="s">
        <v>1329</v>
      </c>
      <c r="J535" s="17" t="str">
        <f>"_x0007_`COD|B05048_x0005_`QTY1|1_x0005_`BQC|_x0005_`EQC|_x0005_`JDC|_x0005_`WQC|_x0005_`EDT|_x0005_`ADJ|F_x0005_`DET|"&amp;ROW(일위대가표!A2323)&amp;"_x0005_`"</f>
        <v>_x0007_`COD|B05048_x0005_`QTY1|1_x0005_`BQC|_x0005_`EQC|_x0005_`JDC|_x0005_`WQC|_x0005_`EDT|_x0005_`ADJ|F_x0005_`DET|2323_x0005_`</v>
      </c>
      <c r="K535" s="3" t="str">
        <f ca="1">HYPERLINK("#"&amp;일위대가표!N2&amp;"!A"&amp;ROW(일위대가표!A2323),"대가532 →")</f>
        <v>대가532 →</v>
      </c>
    </row>
    <row r="536" spans="1:11" ht="22.35" customHeight="1" x14ac:dyDescent="0.3">
      <c r="A536" s="9" t="s">
        <v>1332</v>
      </c>
      <c r="B536" s="10" t="s">
        <v>1317</v>
      </c>
      <c r="C536" s="10" t="s">
        <v>1333</v>
      </c>
      <c r="D536" s="9" t="s">
        <v>1010</v>
      </c>
      <c r="E536" s="48">
        <f>일위대가표!F2331</f>
        <v>1121239</v>
      </c>
      <c r="F536" s="47">
        <f>일위대가표!H2331</f>
        <v>566239</v>
      </c>
      <c r="G536" s="56">
        <f>일위대가표!J2331</f>
        <v>555000</v>
      </c>
      <c r="H536" s="48">
        <f>일위대가표!L2331</f>
        <v>0</v>
      </c>
      <c r="I536" s="15" t="s">
        <v>1332</v>
      </c>
      <c r="J536" s="17" t="str">
        <f>"_x0007_`COD|B05049_x0005_`QTY1|1_x0005_`BQC|_x0005_`EQC|_x0005_`JDC|_x0005_`WQC|_x0005_`EDT|_x0005_`ADJ|F_x0005_`DET|"&amp;ROW(일위대가표!A2328)&amp;"_x0005_`"</f>
        <v>_x0007_`COD|B05049_x0005_`QTY1|1_x0005_`BQC|_x0005_`EQC|_x0005_`JDC|_x0005_`WQC|_x0005_`EDT|_x0005_`ADJ|F_x0005_`DET|2328_x0005_`</v>
      </c>
      <c r="K536" s="3" t="str">
        <f ca="1">HYPERLINK("#"&amp;일위대가표!N2&amp;"!A"&amp;ROW(일위대가표!A2328),"대가533 →")</f>
        <v>대가533 →</v>
      </c>
    </row>
    <row r="537" spans="1:11" ht="22.35" customHeight="1" x14ac:dyDescent="0.3">
      <c r="A537" s="9" t="s">
        <v>1335</v>
      </c>
      <c r="B537" s="10" t="s">
        <v>1336</v>
      </c>
      <c r="C537" s="10" t="s">
        <v>1318</v>
      </c>
      <c r="D537" s="9" t="s">
        <v>1010</v>
      </c>
      <c r="E537" s="48">
        <f>일위대가표!F2335</f>
        <v>42735</v>
      </c>
      <c r="F537" s="47">
        <f>일위대가표!H2335</f>
        <v>42735</v>
      </c>
      <c r="G537" s="56">
        <f>일위대가표!J2335</f>
        <v>0</v>
      </c>
      <c r="H537" s="48">
        <f>일위대가표!L2335</f>
        <v>0</v>
      </c>
      <c r="I537" s="15" t="s">
        <v>1335</v>
      </c>
      <c r="J537" s="17" t="str">
        <f>"_x0007_`COD|B05449_x0005_`QTY1|1_x0005_`BQC|_x0005_`EQC|_x0005_`JDC|_x0005_`WQC|_x0005_`EDT|_x0005_`ADJ|F_x0005_`DET|"&amp;ROW(일위대가표!A2333)&amp;"_x0005_`"</f>
        <v>_x0007_`COD|B05449_x0005_`QTY1|1_x0005_`BQC|_x0005_`EQC|_x0005_`JDC|_x0005_`WQC|_x0005_`EDT|_x0005_`ADJ|F_x0005_`DET|2333_x0005_`</v>
      </c>
      <c r="K537" s="3" t="str">
        <f ca="1">HYPERLINK("#"&amp;일위대가표!N2&amp;"!A"&amp;ROW(일위대가표!A2333),"대가534 →")</f>
        <v>대가534 →</v>
      </c>
    </row>
    <row r="538" spans="1:11" ht="22.35" customHeight="1" x14ac:dyDescent="0.3">
      <c r="A538" s="9" t="s">
        <v>1338</v>
      </c>
      <c r="B538" s="10" t="s">
        <v>1336</v>
      </c>
      <c r="C538" s="10" t="s">
        <v>1321</v>
      </c>
      <c r="D538" s="9" t="s">
        <v>1010</v>
      </c>
      <c r="E538" s="48">
        <f>일위대가표!F2339</f>
        <v>126102</v>
      </c>
      <c r="F538" s="47">
        <f>일위대가표!H2339</f>
        <v>126102</v>
      </c>
      <c r="G538" s="56">
        <f>일위대가표!J2339</f>
        <v>0</v>
      </c>
      <c r="H538" s="48">
        <f>일위대가표!L2339</f>
        <v>0</v>
      </c>
      <c r="I538" s="15" t="s">
        <v>1338</v>
      </c>
      <c r="J538" s="17" t="str">
        <f>"_x0007_`COD|B05450_x0005_`QTY1|1_x0005_`BQC|_x0005_`EQC|_x0005_`JDC|_x0005_`WQC|_x0005_`EDT|_x0005_`ADJ|F_x0005_`DET|"&amp;ROW(일위대가표!A2337)&amp;"_x0005_`"</f>
        <v>_x0007_`COD|B05450_x0005_`QTY1|1_x0005_`BQC|_x0005_`EQC|_x0005_`JDC|_x0005_`WQC|_x0005_`EDT|_x0005_`ADJ|F_x0005_`DET|2337_x0005_`</v>
      </c>
      <c r="K538" s="3" t="str">
        <f ca="1">HYPERLINK("#"&amp;일위대가표!N2&amp;"!A"&amp;ROW(일위대가표!A2337),"대가535 →")</f>
        <v>대가535 →</v>
      </c>
    </row>
    <row r="539" spans="1:11" ht="22.35" customHeight="1" x14ac:dyDescent="0.3">
      <c r="A539" s="9" t="s">
        <v>1340</v>
      </c>
      <c r="B539" s="10" t="s">
        <v>1336</v>
      </c>
      <c r="C539" s="10" t="s">
        <v>1324</v>
      </c>
      <c r="D539" s="9" t="s">
        <v>1010</v>
      </c>
      <c r="E539" s="48">
        <f>일위대가표!F2343</f>
        <v>187711</v>
      </c>
      <c r="F539" s="47">
        <f>일위대가표!H2343</f>
        <v>187711</v>
      </c>
      <c r="G539" s="56">
        <f>일위대가표!J2343</f>
        <v>0</v>
      </c>
      <c r="H539" s="48">
        <f>일위대가표!L2343</f>
        <v>0</v>
      </c>
      <c r="I539" s="15" t="s">
        <v>1340</v>
      </c>
      <c r="J539" s="17" t="str">
        <f>"_x0007_`COD|B05451_x0005_`QTY1|1_x0005_`BQC|_x0005_`EQC|_x0005_`JDC|_x0005_`WQC|_x0005_`EDT|_x0005_`ADJ|F_x0005_`DET|"&amp;ROW(일위대가표!A2341)&amp;"_x0005_`"</f>
        <v>_x0007_`COD|B05451_x0005_`QTY1|1_x0005_`BQC|_x0005_`EQC|_x0005_`JDC|_x0005_`WQC|_x0005_`EDT|_x0005_`ADJ|F_x0005_`DET|2341_x0005_`</v>
      </c>
      <c r="K539" s="3" t="str">
        <f ca="1">HYPERLINK("#"&amp;일위대가표!N2&amp;"!A"&amp;ROW(일위대가표!A2341),"대가536 →")</f>
        <v>대가536 →</v>
      </c>
    </row>
    <row r="540" spans="1:11" ht="22.35" customHeight="1" x14ac:dyDescent="0.3">
      <c r="A540" s="9" t="s">
        <v>1342</v>
      </c>
      <c r="B540" s="10" t="s">
        <v>1336</v>
      </c>
      <c r="C540" s="10" t="s">
        <v>1327</v>
      </c>
      <c r="D540" s="9" t="s">
        <v>1010</v>
      </c>
      <c r="E540" s="48">
        <f>일위대가표!F2347</f>
        <v>319974</v>
      </c>
      <c r="F540" s="47">
        <f>일위대가표!H2347</f>
        <v>319974</v>
      </c>
      <c r="G540" s="56">
        <f>일위대가표!J2347</f>
        <v>0</v>
      </c>
      <c r="H540" s="48">
        <f>일위대가표!L2347</f>
        <v>0</v>
      </c>
      <c r="I540" s="15" t="s">
        <v>1342</v>
      </c>
      <c r="J540" s="17" t="str">
        <f>"_x0007_`COD|B05452_x0005_`QTY1|1_x0005_`BQC|_x0005_`EQC|_x0005_`JDC|_x0005_`WQC|_x0005_`EDT|_x0005_`ADJ|F_x0005_`DET|"&amp;ROW(일위대가표!A2345)&amp;"_x0005_`"</f>
        <v>_x0007_`COD|B05452_x0005_`QTY1|1_x0005_`BQC|_x0005_`EQC|_x0005_`JDC|_x0005_`WQC|_x0005_`EDT|_x0005_`ADJ|F_x0005_`DET|2345_x0005_`</v>
      </c>
      <c r="K540" s="3" t="str">
        <f ca="1">HYPERLINK("#"&amp;일위대가표!N2&amp;"!A"&amp;ROW(일위대가표!A2345),"대가537 →")</f>
        <v>대가537 →</v>
      </c>
    </row>
    <row r="541" spans="1:11" ht="22.35" customHeight="1" x14ac:dyDescent="0.3">
      <c r="A541" s="9" t="s">
        <v>1344</v>
      </c>
      <c r="B541" s="10" t="s">
        <v>1336</v>
      </c>
      <c r="C541" s="10" t="s">
        <v>1330</v>
      </c>
      <c r="D541" s="9" t="s">
        <v>1010</v>
      </c>
      <c r="E541" s="48">
        <f>일위대가표!F2351</f>
        <v>441247</v>
      </c>
      <c r="F541" s="47">
        <f>일위대가표!H2351</f>
        <v>441247</v>
      </c>
      <c r="G541" s="56">
        <f>일위대가표!J2351</f>
        <v>0</v>
      </c>
      <c r="H541" s="48">
        <f>일위대가표!L2351</f>
        <v>0</v>
      </c>
      <c r="I541" s="15" t="s">
        <v>1344</v>
      </c>
      <c r="J541" s="17" t="str">
        <f>"_x0007_`COD|B05453_x0005_`QTY1|1_x0005_`BQC|_x0005_`EQC|_x0005_`JDC|_x0005_`WQC|_x0005_`EDT|_x0005_`ADJ|F_x0005_`DET|"&amp;ROW(일위대가표!A2349)&amp;"_x0005_`"</f>
        <v>_x0007_`COD|B05453_x0005_`QTY1|1_x0005_`BQC|_x0005_`EQC|_x0005_`JDC|_x0005_`WQC|_x0005_`EDT|_x0005_`ADJ|F_x0005_`DET|2349_x0005_`</v>
      </c>
      <c r="K541" s="3" t="str">
        <f ca="1">HYPERLINK("#"&amp;일위대가표!N2&amp;"!A"&amp;ROW(일위대가표!A2349),"대가538 →")</f>
        <v>대가538 →</v>
      </c>
    </row>
    <row r="542" spans="1:11" ht="22.35" customHeight="1" x14ac:dyDescent="0.3">
      <c r="A542" s="9" t="s">
        <v>1346</v>
      </c>
      <c r="B542" s="10" t="s">
        <v>1336</v>
      </c>
      <c r="C542" s="10" t="s">
        <v>1333</v>
      </c>
      <c r="D542" s="9" t="s">
        <v>1010</v>
      </c>
      <c r="E542" s="48">
        <f>일위대가표!F2355</f>
        <v>566239</v>
      </c>
      <c r="F542" s="47">
        <f>일위대가표!H2355</f>
        <v>566239</v>
      </c>
      <c r="G542" s="56">
        <f>일위대가표!J2355</f>
        <v>0</v>
      </c>
      <c r="H542" s="48">
        <f>일위대가표!L2355</f>
        <v>0</v>
      </c>
      <c r="I542" s="15" t="s">
        <v>1346</v>
      </c>
      <c r="J542" s="17" t="str">
        <f>"_x0007_`COD|B05454_x0005_`QTY1|1_x0005_`BQC|_x0005_`EQC|_x0005_`JDC|_x0005_`WQC|_x0005_`EDT|_x0005_`ADJ|F_x0005_`DET|"&amp;ROW(일위대가표!A2353)&amp;"_x0005_`"</f>
        <v>_x0007_`COD|B05454_x0005_`QTY1|1_x0005_`BQC|_x0005_`EQC|_x0005_`JDC|_x0005_`WQC|_x0005_`EDT|_x0005_`ADJ|F_x0005_`DET|2353_x0005_`</v>
      </c>
      <c r="K542" s="3" t="str">
        <f ca="1">HYPERLINK("#"&amp;일위대가표!N2&amp;"!A"&amp;ROW(일위대가표!A2353),"대가539 →")</f>
        <v>대가539 →</v>
      </c>
    </row>
    <row r="543" spans="1:11" ht="22.35" customHeight="1" x14ac:dyDescent="0.3">
      <c r="A543" s="9" t="s">
        <v>1348</v>
      </c>
      <c r="B543" s="10" t="s">
        <v>1349</v>
      </c>
      <c r="C543" s="10" t="s">
        <v>1318</v>
      </c>
      <c r="D543" s="9" t="s">
        <v>1010</v>
      </c>
      <c r="E543" s="48">
        <f>일위대가표!F2359</f>
        <v>28490</v>
      </c>
      <c r="F543" s="47">
        <f>일위대가표!H2359</f>
        <v>28490</v>
      </c>
      <c r="G543" s="56">
        <f>일위대가표!J2359</f>
        <v>0</v>
      </c>
      <c r="H543" s="48">
        <f>일위대가표!L2359</f>
        <v>0</v>
      </c>
      <c r="I543" s="15" t="s">
        <v>1348</v>
      </c>
      <c r="J543" s="17" t="str">
        <f>"_x0007_`COD|B05455_x0005_`QTY1|1_x0005_`BQC|_x0005_`EQC|_x0005_`JDC|_x0005_`WQC|_x0005_`EDT|_x0005_`ADJ|F_x0005_`DET|"&amp;ROW(일위대가표!A2357)&amp;"_x0005_`"</f>
        <v>_x0007_`COD|B05455_x0005_`QTY1|1_x0005_`BQC|_x0005_`EQC|_x0005_`JDC|_x0005_`WQC|_x0005_`EDT|_x0005_`ADJ|F_x0005_`DET|2357_x0005_`</v>
      </c>
      <c r="K543" s="3" t="str">
        <f ca="1">HYPERLINK("#"&amp;일위대가표!N2&amp;"!A"&amp;ROW(일위대가표!A2357),"대가540 →")</f>
        <v>대가540 →</v>
      </c>
    </row>
    <row r="544" spans="1:11" ht="22.35" customHeight="1" x14ac:dyDescent="0.3">
      <c r="A544" s="9" t="s">
        <v>1351</v>
      </c>
      <c r="B544" s="10" t="s">
        <v>1349</v>
      </c>
      <c r="C544" s="10" t="s">
        <v>1321</v>
      </c>
      <c r="D544" s="9" t="s">
        <v>1010</v>
      </c>
      <c r="E544" s="48">
        <f>일위대가표!F2363</f>
        <v>84068</v>
      </c>
      <c r="F544" s="47">
        <f>일위대가표!H2363</f>
        <v>84068</v>
      </c>
      <c r="G544" s="56">
        <f>일위대가표!J2363</f>
        <v>0</v>
      </c>
      <c r="H544" s="48">
        <f>일위대가표!L2363</f>
        <v>0</v>
      </c>
      <c r="I544" s="15" t="s">
        <v>1351</v>
      </c>
      <c r="J544" s="17" t="str">
        <f>"_x0007_`COD|B05456_x0005_`QTY1|1_x0005_`BQC|_x0005_`EQC|_x0005_`JDC|_x0005_`WQC|_x0005_`EDT|_x0005_`ADJ|F_x0005_`DET|"&amp;ROW(일위대가표!A2361)&amp;"_x0005_`"</f>
        <v>_x0007_`COD|B05456_x0005_`QTY1|1_x0005_`BQC|_x0005_`EQC|_x0005_`JDC|_x0005_`WQC|_x0005_`EDT|_x0005_`ADJ|F_x0005_`DET|2361_x0005_`</v>
      </c>
      <c r="K544" s="3" t="str">
        <f ca="1">HYPERLINK("#"&amp;일위대가표!N2&amp;"!A"&amp;ROW(일위대가표!A2361),"대가541 →")</f>
        <v>대가541 →</v>
      </c>
    </row>
    <row r="545" spans="1:11" ht="22.35" customHeight="1" x14ac:dyDescent="0.3">
      <c r="A545" s="9" t="s">
        <v>1353</v>
      </c>
      <c r="B545" s="10" t="s">
        <v>1349</v>
      </c>
      <c r="C545" s="10" t="s">
        <v>1324</v>
      </c>
      <c r="D545" s="9" t="s">
        <v>1010</v>
      </c>
      <c r="E545" s="48">
        <f>일위대가표!F2367</f>
        <v>125141</v>
      </c>
      <c r="F545" s="47">
        <f>일위대가표!H2367</f>
        <v>125141</v>
      </c>
      <c r="G545" s="56">
        <f>일위대가표!J2367</f>
        <v>0</v>
      </c>
      <c r="H545" s="48">
        <f>일위대가표!L2367</f>
        <v>0</v>
      </c>
      <c r="I545" s="15" t="s">
        <v>1353</v>
      </c>
      <c r="J545" s="17" t="str">
        <f>"_x0007_`COD|B05457_x0005_`QTY1|1_x0005_`BQC|_x0005_`EQC|_x0005_`JDC|_x0005_`WQC|_x0005_`EDT|_x0005_`ADJ|F_x0005_`DET|"&amp;ROW(일위대가표!A2365)&amp;"_x0005_`"</f>
        <v>_x0007_`COD|B05457_x0005_`QTY1|1_x0005_`BQC|_x0005_`EQC|_x0005_`JDC|_x0005_`WQC|_x0005_`EDT|_x0005_`ADJ|F_x0005_`DET|2365_x0005_`</v>
      </c>
      <c r="K545" s="3" t="str">
        <f ca="1">HYPERLINK("#"&amp;일위대가표!N2&amp;"!A"&amp;ROW(일위대가표!A2365),"대가542 →")</f>
        <v>대가542 →</v>
      </c>
    </row>
    <row r="546" spans="1:11" ht="22.35" customHeight="1" x14ac:dyDescent="0.3">
      <c r="A546" s="9" t="s">
        <v>1355</v>
      </c>
      <c r="B546" s="10" t="s">
        <v>1349</v>
      </c>
      <c r="C546" s="10" t="s">
        <v>1327</v>
      </c>
      <c r="D546" s="9" t="s">
        <v>1010</v>
      </c>
      <c r="E546" s="48">
        <f>일위대가표!F2371</f>
        <v>213316</v>
      </c>
      <c r="F546" s="47">
        <f>일위대가표!H2371</f>
        <v>213316</v>
      </c>
      <c r="G546" s="56">
        <f>일위대가표!J2371</f>
        <v>0</v>
      </c>
      <c r="H546" s="48">
        <f>일위대가표!L2371</f>
        <v>0</v>
      </c>
      <c r="I546" s="15" t="s">
        <v>1355</v>
      </c>
      <c r="J546" s="17" t="str">
        <f>"_x0007_`COD|B05458_x0005_`QTY1|1_x0005_`BQC|_x0005_`EQC|_x0005_`JDC|_x0005_`WQC|_x0005_`EDT|_x0005_`ADJ|F_x0005_`DET|"&amp;ROW(일위대가표!A2369)&amp;"_x0005_`"</f>
        <v>_x0007_`COD|B05458_x0005_`QTY1|1_x0005_`BQC|_x0005_`EQC|_x0005_`JDC|_x0005_`WQC|_x0005_`EDT|_x0005_`ADJ|F_x0005_`DET|2369_x0005_`</v>
      </c>
      <c r="K546" s="3" t="str">
        <f ca="1">HYPERLINK("#"&amp;일위대가표!N2&amp;"!A"&amp;ROW(일위대가표!A2369),"대가543 →")</f>
        <v>대가543 →</v>
      </c>
    </row>
    <row r="547" spans="1:11" ht="22.35" customHeight="1" x14ac:dyDescent="0.3">
      <c r="A547" s="9" t="s">
        <v>1357</v>
      </c>
      <c r="B547" s="10" t="s">
        <v>1349</v>
      </c>
      <c r="C547" s="10" t="s">
        <v>1330</v>
      </c>
      <c r="D547" s="9" t="s">
        <v>1010</v>
      </c>
      <c r="E547" s="48">
        <f>일위대가표!F2375</f>
        <v>294165</v>
      </c>
      <c r="F547" s="47">
        <f>일위대가표!H2375</f>
        <v>294165</v>
      </c>
      <c r="G547" s="56">
        <f>일위대가표!J2375</f>
        <v>0</v>
      </c>
      <c r="H547" s="48">
        <f>일위대가표!L2375</f>
        <v>0</v>
      </c>
      <c r="I547" s="15" t="s">
        <v>1357</v>
      </c>
      <c r="J547" s="17" t="str">
        <f>"_x0007_`COD|B05459_x0005_`QTY1|1_x0005_`BQC|_x0005_`EQC|_x0005_`JDC|_x0005_`WQC|_x0005_`EDT|_x0005_`ADJ|F_x0005_`DET|"&amp;ROW(일위대가표!A2373)&amp;"_x0005_`"</f>
        <v>_x0007_`COD|B05459_x0005_`QTY1|1_x0005_`BQC|_x0005_`EQC|_x0005_`JDC|_x0005_`WQC|_x0005_`EDT|_x0005_`ADJ|F_x0005_`DET|2373_x0005_`</v>
      </c>
      <c r="K547" s="3" t="str">
        <f ca="1">HYPERLINK("#"&amp;일위대가표!N2&amp;"!A"&amp;ROW(일위대가표!A2373),"대가544 →")</f>
        <v>대가544 →</v>
      </c>
    </row>
    <row r="548" spans="1:11" ht="22.35" customHeight="1" x14ac:dyDescent="0.3">
      <c r="A548" s="9" t="s">
        <v>1359</v>
      </c>
      <c r="B548" s="10" t="s">
        <v>1349</v>
      </c>
      <c r="C548" s="10" t="s">
        <v>1333</v>
      </c>
      <c r="D548" s="9" t="s">
        <v>1010</v>
      </c>
      <c r="E548" s="48">
        <f>일위대가표!F2379</f>
        <v>377493</v>
      </c>
      <c r="F548" s="47">
        <f>일위대가표!H2379</f>
        <v>377493</v>
      </c>
      <c r="G548" s="56">
        <f>일위대가표!J2379</f>
        <v>0</v>
      </c>
      <c r="H548" s="48">
        <f>일위대가표!L2379</f>
        <v>0</v>
      </c>
      <c r="I548" s="15" t="s">
        <v>1359</v>
      </c>
      <c r="J548" s="17" t="str">
        <f>"_x0007_`COD|B05460_x0005_`QTY1|1_x0005_`BQC|_x0005_`EQC|_x0005_`JDC|_x0005_`WQC|_x0005_`EDT|_x0005_`ADJ|F_x0005_`DET|"&amp;ROW(일위대가표!A2377)&amp;"_x0005_`"</f>
        <v>_x0007_`COD|B05460_x0005_`QTY1|1_x0005_`BQC|_x0005_`EQC|_x0005_`JDC|_x0005_`WQC|_x0005_`EDT|_x0005_`ADJ|F_x0005_`DET|2377_x0005_`</v>
      </c>
      <c r="K548" s="3" t="str">
        <f ca="1">HYPERLINK("#"&amp;일위대가표!N2&amp;"!A"&amp;ROW(일위대가표!A2377),"대가545 →")</f>
        <v>대가545 →</v>
      </c>
    </row>
    <row r="549" spans="1:11" ht="22.35" customHeight="1" x14ac:dyDescent="0.3">
      <c r="A549" s="9" t="s">
        <v>1361</v>
      </c>
      <c r="B549" s="10" t="s">
        <v>1362</v>
      </c>
      <c r="C549" s="10" t="s">
        <v>1318</v>
      </c>
      <c r="D549" s="9" t="s">
        <v>1010</v>
      </c>
      <c r="E549" s="48">
        <f>일위대가표!F2383</f>
        <v>14245</v>
      </c>
      <c r="F549" s="47">
        <f>일위대가표!H2383</f>
        <v>14245</v>
      </c>
      <c r="G549" s="56">
        <f>일위대가표!J2383</f>
        <v>0</v>
      </c>
      <c r="H549" s="48">
        <f>일위대가표!L2383</f>
        <v>0</v>
      </c>
      <c r="I549" s="15" t="s">
        <v>1361</v>
      </c>
      <c r="J549" s="17" t="str">
        <f>"_x0007_`COD|B05461_x0005_`QTY1|1_x0005_`BQC|_x0005_`EQC|_x0005_`JDC|_x0005_`WQC|_x0005_`EDT|_x0005_`ADJ|F_x0005_`DET|"&amp;ROW(일위대가표!A2381)&amp;"_x0005_`"</f>
        <v>_x0007_`COD|B05461_x0005_`QTY1|1_x0005_`BQC|_x0005_`EQC|_x0005_`JDC|_x0005_`WQC|_x0005_`EDT|_x0005_`ADJ|F_x0005_`DET|2381_x0005_`</v>
      </c>
      <c r="K549" s="3" t="str">
        <f ca="1">HYPERLINK("#"&amp;일위대가표!N2&amp;"!A"&amp;ROW(일위대가표!A2381),"대가546 →")</f>
        <v>대가546 →</v>
      </c>
    </row>
    <row r="550" spans="1:11" ht="22.35" customHeight="1" x14ac:dyDescent="0.3">
      <c r="A550" s="9" t="s">
        <v>1364</v>
      </c>
      <c r="B550" s="10" t="s">
        <v>1362</v>
      </c>
      <c r="C550" s="10" t="s">
        <v>1321</v>
      </c>
      <c r="D550" s="9" t="s">
        <v>1010</v>
      </c>
      <c r="E550" s="48">
        <f>일위대가표!F2387</f>
        <v>42034</v>
      </c>
      <c r="F550" s="47">
        <f>일위대가표!H2387</f>
        <v>42034</v>
      </c>
      <c r="G550" s="56">
        <f>일위대가표!J2387</f>
        <v>0</v>
      </c>
      <c r="H550" s="48">
        <f>일위대가표!L2387</f>
        <v>0</v>
      </c>
      <c r="I550" s="15" t="s">
        <v>1364</v>
      </c>
      <c r="J550" s="17" t="str">
        <f>"_x0007_`COD|B05462_x0005_`QTY1|1_x0005_`BQC|_x0005_`EQC|_x0005_`JDC|_x0005_`WQC|_x0005_`EDT|_x0005_`ADJ|F_x0005_`DET|"&amp;ROW(일위대가표!A2385)&amp;"_x0005_`"</f>
        <v>_x0007_`COD|B05462_x0005_`QTY1|1_x0005_`BQC|_x0005_`EQC|_x0005_`JDC|_x0005_`WQC|_x0005_`EDT|_x0005_`ADJ|F_x0005_`DET|2385_x0005_`</v>
      </c>
      <c r="K550" s="3" t="str">
        <f ca="1">HYPERLINK("#"&amp;일위대가표!N2&amp;"!A"&amp;ROW(일위대가표!A2385),"대가547 →")</f>
        <v>대가547 →</v>
      </c>
    </row>
    <row r="551" spans="1:11" ht="22.35" customHeight="1" x14ac:dyDescent="0.3">
      <c r="A551" s="9" t="s">
        <v>1366</v>
      </c>
      <c r="B551" s="10" t="s">
        <v>1362</v>
      </c>
      <c r="C551" s="10" t="s">
        <v>1324</v>
      </c>
      <c r="D551" s="9" t="s">
        <v>1010</v>
      </c>
      <c r="E551" s="48">
        <f>일위대가표!F2391</f>
        <v>62570</v>
      </c>
      <c r="F551" s="47">
        <f>일위대가표!H2391</f>
        <v>62570</v>
      </c>
      <c r="G551" s="56">
        <f>일위대가표!J2391</f>
        <v>0</v>
      </c>
      <c r="H551" s="48">
        <f>일위대가표!L2391</f>
        <v>0</v>
      </c>
      <c r="I551" s="15" t="s">
        <v>1366</v>
      </c>
      <c r="J551" s="17" t="str">
        <f>"_x0007_`COD|B05463_x0005_`QTY1|1_x0005_`BQC|_x0005_`EQC|_x0005_`JDC|_x0005_`WQC|_x0005_`EDT|_x0005_`ADJ|F_x0005_`DET|"&amp;ROW(일위대가표!A2389)&amp;"_x0005_`"</f>
        <v>_x0007_`COD|B05463_x0005_`QTY1|1_x0005_`BQC|_x0005_`EQC|_x0005_`JDC|_x0005_`WQC|_x0005_`EDT|_x0005_`ADJ|F_x0005_`DET|2389_x0005_`</v>
      </c>
      <c r="K551" s="3" t="str">
        <f ca="1">HYPERLINK("#"&amp;일위대가표!N2&amp;"!A"&amp;ROW(일위대가표!A2389),"대가548 →")</f>
        <v>대가548 →</v>
      </c>
    </row>
    <row r="552" spans="1:11" ht="22.35" customHeight="1" x14ac:dyDescent="0.3">
      <c r="A552" s="9" t="s">
        <v>1368</v>
      </c>
      <c r="B552" s="10" t="s">
        <v>1362</v>
      </c>
      <c r="C552" s="10" t="s">
        <v>1327</v>
      </c>
      <c r="D552" s="9" t="s">
        <v>1010</v>
      </c>
      <c r="E552" s="48">
        <f>일위대가표!F2395</f>
        <v>106658</v>
      </c>
      <c r="F552" s="47">
        <f>일위대가표!H2395</f>
        <v>106658</v>
      </c>
      <c r="G552" s="56">
        <f>일위대가표!J2395</f>
        <v>0</v>
      </c>
      <c r="H552" s="48">
        <f>일위대가표!L2395</f>
        <v>0</v>
      </c>
      <c r="I552" s="15" t="s">
        <v>1368</v>
      </c>
      <c r="J552" s="17" t="str">
        <f>"_x0007_`COD|B05464_x0005_`QTY1|1_x0005_`BQC|_x0005_`EQC|_x0005_`JDC|_x0005_`WQC|_x0005_`EDT|_x0005_`ADJ|F_x0005_`DET|"&amp;ROW(일위대가표!A2393)&amp;"_x0005_`"</f>
        <v>_x0007_`COD|B05464_x0005_`QTY1|1_x0005_`BQC|_x0005_`EQC|_x0005_`JDC|_x0005_`WQC|_x0005_`EDT|_x0005_`ADJ|F_x0005_`DET|2393_x0005_`</v>
      </c>
      <c r="K552" s="3" t="str">
        <f ca="1">HYPERLINK("#"&amp;일위대가표!N2&amp;"!A"&amp;ROW(일위대가표!A2393),"대가549 →")</f>
        <v>대가549 →</v>
      </c>
    </row>
    <row r="553" spans="1:11" ht="22.35" customHeight="1" x14ac:dyDescent="0.3">
      <c r="A553" s="9" t="s">
        <v>1370</v>
      </c>
      <c r="B553" s="10" t="s">
        <v>1362</v>
      </c>
      <c r="C553" s="10" t="s">
        <v>1330</v>
      </c>
      <c r="D553" s="9" t="s">
        <v>1010</v>
      </c>
      <c r="E553" s="48">
        <f>일위대가표!F2399</f>
        <v>147082</v>
      </c>
      <c r="F553" s="47">
        <f>일위대가표!H2399</f>
        <v>147082</v>
      </c>
      <c r="G553" s="56">
        <f>일위대가표!J2399</f>
        <v>0</v>
      </c>
      <c r="H553" s="48">
        <f>일위대가표!L2399</f>
        <v>0</v>
      </c>
      <c r="I553" s="15" t="s">
        <v>1370</v>
      </c>
      <c r="J553" s="17" t="str">
        <f>"_x0007_`COD|B05465_x0005_`QTY1|1_x0005_`BQC|_x0005_`EQC|_x0005_`JDC|_x0005_`WQC|_x0005_`EDT|_x0005_`ADJ|F_x0005_`DET|"&amp;ROW(일위대가표!A2397)&amp;"_x0005_`"</f>
        <v>_x0007_`COD|B05465_x0005_`QTY1|1_x0005_`BQC|_x0005_`EQC|_x0005_`JDC|_x0005_`WQC|_x0005_`EDT|_x0005_`ADJ|F_x0005_`DET|2397_x0005_`</v>
      </c>
      <c r="K553" s="3" t="str">
        <f ca="1">HYPERLINK("#"&amp;일위대가표!N2&amp;"!A"&amp;ROW(일위대가표!A2397),"대가550 →")</f>
        <v>대가550 →</v>
      </c>
    </row>
    <row r="554" spans="1:11" ht="22.35" customHeight="1" x14ac:dyDescent="0.3">
      <c r="A554" s="9" t="s">
        <v>1372</v>
      </c>
      <c r="B554" s="10" t="s">
        <v>1362</v>
      </c>
      <c r="C554" s="10" t="s">
        <v>1333</v>
      </c>
      <c r="D554" s="9" t="s">
        <v>1010</v>
      </c>
      <c r="E554" s="48">
        <f>일위대가표!F2403</f>
        <v>188746</v>
      </c>
      <c r="F554" s="47">
        <f>일위대가표!H2403</f>
        <v>188746</v>
      </c>
      <c r="G554" s="56">
        <f>일위대가표!J2403</f>
        <v>0</v>
      </c>
      <c r="H554" s="48">
        <f>일위대가표!L2403</f>
        <v>0</v>
      </c>
      <c r="I554" s="15" t="s">
        <v>1372</v>
      </c>
      <c r="J554" s="17" t="str">
        <f>"_x0007_`COD|B05466_x0005_`QTY1|1_x0005_`BQC|_x0005_`EQC|_x0005_`JDC|_x0005_`WQC|_x0005_`EDT|_x0005_`ADJ|F_x0005_`DET|"&amp;ROW(일위대가표!A2401)&amp;"_x0005_`"</f>
        <v>_x0007_`COD|B05466_x0005_`QTY1|1_x0005_`BQC|_x0005_`EQC|_x0005_`JDC|_x0005_`WQC|_x0005_`EDT|_x0005_`ADJ|F_x0005_`DET|2401_x0005_`</v>
      </c>
      <c r="K554" s="3" t="str">
        <f ca="1">HYPERLINK("#"&amp;일위대가표!N2&amp;"!A"&amp;ROW(일위대가표!A2401),"대가551 →")</f>
        <v>대가551 →</v>
      </c>
    </row>
    <row r="555" spans="1:11" ht="22.35" customHeight="1" x14ac:dyDescent="0.3">
      <c r="A555" s="9" t="s">
        <v>1374</v>
      </c>
      <c r="B555" s="10" t="s">
        <v>1375</v>
      </c>
      <c r="C555" s="10" t="s">
        <v>1376</v>
      </c>
      <c r="D555" s="9" t="s">
        <v>1010</v>
      </c>
      <c r="E555" s="48">
        <f>일위대가표!F2408</f>
        <v>201775</v>
      </c>
      <c r="F555" s="47">
        <f>일위대가표!H2408</f>
        <v>100753</v>
      </c>
      <c r="G555" s="56">
        <f>일위대가표!J2408</f>
        <v>98000</v>
      </c>
      <c r="H555" s="48">
        <f>일위대가표!L2408</f>
        <v>3022</v>
      </c>
      <c r="I555" s="15" t="s">
        <v>1374</v>
      </c>
      <c r="J555" s="17" t="str">
        <f>"_x0007_`COD|B05051_x0005_`QTY1|1_x0005_`BQC|_x0005_`EQC|_x0005_`JDC|_x0005_`WQC|_x0005_`EDT|_x0005_`ADJ|F_x0005_`DET|"&amp;ROW(일위대가표!A2405)&amp;"_x0005_`"</f>
        <v>_x0007_`COD|B05051_x0005_`QTY1|1_x0005_`BQC|_x0005_`EQC|_x0005_`JDC|_x0005_`WQC|_x0005_`EDT|_x0005_`ADJ|F_x0005_`DET|2405_x0005_`</v>
      </c>
      <c r="K555" s="3" t="str">
        <f ca="1">HYPERLINK("#"&amp;일위대가표!N2&amp;"!A"&amp;ROW(일위대가표!A2405),"대가552 →")</f>
        <v>대가552 →</v>
      </c>
    </row>
    <row r="556" spans="1:11" ht="22.35" customHeight="1" x14ac:dyDescent="0.3">
      <c r="A556" s="9" t="s">
        <v>1378</v>
      </c>
      <c r="B556" s="10" t="s">
        <v>1375</v>
      </c>
      <c r="C556" s="10" t="s">
        <v>1379</v>
      </c>
      <c r="D556" s="9" t="s">
        <v>1010</v>
      </c>
      <c r="E556" s="48">
        <f>일위대가표!F2413</f>
        <v>246968</v>
      </c>
      <c r="F556" s="47">
        <f>일위대가표!H2413</f>
        <v>145668</v>
      </c>
      <c r="G556" s="56">
        <f>일위대가표!J2413</f>
        <v>101300</v>
      </c>
      <c r="H556" s="48">
        <f>일위대가표!L2413</f>
        <v>0</v>
      </c>
      <c r="I556" s="15" t="s">
        <v>1378</v>
      </c>
      <c r="J556" s="17" t="str">
        <f>"_x0007_`COD|B05052_x0005_`QTY1|1_x0005_`BQC|_x0005_`EQC|_x0005_`JDC|_x0005_`WQC|_x0005_`EDT|_x0005_`ADJ|F_x0005_`DET|"&amp;ROW(일위대가표!A2410)&amp;"_x0005_`"</f>
        <v>_x0007_`COD|B05052_x0005_`QTY1|1_x0005_`BQC|_x0005_`EQC|_x0005_`JDC|_x0005_`WQC|_x0005_`EDT|_x0005_`ADJ|F_x0005_`DET|2410_x0005_`</v>
      </c>
      <c r="K556" s="3" t="str">
        <f ca="1">HYPERLINK("#"&amp;일위대가표!N2&amp;"!A"&amp;ROW(일위대가표!A2410),"대가553 →")</f>
        <v>대가553 →</v>
      </c>
    </row>
    <row r="557" spans="1:11" ht="22.35" customHeight="1" x14ac:dyDescent="0.3">
      <c r="A557" s="9" t="s">
        <v>1381</v>
      </c>
      <c r="B557" s="10" t="s">
        <v>1375</v>
      </c>
      <c r="C557" s="10" t="s">
        <v>1382</v>
      </c>
      <c r="D557" s="9" t="s">
        <v>1010</v>
      </c>
      <c r="E557" s="48">
        <f>일위대가표!F2418</f>
        <v>347819</v>
      </c>
      <c r="F557" s="47">
        <f>일위대가표!H2418</f>
        <v>189819</v>
      </c>
      <c r="G557" s="56">
        <f>일위대가표!J2418</f>
        <v>158000</v>
      </c>
      <c r="H557" s="48">
        <f>일위대가표!L2418</f>
        <v>0</v>
      </c>
      <c r="I557" s="15" t="s">
        <v>1381</v>
      </c>
      <c r="J557" s="17" t="str">
        <f>"_x0007_`COD|B05053_x0005_`QTY1|1_x0005_`BQC|_x0005_`EQC|_x0005_`JDC|_x0005_`WQC|_x0005_`EDT|_x0005_`ADJ|F_x0005_`DET|"&amp;ROW(일위대가표!A2415)&amp;"_x0005_`"</f>
        <v>_x0007_`COD|B05053_x0005_`QTY1|1_x0005_`BQC|_x0005_`EQC|_x0005_`JDC|_x0005_`WQC|_x0005_`EDT|_x0005_`ADJ|F_x0005_`DET|2415_x0005_`</v>
      </c>
      <c r="K557" s="3" t="str">
        <f ca="1">HYPERLINK("#"&amp;일위대가표!N2&amp;"!A"&amp;ROW(일위대가표!A2415),"대가554 →")</f>
        <v>대가554 →</v>
      </c>
    </row>
    <row r="558" spans="1:11" ht="22.35" customHeight="1" x14ac:dyDescent="0.3">
      <c r="A558" s="9" t="s">
        <v>1384</v>
      </c>
      <c r="B558" s="10" t="s">
        <v>1375</v>
      </c>
      <c r="C558" s="10" t="s">
        <v>1385</v>
      </c>
      <c r="D558" s="9" t="s">
        <v>1010</v>
      </c>
      <c r="E558" s="48">
        <f>일위대가표!F2423</f>
        <v>505673</v>
      </c>
      <c r="F558" s="47">
        <f>일위대가표!H2423</f>
        <v>246873</v>
      </c>
      <c r="G558" s="56">
        <f>일위대가표!J2423</f>
        <v>258800</v>
      </c>
      <c r="H558" s="48">
        <f>일위대가표!L2423</f>
        <v>0</v>
      </c>
      <c r="I558" s="15" t="s">
        <v>1384</v>
      </c>
      <c r="J558" s="17" t="str">
        <f>"_x0007_`COD|B05054_x0005_`QTY1|1_x0005_`BQC|_x0005_`EQC|_x0005_`JDC|_x0005_`WQC|_x0005_`EDT|_x0005_`ADJ|F_x0005_`DET|"&amp;ROW(일위대가표!A2420)&amp;"_x0005_`"</f>
        <v>_x0007_`COD|B05054_x0005_`QTY1|1_x0005_`BQC|_x0005_`EQC|_x0005_`JDC|_x0005_`WQC|_x0005_`EDT|_x0005_`ADJ|F_x0005_`DET|2420_x0005_`</v>
      </c>
      <c r="K558" s="3" t="str">
        <f ca="1">HYPERLINK("#"&amp;일위대가표!N2&amp;"!A"&amp;ROW(일위대가표!A2420),"대가555 →")</f>
        <v>대가555 →</v>
      </c>
    </row>
    <row r="559" spans="1:11" ht="22.35" customHeight="1" x14ac:dyDescent="0.3">
      <c r="A559" s="9" t="s">
        <v>1387</v>
      </c>
      <c r="B559" s="10" t="s">
        <v>1388</v>
      </c>
      <c r="C559" s="10" t="s">
        <v>1376</v>
      </c>
      <c r="D559" s="9" t="s">
        <v>1010</v>
      </c>
      <c r="E559" s="48">
        <f>일위대가표!F2427</f>
        <v>103775</v>
      </c>
      <c r="F559" s="47">
        <f>일위대가표!H2427</f>
        <v>100753</v>
      </c>
      <c r="G559" s="56">
        <f>일위대가표!J2427</f>
        <v>0</v>
      </c>
      <c r="H559" s="48">
        <f>일위대가표!L2427</f>
        <v>3022</v>
      </c>
      <c r="I559" s="15" t="s">
        <v>1387</v>
      </c>
      <c r="J559" s="17" t="str">
        <f>"_x0007_`COD|B05467_x0005_`QTY1|1_x0005_`BQC|_x0005_`EQC|_x0005_`JDC|_x0005_`WQC|_x0005_`EDT|_x0005_`ADJ|F_x0005_`DET|"&amp;ROW(일위대가표!A2425)&amp;"_x0005_`"</f>
        <v>_x0007_`COD|B05467_x0005_`QTY1|1_x0005_`BQC|_x0005_`EQC|_x0005_`JDC|_x0005_`WQC|_x0005_`EDT|_x0005_`ADJ|F_x0005_`DET|2425_x0005_`</v>
      </c>
      <c r="K559" s="3" t="str">
        <f ca="1">HYPERLINK("#"&amp;일위대가표!N2&amp;"!A"&amp;ROW(일위대가표!A2425),"대가556 →")</f>
        <v>대가556 →</v>
      </c>
    </row>
    <row r="560" spans="1:11" ht="22.35" customHeight="1" x14ac:dyDescent="0.3">
      <c r="A560" s="9" t="s">
        <v>1390</v>
      </c>
      <c r="B560" s="10" t="s">
        <v>1388</v>
      </c>
      <c r="C560" s="10" t="s">
        <v>1379</v>
      </c>
      <c r="D560" s="9" t="s">
        <v>1010</v>
      </c>
      <c r="E560" s="48">
        <f>일위대가표!F2431</f>
        <v>145668</v>
      </c>
      <c r="F560" s="47">
        <f>일위대가표!H2431</f>
        <v>145668</v>
      </c>
      <c r="G560" s="56">
        <f>일위대가표!J2431</f>
        <v>0</v>
      </c>
      <c r="H560" s="48">
        <f>일위대가표!L2431</f>
        <v>0</v>
      </c>
      <c r="I560" s="15" t="s">
        <v>1390</v>
      </c>
      <c r="J560" s="17" t="str">
        <f>"_x0007_`COD|B05468_x0005_`QTY1|1_x0005_`BQC|_x0005_`EQC|_x0005_`JDC|_x0005_`WQC|_x0005_`EDT|_x0005_`ADJ|F_x0005_`DET|"&amp;ROW(일위대가표!A2429)&amp;"_x0005_`"</f>
        <v>_x0007_`COD|B05468_x0005_`QTY1|1_x0005_`BQC|_x0005_`EQC|_x0005_`JDC|_x0005_`WQC|_x0005_`EDT|_x0005_`ADJ|F_x0005_`DET|2429_x0005_`</v>
      </c>
      <c r="K560" s="3" t="str">
        <f ca="1">HYPERLINK("#"&amp;일위대가표!N2&amp;"!A"&amp;ROW(일위대가표!A2429),"대가557 →")</f>
        <v>대가557 →</v>
      </c>
    </row>
    <row r="561" spans="1:11" ht="22.35" customHeight="1" x14ac:dyDescent="0.3">
      <c r="A561" s="9" t="s">
        <v>1392</v>
      </c>
      <c r="B561" s="10" t="s">
        <v>1388</v>
      </c>
      <c r="C561" s="10" t="s">
        <v>1382</v>
      </c>
      <c r="D561" s="9" t="s">
        <v>1010</v>
      </c>
      <c r="E561" s="48">
        <f>일위대가표!F2435</f>
        <v>189819</v>
      </c>
      <c r="F561" s="47">
        <f>일위대가표!H2435</f>
        <v>189819</v>
      </c>
      <c r="G561" s="56">
        <f>일위대가표!J2435</f>
        <v>0</v>
      </c>
      <c r="H561" s="48">
        <f>일위대가표!L2435</f>
        <v>0</v>
      </c>
      <c r="I561" s="15" t="s">
        <v>1392</v>
      </c>
      <c r="J561" s="17" t="str">
        <f>"_x0007_`COD|B05469_x0005_`QTY1|1_x0005_`BQC|_x0005_`EQC|_x0005_`JDC|_x0005_`WQC|_x0005_`EDT|_x0005_`ADJ|F_x0005_`DET|"&amp;ROW(일위대가표!A2433)&amp;"_x0005_`"</f>
        <v>_x0007_`COD|B05469_x0005_`QTY1|1_x0005_`BQC|_x0005_`EQC|_x0005_`JDC|_x0005_`WQC|_x0005_`EDT|_x0005_`ADJ|F_x0005_`DET|2433_x0005_`</v>
      </c>
      <c r="K561" s="3" t="str">
        <f ca="1">HYPERLINK("#"&amp;일위대가표!N2&amp;"!A"&amp;ROW(일위대가표!A2433),"대가558 →")</f>
        <v>대가558 →</v>
      </c>
    </row>
    <row r="562" spans="1:11" ht="22.35" customHeight="1" x14ac:dyDescent="0.3">
      <c r="A562" s="9" t="s">
        <v>1394</v>
      </c>
      <c r="B562" s="10" t="s">
        <v>1388</v>
      </c>
      <c r="C562" s="10" t="s">
        <v>1385</v>
      </c>
      <c r="D562" s="9" t="s">
        <v>1010</v>
      </c>
      <c r="E562" s="48">
        <f>일위대가표!F2439</f>
        <v>246873</v>
      </c>
      <c r="F562" s="47">
        <f>일위대가표!H2439</f>
        <v>246873</v>
      </c>
      <c r="G562" s="56">
        <f>일위대가표!J2439</f>
        <v>0</v>
      </c>
      <c r="H562" s="48">
        <f>일위대가표!L2439</f>
        <v>0</v>
      </c>
      <c r="I562" s="15" t="s">
        <v>1394</v>
      </c>
      <c r="J562" s="17" t="str">
        <f>"_x0007_`COD|B05470_x0005_`QTY1|1_x0005_`BQC|_x0005_`EQC|_x0005_`JDC|_x0005_`WQC|_x0005_`EDT|_x0005_`ADJ|F_x0005_`DET|"&amp;ROW(일위대가표!A2437)&amp;"_x0005_`"</f>
        <v>_x0007_`COD|B05470_x0005_`QTY1|1_x0005_`BQC|_x0005_`EQC|_x0005_`JDC|_x0005_`WQC|_x0005_`EDT|_x0005_`ADJ|F_x0005_`DET|2437_x0005_`</v>
      </c>
      <c r="K562" s="3" t="str">
        <f ca="1">HYPERLINK("#"&amp;일위대가표!N2&amp;"!A"&amp;ROW(일위대가표!A2437),"대가559 →")</f>
        <v>대가559 →</v>
      </c>
    </row>
    <row r="563" spans="1:11" ht="22.35" customHeight="1" x14ac:dyDescent="0.3">
      <c r="A563" s="9" t="s">
        <v>1396</v>
      </c>
      <c r="B563" s="10" t="s">
        <v>1397</v>
      </c>
      <c r="C563" s="10" t="s">
        <v>1376</v>
      </c>
      <c r="D563" s="9" t="s">
        <v>1010</v>
      </c>
      <c r="E563" s="48">
        <f>일위대가표!F2443</f>
        <v>74126</v>
      </c>
      <c r="F563" s="47">
        <f>일위대가표!H2443</f>
        <v>71967</v>
      </c>
      <c r="G563" s="56">
        <f>일위대가표!J2443</f>
        <v>0</v>
      </c>
      <c r="H563" s="48">
        <f>일위대가표!L2443</f>
        <v>2159</v>
      </c>
      <c r="I563" s="15" t="s">
        <v>1396</v>
      </c>
      <c r="J563" s="17" t="str">
        <f>"_x0007_`COD|B05471_x0005_`QTY1|1_x0005_`BQC|_x0005_`EQC|_x0005_`JDC|_x0005_`WQC|_x0005_`EDT|_x0005_`ADJ|F_x0005_`DET|"&amp;ROW(일위대가표!A2441)&amp;"_x0005_`"</f>
        <v>_x0007_`COD|B05471_x0005_`QTY1|1_x0005_`BQC|_x0005_`EQC|_x0005_`JDC|_x0005_`WQC|_x0005_`EDT|_x0005_`ADJ|F_x0005_`DET|2441_x0005_`</v>
      </c>
      <c r="K563" s="3" t="str">
        <f ca="1">HYPERLINK("#"&amp;일위대가표!N2&amp;"!A"&amp;ROW(일위대가표!A2441),"대가560 →")</f>
        <v>대가560 →</v>
      </c>
    </row>
    <row r="564" spans="1:11" ht="22.35" customHeight="1" x14ac:dyDescent="0.3">
      <c r="A564" s="9" t="s">
        <v>1399</v>
      </c>
      <c r="B564" s="10" t="s">
        <v>1397</v>
      </c>
      <c r="C564" s="10" t="s">
        <v>1379</v>
      </c>
      <c r="D564" s="9" t="s">
        <v>1010</v>
      </c>
      <c r="E564" s="48">
        <f>일위대가표!F2447</f>
        <v>104049</v>
      </c>
      <c r="F564" s="47">
        <f>일위대가표!H2447</f>
        <v>104049</v>
      </c>
      <c r="G564" s="56">
        <f>일위대가표!J2447</f>
        <v>0</v>
      </c>
      <c r="H564" s="48">
        <f>일위대가표!L2447</f>
        <v>0</v>
      </c>
      <c r="I564" s="15" t="s">
        <v>1399</v>
      </c>
      <c r="J564" s="17" t="str">
        <f>"_x0007_`COD|B05472_x0005_`QTY1|1_x0005_`BQC|_x0005_`EQC|_x0005_`JDC|_x0005_`WQC|_x0005_`EDT|_x0005_`ADJ|F_x0005_`DET|"&amp;ROW(일위대가표!A2445)&amp;"_x0005_`"</f>
        <v>_x0007_`COD|B05472_x0005_`QTY1|1_x0005_`BQC|_x0005_`EQC|_x0005_`JDC|_x0005_`WQC|_x0005_`EDT|_x0005_`ADJ|F_x0005_`DET|2445_x0005_`</v>
      </c>
      <c r="K564" s="3" t="str">
        <f ca="1">HYPERLINK("#"&amp;일위대가표!N2&amp;"!A"&amp;ROW(일위대가표!A2445),"대가561 →")</f>
        <v>대가561 →</v>
      </c>
    </row>
    <row r="565" spans="1:11" ht="22.35" customHeight="1" x14ac:dyDescent="0.3">
      <c r="A565" s="9" t="s">
        <v>1401</v>
      </c>
      <c r="B565" s="10" t="s">
        <v>1397</v>
      </c>
      <c r="C565" s="10" t="s">
        <v>1382</v>
      </c>
      <c r="D565" s="9" t="s">
        <v>1010</v>
      </c>
      <c r="E565" s="48">
        <f>일위대가표!F2451</f>
        <v>135585</v>
      </c>
      <c r="F565" s="47">
        <f>일위대가표!H2451</f>
        <v>135585</v>
      </c>
      <c r="G565" s="56">
        <f>일위대가표!J2451</f>
        <v>0</v>
      </c>
      <c r="H565" s="48">
        <f>일위대가표!L2451</f>
        <v>0</v>
      </c>
      <c r="I565" s="15" t="s">
        <v>1401</v>
      </c>
      <c r="J565" s="17" t="str">
        <f>"_x0007_`COD|B05473_x0005_`QTY1|1_x0005_`BQC|_x0005_`EQC|_x0005_`JDC|_x0005_`WQC|_x0005_`EDT|_x0005_`ADJ|F_x0005_`DET|"&amp;ROW(일위대가표!A2449)&amp;"_x0005_`"</f>
        <v>_x0007_`COD|B05473_x0005_`QTY1|1_x0005_`BQC|_x0005_`EQC|_x0005_`JDC|_x0005_`WQC|_x0005_`EDT|_x0005_`ADJ|F_x0005_`DET|2449_x0005_`</v>
      </c>
      <c r="K565" s="3" t="str">
        <f ca="1">HYPERLINK("#"&amp;일위대가표!N2&amp;"!A"&amp;ROW(일위대가표!A2449),"대가562 →")</f>
        <v>대가562 →</v>
      </c>
    </row>
    <row r="566" spans="1:11" ht="22.35" customHeight="1" x14ac:dyDescent="0.3">
      <c r="A566" s="9" t="s">
        <v>1403</v>
      </c>
      <c r="B566" s="10" t="s">
        <v>1397</v>
      </c>
      <c r="C566" s="10" t="s">
        <v>1385</v>
      </c>
      <c r="D566" s="9" t="s">
        <v>1010</v>
      </c>
      <c r="E566" s="48">
        <f>일위대가표!F2455</f>
        <v>176338</v>
      </c>
      <c r="F566" s="47">
        <f>일위대가표!H2455</f>
        <v>176338</v>
      </c>
      <c r="G566" s="56">
        <f>일위대가표!J2455</f>
        <v>0</v>
      </c>
      <c r="H566" s="48">
        <f>일위대가표!L2455</f>
        <v>0</v>
      </c>
      <c r="I566" s="15" t="s">
        <v>1403</v>
      </c>
      <c r="J566" s="17" t="str">
        <f>"_x0007_`COD|B05474_x0005_`QTY1|1_x0005_`BQC|_x0005_`EQC|_x0005_`JDC|_x0005_`WQC|_x0005_`EDT|_x0005_`ADJ|F_x0005_`DET|"&amp;ROW(일위대가표!A2453)&amp;"_x0005_`"</f>
        <v>_x0007_`COD|B05474_x0005_`QTY1|1_x0005_`BQC|_x0005_`EQC|_x0005_`JDC|_x0005_`WQC|_x0005_`EDT|_x0005_`ADJ|F_x0005_`DET|2453_x0005_`</v>
      </c>
      <c r="K566" s="3" t="str">
        <f ca="1">HYPERLINK("#"&amp;일위대가표!N2&amp;"!A"&amp;ROW(일위대가표!A2453),"대가563 →")</f>
        <v>대가563 →</v>
      </c>
    </row>
    <row r="567" spans="1:11" ht="22.35" customHeight="1" x14ac:dyDescent="0.3">
      <c r="A567" s="9" t="s">
        <v>1405</v>
      </c>
      <c r="B567" s="10" t="s">
        <v>1406</v>
      </c>
      <c r="C567" s="10" t="s">
        <v>1376</v>
      </c>
      <c r="D567" s="9" t="s">
        <v>1010</v>
      </c>
      <c r="E567" s="48">
        <f>일위대가표!F2459</f>
        <v>29649</v>
      </c>
      <c r="F567" s="47">
        <f>일위대가표!H2459</f>
        <v>28786</v>
      </c>
      <c r="G567" s="56">
        <f>일위대가표!J2459</f>
        <v>0</v>
      </c>
      <c r="H567" s="48">
        <f>일위대가표!L2459</f>
        <v>863</v>
      </c>
      <c r="I567" s="15" t="s">
        <v>1405</v>
      </c>
      <c r="J567" s="17" t="str">
        <f>"_x0007_`COD|B05475_x0005_`QTY1|1_x0005_`BQC|_x0005_`EQC|_x0005_`JDC|_x0005_`WQC|_x0005_`EDT|_x0005_`ADJ|F_x0005_`DET|"&amp;ROW(일위대가표!A2457)&amp;"_x0005_`"</f>
        <v>_x0007_`COD|B05475_x0005_`QTY1|1_x0005_`BQC|_x0005_`EQC|_x0005_`JDC|_x0005_`WQC|_x0005_`EDT|_x0005_`ADJ|F_x0005_`DET|2457_x0005_`</v>
      </c>
      <c r="K567" s="3" t="str">
        <f ca="1">HYPERLINK("#"&amp;일위대가표!N2&amp;"!A"&amp;ROW(일위대가표!A2457),"대가564 →")</f>
        <v>대가564 →</v>
      </c>
    </row>
    <row r="568" spans="1:11" ht="22.35" customHeight="1" x14ac:dyDescent="0.3">
      <c r="A568" s="9" t="s">
        <v>1408</v>
      </c>
      <c r="B568" s="10" t="s">
        <v>1406</v>
      </c>
      <c r="C568" s="10" t="s">
        <v>1379</v>
      </c>
      <c r="D568" s="9" t="s">
        <v>1010</v>
      </c>
      <c r="E568" s="48">
        <f>일위대가표!F2463</f>
        <v>41619</v>
      </c>
      <c r="F568" s="47">
        <f>일위대가표!H2463</f>
        <v>41619</v>
      </c>
      <c r="G568" s="56">
        <f>일위대가표!J2463</f>
        <v>0</v>
      </c>
      <c r="H568" s="48">
        <f>일위대가표!L2463</f>
        <v>0</v>
      </c>
      <c r="I568" s="15" t="s">
        <v>1408</v>
      </c>
      <c r="J568" s="17" t="str">
        <f>"_x0007_`COD|B05476_x0005_`QTY1|1_x0005_`BQC|_x0005_`EQC|_x0005_`JDC|_x0005_`WQC|_x0005_`EDT|_x0005_`ADJ|F_x0005_`DET|"&amp;ROW(일위대가표!A2461)&amp;"_x0005_`"</f>
        <v>_x0007_`COD|B05476_x0005_`QTY1|1_x0005_`BQC|_x0005_`EQC|_x0005_`JDC|_x0005_`WQC|_x0005_`EDT|_x0005_`ADJ|F_x0005_`DET|2461_x0005_`</v>
      </c>
      <c r="K568" s="3" t="str">
        <f ca="1">HYPERLINK("#"&amp;일위대가표!N2&amp;"!A"&amp;ROW(일위대가표!A2461),"대가565 →")</f>
        <v>대가565 →</v>
      </c>
    </row>
    <row r="569" spans="1:11" ht="22.35" customHeight="1" x14ac:dyDescent="0.3">
      <c r="A569" s="9" t="s">
        <v>1410</v>
      </c>
      <c r="B569" s="10" t="s">
        <v>1406</v>
      </c>
      <c r="C569" s="10" t="s">
        <v>1382</v>
      </c>
      <c r="D569" s="9" t="s">
        <v>1010</v>
      </c>
      <c r="E569" s="48">
        <f>일위대가표!F2467</f>
        <v>54234</v>
      </c>
      <c r="F569" s="47">
        <f>일위대가표!H2467</f>
        <v>54234</v>
      </c>
      <c r="G569" s="56">
        <f>일위대가표!J2467</f>
        <v>0</v>
      </c>
      <c r="H569" s="48">
        <f>일위대가표!L2467</f>
        <v>0</v>
      </c>
      <c r="I569" s="15" t="s">
        <v>1410</v>
      </c>
      <c r="J569" s="17" t="str">
        <f>"_x0007_`COD|B05477_x0005_`QTY1|1_x0005_`BQC|_x0005_`EQC|_x0005_`JDC|_x0005_`WQC|_x0005_`EDT|_x0005_`ADJ|F_x0005_`DET|"&amp;ROW(일위대가표!A2465)&amp;"_x0005_`"</f>
        <v>_x0007_`COD|B05477_x0005_`QTY1|1_x0005_`BQC|_x0005_`EQC|_x0005_`JDC|_x0005_`WQC|_x0005_`EDT|_x0005_`ADJ|F_x0005_`DET|2465_x0005_`</v>
      </c>
      <c r="K569" s="3" t="str">
        <f ca="1">HYPERLINK("#"&amp;일위대가표!N2&amp;"!A"&amp;ROW(일위대가표!A2465),"대가566 →")</f>
        <v>대가566 →</v>
      </c>
    </row>
    <row r="570" spans="1:11" ht="22.35" customHeight="1" x14ac:dyDescent="0.3">
      <c r="A570" s="9" t="s">
        <v>1412</v>
      </c>
      <c r="B570" s="10" t="s">
        <v>1406</v>
      </c>
      <c r="C570" s="10" t="s">
        <v>1385</v>
      </c>
      <c r="D570" s="9" t="s">
        <v>1010</v>
      </c>
      <c r="E570" s="48">
        <f>일위대가표!F2471</f>
        <v>70535</v>
      </c>
      <c r="F570" s="47">
        <f>일위대가표!H2471</f>
        <v>70535</v>
      </c>
      <c r="G570" s="56">
        <f>일위대가표!J2471</f>
        <v>0</v>
      </c>
      <c r="H570" s="48">
        <f>일위대가표!L2471</f>
        <v>0</v>
      </c>
      <c r="I570" s="15" t="s">
        <v>1412</v>
      </c>
      <c r="J570" s="17" t="str">
        <f>"_x0007_`COD|B05478_x0005_`QTY1|1_x0005_`BQC|_x0005_`EQC|_x0005_`JDC|_x0005_`WQC|_x0005_`EDT|_x0005_`ADJ|F_x0005_`DET|"&amp;ROW(일위대가표!A2469)&amp;"_x0005_`"</f>
        <v>_x0007_`COD|B05478_x0005_`QTY1|1_x0005_`BQC|_x0005_`EQC|_x0005_`JDC|_x0005_`WQC|_x0005_`EDT|_x0005_`ADJ|F_x0005_`DET|2469_x0005_`</v>
      </c>
      <c r="K570" s="3" t="str">
        <f ca="1">HYPERLINK("#"&amp;일위대가표!N2&amp;"!A"&amp;ROW(일위대가표!A2469),"대가567 →")</f>
        <v>대가567 →</v>
      </c>
    </row>
    <row r="571" spans="1:11" ht="22.35" customHeight="1" x14ac:dyDescent="0.3">
      <c r="A571" s="9" t="s">
        <v>1414</v>
      </c>
      <c r="B571" s="10" t="s">
        <v>1415</v>
      </c>
      <c r="C571" s="10" t="s">
        <v>1416</v>
      </c>
      <c r="D571" s="9" t="s">
        <v>1010</v>
      </c>
      <c r="E571" s="48">
        <f>일위대가표!F2476</f>
        <v>407000</v>
      </c>
      <c r="F571" s="47">
        <f>일위대가표!H2476</f>
        <v>150000</v>
      </c>
      <c r="G571" s="56">
        <f>일위대가표!J2476</f>
        <v>257000</v>
      </c>
      <c r="H571" s="48">
        <f>일위대가표!L2476</f>
        <v>0</v>
      </c>
      <c r="I571" s="15" t="s">
        <v>1414</v>
      </c>
      <c r="J571" s="17" t="str">
        <f>"_x0007_`COD|B05055_x0005_`QTY1|1_x0005_`BQC|_x0005_`EQC|_x0005_`JDC|_x0005_`WQC|_x0005_`EDT|_x0005_`ADJ|F_x0005_`DET|"&amp;ROW(일위대가표!A2473)&amp;"_x0005_`"</f>
        <v>_x0007_`COD|B05055_x0005_`QTY1|1_x0005_`BQC|_x0005_`EQC|_x0005_`JDC|_x0005_`WQC|_x0005_`EDT|_x0005_`ADJ|F_x0005_`DET|2473_x0005_`</v>
      </c>
      <c r="K571" s="3" t="str">
        <f ca="1">HYPERLINK("#"&amp;일위대가표!N2&amp;"!A"&amp;ROW(일위대가표!A2473),"대가568 →")</f>
        <v>대가568 →</v>
      </c>
    </row>
    <row r="572" spans="1:11" ht="22.35" customHeight="1" x14ac:dyDescent="0.3">
      <c r="A572" s="9" t="s">
        <v>1418</v>
      </c>
      <c r="B572" s="10" t="s">
        <v>1415</v>
      </c>
      <c r="C572" s="10" t="s">
        <v>1419</v>
      </c>
      <c r="D572" s="9" t="s">
        <v>1010</v>
      </c>
      <c r="E572" s="48">
        <f>일위대가표!F2481</f>
        <v>471000</v>
      </c>
      <c r="F572" s="47">
        <f>일위대가표!H2481</f>
        <v>150000</v>
      </c>
      <c r="G572" s="56">
        <f>일위대가표!J2481</f>
        <v>321000</v>
      </c>
      <c r="H572" s="48">
        <f>일위대가표!L2481</f>
        <v>0</v>
      </c>
      <c r="I572" s="15" t="s">
        <v>1418</v>
      </c>
      <c r="J572" s="17" t="str">
        <f>"_x0007_`COD|B05056_x0005_`QTY1|1_x0005_`BQC|_x0005_`EQC|_x0005_`JDC|_x0005_`WQC|_x0005_`EDT|_x0005_`ADJ|F_x0005_`DET|"&amp;ROW(일위대가표!A2478)&amp;"_x0005_`"</f>
        <v>_x0007_`COD|B05056_x0005_`QTY1|1_x0005_`BQC|_x0005_`EQC|_x0005_`JDC|_x0005_`WQC|_x0005_`EDT|_x0005_`ADJ|F_x0005_`DET|2478_x0005_`</v>
      </c>
      <c r="K572" s="3" t="str">
        <f ca="1">HYPERLINK("#"&amp;일위대가표!N2&amp;"!A"&amp;ROW(일위대가표!A2478),"대가569 →")</f>
        <v>대가569 →</v>
      </c>
    </row>
    <row r="573" spans="1:11" ht="22.35" customHeight="1" x14ac:dyDescent="0.3">
      <c r="A573" s="9" t="s">
        <v>1421</v>
      </c>
      <c r="B573" s="10" t="s">
        <v>1422</v>
      </c>
      <c r="C573" s="10" t="s">
        <v>1416</v>
      </c>
      <c r="D573" s="9" t="s">
        <v>1010</v>
      </c>
      <c r="E573" s="48">
        <f>일위대가표!F2485</f>
        <v>150000</v>
      </c>
      <c r="F573" s="47">
        <f>일위대가표!H2485</f>
        <v>150000</v>
      </c>
      <c r="G573" s="56">
        <f>일위대가표!J2485</f>
        <v>0</v>
      </c>
      <c r="H573" s="48">
        <f>일위대가표!L2485</f>
        <v>0</v>
      </c>
      <c r="I573" s="15" t="s">
        <v>1421</v>
      </c>
      <c r="J573" s="17" t="str">
        <f>"_x0007_`COD|B05479_x0005_`QTY1|1_x0005_`BQC|_x0005_`EQC|_x0005_`JDC|_x0005_`WQC|_x0005_`EDT|_x0005_`ADJ|F_x0005_`DET|"&amp;ROW(일위대가표!A2483)&amp;"_x0005_`"</f>
        <v>_x0007_`COD|B05479_x0005_`QTY1|1_x0005_`BQC|_x0005_`EQC|_x0005_`JDC|_x0005_`WQC|_x0005_`EDT|_x0005_`ADJ|F_x0005_`DET|2483_x0005_`</v>
      </c>
      <c r="K573" s="3" t="str">
        <f ca="1">HYPERLINK("#"&amp;일위대가표!N2&amp;"!A"&amp;ROW(일위대가표!A2483),"대가570 →")</f>
        <v>대가570 →</v>
      </c>
    </row>
    <row r="574" spans="1:11" ht="22.35" customHeight="1" x14ac:dyDescent="0.3">
      <c r="A574" s="9" t="s">
        <v>1424</v>
      </c>
      <c r="B574" s="10" t="s">
        <v>1422</v>
      </c>
      <c r="C574" s="10" t="s">
        <v>1419</v>
      </c>
      <c r="D574" s="9" t="s">
        <v>1010</v>
      </c>
      <c r="E574" s="48">
        <f>일위대가표!F2489</f>
        <v>150000</v>
      </c>
      <c r="F574" s="47">
        <f>일위대가표!H2489</f>
        <v>150000</v>
      </c>
      <c r="G574" s="56">
        <f>일위대가표!J2489</f>
        <v>0</v>
      </c>
      <c r="H574" s="48">
        <f>일위대가표!L2489</f>
        <v>0</v>
      </c>
      <c r="I574" s="15" t="s">
        <v>1424</v>
      </c>
      <c r="J574" s="17" t="str">
        <f>"_x0007_`COD|B05480_x0005_`QTY1|1_x0005_`BQC|_x0005_`EQC|_x0005_`JDC|_x0005_`WQC|_x0005_`EDT|_x0005_`ADJ|F_x0005_`DET|"&amp;ROW(일위대가표!A2487)&amp;"_x0005_`"</f>
        <v>_x0007_`COD|B05480_x0005_`QTY1|1_x0005_`BQC|_x0005_`EQC|_x0005_`JDC|_x0005_`WQC|_x0005_`EDT|_x0005_`ADJ|F_x0005_`DET|2487_x0005_`</v>
      </c>
      <c r="K574" s="3" t="str">
        <f ca="1">HYPERLINK("#"&amp;일위대가표!N2&amp;"!A"&amp;ROW(일위대가표!A2487),"대가571 →")</f>
        <v>대가571 →</v>
      </c>
    </row>
    <row r="575" spans="1:11" ht="22.35" customHeight="1" x14ac:dyDescent="0.3">
      <c r="A575" s="9" t="s">
        <v>1426</v>
      </c>
      <c r="B575" s="10" t="s">
        <v>1427</v>
      </c>
      <c r="C575" s="10" t="s">
        <v>1416</v>
      </c>
      <c r="D575" s="9" t="s">
        <v>1010</v>
      </c>
      <c r="E575" s="48">
        <f>일위대가표!F2493</f>
        <v>150000</v>
      </c>
      <c r="F575" s="47">
        <f>일위대가표!H2493</f>
        <v>150000</v>
      </c>
      <c r="G575" s="56">
        <f>일위대가표!J2493</f>
        <v>0</v>
      </c>
      <c r="H575" s="48">
        <f>일위대가표!L2493</f>
        <v>0</v>
      </c>
      <c r="I575" s="15" t="s">
        <v>1426</v>
      </c>
      <c r="J575" s="17" t="str">
        <f>"_x0007_`COD|B05481_x0005_`QTY1|1_x0005_`BQC|_x0005_`EQC|_x0005_`JDC|_x0005_`WQC|_x0005_`EDT|_x0005_`ADJ|F_x0005_`DET|"&amp;ROW(일위대가표!A2491)&amp;"_x0005_`"</f>
        <v>_x0007_`COD|B05481_x0005_`QTY1|1_x0005_`BQC|_x0005_`EQC|_x0005_`JDC|_x0005_`WQC|_x0005_`EDT|_x0005_`ADJ|F_x0005_`DET|2491_x0005_`</v>
      </c>
      <c r="K575" s="3" t="str">
        <f ca="1">HYPERLINK("#"&amp;일위대가표!N2&amp;"!A"&amp;ROW(일위대가표!A2491),"대가572 →")</f>
        <v>대가572 →</v>
      </c>
    </row>
    <row r="576" spans="1:11" ht="22.35" customHeight="1" x14ac:dyDescent="0.3">
      <c r="A576" s="9" t="s">
        <v>1429</v>
      </c>
      <c r="B576" s="10" t="s">
        <v>1427</v>
      </c>
      <c r="C576" s="10" t="s">
        <v>1419</v>
      </c>
      <c r="D576" s="9" t="s">
        <v>1010</v>
      </c>
      <c r="E576" s="48">
        <f>일위대가표!F2497</f>
        <v>150000</v>
      </c>
      <c r="F576" s="47">
        <f>일위대가표!H2497</f>
        <v>150000</v>
      </c>
      <c r="G576" s="56">
        <f>일위대가표!J2497</f>
        <v>0</v>
      </c>
      <c r="H576" s="48">
        <f>일위대가표!L2497</f>
        <v>0</v>
      </c>
      <c r="I576" s="15" t="s">
        <v>1429</v>
      </c>
      <c r="J576" s="17" t="str">
        <f>"_x0007_`COD|B05482_x0005_`QTY1|1_x0005_`BQC|_x0005_`EQC|_x0005_`JDC|_x0005_`WQC|_x0005_`EDT|_x0005_`ADJ|F_x0005_`DET|"&amp;ROW(일위대가표!A2495)&amp;"_x0005_`"</f>
        <v>_x0007_`COD|B05482_x0005_`QTY1|1_x0005_`BQC|_x0005_`EQC|_x0005_`JDC|_x0005_`WQC|_x0005_`EDT|_x0005_`ADJ|F_x0005_`DET|2495_x0005_`</v>
      </c>
      <c r="K576" s="3" t="str">
        <f ca="1">HYPERLINK("#"&amp;일위대가표!N2&amp;"!A"&amp;ROW(일위대가표!A2495),"대가573 →")</f>
        <v>대가573 →</v>
      </c>
    </row>
    <row r="577" spans="1:11" ht="22.35" customHeight="1" x14ac:dyDescent="0.3">
      <c r="A577" s="9" t="s">
        <v>1431</v>
      </c>
      <c r="B577" s="10" t="s">
        <v>1432</v>
      </c>
      <c r="C577" s="10" t="s">
        <v>1416</v>
      </c>
      <c r="D577" s="9" t="s">
        <v>1010</v>
      </c>
      <c r="E577" s="48">
        <f>일위대가표!F2503</f>
        <v>75000</v>
      </c>
      <c r="F577" s="47">
        <f>일위대가표!H2503</f>
        <v>75000</v>
      </c>
      <c r="G577" s="56">
        <f>일위대가표!J2503</f>
        <v>0</v>
      </c>
      <c r="H577" s="48">
        <f>일위대가표!L2503</f>
        <v>0</v>
      </c>
      <c r="I577" s="15" t="s">
        <v>1431</v>
      </c>
      <c r="J577" s="17" t="str">
        <f>"_x0007_`COD|B05483_x0005_`QTY1|1_x0005_`BQC|_x0005_`EQC|_x0005_`JDC|_x0005_`WQC|_x0005_`EDT|_x0005_`ADJ|F_x0005_`DET|"&amp;ROW(일위대가표!A2499)&amp;"_x0005_`"</f>
        <v>_x0007_`COD|B05483_x0005_`QTY1|1_x0005_`BQC|_x0005_`EQC|_x0005_`JDC|_x0005_`WQC|_x0005_`EDT|_x0005_`ADJ|F_x0005_`DET|2499_x0005_`</v>
      </c>
      <c r="K577" s="3" t="str">
        <f ca="1">HYPERLINK("#"&amp;일위대가표!N2&amp;"!A"&amp;ROW(일위대가표!A2499),"대가574 →")</f>
        <v>대가574 →</v>
      </c>
    </row>
    <row r="578" spans="1:11" ht="22.35" customHeight="1" x14ac:dyDescent="0.3">
      <c r="A578" s="9" t="s">
        <v>1434</v>
      </c>
      <c r="B578" s="10" t="s">
        <v>1432</v>
      </c>
      <c r="C578" s="10" t="s">
        <v>1419</v>
      </c>
      <c r="D578" s="9" t="s">
        <v>1010</v>
      </c>
      <c r="E578" s="48">
        <f>일위대가표!F2509</f>
        <v>75000</v>
      </c>
      <c r="F578" s="47">
        <f>일위대가표!H2509</f>
        <v>75000</v>
      </c>
      <c r="G578" s="56">
        <f>일위대가표!J2509</f>
        <v>0</v>
      </c>
      <c r="H578" s="48">
        <f>일위대가표!L2509</f>
        <v>0</v>
      </c>
      <c r="I578" s="15" t="s">
        <v>1434</v>
      </c>
      <c r="J578" s="17" t="str">
        <f>"_x0007_`COD|B05484_x0005_`QTY1|1_x0005_`BQC|_x0005_`EQC|_x0005_`JDC|_x0005_`WQC|_x0005_`EDT|_x0005_`ADJ|F_x0005_`DET|"&amp;ROW(일위대가표!A2505)&amp;"_x0005_`"</f>
        <v>_x0007_`COD|B05484_x0005_`QTY1|1_x0005_`BQC|_x0005_`EQC|_x0005_`JDC|_x0005_`WQC|_x0005_`EDT|_x0005_`ADJ|F_x0005_`DET|2505_x0005_`</v>
      </c>
      <c r="K578" s="3" t="str">
        <f ca="1">HYPERLINK("#"&amp;일위대가표!N2&amp;"!A"&amp;ROW(일위대가표!A2505),"대가575 →")</f>
        <v>대가575 →</v>
      </c>
    </row>
    <row r="579" spans="1:11" ht="22.35" customHeight="1" x14ac:dyDescent="0.3">
      <c r="A579" s="9" t="s">
        <v>1436</v>
      </c>
      <c r="B579" s="10" t="s">
        <v>1437</v>
      </c>
      <c r="C579" s="10" t="s">
        <v>1438</v>
      </c>
      <c r="D579" s="9" t="s">
        <v>515</v>
      </c>
      <c r="E579" s="48">
        <f>일위대가표!F2515</f>
        <v>23661</v>
      </c>
      <c r="F579" s="47">
        <f>일위대가표!H2515</f>
        <v>23198</v>
      </c>
      <c r="G579" s="56">
        <f>일위대가표!J2515</f>
        <v>0</v>
      </c>
      <c r="H579" s="48">
        <f>일위대가표!L2515</f>
        <v>463</v>
      </c>
      <c r="I579" s="15" t="s">
        <v>1436</v>
      </c>
      <c r="J579" s="17" t="str">
        <f>"_x0007_`COD|B04887_x0005_`QTY1|1_x0005_`BQC|_x0005_`EQC|_x0005_`JDC|_x0005_`WQC|_x0005_`EDT|_x0005_`ADJ|F_x0005_`DET|"&amp;ROW(일위대가표!A2511)&amp;"_x0005_`"</f>
        <v>_x0007_`COD|B04887_x0005_`QTY1|1_x0005_`BQC|_x0005_`EQC|_x0005_`JDC|_x0005_`WQC|_x0005_`EDT|_x0005_`ADJ|F_x0005_`DET|2511_x0005_`</v>
      </c>
      <c r="K579" s="3" t="str">
        <f ca="1">HYPERLINK("#"&amp;일위대가표!N2&amp;"!A"&amp;ROW(일위대가표!A2511),"대가576 →")</f>
        <v>대가576 →</v>
      </c>
    </row>
    <row r="580" spans="1:11" ht="22.35" customHeight="1" x14ac:dyDescent="0.3">
      <c r="A580" s="9" t="s">
        <v>1440</v>
      </c>
      <c r="B580" s="10" t="s">
        <v>1437</v>
      </c>
      <c r="C580" s="10" t="s">
        <v>1441</v>
      </c>
      <c r="D580" s="9" t="s">
        <v>515</v>
      </c>
      <c r="E580" s="48">
        <f>일위대가표!F2521</f>
        <v>23661</v>
      </c>
      <c r="F580" s="47">
        <f>일위대가표!H2521</f>
        <v>23198</v>
      </c>
      <c r="G580" s="56">
        <f>일위대가표!J2521</f>
        <v>0</v>
      </c>
      <c r="H580" s="48">
        <f>일위대가표!L2521</f>
        <v>463</v>
      </c>
      <c r="I580" s="15" t="s">
        <v>1440</v>
      </c>
      <c r="J580" s="17" t="str">
        <f>"_x0007_`COD|B04888_x0005_`QTY1|1_x0005_`BQC|_x0005_`EQC|_x0005_`JDC|_x0005_`WQC|_x0005_`EDT|_x0005_`ADJ|F_x0005_`DET|"&amp;ROW(일위대가표!A2517)&amp;"_x0005_`"</f>
        <v>_x0007_`COD|B04888_x0005_`QTY1|1_x0005_`BQC|_x0005_`EQC|_x0005_`JDC|_x0005_`WQC|_x0005_`EDT|_x0005_`ADJ|F_x0005_`DET|2517_x0005_`</v>
      </c>
      <c r="K580" s="3" t="str">
        <f ca="1">HYPERLINK("#"&amp;일위대가표!N2&amp;"!A"&amp;ROW(일위대가표!A2517),"대가577 →")</f>
        <v>대가577 →</v>
      </c>
    </row>
    <row r="581" spans="1:11" ht="22.35" customHeight="1" x14ac:dyDescent="0.3">
      <c r="A581" s="9" t="s">
        <v>1443</v>
      </c>
      <c r="B581" s="10" t="s">
        <v>1437</v>
      </c>
      <c r="C581" s="10" t="s">
        <v>1444</v>
      </c>
      <c r="D581" s="9" t="s">
        <v>515</v>
      </c>
      <c r="E581" s="48">
        <f>일위대가표!F2527</f>
        <v>36075</v>
      </c>
      <c r="F581" s="47">
        <f>일위대가표!H2527</f>
        <v>35368</v>
      </c>
      <c r="G581" s="56">
        <f>일위대가표!J2527</f>
        <v>0</v>
      </c>
      <c r="H581" s="48">
        <f>일위대가표!L2527</f>
        <v>707</v>
      </c>
      <c r="I581" s="15" t="s">
        <v>1443</v>
      </c>
      <c r="J581" s="17" t="str">
        <f>"_x0007_`COD|B04889_x0005_`QTY1|1_x0005_`BQC|_x0005_`EQC|_x0005_`JDC|_x0005_`WQC|_x0005_`EDT|_x0005_`ADJ|F_x0005_`DET|"&amp;ROW(일위대가표!A2523)&amp;"_x0005_`"</f>
        <v>_x0007_`COD|B04889_x0005_`QTY1|1_x0005_`BQC|_x0005_`EQC|_x0005_`JDC|_x0005_`WQC|_x0005_`EDT|_x0005_`ADJ|F_x0005_`DET|2523_x0005_`</v>
      </c>
      <c r="K581" s="3" t="str">
        <f ca="1">HYPERLINK("#"&amp;일위대가표!N2&amp;"!A"&amp;ROW(일위대가표!A2523),"대가578 →")</f>
        <v>대가578 →</v>
      </c>
    </row>
    <row r="582" spans="1:11" ht="22.35" customHeight="1" x14ac:dyDescent="0.3">
      <c r="A582" s="9" t="s">
        <v>1446</v>
      </c>
      <c r="B582" s="10" t="s">
        <v>1437</v>
      </c>
      <c r="C582" s="10" t="s">
        <v>1447</v>
      </c>
      <c r="D582" s="9" t="s">
        <v>515</v>
      </c>
      <c r="E582" s="48">
        <f>일위대가표!F2533</f>
        <v>55986</v>
      </c>
      <c r="F582" s="47">
        <f>일위대가표!H2533</f>
        <v>54889</v>
      </c>
      <c r="G582" s="56">
        <f>일위대가표!J2533</f>
        <v>0</v>
      </c>
      <c r="H582" s="48">
        <f>일위대가표!L2533</f>
        <v>1097</v>
      </c>
      <c r="I582" s="15" t="s">
        <v>1446</v>
      </c>
      <c r="J582" s="17" t="str">
        <f>"_x0007_`COD|B04890_x0005_`QTY1|1_x0005_`BQC|_x0005_`EQC|_x0005_`JDC|_x0005_`WQC|_x0005_`EDT|_x0005_`ADJ|F_x0005_`DET|"&amp;ROW(일위대가표!A2529)&amp;"_x0005_`"</f>
        <v>_x0007_`COD|B04890_x0005_`QTY1|1_x0005_`BQC|_x0005_`EQC|_x0005_`JDC|_x0005_`WQC|_x0005_`EDT|_x0005_`ADJ|F_x0005_`DET|2529_x0005_`</v>
      </c>
      <c r="K582" s="3" t="str">
        <f ca="1">HYPERLINK("#"&amp;일위대가표!N2&amp;"!A"&amp;ROW(일위대가표!A2529),"대가579 →")</f>
        <v>대가579 →</v>
      </c>
    </row>
    <row r="583" spans="1:11" ht="22.35" customHeight="1" x14ac:dyDescent="0.3">
      <c r="A583" s="9" t="s">
        <v>1449</v>
      </c>
      <c r="B583" s="10" t="s">
        <v>1437</v>
      </c>
      <c r="C583" s="10" t="s">
        <v>1450</v>
      </c>
      <c r="D583" s="9" t="s">
        <v>515</v>
      </c>
      <c r="E583" s="48">
        <f>일위대가표!F2539</f>
        <v>69693</v>
      </c>
      <c r="F583" s="47">
        <f>일위대가표!H2539</f>
        <v>68327</v>
      </c>
      <c r="G583" s="56">
        <f>일위대가표!J2539</f>
        <v>0</v>
      </c>
      <c r="H583" s="48">
        <f>일위대가표!L2539</f>
        <v>1366</v>
      </c>
      <c r="I583" s="15" t="s">
        <v>1449</v>
      </c>
      <c r="J583" s="17" t="str">
        <f>"_x0007_`COD|B04891_x0005_`QTY1|1_x0005_`BQC|_x0005_`EQC|_x0005_`JDC|_x0005_`WQC|_x0005_`EDT|_x0005_`ADJ|F_x0005_`DET|"&amp;ROW(일위대가표!A2535)&amp;"_x0005_`"</f>
        <v>_x0007_`COD|B04891_x0005_`QTY1|1_x0005_`BQC|_x0005_`EQC|_x0005_`JDC|_x0005_`WQC|_x0005_`EDT|_x0005_`ADJ|F_x0005_`DET|2535_x0005_`</v>
      </c>
      <c r="K583" s="3" t="str">
        <f ca="1">HYPERLINK("#"&amp;일위대가표!N2&amp;"!A"&amp;ROW(일위대가표!A2535),"대가580 →")</f>
        <v>대가580 →</v>
      </c>
    </row>
    <row r="584" spans="1:11" ht="22.35" customHeight="1" x14ac:dyDescent="0.3">
      <c r="A584" s="9" t="s">
        <v>1452</v>
      </c>
      <c r="B584" s="10" t="s">
        <v>1437</v>
      </c>
      <c r="C584" s="10" t="s">
        <v>1453</v>
      </c>
      <c r="D584" s="9" t="s">
        <v>515</v>
      </c>
      <c r="E584" s="48">
        <f>일위대가표!F2545</f>
        <v>69693</v>
      </c>
      <c r="F584" s="47">
        <f>일위대가표!H2545</f>
        <v>68327</v>
      </c>
      <c r="G584" s="56">
        <f>일위대가표!J2545</f>
        <v>0</v>
      </c>
      <c r="H584" s="48">
        <f>일위대가표!L2545</f>
        <v>1366</v>
      </c>
      <c r="I584" s="15" t="s">
        <v>1452</v>
      </c>
      <c r="J584" s="17" t="str">
        <f>"_x0007_`COD|B04892_x0005_`QTY1|1_x0005_`BQC|_x0005_`EQC|_x0005_`JDC|_x0005_`WQC|_x0005_`EDT|_x0005_`ADJ|F_x0005_`DET|"&amp;ROW(일위대가표!A2541)&amp;"_x0005_`"</f>
        <v>_x0007_`COD|B04892_x0005_`QTY1|1_x0005_`BQC|_x0005_`EQC|_x0005_`JDC|_x0005_`WQC|_x0005_`EDT|_x0005_`ADJ|F_x0005_`DET|2541_x0005_`</v>
      </c>
      <c r="K584" s="3" t="str">
        <f ca="1">HYPERLINK("#"&amp;일위대가표!N2&amp;"!A"&amp;ROW(일위대가표!A2541),"대가581 →")</f>
        <v>대가581 →</v>
      </c>
    </row>
    <row r="585" spans="1:11" ht="22.35" customHeight="1" x14ac:dyDescent="0.3">
      <c r="A585" s="9" t="s">
        <v>1455</v>
      </c>
      <c r="B585" s="10" t="s">
        <v>1456</v>
      </c>
      <c r="C585" s="10" t="s">
        <v>1457</v>
      </c>
      <c r="D585" s="9" t="s">
        <v>515</v>
      </c>
      <c r="E585" s="48">
        <f>일위대가표!F2552</f>
        <v>16901</v>
      </c>
      <c r="F585" s="47">
        <f>일위대가표!H2552</f>
        <v>16570</v>
      </c>
      <c r="G585" s="56">
        <f>일위대가표!J2552</f>
        <v>0</v>
      </c>
      <c r="H585" s="48">
        <f>일위대가표!L2552</f>
        <v>331</v>
      </c>
      <c r="I585" s="15" t="s">
        <v>1455</v>
      </c>
      <c r="J585" s="17" t="str">
        <f>"_x0007_`COD|B04873_x0005_`QTY1|1_x0005_`BQC|_x0005_`EQC|_x0005_`JDC|_x0005_`WQC|_x0005_`EDT|_x0005_`ADJ|F_x0005_`DET|"&amp;ROW(일위대가표!A2547)&amp;"_x0005_`"</f>
        <v>_x0007_`COD|B04873_x0005_`QTY1|1_x0005_`BQC|_x0005_`EQC|_x0005_`JDC|_x0005_`WQC|_x0005_`EDT|_x0005_`ADJ|F_x0005_`DET|2547_x0005_`</v>
      </c>
      <c r="K585" s="3" t="str">
        <f ca="1">HYPERLINK("#"&amp;일위대가표!N2&amp;"!A"&amp;ROW(일위대가표!A2547),"대가582 →")</f>
        <v>대가582 →</v>
      </c>
    </row>
    <row r="586" spans="1:11" ht="22.35" customHeight="1" x14ac:dyDescent="0.3">
      <c r="A586" s="9" t="s">
        <v>1459</v>
      </c>
      <c r="B586" s="10" t="s">
        <v>1456</v>
      </c>
      <c r="C586" s="10" t="s">
        <v>1460</v>
      </c>
      <c r="D586" s="9" t="s">
        <v>515</v>
      </c>
      <c r="E586" s="48">
        <f>일위대가표!F2559</f>
        <v>25768</v>
      </c>
      <c r="F586" s="47">
        <f>일위대가표!H2559</f>
        <v>25263</v>
      </c>
      <c r="G586" s="56">
        <f>일위대가표!J2559</f>
        <v>0</v>
      </c>
      <c r="H586" s="48">
        <f>일위대가표!L2559</f>
        <v>505</v>
      </c>
      <c r="I586" s="15" t="s">
        <v>1459</v>
      </c>
      <c r="J586" s="17" t="str">
        <f>"_x0007_`COD|B04874_x0005_`QTY1|1_x0005_`BQC|_x0005_`EQC|_x0005_`JDC|_x0005_`WQC|_x0005_`EDT|_x0005_`ADJ|F_x0005_`DET|"&amp;ROW(일위대가표!A2554)&amp;"_x0005_`"</f>
        <v>_x0007_`COD|B04874_x0005_`QTY1|1_x0005_`BQC|_x0005_`EQC|_x0005_`JDC|_x0005_`WQC|_x0005_`EDT|_x0005_`ADJ|F_x0005_`DET|2554_x0005_`</v>
      </c>
      <c r="K586" s="3" t="str">
        <f ca="1">HYPERLINK("#"&amp;일위대가표!N2&amp;"!A"&amp;ROW(일위대가표!A2554),"대가583 →")</f>
        <v>대가583 →</v>
      </c>
    </row>
    <row r="587" spans="1:11" ht="22.35" customHeight="1" x14ac:dyDescent="0.3">
      <c r="A587" s="9" t="s">
        <v>1462</v>
      </c>
      <c r="B587" s="10" t="s">
        <v>1456</v>
      </c>
      <c r="C587" s="10" t="s">
        <v>1463</v>
      </c>
      <c r="D587" s="9" t="s">
        <v>515</v>
      </c>
      <c r="E587" s="48">
        <f>일위대가표!F2566</f>
        <v>32879</v>
      </c>
      <c r="F587" s="47">
        <f>일위대가표!H2566</f>
        <v>32235</v>
      </c>
      <c r="G587" s="56">
        <f>일위대가표!J2566</f>
        <v>0</v>
      </c>
      <c r="H587" s="48">
        <f>일위대가표!L2566</f>
        <v>644</v>
      </c>
      <c r="I587" s="15" t="s">
        <v>1462</v>
      </c>
      <c r="J587" s="17" t="str">
        <f>"_x0007_`COD|B04875_x0005_`QTY1|1_x0005_`BQC|_x0005_`EQC|_x0005_`JDC|_x0005_`WQC|_x0005_`EDT|_x0005_`ADJ|F_x0005_`DET|"&amp;ROW(일위대가표!A2561)&amp;"_x0005_`"</f>
        <v>_x0007_`COD|B04875_x0005_`QTY1|1_x0005_`BQC|_x0005_`EQC|_x0005_`JDC|_x0005_`WQC|_x0005_`EDT|_x0005_`ADJ|F_x0005_`DET|2561_x0005_`</v>
      </c>
      <c r="K587" s="3" t="str">
        <f ca="1">HYPERLINK("#"&amp;일위대가표!N2&amp;"!A"&amp;ROW(일위대가표!A2561),"대가584 →")</f>
        <v>대가584 →</v>
      </c>
    </row>
    <row r="588" spans="1:11" ht="22.35" customHeight="1" x14ac:dyDescent="0.3">
      <c r="A588" s="9" t="s">
        <v>1465</v>
      </c>
      <c r="B588" s="10" t="s">
        <v>1456</v>
      </c>
      <c r="C588" s="10" t="s">
        <v>1466</v>
      </c>
      <c r="D588" s="9" t="s">
        <v>515</v>
      </c>
      <c r="E588" s="48">
        <f>일위대가표!F2573</f>
        <v>39991</v>
      </c>
      <c r="F588" s="47">
        <f>일위대가표!H2573</f>
        <v>39207</v>
      </c>
      <c r="G588" s="56">
        <f>일위대가표!J2573</f>
        <v>0</v>
      </c>
      <c r="H588" s="48">
        <f>일위대가표!L2573</f>
        <v>784</v>
      </c>
      <c r="I588" s="15" t="s">
        <v>1465</v>
      </c>
      <c r="J588" s="17" t="str">
        <f>"_x0007_`COD|B04876_x0005_`QTY1|1_x0005_`BQC|_x0005_`EQC|_x0005_`JDC|_x0005_`WQC|_x0005_`EDT|_x0005_`ADJ|F_x0005_`DET|"&amp;ROW(일위대가표!A2568)&amp;"_x0005_`"</f>
        <v>_x0007_`COD|B04876_x0005_`QTY1|1_x0005_`BQC|_x0005_`EQC|_x0005_`JDC|_x0005_`WQC|_x0005_`EDT|_x0005_`ADJ|F_x0005_`DET|2568_x0005_`</v>
      </c>
      <c r="K588" s="3" t="str">
        <f ca="1">HYPERLINK("#"&amp;일위대가표!N2&amp;"!A"&amp;ROW(일위대가표!A2568),"대가585 →")</f>
        <v>대가585 →</v>
      </c>
    </row>
    <row r="589" spans="1:11" ht="22.35" customHeight="1" x14ac:dyDescent="0.3">
      <c r="A589" s="9" t="s">
        <v>1468</v>
      </c>
      <c r="B589" s="10" t="s">
        <v>1456</v>
      </c>
      <c r="C589" s="10" t="s">
        <v>1469</v>
      </c>
      <c r="D589" s="9" t="s">
        <v>515</v>
      </c>
      <c r="E589" s="48">
        <f>일위대가표!F2580</f>
        <v>49781</v>
      </c>
      <c r="F589" s="47">
        <f>일위대가표!H2580</f>
        <v>48805</v>
      </c>
      <c r="G589" s="56">
        <f>일위대가표!J2580</f>
        <v>0</v>
      </c>
      <c r="H589" s="48">
        <f>일위대가표!L2580</f>
        <v>976</v>
      </c>
      <c r="I589" s="15" t="s">
        <v>1468</v>
      </c>
      <c r="J589" s="17" t="str">
        <f>"_x0007_`COD|B04877_x0005_`QTY1|1_x0005_`BQC|_x0005_`EQC|_x0005_`JDC|_x0005_`WQC|_x0005_`EDT|_x0005_`ADJ|F_x0005_`DET|"&amp;ROW(일위대가표!A2575)&amp;"_x0005_`"</f>
        <v>_x0007_`COD|B04877_x0005_`QTY1|1_x0005_`BQC|_x0005_`EQC|_x0005_`JDC|_x0005_`WQC|_x0005_`EDT|_x0005_`ADJ|F_x0005_`DET|2575_x0005_`</v>
      </c>
      <c r="K589" s="3" t="str">
        <f ca="1">HYPERLINK("#"&amp;일위대가표!N2&amp;"!A"&amp;ROW(일위대가표!A2575),"대가586 →")</f>
        <v>대가586 →</v>
      </c>
    </row>
    <row r="590" spans="1:11" ht="22.35" customHeight="1" x14ac:dyDescent="0.3">
      <c r="A590" s="9" t="s">
        <v>1471</v>
      </c>
      <c r="B590" s="10" t="s">
        <v>1456</v>
      </c>
      <c r="C590" s="10" t="s">
        <v>1472</v>
      </c>
      <c r="D590" s="9" t="s">
        <v>515</v>
      </c>
      <c r="E590" s="48">
        <f>일위대가표!F2587</f>
        <v>49781</v>
      </c>
      <c r="F590" s="47">
        <f>일위대가표!H2587</f>
        <v>48805</v>
      </c>
      <c r="G590" s="56">
        <f>일위대가표!J2587</f>
        <v>0</v>
      </c>
      <c r="H590" s="48">
        <f>일위대가표!L2587</f>
        <v>976</v>
      </c>
      <c r="I590" s="15" t="s">
        <v>1471</v>
      </c>
      <c r="J590" s="17" t="str">
        <f>"_x0007_`COD|B04878_x0005_`QTY1|1_x0005_`BQC|_x0005_`EQC|_x0005_`JDC|_x0005_`WQC|_x0005_`EDT|_x0005_`ADJ|F_x0005_`DET|"&amp;ROW(일위대가표!A2582)&amp;"_x0005_`"</f>
        <v>_x0007_`COD|B04878_x0005_`QTY1|1_x0005_`BQC|_x0005_`EQC|_x0005_`JDC|_x0005_`WQC|_x0005_`EDT|_x0005_`ADJ|F_x0005_`DET|2582_x0005_`</v>
      </c>
      <c r="K590" s="3" t="str">
        <f ca="1">HYPERLINK("#"&amp;일위대가표!N2&amp;"!A"&amp;ROW(일위대가표!A2582),"대가587 →")</f>
        <v>대가587 →</v>
      </c>
    </row>
    <row r="591" spans="1:11" ht="22.35" customHeight="1" x14ac:dyDescent="0.3">
      <c r="A591" s="9" t="s">
        <v>1474</v>
      </c>
      <c r="B591" s="10" t="s">
        <v>1475</v>
      </c>
      <c r="C591" s="10" t="s">
        <v>1438</v>
      </c>
      <c r="D591" s="9" t="s">
        <v>515</v>
      </c>
      <c r="E591" s="48">
        <f>일위대가표!F2592</f>
        <v>6760</v>
      </c>
      <c r="F591" s="47">
        <f>일위대가표!H2592</f>
        <v>6628</v>
      </c>
      <c r="G591" s="56">
        <f>일위대가표!J2592</f>
        <v>0</v>
      </c>
      <c r="H591" s="48">
        <f>일위대가표!L2592</f>
        <v>132</v>
      </c>
      <c r="I591" s="15" t="s">
        <v>1474</v>
      </c>
      <c r="J591" s="17" t="str">
        <f>"_x0007_`COD|B04880_x0005_`QTY1|1_x0005_`BQC|_x0005_`EQC|_x0005_`JDC|_x0005_`WQC|_x0005_`EDT|_x0005_`ADJ|F_x0005_`DET|"&amp;ROW(일위대가표!A2589)&amp;"_x0005_`"</f>
        <v>_x0007_`COD|B04880_x0005_`QTY1|1_x0005_`BQC|_x0005_`EQC|_x0005_`JDC|_x0005_`WQC|_x0005_`EDT|_x0005_`ADJ|F_x0005_`DET|2589_x0005_`</v>
      </c>
      <c r="K591" s="3" t="str">
        <f ca="1">HYPERLINK("#"&amp;일위대가표!N2&amp;"!A"&amp;ROW(일위대가표!A2589),"대가588 →")</f>
        <v>대가588 →</v>
      </c>
    </row>
    <row r="592" spans="1:11" ht="22.35" customHeight="1" x14ac:dyDescent="0.3">
      <c r="A592" s="9" t="s">
        <v>1477</v>
      </c>
      <c r="B592" s="10" t="s">
        <v>1475</v>
      </c>
      <c r="C592" s="10" t="s">
        <v>1441</v>
      </c>
      <c r="D592" s="9" t="s">
        <v>515</v>
      </c>
      <c r="E592" s="48">
        <f>일위대가표!F2597</f>
        <v>10307</v>
      </c>
      <c r="F592" s="47">
        <f>일위대가표!H2597</f>
        <v>10105</v>
      </c>
      <c r="G592" s="56">
        <f>일위대가표!J2597</f>
        <v>0</v>
      </c>
      <c r="H592" s="48">
        <f>일위대가표!L2597</f>
        <v>202</v>
      </c>
      <c r="I592" s="15" t="s">
        <v>1477</v>
      </c>
      <c r="J592" s="17" t="str">
        <f>"_x0007_`COD|B04881_x0005_`QTY1|1_x0005_`BQC|_x0005_`EQC|_x0005_`JDC|_x0005_`WQC|_x0005_`EDT|_x0005_`ADJ|F_x0005_`DET|"&amp;ROW(일위대가표!A2594)&amp;"_x0005_`"</f>
        <v>_x0007_`COD|B04881_x0005_`QTY1|1_x0005_`BQC|_x0005_`EQC|_x0005_`JDC|_x0005_`WQC|_x0005_`EDT|_x0005_`ADJ|F_x0005_`DET|2594_x0005_`</v>
      </c>
      <c r="K592" s="3" t="str">
        <f ca="1">HYPERLINK("#"&amp;일위대가표!N2&amp;"!A"&amp;ROW(일위대가표!A2594),"대가589 →")</f>
        <v>대가589 →</v>
      </c>
    </row>
    <row r="593" spans="1:11" ht="22.35" customHeight="1" x14ac:dyDescent="0.3">
      <c r="A593" s="9" t="s">
        <v>1479</v>
      </c>
      <c r="B593" s="10" t="s">
        <v>1475</v>
      </c>
      <c r="C593" s="10" t="s">
        <v>1444</v>
      </c>
      <c r="D593" s="9" t="s">
        <v>515</v>
      </c>
      <c r="E593" s="48">
        <f>일위대가표!F2602</f>
        <v>13151</v>
      </c>
      <c r="F593" s="47">
        <f>일위대가표!H2602</f>
        <v>12894</v>
      </c>
      <c r="G593" s="56">
        <f>일위대가표!J2602</f>
        <v>0</v>
      </c>
      <c r="H593" s="48">
        <f>일위대가표!L2602</f>
        <v>257</v>
      </c>
      <c r="I593" s="15" t="s">
        <v>1479</v>
      </c>
      <c r="J593" s="17" t="str">
        <f>"_x0007_`COD|B04882_x0005_`QTY1|1_x0005_`BQC|_x0005_`EQC|_x0005_`JDC|_x0005_`WQC|_x0005_`EDT|_x0005_`ADJ|F_x0005_`DET|"&amp;ROW(일위대가표!A2599)&amp;"_x0005_`"</f>
        <v>_x0007_`COD|B04882_x0005_`QTY1|1_x0005_`BQC|_x0005_`EQC|_x0005_`JDC|_x0005_`WQC|_x0005_`EDT|_x0005_`ADJ|F_x0005_`DET|2599_x0005_`</v>
      </c>
      <c r="K593" s="3" t="str">
        <f ca="1">HYPERLINK("#"&amp;일위대가표!N2&amp;"!A"&amp;ROW(일위대가표!A2599),"대가590 →")</f>
        <v>대가590 →</v>
      </c>
    </row>
    <row r="594" spans="1:11" ht="22.35" customHeight="1" x14ac:dyDescent="0.3">
      <c r="A594" s="9" t="s">
        <v>1481</v>
      </c>
      <c r="B594" s="10" t="s">
        <v>1475</v>
      </c>
      <c r="C594" s="10" t="s">
        <v>1447</v>
      </c>
      <c r="D594" s="9" t="s">
        <v>515</v>
      </c>
      <c r="E594" s="48">
        <f>일위대가표!F2607</f>
        <v>15995</v>
      </c>
      <c r="F594" s="47">
        <f>일위대가표!H2607</f>
        <v>15682</v>
      </c>
      <c r="G594" s="56">
        <f>일위대가표!J2607</f>
        <v>0</v>
      </c>
      <c r="H594" s="48">
        <f>일위대가표!L2607</f>
        <v>313</v>
      </c>
      <c r="I594" s="15" t="s">
        <v>1481</v>
      </c>
      <c r="J594" s="17" t="str">
        <f>"_x0007_`COD|B04883_x0005_`QTY1|1_x0005_`BQC|_x0005_`EQC|_x0005_`JDC|_x0005_`WQC|_x0005_`EDT|_x0005_`ADJ|F_x0005_`DET|"&amp;ROW(일위대가표!A2604)&amp;"_x0005_`"</f>
        <v>_x0007_`COD|B04883_x0005_`QTY1|1_x0005_`BQC|_x0005_`EQC|_x0005_`JDC|_x0005_`WQC|_x0005_`EDT|_x0005_`ADJ|F_x0005_`DET|2604_x0005_`</v>
      </c>
      <c r="K594" s="3" t="str">
        <f ca="1">HYPERLINK("#"&amp;일위대가표!N2&amp;"!A"&amp;ROW(일위대가표!A2604),"대가591 →")</f>
        <v>대가591 →</v>
      </c>
    </row>
    <row r="595" spans="1:11" ht="22.35" customHeight="1" x14ac:dyDescent="0.3">
      <c r="A595" s="9" t="s">
        <v>1483</v>
      </c>
      <c r="B595" s="10" t="s">
        <v>1475</v>
      </c>
      <c r="C595" s="10" t="s">
        <v>1450</v>
      </c>
      <c r="D595" s="9" t="s">
        <v>515</v>
      </c>
      <c r="E595" s="48">
        <f>일위대가표!F2612</f>
        <v>19912</v>
      </c>
      <c r="F595" s="47">
        <f>일위대가표!H2612</f>
        <v>19522</v>
      </c>
      <c r="G595" s="56">
        <f>일위대가표!J2612</f>
        <v>0</v>
      </c>
      <c r="H595" s="48">
        <f>일위대가표!L2612</f>
        <v>390</v>
      </c>
      <c r="I595" s="15" t="s">
        <v>1483</v>
      </c>
      <c r="J595" s="17" t="str">
        <f>"_x0007_`COD|B04884_x0005_`QTY1|1_x0005_`BQC|_x0005_`EQC|_x0005_`JDC|_x0005_`WQC|_x0005_`EDT|_x0005_`ADJ|F_x0005_`DET|"&amp;ROW(일위대가표!A2609)&amp;"_x0005_`"</f>
        <v>_x0007_`COD|B04884_x0005_`QTY1|1_x0005_`BQC|_x0005_`EQC|_x0005_`JDC|_x0005_`WQC|_x0005_`EDT|_x0005_`ADJ|F_x0005_`DET|2609_x0005_`</v>
      </c>
      <c r="K595" s="3" t="str">
        <f ca="1">HYPERLINK("#"&amp;일위대가표!N2&amp;"!A"&amp;ROW(일위대가표!A2609),"대가592 →")</f>
        <v>대가592 →</v>
      </c>
    </row>
    <row r="596" spans="1:11" ht="22.35" customHeight="1" x14ac:dyDescent="0.3">
      <c r="A596" s="9" t="s">
        <v>1485</v>
      </c>
      <c r="B596" s="10" t="s">
        <v>1475</v>
      </c>
      <c r="C596" s="10" t="s">
        <v>1453</v>
      </c>
      <c r="D596" s="9" t="s">
        <v>515</v>
      </c>
      <c r="E596" s="48">
        <f>일위대가표!F2617</f>
        <v>19912</v>
      </c>
      <c r="F596" s="47">
        <f>일위대가표!H2617</f>
        <v>19522</v>
      </c>
      <c r="G596" s="56">
        <f>일위대가표!J2617</f>
        <v>0</v>
      </c>
      <c r="H596" s="48">
        <f>일위대가표!L2617</f>
        <v>390</v>
      </c>
      <c r="I596" s="15" t="s">
        <v>1485</v>
      </c>
      <c r="J596" s="17" t="str">
        <f>"_x0007_`COD|B04885_x0005_`QTY1|1_x0005_`BQC|_x0005_`EQC|_x0005_`JDC|_x0005_`WQC|_x0005_`EDT|_x0005_`ADJ|F_x0005_`DET|"&amp;ROW(일위대가표!A2614)&amp;"_x0005_`"</f>
        <v>_x0007_`COD|B04885_x0005_`QTY1|1_x0005_`BQC|_x0005_`EQC|_x0005_`JDC|_x0005_`WQC|_x0005_`EDT|_x0005_`ADJ|F_x0005_`DET|2614_x0005_`</v>
      </c>
      <c r="K596" s="3" t="str">
        <f ca="1">HYPERLINK("#"&amp;일위대가표!N2&amp;"!A"&amp;ROW(일위대가표!A2614),"대가593 →")</f>
        <v>대가593 →</v>
      </c>
    </row>
    <row r="597" spans="1:11" ht="22.35" customHeight="1" x14ac:dyDescent="0.3">
      <c r="A597" s="9" t="s">
        <v>1487</v>
      </c>
      <c r="B597" s="10" t="s">
        <v>1488</v>
      </c>
      <c r="C597" s="10" t="s">
        <v>1489</v>
      </c>
      <c r="D597" s="9" t="s">
        <v>1490</v>
      </c>
      <c r="E597" s="48">
        <f>일위대가표!F2622</f>
        <v>47162</v>
      </c>
      <c r="F597" s="47">
        <f>일위대가표!H2622</f>
        <v>23571</v>
      </c>
      <c r="G597" s="56">
        <f>일위대가표!J2622</f>
        <v>23120</v>
      </c>
      <c r="H597" s="48">
        <f>일위대가표!L2622</f>
        <v>471</v>
      </c>
      <c r="I597" s="15" t="s">
        <v>1487</v>
      </c>
      <c r="J597" s="17" t="str">
        <f>"_x0007_`COD|B05057_x0005_`QTY1|1_x0005_`BQC|_x0005_`EQC|_x0005_`JDC|_x0005_`WQC|_x0005_`EDT|_x0005_`ADJ|F_x0005_`DET|"&amp;ROW(일위대가표!A2619)&amp;"_x0005_`"</f>
        <v>_x0007_`COD|B05057_x0005_`QTY1|1_x0005_`BQC|_x0005_`EQC|_x0005_`JDC|_x0005_`WQC|_x0005_`EDT|_x0005_`ADJ|F_x0005_`DET|2619_x0005_`</v>
      </c>
      <c r="K597" s="3" t="str">
        <f ca="1">HYPERLINK("#"&amp;일위대가표!N2&amp;"!A"&amp;ROW(일위대가표!A2619),"대가594 →")</f>
        <v>대가594 →</v>
      </c>
    </row>
    <row r="598" spans="1:11" ht="22.35" customHeight="1" x14ac:dyDescent="0.3">
      <c r="A598" s="9" t="s">
        <v>1492</v>
      </c>
      <c r="B598" s="10" t="s">
        <v>1488</v>
      </c>
      <c r="C598" s="10" t="s">
        <v>1493</v>
      </c>
      <c r="D598" s="9" t="s">
        <v>1490</v>
      </c>
      <c r="E598" s="48">
        <f>일위대가표!F2627</f>
        <v>68970</v>
      </c>
      <c r="F598" s="47">
        <f>일위대가표!H2627</f>
        <v>33000</v>
      </c>
      <c r="G598" s="56">
        <f>일위대가표!J2627</f>
        <v>35310</v>
      </c>
      <c r="H598" s="48">
        <f>일위대가표!L2627</f>
        <v>660</v>
      </c>
      <c r="I598" s="15" t="s">
        <v>1492</v>
      </c>
      <c r="J598" s="17" t="str">
        <f>"_x0007_`COD|B05058_x0005_`QTY1|1_x0005_`BQC|_x0005_`EQC|_x0005_`JDC|_x0005_`WQC|_x0005_`EDT|_x0005_`ADJ|F_x0005_`DET|"&amp;ROW(일위대가표!A2624)&amp;"_x0005_`"</f>
        <v>_x0007_`COD|B05058_x0005_`QTY1|1_x0005_`BQC|_x0005_`EQC|_x0005_`JDC|_x0005_`WQC|_x0005_`EDT|_x0005_`ADJ|F_x0005_`DET|2624_x0005_`</v>
      </c>
      <c r="K598" s="3" t="str">
        <f ca="1">HYPERLINK("#"&amp;일위대가표!N2&amp;"!A"&amp;ROW(일위대가표!A2624),"대가595 →")</f>
        <v>대가595 →</v>
      </c>
    </row>
    <row r="599" spans="1:11" ht="22.35" customHeight="1" x14ac:dyDescent="0.3">
      <c r="A599" s="9" t="s">
        <v>1495</v>
      </c>
      <c r="B599" s="10" t="s">
        <v>1488</v>
      </c>
      <c r="C599" s="10" t="s">
        <v>1496</v>
      </c>
      <c r="D599" s="9" t="s">
        <v>1490</v>
      </c>
      <c r="E599" s="48">
        <f>일위대가표!F2632</f>
        <v>92449</v>
      </c>
      <c r="F599" s="47">
        <f>일위대가표!H2632</f>
        <v>45833</v>
      </c>
      <c r="G599" s="56">
        <f>일위대가표!J2632</f>
        <v>45700</v>
      </c>
      <c r="H599" s="48">
        <f>일위대가표!L2632</f>
        <v>916</v>
      </c>
      <c r="I599" s="15" t="s">
        <v>1495</v>
      </c>
      <c r="J599" s="17" t="str">
        <f>"_x0007_`COD|B05059_x0005_`QTY1|1_x0005_`BQC|_x0005_`EQC|_x0005_`JDC|_x0005_`WQC|_x0005_`EDT|_x0005_`ADJ|F_x0005_`DET|"&amp;ROW(일위대가표!A2629)&amp;"_x0005_`"</f>
        <v>_x0007_`COD|B05059_x0005_`QTY1|1_x0005_`BQC|_x0005_`EQC|_x0005_`JDC|_x0005_`WQC|_x0005_`EDT|_x0005_`ADJ|F_x0005_`DET|2629_x0005_`</v>
      </c>
      <c r="K599" s="3" t="str">
        <f ca="1">HYPERLINK("#"&amp;일위대가표!N2&amp;"!A"&amp;ROW(일위대가표!A2629),"대가596 →")</f>
        <v>대가596 →</v>
      </c>
    </row>
    <row r="600" spans="1:11" ht="22.35" customHeight="1" x14ac:dyDescent="0.3">
      <c r="A600" s="9" t="s">
        <v>1498</v>
      </c>
      <c r="B600" s="10" t="s">
        <v>1488</v>
      </c>
      <c r="C600" s="10" t="s">
        <v>1499</v>
      </c>
      <c r="D600" s="9" t="s">
        <v>1490</v>
      </c>
      <c r="E600" s="48">
        <f>일위대가표!F2637</f>
        <v>147565</v>
      </c>
      <c r="F600" s="47">
        <f>일위대가표!H2637</f>
        <v>68750</v>
      </c>
      <c r="G600" s="56">
        <f>일위대가표!J2637</f>
        <v>77440</v>
      </c>
      <c r="H600" s="48">
        <f>일위대가표!L2637</f>
        <v>1375</v>
      </c>
      <c r="I600" s="15" t="s">
        <v>1498</v>
      </c>
      <c r="J600" s="17" t="str">
        <f>"_x0007_`COD|B05073_x0005_`QTY1|1_x0005_`BQC|_x0005_`EQC|_x0005_`JDC|_x0005_`WQC|_x0005_`EDT|_x0005_`ADJ|F_x0005_`DET|"&amp;ROW(일위대가표!A2634)&amp;"_x0005_`"</f>
        <v>_x0007_`COD|B05073_x0005_`QTY1|1_x0005_`BQC|_x0005_`EQC|_x0005_`JDC|_x0005_`WQC|_x0005_`EDT|_x0005_`ADJ|F_x0005_`DET|2634_x0005_`</v>
      </c>
      <c r="K600" s="3" t="str">
        <f ca="1">HYPERLINK("#"&amp;일위대가표!N2&amp;"!A"&amp;ROW(일위대가표!A2634),"대가597 →")</f>
        <v>대가597 →</v>
      </c>
    </row>
    <row r="601" spans="1:11" ht="22.35" customHeight="1" x14ac:dyDescent="0.3">
      <c r="A601" s="9" t="s">
        <v>1501</v>
      </c>
      <c r="B601" s="10" t="s">
        <v>1488</v>
      </c>
      <c r="C601" s="10" t="s">
        <v>1502</v>
      </c>
      <c r="D601" s="9" t="s">
        <v>1490</v>
      </c>
      <c r="E601" s="48">
        <f>일위대가표!F2642</f>
        <v>157619</v>
      </c>
      <c r="F601" s="47">
        <f>일위대가표!H2642</f>
        <v>95303</v>
      </c>
      <c r="G601" s="56">
        <f>일위대가표!J2642</f>
        <v>60410</v>
      </c>
      <c r="H601" s="48">
        <f>일위대가표!L2642</f>
        <v>1906</v>
      </c>
      <c r="I601" s="15" t="s">
        <v>1501</v>
      </c>
      <c r="J601" s="17" t="str">
        <f>"_x0007_`COD|B05074_x0005_`QTY1|1_x0005_`BQC|_x0005_`EQC|_x0005_`JDC|_x0005_`WQC|_x0005_`EDT|_x0005_`ADJ|F_x0005_`DET|"&amp;ROW(일위대가표!A2639)&amp;"_x0005_`"</f>
        <v>_x0007_`COD|B05074_x0005_`QTY1|1_x0005_`BQC|_x0005_`EQC|_x0005_`JDC|_x0005_`WQC|_x0005_`EDT|_x0005_`ADJ|F_x0005_`DET|2639_x0005_`</v>
      </c>
      <c r="K601" s="3" t="str">
        <f ca="1">HYPERLINK("#"&amp;일위대가표!N2&amp;"!A"&amp;ROW(일위대가표!A2639),"대가598 →")</f>
        <v>대가598 →</v>
      </c>
    </row>
    <row r="602" spans="1:11" ht="22.35" customHeight="1" x14ac:dyDescent="0.3">
      <c r="A602" s="9" t="s">
        <v>1504</v>
      </c>
      <c r="B602" s="10" t="s">
        <v>1488</v>
      </c>
      <c r="C602" s="10" t="s">
        <v>1505</v>
      </c>
      <c r="D602" s="9" t="s">
        <v>1490</v>
      </c>
      <c r="E602" s="48">
        <f>일위대가표!F2647</f>
        <v>194072</v>
      </c>
      <c r="F602" s="47">
        <f>일위대가표!H2647</f>
        <v>131042</v>
      </c>
      <c r="G602" s="56">
        <f>일위대가표!J2647</f>
        <v>60410</v>
      </c>
      <c r="H602" s="48">
        <f>일위대가표!L2647</f>
        <v>2620</v>
      </c>
      <c r="I602" s="15" t="s">
        <v>1504</v>
      </c>
      <c r="J602" s="17" t="str">
        <f>"_x0007_`COD|B05075_x0005_`QTY1|1_x0005_`BQC|_x0005_`EQC|_x0005_`JDC|_x0005_`WQC|_x0005_`EDT|_x0005_`ADJ|F_x0005_`DET|"&amp;ROW(일위대가표!A2644)&amp;"_x0005_`"</f>
        <v>_x0007_`COD|B05075_x0005_`QTY1|1_x0005_`BQC|_x0005_`EQC|_x0005_`JDC|_x0005_`WQC|_x0005_`EDT|_x0005_`ADJ|F_x0005_`DET|2644_x0005_`</v>
      </c>
      <c r="K602" s="3" t="str">
        <f ca="1">HYPERLINK("#"&amp;일위대가표!N2&amp;"!A"&amp;ROW(일위대가표!A2644),"대가599 →")</f>
        <v>대가599 →</v>
      </c>
    </row>
    <row r="603" spans="1:11" ht="22.35" customHeight="1" x14ac:dyDescent="0.3">
      <c r="A603" s="9" t="s">
        <v>1507</v>
      </c>
      <c r="B603" s="10" t="s">
        <v>1488</v>
      </c>
      <c r="C603" s="10" t="s">
        <v>1508</v>
      </c>
      <c r="D603" s="9" t="s">
        <v>1490</v>
      </c>
      <c r="E603" s="48">
        <f>일위대가표!F2652</f>
        <v>306492</v>
      </c>
      <c r="F603" s="47">
        <f>일위대가표!H2652</f>
        <v>131042</v>
      </c>
      <c r="G603" s="56">
        <f>일위대가표!J2652</f>
        <v>172830</v>
      </c>
      <c r="H603" s="48">
        <f>일위대가표!L2652</f>
        <v>2620</v>
      </c>
      <c r="I603" s="15" t="s">
        <v>1507</v>
      </c>
      <c r="J603" s="17" t="str">
        <f>"_x0007_`COD|B05076_x0005_`QTY1|1_x0005_`BQC|_x0005_`EQC|_x0005_`JDC|_x0005_`WQC|_x0005_`EDT|_x0005_`ADJ|F_x0005_`DET|"&amp;ROW(일위대가표!A2649)&amp;"_x0005_`"</f>
        <v>_x0007_`COD|B05076_x0005_`QTY1|1_x0005_`BQC|_x0005_`EQC|_x0005_`JDC|_x0005_`WQC|_x0005_`EDT|_x0005_`ADJ|F_x0005_`DET|2649_x0005_`</v>
      </c>
      <c r="K603" s="3" t="str">
        <f ca="1">HYPERLINK("#"&amp;일위대가표!N2&amp;"!A"&amp;ROW(일위대가표!A2649),"대가600 →")</f>
        <v>대가600 →</v>
      </c>
    </row>
    <row r="604" spans="1:11" ht="22.35" customHeight="1" x14ac:dyDescent="0.3">
      <c r="A604" s="9" t="s">
        <v>1510</v>
      </c>
      <c r="B604" s="10" t="s">
        <v>1511</v>
      </c>
      <c r="C604" s="10" t="s">
        <v>1512</v>
      </c>
      <c r="D604" s="9" t="s">
        <v>515</v>
      </c>
      <c r="E604" s="48">
        <f>일위대가표!F2659</f>
        <v>31227</v>
      </c>
      <c r="F604" s="47">
        <f>일위대가표!H2659</f>
        <v>27971</v>
      </c>
      <c r="G604" s="56">
        <f>일위대가표!J2659</f>
        <v>2138</v>
      </c>
      <c r="H604" s="48">
        <f>일위대가표!L2659</f>
        <v>1118</v>
      </c>
      <c r="I604" s="15" t="s">
        <v>1510</v>
      </c>
      <c r="J604" s="17" t="str">
        <f>"_x0007_`COD|B02128_x0005_`QTY1|1_x0005_`BQC|_x0005_`EQC|_x0005_`JDC|_x0005_`WQC|_x0005_`EDT|_x0005_`ADJ|F_x0005_`DET|"&amp;ROW(일위대가표!A2654)&amp;"_x0005_`"</f>
        <v>_x0007_`COD|B02128_x0005_`QTY1|1_x0005_`BQC|_x0005_`EQC|_x0005_`JDC|_x0005_`WQC|_x0005_`EDT|_x0005_`ADJ|F_x0005_`DET|2654_x0005_`</v>
      </c>
      <c r="K604" s="3" t="str">
        <f ca="1">HYPERLINK("#"&amp;일위대가표!N2&amp;"!A"&amp;ROW(일위대가표!A2654),"대가601 →")</f>
        <v>대가601 →</v>
      </c>
    </row>
    <row r="605" spans="1:11" ht="22.35" customHeight="1" x14ac:dyDescent="0.3">
      <c r="A605" s="9" t="s">
        <v>1514</v>
      </c>
      <c r="B605" s="10" t="s">
        <v>1511</v>
      </c>
      <c r="C605" s="10" t="s">
        <v>1515</v>
      </c>
      <c r="D605" s="9" t="s">
        <v>515</v>
      </c>
      <c r="E605" s="48">
        <f>일위대가표!F2666</f>
        <v>39116</v>
      </c>
      <c r="F605" s="47">
        <f>일위대가표!H2666</f>
        <v>33621</v>
      </c>
      <c r="G605" s="56">
        <f>일위대가표!J2666</f>
        <v>4151</v>
      </c>
      <c r="H605" s="48">
        <f>일위대가표!L2666</f>
        <v>1344</v>
      </c>
      <c r="I605" s="15" t="s">
        <v>1514</v>
      </c>
      <c r="J605" s="17" t="str">
        <f>"_x0007_`COD|B00920_x0005_`QTY1|1_x0005_`BQC|_x0005_`EQC|_x0005_`JDC|_x0005_`WQC|_x0005_`EDT|_x0005_`ADJ|F_x0005_`DET|"&amp;ROW(일위대가표!A2661)&amp;"_x0005_`"</f>
        <v>_x0007_`COD|B00920_x0005_`QTY1|1_x0005_`BQC|_x0005_`EQC|_x0005_`JDC|_x0005_`WQC|_x0005_`EDT|_x0005_`ADJ|F_x0005_`DET|2661_x0005_`</v>
      </c>
      <c r="K605" s="3" t="str">
        <f ca="1">HYPERLINK("#"&amp;일위대가표!N2&amp;"!A"&amp;ROW(일위대가표!A2661),"대가602 →")</f>
        <v>대가602 →</v>
      </c>
    </row>
    <row r="606" spans="1:11" ht="22.35" customHeight="1" x14ac:dyDescent="0.3">
      <c r="A606" s="9" t="s">
        <v>1517</v>
      </c>
      <c r="B606" s="10" t="s">
        <v>1511</v>
      </c>
      <c r="C606" s="10" t="s">
        <v>1518</v>
      </c>
      <c r="D606" s="9" t="s">
        <v>515</v>
      </c>
      <c r="E606" s="48">
        <f>일위대가표!F2673</f>
        <v>44905</v>
      </c>
      <c r="F606" s="47">
        <f>일위대가표!H2673</f>
        <v>38142</v>
      </c>
      <c r="G606" s="56">
        <f>일위대가표!J2673</f>
        <v>5238</v>
      </c>
      <c r="H606" s="48">
        <f>일위대가표!L2673</f>
        <v>1525</v>
      </c>
      <c r="I606" s="15" t="s">
        <v>1517</v>
      </c>
      <c r="J606" s="17" t="str">
        <f>"_x0007_`COD|B02127_x0005_`QTY1|1_x0005_`BQC|_x0005_`EQC|_x0005_`JDC|_x0005_`WQC|_x0005_`EDT|_x0005_`ADJ|F_x0005_`DET|"&amp;ROW(일위대가표!A2668)&amp;"_x0005_`"</f>
        <v>_x0007_`COD|B02127_x0005_`QTY1|1_x0005_`BQC|_x0005_`EQC|_x0005_`JDC|_x0005_`WQC|_x0005_`EDT|_x0005_`ADJ|F_x0005_`DET|2668_x0005_`</v>
      </c>
      <c r="K606" s="3" t="str">
        <f ca="1">HYPERLINK("#"&amp;일위대가표!N2&amp;"!A"&amp;ROW(일위대가표!A2668),"대가603 →")</f>
        <v>대가603 →</v>
      </c>
    </row>
    <row r="607" spans="1:11" ht="22.35" customHeight="1" x14ac:dyDescent="0.3">
      <c r="A607" s="9" t="s">
        <v>1520</v>
      </c>
      <c r="B607" s="10" t="s">
        <v>1511</v>
      </c>
      <c r="C607" s="10" t="s">
        <v>1521</v>
      </c>
      <c r="D607" s="9" t="s">
        <v>515</v>
      </c>
      <c r="E607" s="48">
        <f>일위대가표!F2680</f>
        <v>57110</v>
      </c>
      <c r="F607" s="47">
        <f>일위대가표!H2680</f>
        <v>47183</v>
      </c>
      <c r="G607" s="56">
        <f>일위대가표!J2680</f>
        <v>8040</v>
      </c>
      <c r="H607" s="48">
        <f>일위대가표!L2680</f>
        <v>1887</v>
      </c>
      <c r="I607" s="15" t="s">
        <v>1520</v>
      </c>
      <c r="J607" s="17" t="str">
        <f>"_x0007_`COD|B04857_x0005_`QTY1|1_x0005_`BQC|_x0005_`EQC|_x0005_`JDC|_x0005_`WQC|_x0005_`EDT|_x0005_`ADJ|F_x0005_`DET|"&amp;ROW(일위대가표!A2675)&amp;"_x0005_`"</f>
        <v>_x0007_`COD|B04857_x0005_`QTY1|1_x0005_`BQC|_x0005_`EQC|_x0005_`JDC|_x0005_`WQC|_x0005_`EDT|_x0005_`ADJ|F_x0005_`DET|2675_x0005_`</v>
      </c>
      <c r="K607" s="3" t="str">
        <f ca="1">HYPERLINK("#"&amp;일위대가표!N2&amp;"!A"&amp;ROW(일위대가표!A2675),"대가604 →")</f>
        <v>대가604 →</v>
      </c>
    </row>
    <row r="608" spans="1:11" ht="22.35" customHeight="1" x14ac:dyDescent="0.3">
      <c r="A608" s="9" t="s">
        <v>1523</v>
      </c>
      <c r="B608" s="10" t="s">
        <v>1511</v>
      </c>
      <c r="C608" s="10" t="s">
        <v>1524</v>
      </c>
      <c r="D608" s="9" t="s">
        <v>515</v>
      </c>
      <c r="E608" s="48">
        <f>일위대가표!F2687</f>
        <v>83022</v>
      </c>
      <c r="F608" s="47">
        <f>일위대가표!H2687</f>
        <v>65265</v>
      </c>
      <c r="G608" s="56">
        <f>일위대가표!J2687</f>
        <v>15147</v>
      </c>
      <c r="H608" s="48">
        <f>일위대가표!L2687</f>
        <v>2610</v>
      </c>
      <c r="I608" s="15" t="s">
        <v>1523</v>
      </c>
      <c r="J608" s="17" t="str">
        <f>"_x0007_`COD|B04858_x0005_`QTY1|1_x0005_`BQC|_x0005_`EQC|_x0005_`JDC|_x0005_`WQC|_x0005_`EDT|_x0005_`ADJ|F_x0005_`DET|"&amp;ROW(일위대가표!A2682)&amp;"_x0005_`"</f>
        <v>_x0007_`COD|B04858_x0005_`QTY1|1_x0005_`BQC|_x0005_`EQC|_x0005_`JDC|_x0005_`WQC|_x0005_`EDT|_x0005_`ADJ|F_x0005_`DET|2682_x0005_`</v>
      </c>
      <c r="K608" s="3" t="str">
        <f ca="1">HYPERLINK("#"&amp;일위대가표!N2&amp;"!A"&amp;ROW(일위대가표!A2682),"대가605 →")</f>
        <v>대가605 →</v>
      </c>
    </row>
    <row r="609" spans="1:11" ht="22.35" customHeight="1" x14ac:dyDescent="0.3">
      <c r="A609" s="9" t="s">
        <v>1526</v>
      </c>
      <c r="B609" s="10" t="s">
        <v>1511</v>
      </c>
      <c r="C609" s="10" t="s">
        <v>1527</v>
      </c>
      <c r="D609" s="9" t="s">
        <v>515</v>
      </c>
      <c r="E609" s="48">
        <f>일위대가표!F2694</f>
        <v>112148</v>
      </c>
      <c r="F609" s="47">
        <f>일위대가표!H2694</f>
        <v>83348</v>
      </c>
      <c r="G609" s="56">
        <f>일위대가표!J2694</f>
        <v>25467</v>
      </c>
      <c r="H609" s="48">
        <f>일위대가표!L2694</f>
        <v>3333</v>
      </c>
      <c r="I609" s="15" t="s">
        <v>1526</v>
      </c>
      <c r="J609" s="17" t="str">
        <f>"_x0007_`COD|B04859_x0005_`QTY1|1_x0005_`BQC|_x0005_`EQC|_x0005_`JDC|_x0005_`WQC|_x0005_`EDT|_x0005_`ADJ|F_x0005_`DET|"&amp;ROW(일위대가표!A2689)&amp;"_x0005_`"</f>
        <v>_x0007_`COD|B04859_x0005_`QTY1|1_x0005_`BQC|_x0005_`EQC|_x0005_`JDC|_x0005_`WQC|_x0005_`EDT|_x0005_`ADJ|F_x0005_`DET|2689_x0005_`</v>
      </c>
      <c r="K609" s="3" t="str">
        <f ca="1">HYPERLINK("#"&amp;일위대가표!N2&amp;"!A"&amp;ROW(일위대가표!A2689),"대가606 →")</f>
        <v>대가606 →</v>
      </c>
    </row>
    <row r="610" spans="1:11" ht="22.35" customHeight="1" x14ac:dyDescent="0.3">
      <c r="A610" s="9" t="s">
        <v>1529</v>
      </c>
      <c r="B610" s="10" t="s">
        <v>1511</v>
      </c>
      <c r="C610" s="10" t="s">
        <v>1530</v>
      </c>
      <c r="D610" s="9" t="s">
        <v>515</v>
      </c>
      <c r="E610" s="48">
        <f>일위대가표!F2701</f>
        <v>141899</v>
      </c>
      <c r="F610" s="47">
        <f>일위대가표!H2701</f>
        <v>101430</v>
      </c>
      <c r="G610" s="56">
        <f>일위대가표!J2701</f>
        <v>36412</v>
      </c>
      <c r="H610" s="48">
        <f>일위대가표!L2701</f>
        <v>4057</v>
      </c>
      <c r="I610" s="15" t="s">
        <v>1529</v>
      </c>
      <c r="J610" s="17" t="str">
        <f>"_x0007_`COD|B05078_x0005_`QTY1|1_x0005_`BQC|_x0005_`EQC|_x0005_`JDC|_x0005_`WQC|_x0005_`EDT|_x0005_`ADJ|F_x0005_`DET|"&amp;ROW(일위대가표!A2696)&amp;"_x0005_`"</f>
        <v>_x0007_`COD|B05078_x0005_`QTY1|1_x0005_`BQC|_x0005_`EQC|_x0005_`JDC|_x0005_`WQC|_x0005_`EDT|_x0005_`ADJ|F_x0005_`DET|2696_x0005_`</v>
      </c>
      <c r="K610" s="3" t="str">
        <f ca="1">HYPERLINK("#"&amp;일위대가표!N2&amp;"!A"&amp;ROW(일위대가표!A2696),"대가607 →")</f>
        <v>대가607 →</v>
      </c>
    </row>
    <row r="611" spans="1:11" ht="22.35" customHeight="1" x14ac:dyDescent="0.3">
      <c r="A611" s="9" t="s">
        <v>1532</v>
      </c>
      <c r="B611" s="10" t="s">
        <v>1533</v>
      </c>
      <c r="C611" s="10" t="s">
        <v>1534</v>
      </c>
      <c r="D611" s="9" t="s">
        <v>515</v>
      </c>
      <c r="E611" s="48">
        <f>일위대가표!F2707</f>
        <v>12641</v>
      </c>
      <c r="F611" s="47">
        <f>일위대가표!H2707</f>
        <v>12394</v>
      </c>
      <c r="G611" s="56">
        <f>일위대가표!J2707</f>
        <v>0</v>
      </c>
      <c r="H611" s="48">
        <f>일위대가표!L2707</f>
        <v>247</v>
      </c>
      <c r="I611" s="15" t="s">
        <v>1532</v>
      </c>
      <c r="J611" s="17" t="str">
        <f>"_x0007_`COD|B02663_x0005_`QTY1|1_x0005_`BQC|_x0005_`EQC|_x0005_`JDC|_x0005_`WQC|_x0005_`EDT|_x0005_`ADJ|F_x0005_`DET|"&amp;ROW(일위대가표!A2703)&amp;"_x0005_`"</f>
        <v>_x0007_`COD|B02663_x0005_`QTY1|1_x0005_`BQC|_x0005_`EQC|_x0005_`JDC|_x0005_`WQC|_x0005_`EDT|_x0005_`ADJ|F_x0005_`DET|2703_x0005_`</v>
      </c>
      <c r="K611" s="3" t="str">
        <f ca="1">HYPERLINK("#"&amp;일위대가표!N2&amp;"!A"&amp;ROW(일위대가표!A2703),"대가608 →")</f>
        <v>대가608 →</v>
      </c>
    </row>
    <row r="612" spans="1:11" ht="22.35" customHeight="1" x14ac:dyDescent="0.3">
      <c r="A612" s="9" t="s">
        <v>1536</v>
      </c>
      <c r="B612" s="10" t="s">
        <v>1533</v>
      </c>
      <c r="C612" s="10" t="s">
        <v>1537</v>
      </c>
      <c r="D612" s="9" t="s">
        <v>515</v>
      </c>
      <c r="E612" s="48">
        <f>일위대가표!F2713</f>
        <v>18710</v>
      </c>
      <c r="F612" s="47">
        <f>일위대가표!H2713</f>
        <v>18344</v>
      </c>
      <c r="G612" s="56">
        <f>일위대가표!J2713</f>
        <v>0</v>
      </c>
      <c r="H612" s="48">
        <f>일위대가표!L2713</f>
        <v>366</v>
      </c>
      <c r="I612" s="15" t="s">
        <v>1536</v>
      </c>
      <c r="J612" s="17" t="str">
        <f>"_x0007_`COD|B02664_x0005_`QTY1|1_x0005_`BQC|_x0005_`EQC|_x0005_`JDC|_x0005_`WQC|_x0005_`EDT|_x0005_`ADJ|F_x0005_`DET|"&amp;ROW(일위대가표!A2709)&amp;"_x0005_`"</f>
        <v>_x0007_`COD|B02664_x0005_`QTY1|1_x0005_`BQC|_x0005_`EQC|_x0005_`JDC|_x0005_`WQC|_x0005_`EDT|_x0005_`ADJ|F_x0005_`DET|2709_x0005_`</v>
      </c>
      <c r="K612" s="3" t="str">
        <f ca="1">HYPERLINK("#"&amp;일위대가표!N2&amp;"!A"&amp;ROW(일위대가표!A2709),"대가609 →")</f>
        <v>대가609 →</v>
      </c>
    </row>
    <row r="613" spans="1:11" ht="22.35" customHeight="1" x14ac:dyDescent="0.3">
      <c r="A613" s="9" t="s">
        <v>1539</v>
      </c>
      <c r="B613" s="10" t="s">
        <v>1533</v>
      </c>
      <c r="C613" s="10" t="s">
        <v>1540</v>
      </c>
      <c r="D613" s="9" t="s">
        <v>515</v>
      </c>
      <c r="E613" s="48">
        <f>일위대가표!F2719</f>
        <v>40119</v>
      </c>
      <c r="F613" s="47">
        <f>일위대가표!H2719</f>
        <v>39333</v>
      </c>
      <c r="G613" s="56">
        <f>일위대가표!J2719</f>
        <v>0</v>
      </c>
      <c r="H613" s="48">
        <f>일위대가표!L2719</f>
        <v>786</v>
      </c>
      <c r="I613" s="15" t="s">
        <v>1539</v>
      </c>
      <c r="J613" s="17" t="str">
        <f>"_x0007_`COD|B02665_x0005_`QTY1|1_x0005_`BQC|_x0005_`EQC|_x0005_`JDC|_x0005_`WQC|_x0005_`EDT|_x0005_`ADJ|F_x0005_`DET|"&amp;ROW(일위대가표!A2715)&amp;"_x0005_`"</f>
        <v>_x0007_`COD|B02665_x0005_`QTY1|1_x0005_`BQC|_x0005_`EQC|_x0005_`JDC|_x0005_`WQC|_x0005_`EDT|_x0005_`ADJ|F_x0005_`DET|2715_x0005_`</v>
      </c>
      <c r="K613" s="3" t="str">
        <f ca="1">HYPERLINK("#"&amp;일위대가표!N2&amp;"!A"&amp;ROW(일위대가표!A2715),"대가610 →")</f>
        <v>대가610 →</v>
      </c>
    </row>
    <row r="614" spans="1:11" ht="22.35" customHeight="1" x14ac:dyDescent="0.3">
      <c r="A614" s="9" t="s">
        <v>1542</v>
      </c>
      <c r="B614" s="10" t="s">
        <v>1533</v>
      </c>
      <c r="C614" s="10" t="s">
        <v>1543</v>
      </c>
      <c r="D614" s="9" t="s">
        <v>515</v>
      </c>
      <c r="E614" s="48">
        <f>일위대가표!F2725</f>
        <v>50219</v>
      </c>
      <c r="F614" s="47">
        <f>일위대가표!H2725</f>
        <v>49235</v>
      </c>
      <c r="G614" s="56">
        <f>일위대가표!J2725</f>
        <v>0</v>
      </c>
      <c r="H614" s="48">
        <f>일위대가표!L2725</f>
        <v>984</v>
      </c>
      <c r="I614" s="15" t="s">
        <v>1542</v>
      </c>
      <c r="J614" s="17" t="str">
        <f>"_x0007_`COD|B02666_x0005_`QTY1|1_x0005_`BQC|_x0005_`EQC|_x0005_`JDC|_x0005_`WQC|_x0005_`EDT|_x0005_`ADJ|F_x0005_`DET|"&amp;ROW(일위대가표!A2721)&amp;"_x0005_`"</f>
        <v>_x0007_`COD|B02666_x0005_`QTY1|1_x0005_`BQC|_x0005_`EQC|_x0005_`JDC|_x0005_`WQC|_x0005_`EDT|_x0005_`ADJ|F_x0005_`DET|2721_x0005_`</v>
      </c>
      <c r="K614" s="3" t="str">
        <f ca="1">HYPERLINK("#"&amp;일위대가표!N2&amp;"!A"&amp;ROW(일위대가표!A2721),"대가611 →")</f>
        <v>대가611 →</v>
      </c>
    </row>
    <row r="615" spans="1:11" ht="22.35" customHeight="1" x14ac:dyDescent="0.3">
      <c r="A615" s="9" t="s">
        <v>1545</v>
      </c>
      <c r="B615" s="10" t="s">
        <v>1533</v>
      </c>
      <c r="C615" s="10" t="s">
        <v>1546</v>
      </c>
      <c r="D615" s="9" t="s">
        <v>515</v>
      </c>
      <c r="E615" s="48">
        <f>일위대가표!F2731</f>
        <v>72539</v>
      </c>
      <c r="F615" s="47">
        <f>일위대가표!H2731</f>
        <v>71117</v>
      </c>
      <c r="G615" s="56">
        <f>일위대가표!J2731</f>
        <v>0</v>
      </c>
      <c r="H615" s="48">
        <f>일위대가표!L2731</f>
        <v>1422</v>
      </c>
      <c r="I615" s="15" t="s">
        <v>1545</v>
      </c>
      <c r="J615" s="17" t="str">
        <f>"_x0007_`COD|B02667_x0005_`QTY1|1_x0005_`BQC|_x0005_`EQC|_x0005_`JDC|_x0005_`WQC|_x0005_`EDT|_x0005_`ADJ|F_x0005_`DET|"&amp;ROW(일위대가표!A2727)&amp;"_x0005_`"</f>
        <v>_x0007_`COD|B02667_x0005_`QTY1|1_x0005_`BQC|_x0005_`EQC|_x0005_`JDC|_x0005_`WQC|_x0005_`EDT|_x0005_`ADJ|F_x0005_`DET|2727_x0005_`</v>
      </c>
      <c r="K615" s="3" t="str">
        <f ca="1">HYPERLINK("#"&amp;일위대가표!N2&amp;"!A"&amp;ROW(일위대가표!A2727),"대가612 →")</f>
        <v>대가612 →</v>
      </c>
    </row>
    <row r="616" spans="1:11" ht="22.35" customHeight="1" x14ac:dyDescent="0.3">
      <c r="A616" s="9" t="s">
        <v>1548</v>
      </c>
      <c r="B616" s="10" t="s">
        <v>1549</v>
      </c>
      <c r="C616" s="10" t="s">
        <v>1550</v>
      </c>
      <c r="D616" s="9" t="s">
        <v>515</v>
      </c>
      <c r="E616" s="48">
        <f>일위대가표!F2736</f>
        <v>32210</v>
      </c>
      <c r="F616" s="47">
        <f>일위대가표!H2736</f>
        <v>18344</v>
      </c>
      <c r="G616" s="56">
        <f>일위대가표!J2736</f>
        <v>13500</v>
      </c>
      <c r="H616" s="48">
        <f>일위대가표!L2736</f>
        <v>366</v>
      </c>
      <c r="I616" s="15" t="s">
        <v>1548</v>
      </c>
      <c r="J616" s="17" t="str">
        <f>"_x0007_`COD|B05093_x0005_`QTY1|1_x0005_`BQC|_x0005_`EQC|_x0005_`JDC|_x0005_`WQC|_x0005_`EDT|_x0005_`ADJ|F_x0005_`DET|"&amp;ROW(일위대가표!A2733)&amp;"_x0005_`"</f>
        <v>_x0007_`COD|B05093_x0005_`QTY1|1_x0005_`BQC|_x0005_`EQC|_x0005_`JDC|_x0005_`WQC|_x0005_`EDT|_x0005_`ADJ|F_x0005_`DET|2733_x0005_`</v>
      </c>
      <c r="K616" s="3" t="str">
        <f ca="1">HYPERLINK("#"&amp;일위대가표!N2&amp;"!A"&amp;ROW(일위대가표!A2733),"대가613 →")</f>
        <v>대가613 →</v>
      </c>
    </row>
    <row r="617" spans="1:11" ht="22.35" customHeight="1" x14ac:dyDescent="0.3">
      <c r="A617" s="9" t="s">
        <v>1552</v>
      </c>
      <c r="B617" s="10" t="s">
        <v>1549</v>
      </c>
      <c r="C617" s="10" t="s">
        <v>1553</v>
      </c>
      <c r="D617" s="9" t="s">
        <v>515</v>
      </c>
      <c r="E617" s="48">
        <f>일위대가표!F2741</f>
        <v>33210</v>
      </c>
      <c r="F617" s="47">
        <f>일위대가표!H2741</f>
        <v>18344</v>
      </c>
      <c r="G617" s="56">
        <f>일위대가표!J2741</f>
        <v>14500</v>
      </c>
      <c r="H617" s="48">
        <f>일위대가표!L2741</f>
        <v>366</v>
      </c>
      <c r="I617" s="15" t="s">
        <v>1552</v>
      </c>
      <c r="J617" s="17" t="str">
        <f>"_x0007_`COD|B05094_x0005_`QTY1|1_x0005_`BQC|_x0005_`EQC|_x0005_`JDC|_x0005_`WQC|_x0005_`EDT|_x0005_`ADJ|F_x0005_`DET|"&amp;ROW(일위대가표!A2738)&amp;"_x0005_`"</f>
        <v>_x0007_`COD|B05094_x0005_`QTY1|1_x0005_`BQC|_x0005_`EQC|_x0005_`JDC|_x0005_`WQC|_x0005_`EDT|_x0005_`ADJ|F_x0005_`DET|2738_x0005_`</v>
      </c>
      <c r="K617" s="3" t="str">
        <f ca="1">HYPERLINK("#"&amp;일위대가표!N2&amp;"!A"&amp;ROW(일위대가표!A2738),"대가614 →")</f>
        <v>대가614 →</v>
      </c>
    </row>
    <row r="618" spans="1:11" ht="22.35" customHeight="1" x14ac:dyDescent="0.3">
      <c r="A618" s="9" t="s">
        <v>1555</v>
      </c>
      <c r="B618" s="10" t="s">
        <v>1549</v>
      </c>
      <c r="C618" s="10" t="s">
        <v>1556</v>
      </c>
      <c r="D618" s="9" t="s">
        <v>515</v>
      </c>
      <c r="E618" s="48">
        <f>일위대가표!F2746</f>
        <v>35710</v>
      </c>
      <c r="F618" s="47">
        <f>일위대가표!H2746</f>
        <v>18344</v>
      </c>
      <c r="G618" s="56">
        <f>일위대가표!J2746</f>
        <v>17000</v>
      </c>
      <c r="H618" s="48">
        <f>일위대가표!L2746</f>
        <v>366</v>
      </c>
      <c r="I618" s="15" t="s">
        <v>1555</v>
      </c>
      <c r="J618" s="17" t="str">
        <f>"_x0007_`COD|B05095_x0005_`QTY1|1_x0005_`BQC|_x0005_`EQC|_x0005_`JDC|_x0005_`WQC|_x0005_`EDT|_x0005_`ADJ|F_x0005_`DET|"&amp;ROW(일위대가표!A2743)&amp;"_x0005_`"</f>
        <v>_x0007_`COD|B05095_x0005_`QTY1|1_x0005_`BQC|_x0005_`EQC|_x0005_`JDC|_x0005_`WQC|_x0005_`EDT|_x0005_`ADJ|F_x0005_`DET|2743_x0005_`</v>
      </c>
      <c r="K618" s="3" t="str">
        <f ca="1">HYPERLINK("#"&amp;일위대가표!N2&amp;"!A"&amp;ROW(일위대가표!A2743),"대가615 →")</f>
        <v>대가615 →</v>
      </c>
    </row>
    <row r="619" spans="1:11" ht="22.35" customHeight="1" x14ac:dyDescent="0.3">
      <c r="A619" s="9" t="s">
        <v>1558</v>
      </c>
      <c r="B619" s="10" t="s">
        <v>1549</v>
      </c>
      <c r="C619" s="10" t="s">
        <v>1559</v>
      </c>
      <c r="D619" s="9" t="s">
        <v>515</v>
      </c>
      <c r="E619" s="48">
        <f>일위대가표!F2751</f>
        <v>36710</v>
      </c>
      <c r="F619" s="47">
        <f>일위대가표!H2751</f>
        <v>18344</v>
      </c>
      <c r="G619" s="56">
        <f>일위대가표!J2751</f>
        <v>18000</v>
      </c>
      <c r="H619" s="48">
        <f>일위대가표!L2751</f>
        <v>366</v>
      </c>
      <c r="I619" s="15" t="s">
        <v>1558</v>
      </c>
      <c r="J619" s="17" t="str">
        <f>"_x0007_`COD|B05101_x0005_`QTY1|1_x0005_`BQC|_x0005_`EQC|_x0005_`JDC|_x0005_`WQC|_x0005_`EDT|_x0005_`ADJ|F_x0005_`DET|"&amp;ROW(일위대가표!A2748)&amp;"_x0005_`"</f>
        <v>_x0007_`COD|B05101_x0005_`QTY1|1_x0005_`BQC|_x0005_`EQC|_x0005_`JDC|_x0005_`WQC|_x0005_`EDT|_x0005_`ADJ|F_x0005_`DET|2748_x0005_`</v>
      </c>
      <c r="K619" s="3" t="str">
        <f ca="1">HYPERLINK("#"&amp;일위대가표!N2&amp;"!A"&amp;ROW(일위대가표!A2748),"대가616 →")</f>
        <v>대가616 →</v>
      </c>
    </row>
    <row r="620" spans="1:11" ht="22.35" customHeight="1" x14ac:dyDescent="0.3">
      <c r="A620" s="9" t="s">
        <v>1561</v>
      </c>
      <c r="B620" s="10" t="s">
        <v>1549</v>
      </c>
      <c r="C620" s="10" t="s">
        <v>1562</v>
      </c>
      <c r="D620" s="9" t="s">
        <v>515</v>
      </c>
      <c r="E620" s="48">
        <f>일위대가표!F2756</f>
        <v>45710</v>
      </c>
      <c r="F620" s="47">
        <f>일위대가표!H2756</f>
        <v>18344</v>
      </c>
      <c r="G620" s="56">
        <f>일위대가표!J2756</f>
        <v>27000</v>
      </c>
      <c r="H620" s="48">
        <f>일위대가표!L2756</f>
        <v>366</v>
      </c>
      <c r="I620" s="15" t="s">
        <v>1561</v>
      </c>
      <c r="J620" s="17" t="str">
        <f>"_x0007_`COD|B05096_x0005_`QTY1|1_x0005_`BQC|_x0005_`EQC|_x0005_`JDC|_x0005_`WQC|_x0005_`EDT|_x0005_`ADJ|F_x0005_`DET|"&amp;ROW(일위대가표!A2753)&amp;"_x0005_`"</f>
        <v>_x0007_`COD|B05096_x0005_`QTY1|1_x0005_`BQC|_x0005_`EQC|_x0005_`JDC|_x0005_`WQC|_x0005_`EDT|_x0005_`ADJ|F_x0005_`DET|2753_x0005_`</v>
      </c>
      <c r="K620" s="3" t="str">
        <f ca="1">HYPERLINK("#"&amp;일위대가표!N2&amp;"!A"&amp;ROW(일위대가표!A2753),"대가617 →")</f>
        <v>대가617 →</v>
      </c>
    </row>
    <row r="621" spans="1:11" ht="22.35" customHeight="1" x14ac:dyDescent="0.3">
      <c r="A621" s="9" t="s">
        <v>1564</v>
      </c>
      <c r="B621" s="10" t="s">
        <v>1549</v>
      </c>
      <c r="C621" s="10" t="s">
        <v>1543</v>
      </c>
      <c r="D621" s="9" t="s">
        <v>515</v>
      </c>
      <c r="E621" s="48">
        <f>일위대가표!F2761</f>
        <v>97219</v>
      </c>
      <c r="F621" s="47">
        <f>일위대가표!H2761</f>
        <v>49235</v>
      </c>
      <c r="G621" s="56">
        <f>일위대가표!J2761</f>
        <v>47000</v>
      </c>
      <c r="H621" s="48">
        <f>일위대가표!L2761</f>
        <v>984</v>
      </c>
      <c r="I621" s="15" t="s">
        <v>1564</v>
      </c>
      <c r="J621" s="17" t="str">
        <f>"_x0007_`COD|B05097_x0005_`QTY1|1_x0005_`BQC|_x0005_`EQC|_x0005_`JDC|_x0005_`WQC|_x0005_`EDT|_x0005_`ADJ|F_x0005_`DET|"&amp;ROW(일위대가표!A2758)&amp;"_x0005_`"</f>
        <v>_x0007_`COD|B05097_x0005_`QTY1|1_x0005_`BQC|_x0005_`EQC|_x0005_`JDC|_x0005_`WQC|_x0005_`EDT|_x0005_`ADJ|F_x0005_`DET|2758_x0005_`</v>
      </c>
      <c r="K621" s="3" t="str">
        <f ca="1">HYPERLINK("#"&amp;일위대가표!N2&amp;"!A"&amp;ROW(일위대가표!A2758),"대가618 →")</f>
        <v>대가618 →</v>
      </c>
    </row>
    <row r="622" spans="1:11" ht="22.35" customHeight="1" x14ac:dyDescent="0.3">
      <c r="A622" s="9" t="s">
        <v>1566</v>
      </c>
      <c r="B622" s="10" t="s">
        <v>1549</v>
      </c>
      <c r="C622" s="10" t="s">
        <v>1546</v>
      </c>
      <c r="D622" s="9" t="s">
        <v>515</v>
      </c>
      <c r="E622" s="48">
        <f>일위대가표!F2766</f>
        <v>126539</v>
      </c>
      <c r="F622" s="47">
        <f>일위대가표!H2766</f>
        <v>71117</v>
      </c>
      <c r="G622" s="56">
        <f>일위대가표!J2766</f>
        <v>54000</v>
      </c>
      <c r="H622" s="48">
        <f>일위대가표!L2766</f>
        <v>1422</v>
      </c>
      <c r="I622" s="15" t="s">
        <v>1566</v>
      </c>
      <c r="J622" s="17" t="str">
        <f>"_x0007_`COD|B05098_x0005_`QTY1|1_x0005_`BQC|_x0005_`EQC|_x0005_`JDC|_x0005_`WQC|_x0005_`EDT|_x0005_`ADJ|F_x0005_`DET|"&amp;ROW(일위대가표!A2763)&amp;"_x0005_`"</f>
        <v>_x0007_`COD|B05098_x0005_`QTY1|1_x0005_`BQC|_x0005_`EQC|_x0005_`JDC|_x0005_`WQC|_x0005_`EDT|_x0005_`ADJ|F_x0005_`DET|2763_x0005_`</v>
      </c>
      <c r="K622" s="3" t="str">
        <f ca="1">HYPERLINK("#"&amp;일위대가표!N2&amp;"!A"&amp;ROW(일위대가표!A2763),"대가619 →")</f>
        <v>대가619 →</v>
      </c>
    </row>
    <row r="623" spans="1:11" ht="22.35" customHeight="1" x14ac:dyDescent="0.3">
      <c r="A623" s="9" t="s">
        <v>1568</v>
      </c>
      <c r="B623" s="10" t="s">
        <v>1549</v>
      </c>
      <c r="C623" s="10" t="s">
        <v>1569</v>
      </c>
      <c r="D623" s="9" t="s">
        <v>515</v>
      </c>
      <c r="E623" s="48">
        <f>일위대가표!F2771</f>
        <v>188528</v>
      </c>
      <c r="F623" s="47">
        <f>일위대가표!H2771</f>
        <v>110322</v>
      </c>
      <c r="G623" s="56">
        <f>일위대가표!J2771</f>
        <v>76000</v>
      </c>
      <c r="H623" s="48">
        <f>일위대가표!L2771</f>
        <v>2206</v>
      </c>
      <c r="I623" s="15" t="s">
        <v>1568</v>
      </c>
      <c r="J623" s="17" t="str">
        <f>"_x0007_`COD|B05099_x0005_`QTY1|1_x0005_`BQC|_x0005_`EQC|_x0005_`JDC|_x0005_`WQC|_x0005_`EDT|_x0005_`ADJ|F_x0005_`DET|"&amp;ROW(일위대가표!A2768)&amp;"_x0005_`"</f>
        <v>_x0007_`COD|B05099_x0005_`QTY1|1_x0005_`BQC|_x0005_`EQC|_x0005_`JDC|_x0005_`WQC|_x0005_`EDT|_x0005_`ADJ|F_x0005_`DET|2768_x0005_`</v>
      </c>
      <c r="K623" s="3" t="str">
        <f ca="1">HYPERLINK("#"&amp;일위대가표!N2&amp;"!A"&amp;ROW(일위대가표!A2768),"대가620 →")</f>
        <v>대가620 →</v>
      </c>
    </row>
    <row r="624" spans="1:11" ht="22.35" customHeight="1" x14ac:dyDescent="0.3">
      <c r="A624" s="9" t="s">
        <v>1571</v>
      </c>
      <c r="B624" s="10" t="s">
        <v>1549</v>
      </c>
      <c r="C624" s="10" t="s">
        <v>1572</v>
      </c>
      <c r="D624" s="9" t="s">
        <v>515</v>
      </c>
      <c r="E624" s="48">
        <f>일위대가표!F2776</f>
        <v>293090</v>
      </c>
      <c r="F624" s="47">
        <f>일위대가표!H2776</f>
        <v>149108</v>
      </c>
      <c r="G624" s="56">
        <f>일위대가표!J2776</f>
        <v>141000</v>
      </c>
      <c r="H624" s="48">
        <f>일위대가표!L2776</f>
        <v>2982</v>
      </c>
      <c r="I624" s="15" t="s">
        <v>1571</v>
      </c>
      <c r="J624" s="17" t="str">
        <f>"_x0007_`COD|B05100_x0005_`QTY1|1_x0005_`BQC|_x0005_`EQC|_x0005_`JDC|_x0005_`WQC|_x0005_`EDT|_x0005_`ADJ|F_x0005_`DET|"&amp;ROW(일위대가표!A2773)&amp;"_x0005_`"</f>
        <v>_x0007_`COD|B05100_x0005_`QTY1|1_x0005_`BQC|_x0005_`EQC|_x0005_`JDC|_x0005_`WQC|_x0005_`EDT|_x0005_`ADJ|F_x0005_`DET|2773_x0005_`</v>
      </c>
      <c r="K624" s="3" t="str">
        <f ca="1">HYPERLINK("#"&amp;일위대가표!N2&amp;"!A"&amp;ROW(일위대가표!A2773),"대가621 →")</f>
        <v>대가621 →</v>
      </c>
    </row>
    <row r="625" spans="1:11" ht="22.35" customHeight="1" x14ac:dyDescent="0.3">
      <c r="A625" s="9" t="s">
        <v>1574</v>
      </c>
      <c r="B625" s="10" t="s">
        <v>1575</v>
      </c>
      <c r="C625" s="10" t="s">
        <v>1534</v>
      </c>
      <c r="D625" s="9" t="s">
        <v>1010</v>
      </c>
      <c r="E625" s="48">
        <f>일위대가표!F2782</f>
        <v>12641</v>
      </c>
      <c r="F625" s="47">
        <f>일위대가표!H2782</f>
        <v>12394</v>
      </c>
      <c r="G625" s="56">
        <f>일위대가표!J2782</f>
        <v>0</v>
      </c>
      <c r="H625" s="48">
        <f>일위대가표!L2782</f>
        <v>247</v>
      </c>
      <c r="I625" s="15" t="s">
        <v>1574</v>
      </c>
      <c r="J625" s="17" t="str">
        <f>"_x0007_`COD|B04861_x0005_`QTY1|1_x0005_`BQC|_x0005_`EQC|_x0005_`JDC|_x0005_`WQC|_x0005_`EDT|_x0005_`ADJ|F_x0005_`DET|"&amp;ROW(일위대가표!A2778)&amp;"_x0005_`"</f>
        <v>_x0007_`COD|B04861_x0005_`QTY1|1_x0005_`BQC|_x0005_`EQC|_x0005_`JDC|_x0005_`WQC|_x0005_`EDT|_x0005_`ADJ|F_x0005_`DET|2778_x0005_`</v>
      </c>
      <c r="K625" s="3" t="str">
        <f ca="1">HYPERLINK("#"&amp;일위대가표!N2&amp;"!A"&amp;ROW(일위대가표!A2778),"대가622 →")</f>
        <v>대가622 →</v>
      </c>
    </row>
    <row r="626" spans="1:11" ht="22.35" customHeight="1" x14ac:dyDescent="0.3">
      <c r="A626" s="9" t="s">
        <v>1577</v>
      </c>
      <c r="B626" s="10" t="s">
        <v>1575</v>
      </c>
      <c r="C626" s="10" t="s">
        <v>1578</v>
      </c>
      <c r="D626" s="9" t="s">
        <v>1010</v>
      </c>
      <c r="E626" s="48">
        <f>일위대가표!F2788</f>
        <v>18710</v>
      </c>
      <c r="F626" s="47">
        <f>일위대가표!H2788</f>
        <v>18344</v>
      </c>
      <c r="G626" s="56">
        <f>일위대가표!J2788</f>
        <v>0</v>
      </c>
      <c r="H626" s="48">
        <f>일위대가표!L2788</f>
        <v>366</v>
      </c>
      <c r="I626" s="15" t="s">
        <v>1577</v>
      </c>
      <c r="J626" s="17" t="str">
        <f>"_x0007_`COD|B04860_x0005_`QTY1|1_x0005_`BQC|_x0005_`EQC|_x0005_`JDC|_x0005_`WQC|_x0005_`EDT|_x0005_`ADJ|F_x0005_`DET|"&amp;ROW(일위대가표!A2784)&amp;"_x0005_`"</f>
        <v>_x0007_`COD|B04860_x0005_`QTY1|1_x0005_`BQC|_x0005_`EQC|_x0005_`JDC|_x0005_`WQC|_x0005_`EDT|_x0005_`ADJ|F_x0005_`DET|2784_x0005_`</v>
      </c>
      <c r="K626" s="3" t="str">
        <f ca="1">HYPERLINK("#"&amp;일위대가표!N2&amp;"!A"&amp;ROW(일위대가표!A2784),"대가623 →")</f>
        <v>대가623 →</v>
      </c>
    </row>
    <row r="627" spans="1:11" ht="22.35" customHeight="1" x14ac:dyDescent="0.3">
      <c r="A627" s="9" t="s">
        <v>1580</v>
      </c>
      <c r="B627" s="10" t="s">
        <v>1575</v>
      </c>
      <c r="C627" s="10" t="s">
        <v>1543</v>
      </c>
      <c r="D627" s="9" t="s">
        <v>1010</v>
      </c>
      <c r="E627" s="48">
        <f>일위대가표!F2795</f>
        <v>50219</v>
      </c>
      <c r="F627" s="47">
        <f>일위대가표!H2795</f>
        <v>49235</v>
      </c>
      <c r="G627" s="56">
        <f>일위대가표!J2795</f>
        <v>0</v>
      </c>
      <c r="H627" s="48">
        <f>일위대가표!L2795</f>
        <v>984</v>
      </c>
      <c r="I627" s="15" t="s">
        <v>1580</v>
      </c>
      <c r="J627" s="17" t="str">
        <f>"_x0007_`COD|B04862_x0005_`QTY1|1_x0005_`BQC|_x0005_`EQC|_x0005_`JDC|_x0005_`WQC|_x0005_`EDT|_x0005_`ADJ|F_x0005_`DET|"&amp;ROW(일위대가표!A2790)&amp;"_x0005_`"</f>
        <v>_x0007_`COD|B04862_x0005_`QTY1|1_x0005_`BQC|_x0005_`EQC|_x0005_`JDC|_x0005_`WQC|_x0005_`EDT|_x0005_`ADJ|F_x0005_`DET|2790_x0005_`</v>
      </c>
      <c r="K627" s="3" t="str">
        <f ca="1">HYPERLINK("#"&amp;일위대가표!N2&amp;"!A"&amp;ROW(일위대가표!A2790),"대가624 →")</f>
        <v>대가624 →</v>
      </c>
    </row>
    <row r="628" spans="1:11" ht="22.35" customHeight="1" x14ac:dyDescent="0.3">
      <c r="A628" s="9" t="s">
        <v>1582</v>
      </c>
      <c r="B628" s="10" t="s">
        <v>1583</v>
      </c>
      <c r="C628" s="10" t="s">
        <v>1584</v>
      </c>
      <c r="D628" s="9" t="s">
        <v>1010</v>
      </c>
      <c r="E628" s="48">
        <f>일위대가표!F2800</f>
        <v>20211</v>
      </c>
      <c r="F628" s="47">
        <f>일위대가표!H2800</f>
        <v>20211</v>
      </c>
      <c r="G628" s="56">
        <f>일위대가표!J2800</f>
        <v>0</v>
      </c>
      <c r="H628" s="48">
        <f>일위대가표!L2800</f>
        <v>0</v>
      </c>
      <c r="I628" s="15" t="s">
        <v>1582</v>
      </c>
      <c r="J628" s="17" t="str">
        <f>"_x0007_`COD|B04863_x0005_`QTY1|1_x0005_`BQC|_x0005_`EQC|_x0005_`JDC|_x0005_`WQC|_x0005_`EDT|_x0005_`ADJ|F_x0005_`DET|"&amp;ROW(일위대가표!A2797)&amp;"_x0005_`"</f>
        <v>_x0007_`COD|B04863_x0005_`QTY1|1_x0005_`BQC|_x0005_`EQC|_x0005_`JDC|_x0005_`WQC|_x0005_`EDT|_x0005_`ADJ|F_x0005_`DET|2797_x0005_`</v>
      </c>
      <c r="K628" s="3" t="str">
        <f ca="1">HYPERLINK("#"&amp;일위대가표!N2&amp;"!A"&amp;ROW(일위대가표!A2797),"대가625 →")</f>
        <v>대가625 →</v>
      </c>
    </row>
    <row r="629" spans="1:11" ht="22.35" customHeight="1" x14ac:dyDescent="0.3">
      <c r="A629" s="9" t="s">
        <v>1586</v>
      </c>
      <c r="B629" s="10" t="s">
        <v>1587</v>
      </c>
      <c r="C629" s="10"/>
      <c r="D629" s="9" t="s">
        <v>1588</v>
      </c>
      <c r="E629" s="48">
        <f>일위대가표!F2810</f>
        <v>4206678</v>
      </c>
      <c r="F629" s="47">
        <f>일위대가표!H2810</f>
        <v>4206678</v>
      </c>
      <c r="G629" s="56">
        <f>일위대가표!J2810</f>
        <v>0</v>
      </c>
      <c r="H629" s="48">
        <f>일위대가표!L2810</f>
        <v>0</v>
      </c>
      <c r="I629" s="15" t="s">
        <v>1586</v>
      </c>
      <c r="J629" s="17" t="str">
        <f>"_x0007_`COD|B04864_x0005_`QTY1|1_x0005_`BQC|_x0005_`EQC|_x0005_`JDC|_x0005_`WQC|_x0005_`EDT|_x0005_`ADJ|F_x0005_`DET|"&amp;ROW(일위대가표!A2802)&amp;"_x0005_`"</f>
        <v>_x0007_`COD|B04864_x0005_`QTY1|1_x0005_`BQC|_x0005_`EQC|_x0005_`JDC|_x0005_`WQC|_x0005_`EDT|_x0005_`ADJ|F_x0005_`DET|2802_x0005_`</v>
      </c>
      <c r="K629" s="3" t="str">
        <f ca="1">HYPERLINK("#"&amp;일위대가표!N2&amp;"!A"&amp;ROW(일위대가표!A2802),"대가626 →")</f>
        <v>대가626 →</v>
      </c>
    </row>
    <row r="630" spans="1:11" ht="22.35" customHeight="1" x14ac:dyDescent="0.3">
      <c r="A630" s="9" t="s">
        <v>1590</v>
      </c>
      <c r="B630" s="10" t="s">
        <v>1591</v>
      </c>
      <c r="C630" s="10" t="s">
        <v>1592</v>
      </c>
      <c r="D630" s="9" t="s">
        <v>1593</v>
      </c>
      <c r="E630" s="48">
        <f>일위대가표!F2820</f>
        <v>1342591</v>
      </c>
      <c r="F630" s="47">
        <f>일위대가표!H2820</f>
        <v>1243140</v>
      </c>
      <c r="G630" s="56">
        <f>일위대가표!J2820</f>
        <v>37294</v>
      </c>
      <c r="H630" s="48">
        <f>일위대가표!L2820</f>
        <v>62157</v>
      </c>
      <c r="I630" s="15" t="s">
        <v>1590</v>
      </c>
      <c r="J630" s="17" t="str">
        <f>"_x0007_`COD|B00014_x0005_`QTY1|1_x0005_`BQC|_x0005_`EQC|_x0005_`JDC|_x0005_`WQC|_x0005_`EDT|_x0005_`ADJ|F_x0005_`DET|"&amp;ROW(일위대가표!A2812)&amp;"_x0005_`"</f>
        <v>_x0007_`COD|B00014_x0005_`QTY1|1_x0005_`BQC|_x0005_`EQC|_x0005_`JDC|_x0005_`WQC|_x0005_`EDT|_x0005_`ADJ|F_x0005_`DET|2812_x0005_`</v>
      </c>
      <c r="K630" s="3" t="str">
        <f ca="1">HYPERLINK("#"&amp;일위대가표!N2&amp;"!A"&amp;ROW(일위대가표!A2812),"대가627 →")</f>
        <v>대가627 →</v>
      </c>
    </row>
    <row r="631" spans="1:11" ht="22.35" customHeight="1" x14ac:dyDescent="0.3">
      <c r="A631" s="9" t="s">
        <v>1595</v>
      </c>
      <c r="B631" s="10" t="s">
        <v>1596</v>
      </c>
      <c r="C631" s="10" t="s">
        <v>1597</v>
      </c>
      <c r="D631" s="9" t="s">
        <v>1598</v>
      </c>
      <c r="E631" s="48">
        <f>일위대가표!F2839</f>
        <v>312198</v>
      </c>
      <c r="F631" s="47">
        <f>일위대가표!H2839</f>
        <v>155368</v>
      </c>
      <c r="G631" s="56">
        <f>일위대가표!J2839</f>
        <v>156665</v>
      </c>
      <c r="H631" s="48">
        <f>일위대가표!L2839</f>
        <v>165</v>
      </c>
      <c r="I631" s="15" t="s">
        <v>1595</v>
      </c>
      <c r="J631" s="17" t="str">
        <f>"_x0007_`COD|B04866_x0005_`QTY1|1_x0005_`BQC|_x0005_`EQC|_x0005_`JDC|_x0005_`WQC|_x0005_`EDT|_x0005_`ADJ|F_x0005_`DET|"&amp;ROW(일위대가표!A2822)&amp;"_x0005_`"</f>
        <v>_x0007_`COD|B04866_x0005_`QTY1|1_x0005_`BQC|_x0005_`EQC|_x0005_`JDC|_x0005_`WQC|_x0005_`EDT|_x0005_`ADJ|F_x0005_`DET|2822_x0005_`</v>
      </c>
      <c r="K631" s="3" t="str">
        <f ca="1">HYPERLINK("#"&amp;일위대가표!N2&amp;"!A"&amp;ROW(일위대가표!A2822),"대가628 →")</f>
        <v>대가628 →</v>
      </c>
    </row>
    <row r="632" spans="1:11" ht="22.35" customHeight="1" x14ac:dyDescent="0.3">
      <c r="A632" s="9" t="s">
        <v>1600</v>
      </c>
      <c r="B632" s="10" t="s">
        <v>1601</v>
      </c>
      <c r="C632" s="10" t="s">
        <v>1602</v>
      </c>
      <c r="D632" s="9" t="s">
        <v>1603</v>
      </c>
      <c r="E632" s="48">
        <f>일위대가표!F2843</f>
        <v>83748</v>
      </c>
      <c r="F632" s="47">
        <f>일위대가표!H2843</f>
        <v>83748</v>
      </c>
      <c r="G632" s="56">
        <f>일위대가표!J2843</f>
        <v>0</v>
      </c>
      <c r="H632" s="48">
        <f>일위대가표!L2843</f>
        <v>0</v>
      </c>
      <c r="I632" s="15" t="s">
        <v>1600</v>
      </c>
      <c r="J632" s="17" t="str">
        <f>"_x0007_`COD|B04868_x0005_`QTY1|1_x0005_`BQC|_x0005_`EQC|_x0005_`JDC|_x0005_`WQC|_x0005_`EDT|_x0005_`ADJ|F_x0005_`DET|"&amp;ROW(일위대가표!A2841)&amp;"_x0005_`"</f>
        <v>_x0007_`COD|B04868_x0005_`QTY1|1_x0005_`BQC|_x0005_`EQC|_x0005_`JDC|_x0005_`WQC|_x0005_`EDT|_x0005_`ADJ|F_x0005_`DET|2841_x0005_`</v>
      </c>
      <c r="K632" s="3" t="str">
        <f ca="1">HYPERLINK("#"&amp;일위대가표!N2&amp;"!A"&amp;ROW(일위대가표!A2841),"대가629 →")</f>
        <v>대가629 →</v>
      </c>
    </row>
    <row r="633" spans="1:11" ht="22.35" customHeight="1" x14ac:dyDescent="0.3">
      <c r="A633" s="9" t="s">
        <v>1605</v>
      </c>
      <c r="B633" s="10" t="s">
        <v>1601</v>
      </c>
      <c r="C633" s="10" t="s">
        <v>1602</v>
      </c>
      <c r="D633" s="9" t="s">
        <v>1603</v>
      </c>
      <c r="E633" s="48">
        <f>일위대가표!F2847</f>
        <v>83748</v>
      </c>
      <c r="F633" s="47">
        <f>일위대가표!H2847</f>
        <v>83748</v>
      </c>
      <c r="G633" s="56">
        <f>일위대가표!J2847</f>
        <v>0</v>
      </c>
      <c r="H633" s="48">
        <f>일위대가표!L2847</f>
        <v>0</v>
      </c>
      <c r="I633" s="15" t="s">
        <v>1605</v>
      </c>
      <c r="J633" s="17" t="str">
        <f>"_x0007_`COD|B03019_x0005_`QTY1|1_x0005_`BQC|_x0005_`EQC|상수도_x0005_`JDC|_x0005_`WQC|_x0005_`EDT|_x0005_`ADJ|F_x0005_`DET|"&amp;ROW(일위대가표!A2845)&amp;"_x0005_`"</f>
        <v>_x0007_`COD|B03019_x0005_`QTY1|1_x0005_`BQC|_x0005_`EQC|상수도_x0005_`JDC|_x0005_`WQC|_x0005_`EDT|_x0005_`ADJ|F_x0005_`DET|2845_x0005_`</v>
      </c>
      <c r="K633" s="3" t="str">
        <f ca="1">HYPERLINK("#"&amp;일위대가표!N2&amp;"!A"&amp;ROW(일위대가표!A2845),"대가630 →")</f>
        <v>대가630 →</v>
      </c>
    </row>
    <row r="634" spans="1:11" ht="22.35" customHeight="1" x14ac:dyDescent="0.3">
      <c r="A634" s="9" t="s">
        <v>1607</v>
      </c>
      <c r="B634" s="10" t="s">
        <v>1608</v>
      </c>
      <c r="C634" s="10" t="s">
        <v>1609</v>
      </c>
      <c r="D634" s="9" t="s">
        <v>515</v>
      </c>
      <c r="E634" s="48">
        <f>일위대가표!F2854</f>
        <v>146011</v>
      </c>
      <c r="F634" s="47">
        <f>일위대가표!H2854</f>
        <v>145129</v>
      </c>
      <c r="G634" s="56">
        <f>일위대가표!J2854</f>
        <v>0</v>
      </c>
      <c r="H634" s="48">
        <f>일위대가표!L2854</f>
        <v>882</v>
      </c>
      <c r="I634" s="15" t="s">
        <v>1607</v>
      </c>
      <c r="J634" s="17" t="str">
        <f>"_x0007_`COD|B04870_x0005_`QTY1|1_x0005_`BQC|_x0005_`EQC|_x0005_`JDC|_x0005_`WQC|_x0005_`EDT|_x0005_`ADJ|F_x0005_`DET|"&amp;ROW(일위대가표!A2849)&amp;"_x0005_`"</f>
        <v>_x0007_`COD|B04870_x0005_`QTY1|1_x0005_`BQC|_x0005_`EQC|_x0005_`JDC|_x0005_`WQC|_x0005_`EDT|_x0005_`ADJ|F_x0005_`DET|2849_x0005_`</v>
      </c>
      <c r="K634" s="3" t="str">
        <f ca="1">HYPERLINK("#"&amp;일위대가표!N2&amp;"!A"&amp;ROW(일위대가표!A2849),"대가631 →")</f>
        <v>대가631 →</v>
      </c>
    </row>
    <row r="635" spans="1:11" ht="22.35" customHeight="1" x14ac:dyDescent="0.3">
      <c r="A635" s="9" t="s">
        <v>1611</v>
      </c>
      <c r="B635" s="10" t="s">
        <v>1608</v>
      </c>
      <c r="C635" s="10" t="s">
        <v>1612</v>
      </c>
      <c r="D635" s="9" t="s">
        <v>515</v>
      </c>
      <c r="E635" s="48">
        <f>일위대가표!F2861</f>
        <v>186207</v>
      </c>
      <c r="F635" s="47">
        <f>일위대가표!H2861</f>
        <v>184961</v>
      </c>
      <c r="G635" s="56">
        <f>일위대가표!J2861</f>
        <v>0</v>
      </c>
      <c r="H635" s="48">
        <f>일위대가표!L2861</f>
        <v>1246</v>
      </c>
      <c r="I635" s="15" t="s">
        <v>1611</v>
      </c>
      <c r="J635" s="17" t="str">
        <f>"_x0007_`COD|B04871_x0005_`QTY1|1_x0005_`BQC|_x0005_`EQC|_x0005_`JDC|_x0005_`WQC|_x0005_`EDT|_x0005_`ADJ|F_x0005_`DET|"&amp;ROW(일위대가표!A2856)&amp;"_x0005_`"</f>
        <v>_x0007_`COD|B04871_x0005_`QTY1|1_x0005_`BQC|_x0005_`EQC|_x0005_`JDC|_x0005_`WQC|_x0005_`EDT|_x0005_`ADJ|F_x0005_`DET|2856_x0005_`</v>
      </c>
      <c r="K635" s="3" t="str">
        <f ca="1">HYPERLINK("#"&amp;일위대가표!N2&amp;"!A"&amp;ROW(일위대가표!A2856),"대가632 →")</f>
        <v>대가632 →</v>
      </c>
    </row>
    <row r="636" spans="1:11" ht="22.35" customHeight="1" x14ac:dyDescent="0.3">
      <c r="A636" s="9" t="s">
        <v>1614</v>
      </c>
      <c r="B636" s="10" t="s">
        <v>1608</v>
      </c>
      <c r="C636" s="10" t="s">
        <v>1615</v>
      </c>
      <c r="D636" s="9" t="s">
        <v>515</v>
      </c>
      <c r="E636" s="48">
        <f>일위대가표!F2868</f>
        <v>226397</v>
      </c>
      <c r="F636" s="47">
        <f>일위대가표!H2868</f>
        <v>224793</v>
      </c>
      <c r="G636" s="56">
        <f>일위대가표!J2868</f>
        <v>0</v>
      </c>
      <c r="H636" s="48">
        <f>일위대가표!L2868</f>
        <v>1604</v>
      </c>
      <c r="I636" s="15" t="s">
        <v>1614</v>
      </c>
      <c r="J636" s="17" t="str">
        <f>"_x0007_`COD|B04872_x0005_`QTY1|1_x0005_`BQC|_x0005_`EQC|_x0005_`JDC|_x0005_`WQC|_x0005_`EDT|_x0005_`ADJ|F_x0005_`DET|"&amp;ROW(일위대가표!A2863)&amp;"_x0005_`"</f>
        <v>_x0007_`COD|B04872_x0005_`QTY1|1_x0005_`BQC|_x0005_`EQC|_x0005_`JDC|_x0005_`WQC|_x0005_`EDT|_x0005_`ADJ|F_x0005_`DET|2863_x0005_`</v>
      </c>
      <c r="K636" s="3" t="str">
        <f ca="1">HYPERLINK("#"&amp;일위대가표!N2&amp;"!A"&amp;ROW(일위대가표!A2863),"대가633 →")</f>
        <v>대가633 →</v>
      </c>
    </row>
    <row r="637" spans="1:11" ht="22.35" customHeight="1" x14ac:dyDescent="0.3">
      <c r="A637" s="9" t="s">
        <v>1617</v>
      </c>
      <c r="B637" s="10" t="s">
        <v>1608</v>
      </c>
      <c r="C637" s="10" t="s">
        <v>1618</v>
      </c>
      <c r="D637" s="9" t="s">
        <v>515</v>
      </c>
      <c r="E637" s="48">
        <f>일위대가표!F2875</f>
        <v>105422</v>
      </c>
      <c r="F637" s="47">
        <f>일위대가표!H2875</f>
        <v>104903</v>
      </c>
      <c r="G637" s="56">
        <f>일위대가표!J2875</f>
        <v>0</v>
      </c>
      <c r="H637" s="48">
        <f>일위대가표!L2875</f>
        <v>519</v>
      </c>
      <c r="I637" s="15" t="s">
        <v>1617</v>
      </c>
      <c r="J637" s="17" t="str">
        <f>"_x0007_`COD|B04869_x0005_`QTY1|1_x0005_`BQC|_x0005_`EQC|_x0005_`JDC|_x0005_`WQC|_x0005_`EDT|_x0005_`ADJ|F_x0005_`DET|"&amp;ROW(일위대가표!A2870)&amp;"_x0005_`"</f>
        <v>_x0007_`COD|B04869_x0005_`QTY1|1_x0005_`BQC|_x0005_`EQC|_x0005_`JDC|_x0005_`WQC|_x0005_`EDT|_x0005_`ADJ|F_x0005_`DET|2870_x0005_`</v>
      </c>
      <c r="K637" s="3" t="str">
        <f ca="1">HYPERLINK("#"&amp;일위대가표!N2&amp;"!A"&amp;ROW(일위대가표!A2870),"대가634 →")</f>
        <v>대가634 →</v>
      </c>
    </row>
    <row r="638" spans="1:11" ht="22.35" customHeight="1" x14ac:dyDescent="0.3">
      <c r="A638" s="9" t="s">
        <v>1620</v>
      </c>
      <c r="B638" s="10" t="s">
        <v>1621</v>
      </c>
      <c r="C638" s="10" t="s">
        <v>1622</v>
      </c>
      <c r="D638" s="9" t="s">
        <v>14</v>
      </c>
      <c r="E638" s="48">
        <f>일위대가표!F2882</f>
        <v>280412</v>
      </c>
      <c r="F638" s="47">
        <f>일위대가표!H2882</f>
        <v>280412</v>
      </c>
      <c r="G638" s="56">
        <f>일위대가표!J2882</f>
        <v>0</v>
      </c>
      <c r="H638" s="48">
        <f>일위대가표!L2882</f>
        <v>0</v>
      </c>
      <c r="I638" s="15" t="s">
        <v>1620</v>
      </c>
      <c r="J638" s="17" t="str">
        <f>"_x0007_`COD|B05077_x0005_`QTY1|1_x0005_`BQC|_x0005_`EQC|_x0005_`JDC|_x0005_`WQC|_x0005_`EDT|_x0005_`ADJ|F_x0005_`DET|"&amp;ROW(일위대가표!A2877)&amp;"_x0005_`"</f>
        <v>_x0007_`COD|B05077_x0005_`QTY1|1_x0005_`BQC|_x0005_`EQC|_x0005_`JDC|_x0005_`WQC|_x0005_`EDT|_x0005_`ADJ|F_x0005_`DET|2877_x0005_`</v>
      </c>
      <c r="K638" s="3" t="str">
        <f ca="1">HYPERLINK("#"&amp;일위대가표!N2&amp;"!A"&amp;ROW(일위대가표!A2877),"대가635 →")</f>
        <v>대가635 →</v>
      </c>
    </row>
    <row r="639" spans="1:11" ht="22.35" customHeight="1" x14ac:dyDescent="0.3">
      <c r="A639" s="9" t="s">
        <v>1624</v>
      </c>
      <c r="B639" s="10" t="s">
        <v>1621</v>
      </c>
      <c r="C639" s="10" t="s">
        <v>1002</v>
      </c>
      <c r="D639" s="9" t="s">
        <v>14</v>
      </c>
      <c r="E639" s="48">
        <f>일위대가표!F2889</f>
        <v>280412</v>
      </c>
      <c r="F639" s="47">
        <f>일위대가표!H2889</f>
        <v>280412</v>
      </c>
      <c r="G639" s="56">
        <f>일위대가표!J2889</f>
        <v>0</v>
      </c>
      <c r="H639" s="48">
        <f>일위대가표!L2889</f>
        <v>0</v>
      </c>
      <c r="I639" s="15" t="s">
        <v>1624</v>
      </c>
      <c r="J639" s="17" t="str">
        <f>"_x0007_`COD|B05079_x0005_`QTY1|1_x0005_`BQC|_x0005_`EQC|_x0005_`JDC|_x0005_`WQC|_x0005_`EDT|_x0005_`ADJ|F_x0005_`DET|"&amp;ROW(일위대가표!A2884)&amp;"_x0005_`"</f>
        <v>_x0007_`COD|B05079_x0005_`QTY1|1_x0005_`BQC|_x0005_`EQC|_x0005_`JDC|_x0005_`WQC|_x0005_`EDT|_x0005_`ADJ|F_x0005_`DET|2884_x0005_`</v>
      </c>
      <c r="K639" s="3" t="str">
        <f ca="1">HYPERLINK("#"&amp;일위대가표!N2&amp;"!A"&amp;ROW(일위대가표!A2884),"대가636 →")</f>
        <v>대가636 →</v>
      </c>
    </row>
    <row r="640" spans="1:11" ht="22.35" customHeight="1" x14ac:dyDescent="0.3">
      <c r="A640" s="9" t="s">
        <v>1626</v>
      </c>
      <c r="B640" s="10" t="s">
        <v>1621</v>
      </c>
      <c r="C640" s="10" t="s">
        <v>1005</v>
      </c>
      <c r="D640" s="9" t="s">
        <v>14</v>
      </c>
      <c r="E640" s="48">
        <f>일위대가표!F2896</f>
        <v>280412</v>
      </c>
      <c r="F640" s="47">
        <f>일위대가표!H2896</f>
        <v>280412</v>
      </c>
      <c r="G640" s="56">
        <f>일위대가표!J2896</f>
        <v>0</v>
      </c>
      <c r="H640" s="48">
        <f>일위대가표!L2896</f>
        <v>0</v>
      </c>
      <c r="I640" s="15" t="s">
        <v>1626</v>
      </c>
      <c r="J640" s="17" t="str">
        <f>"_x0007_`COD|B05080_x0005_`QTY1|1_x0005_`BQC|_x0005_`EQC|_x0005_`JDC|_x0005_`WQC|_x0005_`EDT|_x0005_`ADJ|F_x0005_`DET|"&amp;ROW(일위대가표!A2891)&amp;"_x0005_`"</f>
        <v>_x0007_`COD|B05080_x0005_`QTY1|1_x0005_`BQC|_x0005_`EQC|_x0005_`JDC|_x0005_`WQC|_x0005_`EDT|_x0005_`ADJ|F_x0005_`DET|2891_x0005_`</v>
      </c>
      <c r="K640" s="3" t="str">
        <f ca="1">HYPERLINK("#"&amp;일위대가표!N2&amp;"!A"&amp;ROW(일위대가표!A2891),"대가637 →")</f>
        <v>대가637 →</v>
      </c>
    </row>
    <row r="641" spans="1:11" ht="22.35" customHeight="1" x14ac:dyDescent="0.3">
      <c r="A641" s="9" t="s">
        <v>1628</v>
      </c>
      <c r="B641" s="10" t="s">
        <v>1621</v>
      </c>
      <c r="C641" s="10" t="s">
        <v>1629</v>
      </c>
      <c r="D641" s="9" t="s">
        <v>14</v>
      </c>
      <c r="E641" s="48">
        <f>일위대가표!F2903</f>
        <v>336495</v>
      </c>
      <c r="F641" s="47">
        <f>일위대가표!H2903</f>
        <v>336495</v>
      </c>
      <c r="G641" s="56">
        <f>일위대가표!J2903</f>
        <v>0</v>
      </c>
      <c r="H641" s="48">
        <f>일위대가표!L2903</f>
        <v>0</v>
      </c>
      <c r="I641" s="15" t="s">
        <v>1628</v>
      </c>
      <c r="J641" s="17" t="str">
        <f>"_x0007_`COD|B05081_x0005_`QTY1|1_x0005_`BQC|_x0005_`EQC|_x0005_`JDC|_x0005_`WQC|_x0005_`EDT|_x0005_`ADJ|F_x0005_`DET|"&amp;ROW(일위대가표!A2898)&amp;"_x0005_`"</f>
        <v>_x0007_`COD|B05081_x0005_`QTY1|1_x0005_`BQC|_x0005_`EQC|_x0005_`JDC|_x0005_`WQC|_x0005_`EDT|_x0005_`ADJ|F_x0005_`DET|2898_x0005_`</v>
      </c>
      <c r="K641" s="3" t="str">
        <f ca="1">HYPERLINK("#"&amp;일위대가표!N2&amp;"!A"&amp;ROW(일위대가표!A2898),"대가638 →")</f>
        <v>대가638 →</v>
      </c>
    </row>
    <row r="642" spans="1:11" ht="22.35" customHeight="1" x14ac:dyDescent="0.3">
      <c r="A642" s="9" t="s">
        <v>1631</v>
      </c>
      <c r="B642" s="10" t="s">
        <v>1621</v>
      </c>
      <c r="C642" s="10" t="s">
        <v>1632</v>
      </c>
      <c r="D642" s="9" t="s">
        <v>14</v>
      </c>
      <c r="E642" s="48">
        <f>일위대가표!F2910</f>
        <v>392578</v>
      </c>
      <c r="F642" s="47">
        <f>일위대가표!H2910</f>
        <v>392578</v>
      </c>
      <c r="G642" s="56">
        <f>일위대가표!J2910</f>
        <v>0</v>
      </c>
      <c r="H642" s="48">
        <f>일위대가표!L2910</f>
        <v>0</v>
      </c>
      <c r="I642" s="15" t="s">
        <v>1631</v>
      </c>
      <c r="J642" s="17" t="str">
        <f>"_x0007_`COD|B05082_x0005_`QTY1|1_x0005_`BQC|_x0005_`EQC|_x0005_`JDC|_x0005_`WQC|_x0005_`EDT|_x0005_`ADJ|F_x0005_`DET|"&amp;ROW(일위대가표!A2905)&amp;"_x0005_`"</f>
        <v>_x0007_`COD|B05082_x0005_`QTY1|1_x0005_`BQC|_x0005_`EQC|_x0005_`JDC|_x0005_`WQC|_x0005_`EDT|_x0005_`ADJ|F_x0005_`DET|2905_x0005_`</v>
      </c>
      <c r="K642" s="3" t="str">
        <f ca="1">HYPERLINK("#"&amp;일위대가표!N2&amp;"!A"&amp;ROW(일위대가표!A2905),"대가639 →")</f>
        <v>대가639 →</v>
      </c>
    </row>
    <row r="643" spans="1:11" ht="22.35" customHeight="1" x14ac:dyDescent="0.3">
      <c r="A643" s="9" t="s">
        <v>1634</v>
      </c>
      <c r="B643" s="10" t="s">
        <v>1621</v>
      </c>
      <c r="C643" s="10" t="s">
        <v>1635</v>
      </c>
      <c r="D643" s="9" t="s">
        <v>14</v>
      </c>
      <c r="E643" s="48">
        <f>일위대가표!F2917</f>
        <v>504744</v>
      </c>
      <c r="F643" s="47">
        <f>일위대가표!H2917</f>
        <v>504744</v>
      </c>
      <c r="G643" s="56">
        <f>일위대가표!J2917</f>
        <v>0</v>
      </c>
      <c r="H643" s="48">
        <f>일위대가표!L2917</f>
        <v>0</v>
      </c>
      <c r="I643" s="15" t="s">
        <v>1634</v>
      </c>
      <c r="J643" s="17" t="str">
        <f>"_x0007_`COD|B05083_x0005_`QTY1|1_x0005_`BQC|_x0005_`EQC|_x0005_`JDC|_x0005_`WQC|_x0005_`EDT|_x0005_`ADJ|F_x0005_`DET|"&amp;ROW(일위대가표!A2912)&amp;"_x0005_`"</f>
        <v>_x0007_`COD|B05083_x0005_`QTY1|1_x0005_`BQC|_x0005_`EQC|_x0005_`JDC|_x0005_`WQC|_x0005_`EDT|_x0005_`ADJ|F_x0005_`DET|2912_x0005_`</v>
      </c>
      <c r="K643" s="3" t="str">
        <f ca="1">HYPERLINK("#"&amp;일위대가표!N2&amp;"!A"&amp;ROW(일위대가표!A2912),"대가640 →")</f>
        <v>대가640 →</v>
      </c>
    </row>
    <row r="644" spans="1:11" ht="22.35" customHeight="1" x14ac:dyDescent="0.3">
      <c r="A644" s="9" t="s">
        <v>1637</v>
      </c>
      <c r="B644" s="10" t="s">
        <v>1621</v>
      </c>
      <c r="C644" s="10" t="s">
        <v>1638</v>
      </c>
      <c r="D644" s="9" t="s">
        <v>14</v>
      </c>
      <c r="E644" s="48">
        <f>일위대가표!F2924</f>
        <v>616910</v>
      </c>
      <c r="F644" s="47">
        <f>일위대가표!H2924</f>
        <v>616910</v>
      </c>
      <c r="G644" s="56">
        <f>일위대가표!J2924</f>
        <v>0</v>
      </c>
      <c r="H644" s="48">
        <f>일위대가표!L2924</f>
        <v>0</v>
      </c>
      <c r="I644" s="15" t="s">
        <v>1637</v>
      </c>
      <c r="J644" s="17" t="str">
        <f>"_x0007_`COD|B05084_x0005_`QTY1|1_x0005_`BQC|_x0005_`EQC|_x0005_`JDC|_x0005_`WQC|_x0005_`EDT|_x0005_`ADJ|F_x0005_`DET|"&amp;ROW(일위대가표!A2919)&amp;"_x0005_`"</f>
        <v>_x0007_`COD|B05084_x0005_`QTY1|1_x0005_`BQC|_x0005_`EQC|_x0005_`JDC|_x0005_`WQC|_x0005_`EDT|_x0005_`ADJ|F_x0005_`DET|2919_x0005_`</v>
      </c>
      <c r="K644" s="3" t="str">
        <f ca="1">HYPERLINK("#"&amp;일위대가표!N2&amp;"!A"&amp;ROW(일위대가표!A2919),"대가641 →")</f>
        <v>대가641 →</v>
      </c>
    </row>
    <row r="645" spans="1:11" ht="22.35" customHeight="1" x14ac:dyDescent="0.3">
      <c r="A645" s="9" t="s">
        <v>1640</v>
      </c>
      <c r="B645" s="10" t="s">
        <v>1621</v>
      </c>
      <c r="C645" s="10" t="s">
        <v>1641</v>
      </c>
      <c r="D645" s="9" t="s">
        <v>14</v>
      </c>
      <c r="E645" s="48">
        <f>일위대가표!F2931</f>
        <v>785158</v>
      </c>
      <c r="F645" s="47">
        <f>일위대가표!H2931</f>
        <v>785158</v>
      </c>
      <c r="G645" s="56">
        <f>일위대가표!J2931</f>
        <v>0</v>
      </c>
      <c r="H645" s="48">
        <f>일위대가표!L2931</f>
        <v>0</v>
      </c>
      <c r="I645" s="15" t="s">
        <v>1640</v>
      </c>
      <c r="J645" s="17" t="str">
        <f>"_x0007_`COD|B05085_x0005_`QTY1|1_x0005_`BQC|_x0005_`EQC|_x0005_`JDC|_x0005_`WQC|_x0005_`EDT|_x0005_`ADJ|F_x0005_`DET|"&amp;ROW(일위대가표!A2926)&amp;"_x0005_`"</f>
        <v>_x0007_`COD|B05085_x0005_`QTY1|1_x0005_`BQC|_x0005_`EQC|_x0005_`JDC|_x0005_`WQC|_x0005_`EDT|_x0005_`ADJ|F_x0005_`DET|2926_x0005_`</v>
      </c>
      <c r="K645" s="3" t="str">
        <f ca="1">HYPERLINK("#"&amp;일위대가표!N2&amp;"!A"&amp;ROW(일위대가표!A2926),"대가642 →")</f>
        <v>대가642 →</v>
      </c>
    </row>
    <row r="646" spans="1:11" ht="22.35" customHeight="1" x14ac:dyDescent="0.3">
      <c r="A646" s="9" t="s">
        <v>1643</v>
      </c>
      <c r="B646" s="10" t="s">
        <v>1621</v>
      </c>
      <c r="C646" s="10" t="s">
        <v>1644</v>
      </c>
      <c r="D646" s="9" t="s">
        <v>14</v>
      </c>
      <c r="E646" s="48">
        <f>일위대가표!F2938</f>
        <v>785158</v>
      </c>
      <c r="F646" s="47">
        <f>일위대가표!H2938</f>
        <v>785158</v>
      </c>
      <c r="G646" s="56">
        <f>일위대가표!J2938</f>
        <v>0</v>
      </c>
      <c r="H646" s="48">
        <f>일위대가표!L2938</f>
        <v>0</v>
      </c>
      <c r="I646" s="15" t="s">
        <v>1643</v>
      </c>
      <c r="J646" s="17" t="str">
        <f>"_x0007_`COD|B05086_x0005_`QTY1|1_x0005_`BQC|_x0005_`EQC|_x0005_`JDC|_x0005_`WQC|_x0005_`EDT|_x0005_`ADJ|F_x0005_`DET|"&amp;ROW(일위대가표!A2933)&amp;"_x0005_`"</f>
        <v>_x0007_`COD|B05086_x0005_`QTY1|1_x0005_`BQC|_x0005_`EQC|_x0005_`JDC|_x0005_`WQC|_x0005_`EDT|_x0005_`ADJ|F_x0005_`DET|2933_x0005_`</v>
      </c>
      <c r="K646" s="3" t="str">
        <f ca="1">HYPERLINK("#"&amp;일위대가표!N2&amp;"!A"&amp;ROW(일위대가표!A2933),"대가643 →")</f>
        <v>대가643 →</v>
      </c>
    </row>
    <row r="647" spans="1:11" ht="22.35" customHeight="1" x14ac:dyDescent="0.3">
      <c r="A647" s="9" t="s">
        <v>1646</v>
      </c>
      <c r="B647" s="10" t="s">
        <v>1621</v>
      </c>
      <c r="C647" s="10" t="s">
        <v>1647</v>
      </c>
      <c r="D647" s="9" t="s">
        <v>14</v>
      </c>
      <c r="E647" s="48">
        <f>일위대가표!F2945</f>
        <v>1116558</v>
      </c>
      <c r="F647" s="47">
        <f>일위대가표!H2945</f>
        <v>1116558</v>
      </c>
      <c r="G647" s="56">
        <f>일위대가표!J2945</f>
        <v>0</v>
      </c>
      <c r="H647" s="48">
        <f>일위대가표!L2945</f>
        <v>0</v>
      </c>
      <c r="I647" s="15" t="s">
        <v>1646</v>
      </c>
      <c r="J647" s="17" t="str">
        <f>"_x0007_`COD|B05087_x0005_`QTY1|1_x0005_`BQC|_x0005_`EQC|_x0005_`JDC|_x0005_`WQC|_x0005_`EDT|_x0005_`ADJ|F_x0005_`DET|"&amp;ROW(일위대가표!A2940)&amp;"_x0005_`"</f>
        <v>_x0007_`COD|B05087_x0005_`QTY1|1_x0005_`BQC|_x0005_`EQC|_x0005_`JDC|_x0005_`WQC|_x0005_`EDT|_x0005_`ADJ|F_x0005_`DET|2940_x0005_`</v>
      </c>
      <c r="K647" s="3" t="str">
        <f ca="1">HYPERLINK("#"&amp;일위대가표!N2&amp;"!A"&amp;ROW(일위대가표!A2940),"대가644 →")</f>
        <v>대가644 →</v>
      </c>
    </row>
    <row r="648" spans="1:11" ht="22.35" customHeight="1" x14ac:dyDescent="0.3">
      <c r="A648" s="9" t="s">
        <v>1649</v>
      </c>
      <c r="B648" s="10" t="s">
        <v>1621</v>
      </c>
      <c r="C648" s="10" t="s">
        <v>1650</v>
      </c>
      <c r="D648" s="9" t="s">
        <v>14</v>
      </c>
      <c r="E648" s="48">
        <f>일위대가표!F2952</f>
        <v>1453056</v>
      </c>
      <c r="F648" s="47">
        <f>일위대가표!H2952</f>
        <v>1453056</v>
      </c>
      <c r="G648" s="56">
        <f>일위대가표!J2952</f>
        <v>0</v>
      </c>
      <c r="H648" s="48">
        <f>일위대가표!L2952</f>
        <v>0</v>
      </c>
      <c r="I648" s="15" t="s">
        <v>1649</v>
      </c>
      <c r="J648" s="17" t="str">
        <f>"_x0007_`COD|B05088_x0005_`QTY1|1_x0005_`BQC|_x0005_`EQC|_x0005_`JDC|_x0005_`WQC|_x0005_`EDT|_x0005_`ADJ|F_x0005_`DET|"&amp;ROW(일위대가표!A2947)&amp;"_x0005_`"</f>
        <v>_x0007_`COD|B05088_x0005_`QTY1|1_x0005_`BQC|_x0005_`EQC|_x0005_`JDC|_x0005_`WQC|_x0005_`EDT|_x0005_`ADJ|F_x0005_`DET|2947_x0005_`</v>
      </c>
      <c r="K648" s="3" t="str">
        <f ca="1">HYPERLINK("#"&amp;일위대가표!N2&amp;"!A"&amp;ROW(일위대가표!A2947),"대가645 →")</f>
        <v>대가645 →</v>
      </c>
    </row>
    <row r="649" spans="1:11" ht="22.35" customHeight="1" x14ac:dyDescent="0.3">
      <c r="A649" s="9" t="s">
        <v>1652</v>
      </c>
      <c r="B649" s="10" t="s">
        <v>1621</v>
      </c>
      <c r="C649" s="10" t="s">
        <v>1653</v>
      </c>
      <c r="D649" s="9" t="s">
        <v>14</v>
      </c>
      <c r="E649" s="48">
        <f>일위대가표!F2959</f>
        <v>1677387</v>
      </c>
      <c r="F649" s="47">
        <f>일위대가표!H2959</f>
        <v>1677387</v>
      </c>
      <c r="G649" s="56">
        <f>일위대가표!J2959</f>
        <v>0</v>
      </c>
      <c r="H649" s="48">
        <f>일위대가표!L2959</f>
        <v>0</v>
      </c>
      <c r="I649" s="15" t="s">
        <v>1652</v>
      </c>
      <c r="J649" s="17" t="str">
        <f>"_x0007_`COD|B05089_x0005_`QTY1|1_x0005_`BQC|_x0005_`EQC|_x0005_`JDC|_x0005_`WQC|_x0005_`EDT|_x0005_`ADJ|F_x0005_`DET|"&amp;ROW(일위대가표!A2954)&amp;"_x0005_`"</f>
        <v>_x0007_`COD|B05089_x0005_`QTY1|1_x0005_`BQC|_x0005_`EQC|_x0005_`JDC|_x0005_`WQC|_x0005_`EDT|_x0005_`ADJ|F_x0005_`DET|2954_x0005_`</v>
      </c>
      <c r="K649" s="3" t="str">
        <f ca="1">HYPERLINK("#"&amp;일위대가표!N2&amp;"!A"&amp;ROW(일위대가표!A2954),"대가646 →")</f>
        <v>대가646 →</v>
      </c>
    </row>
    <row r="650" spans="1:11" ht="22.35" customHeight="1" x14ac:dyDescent="0.3">
      <c r="A650" s="9" t="s">
        <v>1655</v>
      </c>
      <c r="B650" s="10" t="s">
        <v>1621</v>
      </c>
      <c r="C650" s="10" t="s">
        <v>1656</v>
      </c>
      <c r="D650" s="9" t="s">
        <v>14</v>
      </c>
      <c r="E650" s="48">
        <f>일위대가표!F2966</f>
        <v>1901719</v>
      </c>
      <c r="F650" s="47">
        <f>일위대가표!H2966</f>
        <v>1901719</v>
      </c>
      <c r="G650" s="56">
        <f>일위대가표!J2966</f>
        <v>0</v>
      </c>
      <c r="H650" s="48">
        <f>일위대가표!L2966</f>
        <v>0</v>
      </c>
      <c r="I650" s="15" t="s">
        <v>1655</v>
      </c>
      <c r="J650" s="17" t="str">
        <f>"_x0007_`COD|B05090_x0005_`QTY1|1_x0005_`BQC|_x0005_`EQC|_x0005_`JDC|_x0005_`WQC|_x0005_`EDT|_x0005_`ADJ|F_x0005_`DET|"&amp;ROW(일위대가표!A2961)&amp;"_x0005_`"</f>
        <v>_x0007_`COD|B05090_x0005_`QTY1|1_x0005_`BQC|_x0005_`EQC|_x0005_`JDC|_x0005_`WQC|_x0005_`EDT|_x0005_`ADJ|F_x0005_`DET|2961_x0005_`</v>
      </c>
      <c r="K650" s="3" t="str">
        <f ca="1">HYPERLINK("#"&amp;일위대가표!N2&amp;"!A"&amp;ROW(일위대가표!A2961),"대가647 →")</f>
        <v>대가647 →</v>
      </c>
    </row>
    <row r="651" spans="1:11" ht="22.35" customHeight="1" x14ac:dyDescent="0.3">
      <c r="A651" s="9" t="s">
        <v>1658</v>
      </c>
      <c r="B651" s="10" t="s">
        <v>1621</v>
      </c>
      <c r="C651" s="10" t="s">
        <v>1659</v>
      </c>
      <c r="D651" s="9" t="s">
        <v>14</v>
      </c>
      <c r="E651" s="48">
        <f>일위대가표!F2973</f>
        <v>2717834</v>
      </c>
      <c r="F651" s="47">
        <f>일위대가표!H2973</f>
        <v>2717834</v>
      </c>
      <c r="G651" s="56">
        <f>일위대가표!J2973</f>
        <v>0</v>
      </c>
      <c r="H651" s="48">
        <f>일위대가표!L2973</f>
        <v>0</v>
      </c>
      <c r="I651" s="15" t="s">
        <v>1658</v>
      </c>
      <c r="J651" s="17" t="str">
        <f>"_x0007_`COD|B05091_x0005_`QTY1|1_x0005_`BQC|_x0005_`EQC|_x0005_`JDC|_x0005_`WQC|_x0005_`EDT|_x0005_`ADJ|F_x0005_`DET|"&amp;ROW(일위대가표!A2968)&amp;"_x0005_`"</f>
        <v>_x0007_`COD|B05091_x0005_`QTY1|1_x0005_`BQC|_x0005_`EQC|_x0005_`JDC|_x0005_`WQC|_x0005_`EDT|_x0005_`ADJ|F_x0005_`DET|2968_x0005_`</v>
      </c>
      <c r="K651" s="3" t="str">
        <f ca="1">HYPERLINK("#"&amp;일위대가표!N2&amp;"!A"&amp;ROW(일위대가표!A2968),"대가648 →")</f>
        <v>대가648 →</v>
      </c>
    </row>
    <row r="652" spans="1:11" ht="22.35" customHeight="1" x14ac:dyDescent="0.3">
      <c r="A652" s="9" t="s">
        <v>1661</v>
      </c>
      <c r="B652" s="10" t="s">
        <v>1621</v>
      </c>
      <c r="C652" s="10" t="s">
        <v>1662</v>
      </c>
      <c r="D652" s="9" t="s">
        <v>14</v>
      </c>
      <c r="E652" s="48">
        <f>일위대가표!F2980</f>
        <v>3528851</v>
      </c>
      <c r="F652" s="47">
        <f>일위대가표!H2980</f>
        <v>3528851</v>
      </c>
      <c r="G652" s="56">
        <f>일위대가표!J2980</f>
        <v>0</v>
      </c>
      <c r="H652" s="48">
        <f>일위대가표!L2980</f>
        <v>0</v>
      </c>
      <c r="I652" s="15" t="s">
        <v>1661</v>
      </c>
      <c r="J652" s="17" t="str">
        <f>"_x0007_`COD|B05092_x0005_`QTY1|1_x0005_`BQC|_x0005_`EQC|_x0005_`JDC|_x0005_`WQC|_x0005_`EDT|_x0005_`ADJ|F_x0005_`DET|"&amp;ROW(일위대가표!A2975)&amp;"_x0005_`"</f>
        <v>_x0007_`COD|B05092_x0005_`QTY1|1_x0005_`BQC|_x0005_`EQC|_x0005_`JDC|_x0005_`WQC|_x0005_`EDT|_x0005_`ADJ|F_x0005_`DET|2975_x0005_`</v>
      </c>
      <c r="K652" s="3" t="str">
        <f ca="1">HYPERLINK("#"&amp;일위대가표!N2&amp;"!A"&amp;ROW(일위대가표!A2975),"대가649 →")</f>
        <v>대가649 →</v>
      </c>
    </row>
    <row r="653" spans="1:11" ht="22.35" customHeight="1" x14ac:dyDescent="0.3">
      <c r="A653" s="9" t="s">
        <v>1664</v>
      </c>
      <c r="B653" s="10" t="s">
        <v>1665</v>
      </c>
      <c r="C653" s="10"/>
      <c r="D653" s="9" t="s">
        <v>515</v>
      </c>
      <c r="E653" s="48">
        <f>일위대가표!F2986</f>
        <v>276026</v>
      </c>
      <c r="F653" s="47">
        <f>일위대가표!H2986</f>
        <v>276026</v>
      </c>
      <c r="G653" s="56">
        <f>일위대가표!J2986</f>
        <v>0</v>
      </c>
      <c r="H653" s="48">
        <f>일위대가표!L2986</f>
        <v>0</v>
      </c>
      <c r="I653" s="15" t="s">
        <v>1664</v>
      </c>
      <c r="J653" s="17" t="str">
        <f>"_x0007_`COD|B04893_x0005_`QTY1|1_x0005_`BQC|_x0005_`EQC|_x0005_`JDC|_x0005_`WQC|_x0005_`EDT|_x0005_`ADJ|F_x0005_`DET|"&amp;ROW(일위대가표!A2982)&amp;"_x0005_`"</f>
        <v>_x0007_`COD|B04893_x0005_`QTY1|1_x0005_`BQC|_x0005_`EQC|_x0005_`JDC|_x0005_`WQC|_x0005_`EDT|_x0005_`ADJ|F_x0005_`DET|2982_x0005_`</v>
      </c>
      <c r="K653" s="3" t="str">
        <f ca="1">HYPERLINK("#"&amp;일위대가표!N2&amp;"!A"&amp;ROW(일위대가표!A2982),"대가650 →")</f>
        <v>대가650 →</v>
      </c>
    </row>
    <row r="654" spans="1:11" ht="22.35" customHeight="1" x14ac:dyDescent="0.3">
      <c r="A654" s="9" t="s">
        <v>1667</v>
      </c>
      <c r="B654" s="10" t="s">
        <v>1668</v>
      </c>
      <c r="C654" s="10"/>
      <c r="D654" s="9" t="s">
        <v>515</v>
      </c>
      <c r="E654" s="48">
        <f>일위대가표!F2990</f>
        <v>319449</v>
      </c>
      <c r="F654" s="47">
        <f>일위대가표!H2990</f>
        <v>319449</v>
      </c>
      <c r="G654" s="56">
        <f>일위대가표!J2990</f>
        <v>0</v>
      </c>
      <c r="H654" s="48">
        <f>일위대가표!L2990</f>
        <v>0</v>
      </c>
      <c r="I654" s="15" t="s">
        <v>1667</v>
      </c>
      <c r="J654" s="17" t="str">
        <f>"_x0007_`COD|B04894_x0005_`QTY1|1_x0005_`BQC|_x0005_`EQC|_x0005_`JDC|_x0005_`WQC|_x0005_`EDT|_x0005_`ADJ|F_x0005_`DET|"&amp;ROW(일위대가표!A2988)&amp;"_x0005_`"</f>
        <v>_x0007_`COD|B04894_x0005_`QTY1|1_x0005_`BQC|_x0005_`EQC|_x0005_`JDC|_x0005_`WQC|_x0005_`EDT|_x0005_`ADJ|F_x0005_`DET|2988_x0005_`</v>
      </c>
      <c r="K654" s="3" t="str">
        <f ca="1">HYPERLINK("#"&amp;일위대가표!N2&amp;"!A"&amp;ROW(일위대가표!A2988),"대가651 →")</f>
        <v>대가651 →</v>
      </c>
    </row>
    <row r="655" spans="1:11" ht="22.35" customHeight="1" x14ac:dyDescent="0.3">
      <c r="A655" s="9" t="s">
        <v>1670</v>
      </c>
      <c r="B655" s="10" t="s">
        <v>1671</v>
      </c>
      <c r="C655" s="10"/>
      <c r="D655" s="9" t="s">
        <v>515</v>
      </c>
      <c r="E655" s="48">
        <f>일위대가표!F2994</f>
        <v>159724</v>
      </c>
      <c r="F655" s="47">
        <f>일위대가표!H2994</f>
        <v>159724</v>
      </c>
      <c r="G655" s="56">
        <f>일위대가표!J2994</f>
        <v>0</v>
      </c>
      <c r="H655" s="48">
        <f>일위대가표!L2994</f>
        <v>0</v>
      </c>
      <c r="I655" s="15" t="s">
        <v>1670</v>
      </c>
      <c r="J655" s="17" t="str">
        <f>"_x0007_`COD|B04895_x0005_`QTY1|1_x0005_`BQC|_x0005_`EQC|_x0005_`JDC|_x0005_`WQC|_x0005_`EDT|_x0005_`ADJ|F_x0005_`DET|"&amp;ROW(일위대가표!A2992)&amp;"_x0005_`"</f>
        <v>_x0007_`COD|B04895_x0005_`QTY1|1_x0005_`BQC|_x0005_`EQC|_x0005_`JDC|_x0005_`WQC|_x0005_`EDT|_x0005_`ADJ|F_x0005_`DET|2992_x0005_`</v>
      </c>
      <c r="K655" s="3" t="str">
        <f ca="1">HYPERLINK("#"&amp;일위대가표!N2&amp;"!A"&amp;ROW(일위대가표!A2992),"대가652 →")</f>
        <v>대가652 →</v>
      </c>
    </row>
    <row r="656" spans="1:11" ht="22.35" customHeight="1" x14ac:dyDescent="0.3">
      <c r="A656" s="9" t="s">
        <v>1673</v>
      </c>
      <c r="B656" s="10" t="s">
        <v>1674</v>
      </c>
      <c r="C656" s="10" t="s">
        <v>1675</v>
      </c>
      <c r="D656" s="9" t="s">
        <v>1676</v>
      </c>
      <c r="E656" s="48">
        <f>일위대가표!F2999</f>
        <v>776</v>
      </c>
      <c r="F656" s="47">
        <f>일위대가표!H2999</f>
        <v>776</v>
      </c>
      <c r="G656" s="56">
        <f>일위대가표!J2999</f>
        <v>0</v>
      </c>
      <c r="H656" s="48">
        <f>일위대가표!L2999</f>
        <v>0</v>
      </c>
      <c r="I656" s="15" t="s">
        <v>1673</v>
      </c>
      <c r="J656" s="17" t="str">
        <f>"_x0007_`COD|B00700_x0005_`QTY1|1_x0005_`BQC|_x0005_`EQC|_x0005_`JDC|_x0005_`WQC|_x0005_`EDT|_x0005_`ADJ|F_x0005_`DET|"&amp;ROW(일위대가표!A2996)&amp;"_x0005_`"</f>
        <v>_x0007_`COD|B00700_x0005_`QTY1|1_x0005_`BQC|_x0005_`EQC|_x0005_`JDC|_x0005_`WQC|_x0005_`EDT|_x0005_`ADJ|F_x0005_`DET|2996_x0005_`</v>
      </c>
      <c r="K656" s="3" t="str">
        <f ca="1">HYPERLINK("#"&amp;일위대가표!N2&amp;"!A"&amp;ROW(일위대가표!A2996),"대가653 →")</f>
        <v>대가653 →</v>
      </c>
    </row>
    <row r="657" spans="1:11" ht="22.35" customHeight="1" x14ac:dyDescent="0.3">
      <c r="A657" s="9" t="s">
        <v>1678</v>
      </c>
      <c r="B657" s="10" t="s">
        <v>1674</v>
      </c>
      <c r="C657" s="10" t="s">
        <v>1679</v>
      </c>
      <c r="D657" s="9" t="s">
        <v>1676</v>
      </c>
      <c r="E657" s="48">
        <f>일위대가표!F3004</f>
        <v>1086</v>
      </c>
      <c r="F657" s="47">
        <f>일위대가표!H3004</f>
        <v>1086</v>
      </c>
      <c r="G657" s="56">
        <f>일위대가표!J3004</f>
        <v>0</v>
      </c>
      <c r="H657" s="48">
        <f>일위대가표!L3004</f>
        <v>0</v>
      </c>
      <c r="I657" s="15" t="s">
        <v>1678</v>
      </c>
      <c r="J657" s="17" t="str">
        <f>"_x0007_`COD|B03778_x0005_`QTY1|1_x0005_`BQC|_x0005_`EQC|_x0005_`JDC|_x0005_`WQC|_x0005_`EDT|_x0005_`ADJ|F_x0005_`DET|"&amp;ROW(일위대가표!A3001)&amp;"_x0005_`"</f>
        <v>_x0007_`COD|B03778_x0005_`QTY1|1_x0005_`BQC|_x0005_`EQC|_x0005_`JDC|_x0005_`WQC|_x0005_`EDT|_x0005_`ADJ|F_x0005_`DET|3001_x0005_`</v>
      </c>
      <c r="K657" s="3" t="str">
        <f ca="1">HYPERLINK("#"&amp;일위대가표!N2&amp;"!A"&amp;ROW(일위대가표!A3001),"대가654 →")</f>
        <v>대가654 →</v>
      </c>
    </row>
    <row r="658" spans="1:11" ht="22.35" customHeight="1" x14ac:dyDescent="0.3">
      <c r="A658" s="9" t="s">
        <v>1681</v>
      </c>
      <c r="B658" s="10" t="s">
        <v>1682</v>
      </c>
      <c r="C658" s="10" t="s">
        <v>1683</v>
      </c>
      <c r="D658" s="9" t="s">
        <v>14</v>
      </c>
      <c r="E658" s="48">
        <f>일위대가표!F3010</f>
        <v>365273</v>
      </c>
      <c r="F658" s="47">
        <f>일위대가표!H3010</f>
        <v>354635</v>
      </c>
      <c r="G658" s="56">
        <f>일위대가표!J3010</f>
        <v>0</v>
      </c>
      <c r="H658" s="48">
        <f>일위대가표!L3010</f>
        <v>10638</v>
      </c>
      <c r="I658" s="15" t="s">
        <v>1681</v>
      </c>
      <c r="J658" s="17" t="str">
        <f>"_x0007_`COD|B04777_x0005_`QTY1|1_x0005_`BQC|_x0005_`EQC|_x0005_`JDC|_x0005_`WQC|_x0005_`EDT|_x0005_`ADJ|F_x0005_`DET|"&amp;ROW(일위대가표!A3006)&amp;"_x0005_`"</f>
        <v>_x0007_`COD|B04777_x0005_`QTY1|1_x0005_`BQC|_x0005_`EQC|_x0005_`JDC|_x0005_`WQC|_x0005_`EDT|_x0005_`ADJ|F_x0005_`DET|3006_x0005_`</v>
      </c>
      <c r="K658" s="3" t="str">
        <f ca="1">HYPERLINK("#"&amp;일위대가표!N2&amp;"!A"&amp;ROW(일위대가표!A3006),"대가655 →")</f>
        <v>대가655 →</v>
      </c>
    </row>
    <row r="659" spans="1:11" ht="22.35" customHeight="1" x14ac:dyDescent="0.3">
      <c r="A659" s="9" t="s">
        <v>1685</v>
      </c>
      <c r="B659" s="10" t="s">
        <v>1686</v>
      </c>
      <c r="C659" s="10" t="s">
        <v>1687</v>
      </c>
      <c r="D659" s="9" t="s">
        <v>14</v>
      </c>
      <c r="E659" s="48">
        <f>일위대가표!F3015</f>
        <v>104363</v>
      </c>
      <c r="F659" s="47">
        <f>일위대가표!H3015</f>
        <v>101324</v>
      </c>
      <c r="G659" s="56">
        <f>일위대가표!J3015</f>
        <v>0</v>
      </c>
      <c r="H659" s="48">
        <f>일위대가표!L3015</f>
        <v>3039</v>
      </c>
      <c r="I659" s="15" t="s">
        <v>1685</v>
      </c>
      <c r="J659" s="17" t="str">
        <f>"_x0007_`COD|B04765_x0005_`QTY1|1_x0005_`BQC|_x0005_`EQC|_x0005_`JDC|_x0005_`WQC|_x0005_`EDT|_x0005_`ADJ|F_x0005_`DET|"&amp;ROW(일위대가표!A3012)&amp;"_x0005_`"</f>
        <v>_x0007_`COD|B04765_x0005_`QTY1|1_x0005_`BQC|_x0005_`EQC|_x0005_`JDC|_x0005_`WQC|_x0005_`EDT|_x0005_`ADJ|F_x0005_`DET|3012_x0005_`</v>
      </c>
      <c r="K659" s="3" t="str">
        <f ca="1">HYPERLINK("#"&amp;일위대가표!N2&amp;"!A"&amp;ROW(일위대가표!A3012),"대가656 →")</f>
        <v>대가656 →</v>
      </c>
    </row>
    <row r="660" spans="1:11" ht="22.35" customHeight="1" x14ac:dyDescent="0.3">
      <c r="A660" s="9" t="s">
        <v>1689</v>
      </c>
      <c r="B660" s="10" t="s">
        <v>1690</v>
      </c>
      <c r="C660" s="10" t="s">
        <v>1691</v>
      </c>
      <c r="D660" s="9" t="s">
        <v>14</v>
      </c>
      <c r="E660" s="48">
        <f>일위대가표!F3022</f>
        <v>260910</v>
      </c>
      <c r="F660" s="47">
        <f>일위대가표!H3022</f>
        <v>253311</v>
      </c>
      <c r="G660" s="56">
        <f>일위대가표!J3022</f>
        <v>0</v>
      </c>
      <c r="H660" s="48">
        <f>일위대가표!L3022</f>
        <v>7599</v>
      </c>
      <c r="I660" s="15" t="s">
        <v>1689</v>
      </c>
      <c r="J660" s="17" t="str">
        <f>"_x0007_`COD|B04753_x0005_`QTY1|1_x0005_`BQC|_x0005_`EQC|_x0005_`JDC|_x0005_`WQC|_x0005_`EDT|_x0005_`ADJ|F_x0005_`DET|"&amp;ROW(일위대가표!A3017)&amp;"_x0005_`"</f>
        <v>_x0007_`COD|B04753_x0005_`QTY1|1_x0005_`BQC|_x0005_`EQC|_x0005_`JDC|_x0005_`WQC|_x0005_`EDT|_x0005_`ADJ|F_x0005_`DET|3017_x0005_`</v>
      </c>
      <c r="K660" s="3" t="str">
        <f ca="1">HYPERLINK("#"&amp;일위대가표!N2&amp;"!A"&amp;ROW(일위대가표!A3017),"대가657 →")</f>
        <v>대가657 →</v>
      </c>
    </row>
    <row r="661" spans="1:11" ht="22.35" customHeight="1" x14ac:dyDescent="0.3">
      <c r="A661" s="9" t="s">
        <v>1693</v>
      </c>
      <c r="B661" s="10" t="s">
        <v>1682</v>
      </c>
      <c r="C661" s="10" t="s">
        <v>1694</v>
      </c>
      <c r="D661" s="9" t="s">
        <v>14</v>
      </c>
      <c r="E661" s="48">
        <f>일위대가표!F3028</f>
        <v>420901</v>
      </c>
      <c r="F661" s="47">
        <f>일위대가표!H3028</f>
        <v>408643</v>
      </c>
      <c r="G661" s="56">
        <f>일위대가표!J3028</f>
        <v>0</v>
      </c>
      <c r="H661" s="48">
        <f>일위대가표!L3028</f>
        <v>12258</v>
      </c>
      <c r="I661" s="15" t="s">
        <v>1693</v>
      </c>
      <c r="J661" s="17" t="str">
        <f>"_x0007_`COD|B04778_x0005_`QTY1|1_x0005_`BQC|_x0005_`EQC|_x0005_`JDC|_x0005_`WQC|_x0005_`EDT|_x0005_`ADJ|F_x0005_`DET|"&amp;ROW(일위대가표!A3024)&amp;"_x0005_`"</f>
        <v>_x0007_`COD|B04778_x0005_`QTY1|1_x0005_`BQC|_x0005_`EQC|_x0005_`JDC|_x0005_`WQC|_x0005_`EDT|_x0005_`ADJ|F_x0005_`DET|3024_x0005_`</v>
      </c>
      <c r="K661" s="3" t="str">
        <f ca="1">HYPERLINK("#"&amp;일위대가표!N2&amp;"!A"&amp;ROW(일위대가표!A3024),"대가658 →")</f>
        <v>대가658 →</v>
      </c>
    </row>
    <row r="662" spans="1:11" ht="22.35" customHeight="1" x14ac:dyDescent="0.3">
      <c r="A662" s="9" t="s">
        <v>1696</v>
      </c>
      <c r="B662" s="10" t="s">
        <v>1686</v>
      </c>
      <c r="C662" s="10" t="s">
        <v>1697</v>
      </c>
      <c r="D662" s="9" t="s">
        <v>14</v>
      </c>
      <c r="E662" s="48">
        <f>일위대가표!F3033</f>
        <v>120257</v>
      </c>
      <c r="F662" s="47">
        <f>일위대가표!H3033</f>
        <v>116755</v>
      </c>
      <c r="G662" s="56">
        <f>일위대가표!J3033</f>
        <v>0</v>
      </c>
      <c r="H662" s="48">
        <f>일위대가표!L3033</f>
        <v>3502</v>
      </c>
      <c r="I662" s="15" t="s">
        <v>1696</v>
      </c>
      <c r="J662" s="17" t="str">
        <f>"_x0007_`COD|B04766_x0005_`QTY1|1_x0005_`BQC|_x0005_`EQC|_x0005_`JDC|_x0005_`WQC|_x0005_`EDT|_x0005_`ADJ|F_x0005_`DET|"&amp;ROW(일위대가표!A3030)&amp;"_x0005_`"</f>
        <v>_x0007_`COD|B04766_x0005_`QTY1|1_x0005_`BQC|_x0005_`EQC|_x0005_`JDC|_x0005_`WQC|_x0005_`EDT|_x0005_`ADJ|F_x0005_`DET|3030_x0005_`</v>
      </c>
      <c r="K662" s="3" t="str">
        <f ca="1">HYPERLINK("#"&amp;일위대가표!N2&amp;"!A"&amp;ROW(일위대가표!A3030),"대가659 →")</f>
        <v>대가659 →</v>
      </c>
    </row>
    <row r="663" spans="1:11" ht="22.35" customHeight="1" x14ac:dyDescent="0.3">
      <c r="A663" s="9" t="s">
        <v>1699</v>
      </c>
      <c r="B663" s="10" t="s">
        <v>1690</v>
      </c>
      <c r="C663" s="10" t="s">
        <v>1700</v>
      </c>
      <c r="D663" s="9" t="s">
        <v>14</v>
      </c>
      <c r="E663" s="48">
        <f>일위대가표!F3040</f>
        <v>300644</v>
      </c>
      <c r="F663" s="47">
        <f>일위대가표!H3040</f>
        <v>291888</v>
      </c>
      <c r="G663" s="56">
        <f>일위대가표!J3040</f>
        <v>0</v>
      </c>
      <c r="H663" s="48">
        <f>일위대가표!L3040</f>
        <v>8756</v>
      </c>
      <c r="I663" s="15" t="s">
        <v>1699</v>
      </c>
      <c r="J663" s="17" t="str">
        <f>"_x0007_`COD|B04754_x0005_`QTY1|1_x0005_`BQC|_x0005_`EQC|_x0005_`JDC|_x0005_`WQC|_x0005_`EDT|_x0005_`ADJ|F_x0005_`DET|"&amp;ROW(일위대가표!A3035)&amp;"_x0005_`"</f>
        <v>_x0007_`COD|B04754_x0005_`QTY1|1_x0005_`BQC|_x0005_`EQC|_x0005_`JDC|_x0005_`WQC|_x0005_`EDT|_x0005_`ADJ|F_x0005_`DET|3035_x0005_`</v>
      </c>
      <c r="K663" s="3" t="str">
        <f ca="1">HYPERLINK("#"&amp;일위대가표!N2&amp;"!A"&amp;ROW(일위대가표!A3035),"대가660 →")</f>
        <v>대가660 →</v>
      </c>
    </row>
    <row r="664" spans="1:11" ht="22.35" customHeight="1" x14ac:dyDescent="0.3">
      <c r="A664" s="9" t="s">
        <v>1702</v>
      </c>
      <c r="B664" s="10" t="s">
        <v>1682</v>
      </c>
      <c r="C664" s="10" t="s">
        <v>1703</v>
      </c>
      <c r="D664" s="9" t="s">
        <v>14</v>
      </c>
      <c r="E664" s="48">
        <f>일위대가표!F3046</f>
        <v>483348</v>
      </c>
      <c r="F664" s="47">
        <f>일위대가표!H3046</f>
        <v>469271</v>
      </c>
      <c r="G664" s="56">
        <f>일위대가표!J3046</f>
        <v>0</v>
      </c>
      <c r="H664" s="48">
        <f>일위대가표!L3046</f>
        <v>14077</v>
      </c>
      <c r="I664" s="15" t="s">
        <v>1702</v>
      </c>
      <c r="J664" s="17" t="str">
        <f>"_x0007_`COD|B04779_x0005_`QTY1|1_x0005_`BQC|_x0005_`EQC|_x0005_`JDC|_x0005_`WQC|_x0005_`EDT|_x0005_`ADJ|F_x0005_`DET|"&amp;ROW(일위대가표!A3042)&amp;"_x0005_`"</f>
        <v>_x0007_`COD|B04779_x0005_`QTY1|1_x0005_`BQC|_x0005_`EQC|_x0005_`JDC|_x0005_`WQC|_x0005_`EDT|_x0005_`ADJ|F_x0005_`DET|3042_x0005_`</v>
      </c>
      <c r="K664" s="3" t="str">
        <f ca="1">HYPERLINK("#"&amp;일위대가표!N2&amp;"!A"&amp;ROW(일위대가표!A3042),"대가661 →")</f>
        <v>대가661 →</v>
      </c>
    </row>
    <row r="665" spans="1:11" ht="22.35" customHeight="1" x14ac:dyDescent="0.3">
      <c r="A665" s="9" t="s">
        <v>1705</v>
      </c>
      <c r="B665" s="10" t="s">
        <v>1686</v>
      </c>
      <c r="C665" s="10" t="s">
        <v>1706</v>
      </c>
      <c r="D665" s="9" t="s">
        <v>14</v>
      </c>
      <c r="E665" s="48">
        <f>일위대가표!F3051</f>
        <v>138099</v>
      </c>
      <c r="F665" s="47">
        <f>일위대가표!H3051</f>
        <v>134077</v>
      </c>
      <c r="G665" s="56">
        <f>일위대가표!J3051</f>
        <v>0</v>
      </c>
      <c r="H665" s="48">
        <f>일위대가표!L3051</f>
        <v>4022</v>
      </c>
      <c r="I665" s="15" t="s">
        <v>1705</v>
      </c>
      <c r="J665" s="17" t="str">
        <f>"_x0007_`COD|B04767_x0005_`QTY1|1_x0005_`BQC|_x0005_`EQC|_x0005_`JDC|_x0005_`WQC|_x0005_`EDT|_x0005_`ADJ|F_x0005_`DET|"&amp;ROW(일위대가표!A3048)&amp;"_x0005_`"</f>
        <v>_x0007_`COD|B04767_x0005_`QTY1|1_x0005_`BQC|_x0005_`EQC|_x0005_`JDC|_x0005_`WQC|_x0005_`EDT|_x0005_`ADJ|F_x0005_`DET|3048_x0005_`</v>
      </c>
      <c r="K665" s="3" t="str">
        <f ca="1">HYPERLINK("#"&amp;일위대가표!N2&amp;"!A"&amp;ROW(일위대가표!A3048),"대가662 →")</f>
        <v>대가662 →</v>
      </c>
    </row>
    <row r="666" spans="1:11" ht="22.35" customHeight="1" x14ac:dyDescent="0.3">
      <c r="A666" s="9" t="s">
        <v>1708</v>
      </c>
      <c r="B666" s="10" t="s">
        <v>1690</v>
      </c>
      <c r="C666" s="10" t="s">
        <v>1709</v>
      </c>
      <c r="D666" s="9" t="s">
        <v>14</v>
      </c>
      <c r="E666" s="48">
        <f>일위대가표!F3058</f>
        <v>345249</v>
      </c>
      <c r="F666" s="47">
        <f>일위대가표!H3058</f>
        <v>335194</v>
      </c>
      <c r="G666" s="56">
        <f>일위대가표!J3058</f>
        <v>0</v>
      </c>
      <c r="H666" s="48">
        <f>일위대가표!L3058</f>
        <v>10055</v>
      </c>
      <c r="I666" s="15" t="s">
        <v>1708</v>
      </c>
      <c r="J666" s="17" t="str">
        <f>"_x0007_`COD|B04755_x0005_`QTY1|1_x0005_`BQC|_x0005_`EQC|_x0005_`JDC|_x0005_`WQC|_x0005_`EDT|_x0005_`ADJ|F_x0005_`DET|"&amp;ROW(일위대가표!A3053)&amp;"_x0005_`"</f>
        <v>_x0007_`COD|B04755_x0005_`QTY1|1_x0005_`BQC|_x0005_`EQC|_x0005_`JDC|_x0005_`WQC|_x0005_`EDT|_x0005_`ADJ|F_x0005_`DET|3053_x0005_`</v>
      </c>
      <c r="K666" s="3" t="str">
        <f ca="1">HYPERLINK("#"&amp;일위대가표!N2&amp;"!A"&amp;ROW(일위대가표!A3053),"대가663 →")</f>
        <v>대가663 →</v>
      </c>
    </row>
    <row r="667" spans="1:11" ht="22.35" customHeight="1" x14ac:dyDescent="0.3">
      <c r="A667" s="9" t="s">
        <v>1711</v>
      </c>
      <c r="B667" s="10" t="s">
        <v>1682</v>
      </c>
      <c r="C667" s="10" t="s">
        <v>1712</v>
      </c>
      <c r="D667" s="9" t="s">
        <v>14</v>
      </c>
      <c r="E667" s="48">
        <f>일위대가표!F3064</f>
        <v>582367</v>
      </c>
      <c r="F667" s="47">
        <f>일위대가표!H3064</f>
        <v>565406</v>
      </c>
      <c r="G667" s="56">
        <f>일위대가표!J3064</f>
        <v>0</v>
      </c>
      <c r="H667" s="48">
        <f>일위대가표!L3064</f>
        <v>16961</v>
      </c>
      <c r="I667" s="15" t="s">
        <v>1711</v>
      </c>
      <c r="J667" s="17" t="str">
        <f>"_x0007_`COD|B04780_x0005_`QTY1|1_x0005_`BQC|_x0005_`EQC|_x0005_`JDC|_x0005_`WQC|_x0005_`EDT|_x0005_`ADJ|F_x0005_`DET|"&amp;ROW(일위대가표!A3060)&amp;"_x0005_`"</f>
        <v>_x0007_`COD|B04780_x0005_`QTY1|1_x0005_`BQC|_x0005_`EQC|_x0005_`JDC|_x0005_`WQC|_x0005_`EDT|_x0005_`ADJ|F_x0005_`DET|3060_x0005_`</v>
      </c>
      <c r="K667" s="3" t="str">
        <f ca="1">HYPERLINK("#"&amp;일위대가표!N2&amp;"!A"&amp;ROW(일위대가표!A3060),"대가664 →")</f>
        <v>대가664 →</v>
      </c>
    </row>
    <row r="668" spans="1:11" ht="22.35" customHeight="1" x14ac:dyDescent="0.3">
      <c r="A668" s="9" t="s">
        <v>1714</v>
      </c>
      <c r="B668" s="10" t="s">
        <v>1686</v>
      </c>
      <c r="C668" s="10" t="s">
        <v>1715</v>
      </c>
      <c r="D668" s="9" t="s">
        <v>14</v>
      </c>
      <c r="E668" s="48">
        <f>일위대가표!F3069</f>
        <v>166390</v>
      </c>
      <c r="F668" s="47">
        <f>일위대가표!H3069</f>
        <v>161544</v>
      </c>
      <c r="G668" s="56">
        <f>일위대가표!J3069</f>
        <v>0</v>
      </c>
      <c r="H668" s="48">
        <f>일위대가표!L3069</f>
        <v>4846</v>
      </c>
      <c r="I668" s="15" t="s">
        <v>1714</v>
      </c>
      <c r="J668" s="17" t="str">
        <f>"_x0007_`COD|B04768_x0005_`QTY1|1_x0005_`BQC|_x0005_`EQC|_x0005_`JDC|_x0005_`WQC|_x0005_`EDT|_x0005_`ADJ|F_x0005_`DET|"&amp;ROW(일위대가표!A3066)&amp;"_x0005_`"</f>
        <v>_x0007_`COD|B04768_x0005_`QTY1|1_x0005_`BQC|_x0005_`EQC|_x0005_`JDC|_x0005_`WQC|_x0005_`EDT|_x0005_`ADJ|F_x0005_`DET|3066_x0005_`</v>
      </c>
      <c r="K668" s="3" t="str">
        <f ca="1">HYPERLINK("#"&amp;일위대가표!N2&amp;"!A"&amp;ROW(일위대가표!A3066),"대가665 →")</f>
        <v>대가665 →</v>
      </c>
    </row>
    <row r="669" spans="1:11" ht="22.35" customHeight="1" x14ac:dyDescent="0.3">
      <c r="A669" s="9" t="s">
        <v>1717</v>
      </c>
      <c r="B669" s="10" t="s">
        <v>1690</v>
      </c>
      <c r="C669" s="10" t="s">
        <v>1718</v>
      </c>
      <c r="D669" s="9" t="s">
        <v>14</v>
      </c>
      <c r="E669" s="48">
        <f>일위대가표!F3076</f>
        <v>415977</v>
      </c>
      <c r="F669" s="47">
        <f>일위대가표!H3076</f>
        <v>403862</v>
      </c>
      <c r="G669" s="56">
        <f>일위대가표!J3076</f>
        <v>0</v>
      </c>
      <c r="H669" s="48">
        <f>일위대가표!L3076</f>
        <v>12115</v>
      </c>
      <c r="I669" s="15" t="s">
        <v>1717</v>
      </c>
      <c r="J669" s="17" t="str">
        <f>"_x0007_`COD|B04756_x0005_`QTY1|1_x0005_`BQC|_x0005_`EQC|_x0005_`JDC|_x0005_`WQC|_x0005_`EDT|_x0005_`ADJ|F_x0005_`DET|"&amp;ROW(일위대가표!A3071)&amp;"_x0005_`"</f>
        <v>_x0007_`COD|B04756_x0005_`QTY1|1_x0005_`BQC|_x0005_`EQC|_x0005_`JDC|_x0005_`WQC|_x0005_`EDT|_x0005_`ADJ|F_x0005_`DET|3071_x0005_`</v>
      </c>
      <c r="K669" s="3" t="str">
        <f ca="1">HYPERLINK("#"&amp;일위대가표!N2&amp;"!A"&amp;ROW(일위대가표!A3071),"대가666 →")</f>
        <v>대가666 →</v>
      </c>
    </row>
    <row r="670" spans="1:11" ht="22.35" customHeight="1" x14ac:dyDescent="0.3">
      <c r="A670" s="9" t="s">
        <v>1720</v>
      </c>
      <c r="B670" s="10" t="s">
        <v>1682</v>
      </c>
      <c r="C670" s="10" t="s">
        <v>1721</v>
      </c>
      <c r="D670" s="9" t="s">
        <v>14</v>
      </c>
      <c r="E670" s="48">
        <f>일위대가표!F3082</f>
        <v>734777</v>
      </c>
      <c r="F670" s="47">
        <f>일위대가표!H3082</f>
        <v>713377</v>
      </c>
      <c r="G670" s="56">
        <f>일위대가표!J3082</f>
        <v>0</v>
      </c>
      <c r="H670" s="48">
        <f>일위대가표!L3082</f>
        <v>21400</v>
      </c>
      <c r="I670" s="15" t="s">
        <v>1720</v>
      </c>
      <c r="J670" s="17" t="str">
        <f>"_x0007_`COD|B04781_x0005_`QTY1|1_x0005_`BQC|_x0005_`EQC|_x0005_`JDC|_x0005_`WQC|_x0005_`EDT|_x0005_`ADJ|F_x0005_`DET|"&amp;ROW(일위대가표!A3078)&amp;"_x0005_`"</f>
        <v>_x0007_`COD|B04781_x0005_`QTY1|1_x0005_`BQC|_x0005_`EQC|_x0005_`JDC|_x0005_`WQC|_x0005_`EDT|_x0005_`ADJ|F_x0005_`DET|3078_x0005_`</v>
      </c>
      <c r="K670" s="3" t="str">
        <f ca="1">HYPERLINK("#"&amp;일위대가표!N2&amp;"!A"&amp;ROW(일위대가표!A3078),"대가667 →")</f>
        <v>대가667 →</v>
      </c>
    </row>
    <row r="671" spans="1:11" ht="22.35" customHeight="1" x14ac:dyDescent="0.3">
      <c r="A671" s="9" t="s">
        <v>1723</v>
      </c>
      <c r="B671" s="10" t="s">
        <v>1686</v>
      </c>
      <c r="C671" s="10" t="s">
        <v>1724</v>
      </c>
      <c r="D671" s="9" t="s">
        <v>14</v>
      </c>
      <c r="E671" s="48">
        <f>일위대가표!F3087</f>
        <v>209936</v>
      </c>
      <c r="F671" s="47">
        <f>일위대가표!H3087</f>
        <v>203822</v>
      </c>
      <c r="G671" s="56">
        <f>일위대가표!J3087</f>
        <v>0</v>
      </c>
      <c r="H671" s="48">
        <f>일위대가표!L3087</f>
        <v>6114</v>
      </c>
      <c r="I671" s="15" t="s">
        <v>1723</v>
      </c>
      <c r="J671" s="17" t="str">
        <f>"_x0007_`COD|B04769_x0005_`QTY1|1_x0005_`BQC|_x0005_`EQC|_x0005_`JDC|_x0005_`WQC|_x0005_`EDT|_x0005_`ADJ|F_x0005_`DET|"&amp;ROW(일위대가표!A3084)&amp;"_x0005_`"</f>
        <v>_x0007_`COD|B04769_x0005_`QTY1|1_x0005_`BQC|_x0005_`EQC|_x0005_`JDC|_x0005_`WQC|_x0005_`EDT|_x0005_`ADJ|F_x0005_`DET|3084_x0005_`</v>
      </c>
      <c r="K671" s="3" t="str">
        <f ca="1">HYPERLINK("#"&amp;일위대가표!N2&amp;"!A"&amp;ROW(일위대가표!A3084),"대가668 →")</f>
        <v>대가668 →</v>
      </c>
    </row>
    <row r="672" spans="1:11" ht="22.35" customHeight="1" x14ac:dyDescent="0.3">
      <c r="A672" s="9" t="s">
        <v>1726</v>
      </c>
      <c r="B672" s="10" t="s">
        <v>1690</v>
      </c>
      <c r="C672" s="10" t="s">
        <v>1727</v>
      </c>
      <c r="D672" s="9" t="s">
        <v>14</v>
      </c>
      <c r="E672" s="48">
        <f>일위대가표!F3094</f>
        <v>524841</v>
      </c>
      <c r="F672" s="47">
        <f>일위대가표!H3094</f>
        <v>509555</v>
      </c>
      <c r="G672" s="56">
        <f>일위대가표!J3094</f>
        <v>0</v>
      </c>
      <c r="H672" s="48">
        <f>일위대가표!L3094</f>
        <v>15286</v>
      </c>
      <c r="I672" s="15" t="s">
        <v>1726</v>
      </c>
      <c r="J672" s="17" t="str">
        <f>"_x0007_`COD|B04757_x0005_`QTY1|1_x0005_`BQC|_x0005_`EQC|_x0005_`JDC|_x0005_`WQC|_x0005_`EDT|_x0005_`ADJ|F_x0005_`DET|"&amp;ROW(일위대가표!A3089)&amp;"_x0005_`"</f>
        <v>_x0007_`COD|B04757_x0005_`QTY1|1_x0005_`BQC|_x0005_`EQC|_x0005_`JDC|_x0005_`WQC|_x0005_`EDT|_x0005_`ADJ|F_x0005_`DET|3089_x0005_`</v>
      </c>
      <c r="K672" s="3" t="str">
        <f ca="1">HYPERLINK("#"&amp;일위대가표!N2&amp;"!A"&amp;ROW(일위대가표!A3089),"대가669 →")</f>
        <v>대가669 →</v>
      </c>
    </row>
    <row r="673" spans="1:11" ht="22.35" customHeight="1" x14ac:dyDescent="0.3">
      <c r="A673" s="9" t="s">
        <v>1729</v>
      </c>
      <c r="B673" s="10" t="s">
        <v>1682</v>
      </c>
      <c r="C673" s="10" t="s">
        <v>1730</v>
      </c>
      <c r="D673" s="9" t="s">
        <v>14</v>
      </c>
      <c r="E673" s="48">
        <f>일위대가표!F3100</f>
        <v>923410</v>
      </c>
      <c r="F673" s="47">
        <f>일위대가표!H3100</f>
        <v>896515</v>
      </c>
      <c r="G673" s="56">
        <f>일위대가표!J3100</f>
        <v>0</v>
      </c>
      <c r="H673" s="48">
        <f>일위대가표!L3100</f>
        <v>26895</v>
      </c>
      <c r="I673" s="15" t="s">
        <v>1729</v>
      </c>
      <c r="J673" s="17" t="str">
        <f>"_x0007_`COD|B04782_x0005_`QTY1|1_x0005_`BQC|_x0005_`EQC|_x0005_`JDC|_x0005_`WQC|_x0005_`EDT|_x0005_`ADJ|F_x0005_`DET|"&amp;ROW(일위대가표!A3096)&amp;"_x0005_`"</f>
        <v>_x0007_`COD|B04782_x0005_`QTY1|1_x0005_`BQC|_x0005_`EQC|_x0005_`JDC|_x0005_`WQC|_x0005_`EDT|_x0005_`ADJ|F_x0005_`DET|3096_x0005_`</v>
      </c>
      <c r="K673" s="3" t="str">
        <f ca="1">HYPERLINK("#"&amp;일위대가표!N2&amp;"!A"&amp;ROW(일위대가표!A3096),"대가670 →")</f>
        <v>대가670 →</v>
      </c>
    </row>
    <row r="674" spans="1:11" ht="22.35" customHeight="1" x14ac:dyDescent="0.3">
      <c r="A674" s="9" t="s">
        <v>1732</v>
      </c>
      <c r="B674" s="10" t="s">
        <v>1686</v>
      </c>
      <c r="C674" s="10" t="s">
        <v>1733</v>
      </c>
      <c r="D674" s="9" t="s">
        <v>14</v>
      </c>
      <c r="E674" s="48">
        <f>일위대가표!F3105</f>
        <v>263831</v>
      </c>
      <c r="F674" s="47">
        <f>일위대가표!H3105</f>
        <v>256147</v>
      </c>
      <c r="G674" s="56">
        <f>일위대가표!J3105</f>
        <v>0</v>
      </c>
      <c r="H674" s="48">
        <f>일위대가표!L3105</f>
        <v>7684</v>
      </c>
      <c r="I674" s="15" t="s">
        <v>1732</v>
      </c>
      <c r="J674" s="17" t="str">
        <f>"_x0007_`COD|B04770_x0005_`QTY1|1_x0005_`BQC|_x0005_`EQC|_x0005_`JDC|_x0005_`WQC|_x0005_`EDT|_x0005_`ADJ|F_x0005_`DET|"&amp;ROW(일위대가표!A3102)&amp;"_x0005_`"</f>
        <v>_x0007_`COD|B04770_x0005_`QTY1|1_x0005_`BQC|_x0005_`EQC|_x0005_`JDC|_x0005_`WQC|_x0005_`EDT|_x0005_`ADJ|F_x0005_`DET|3102_x0005_`</v>
      </c>
      <c r="K674" s="3" t="str">
        <f ca="1">HYPERLINK("#"&amp;일위대가표!N2&amp;"!A"&amp;ROW(일위대가표!A3102),"대가671 →")</f>
        <v>대가671 →</v>
      </c>
    </row>
    <row r="675" spans="1:11" ht="22.35" customHeight="1" x14ac:dyDescent="0.3">
      <c r="A675" s="9" t="s">
        <v>1735</v>
      </c>
      <c r="B675" s="10" t="s">
        <v>1690</v>
      </c>
      <c r="C675" s="10" t="s">
        <v>1736</v>
      </c>
      <c r="D675" s="9" t="s">
        <v>14</v>
      </c>
      <c r="E675" s="48">
        <f>일위대가표!F3112</f>
        <v>659579</v>
      </c>
      <c r="F675" s="47">
        <f>일위대가표!H3112</f>
        <v>640368</v>
      </c>
      <c r="G675" s="56">
        <f>일위대가표!J3112</f>
        <v>0</v>
      </c>
      <c r="H675" s="48">
        <f>일위대가표!L3112</f>
        <v>19211</v>
      </c>
      <c r="I675" s="15" t="s">
        <v>1735</v>
      </c>
      <c r="J675" s="17" t="str">
        <f>"_x0007_`COD|B04758_x0005_`QTY1|1_x0005_`BQC|_x0005_`EQC|_x0005_`JDC|_x0005_`WQC|_x0005_`EDT|_x0005_`ADJ|F_x0005_`DET|"&amp;ROW(일위대가표!A3107)&amp;"_x0005_`"</f>
        <v>_x0007_`COD|B04758_x0005_`QTY1|1_x0005_`BQC|_x0005_`EQC|_x0005_`JDC|_x0005_`WQC|_x0005_`EDT|_x0005_`ADJ|F_x0005_`DET|3107_x0005_`</v>
      </c>
      <c r="K675" s="3" t="str">
        <f ca="1">HYPERLINK("#"&amp;일위대가표!N2&amp;"!A"&amp;ROW(일위대가표!A3107),"대가672 →")</f>
        <v>대가672 →</v>
      </c>
    </row>
    <row r="676" spans="1:11" ht="22.35" customHeight="1" x14ac:dyDescent="0.3">
      <c r="A676" s="9" t="s">
        <v>1738</v>
      </c>
      <c r="B676" s="10" t="s">
        <v>1682</v>
      </c>
      <c r="C676" s="10" t="s">
        <v>1739</v>
      </c>
      <c r="D676" s="9" t="s">
        <v>14</v>
      </c>
      <c r="E676" s="48">
        <f>일위대가표!F3118</f>
        <v>980333</v>
      </c>
      <c r="F676" s="47">
        <f>일위대가표!H3118</f>
        <v>951780</v>
      </c>
      <c r="G676" s="56">
        <f>일위대가표!J3118</f>
        <v>0</v>
      </c>
      <c r="H676" s="48">
        <f>일위대가표!L3118</f>
        <v>28553</v>
      </c>
      <c r="I676" s="15" t="s">
        <v>1738</v>
      </c>
      <c r="J676" s="17" t="str">
        <f>"_x0007_`COD|B04783_x0005_`QTY1|1_x0005_`BQC|_x0005_`EQC|_x0005_`JDC|_x0005_`WQC|_x0005_`EDT|_x0005_`ADJ|F_x0005_`DET|"&amp;ROW(일위대가표!A3114)&amp;"_x0005_`"</f>
        <v>_x0007_`COD|B04783_x0005_`QTY1|1_x0005_`BQC|_x0005_`EQC|_x0005_`JDC|_x0005_`WQC|_x0005_`EDT|_x0005_`ADJ|F_x0005_`DET|3114_x0005_`</v>
      </c>
      <c r="K676" s="3" t="str">
        <f ca="1">HYPERLINK("#"&amp;일위대가표!N2&amp;"!A"&amp;ROW(일위대가표!A3114),"대가673 →")</f>
        <v>대가673 →</v>
      </c>
    </row>
    <row r="677" spans="1:11" ht="22.35" customHeight="1" x14ac:dyDescent="0.3">
      <c r="A677" s="9" t="s">
        <v>1741</v>
      </c>
      <c r="B677" s="10" t="s">
        <v>1686</v>
      </c>
      <c r="C677" s="10" t="s">
        <v>1742</v>
      </c>
      <c r="D677" s="9" t="s">
        <v>14</v>
      </c>
      <c r="E677" s="48">
        <f>일위대가표!F3123</f>
        <v>280095</v>
      </c>
      <c r="F677" s="47">
        <f>일위대가표!H3123</f>
        <v>271937</v>
      </c>
      <c r="G677" s="56">
        <f>일위대가표!J3123</f>
        <v>0</v>
      </c>
      <c r="H677" s="48">
        <f>일위대가표!L3123</f>
        <v>8158</v>
      </c>
      <c r="I677" s="15" t="s">
        <v>1741</v>
      </c>
      <c r="J677" s="17" t="str">
        <f>"_x0007_`COD|B04771_x0005_`QTY1|1_x0005_`BQC|_x0005_`EQC|_x0005_`JDC|_x0005_`WQC|_x0005_`EDT|_x0005_`ADJ|F_x0005_`DET|"&amp;ROW(일위대가표!A3120)&amp;"_x0005_`"</f>
        <v>_x0007_`COD|B04771_x0005_`QTY1|1_x0005_`BQC|_x0005_`EQC|_x0005_`JDC|_x0005_`WQC|_x0005_`EDT|_x0005_`ADJ|F_x0005_`DET|3120_x0005_`</v>
      </c>
      <c r="K677" s="3" t="str">
        <f ca="1">HYPERLINK("#"&amp;일위대가표!N2&amp;"!A"&amp;ROW(일위대가표!A3120),"대가674 →")</f>
        <v>대가674 →</v>
      </c>
    </row>
    <row r="678" spans="1:11" ht="22.35" customHeight="1" x14ac:dyDescent="0.3">
      <c r="A678" s="9" t="s">
        <v>1744</v>
      </c>
      <c r="B678" s="10" t="s">
        <v>1690</v>
      </c>
      <c r="C678" s="10" t="s">
        <v>1745</v>
      </c>
      <c r="D678" s="9" t="s">
        <v>14</v>
      </c>
      <c r="E678" s="48">
        <f>일위대가표!F3130</f>
        <v>700238</v>
      </c>
      <c r="F678" s="47">
        <f>일위대가표!H3130</f>
        <v>679843</v>
      </c>
      <c r="G678" s="56">
        <f>일위대가표!J3130</f>
        <v>0</v>
      </c>
      <c r="H678" s="48">
        <f>일위대가표!L3130</f>
        <v>20395</v>
      </c>
      <c r="I678" s="15" t="s">
        <v>1744</v>
      </c>
      <c r="J678" s="17" t="str">
        <f>"_x0007_`COD|B04759_x0005_`QTY1|1_x0005_`BQC|_x0005_`EQC|_x0005_`JDC|_x0005_`WQC|_x0005_`EDT|_x0005_`ADJ|F_x0005_`DET|"&amp;ROW(일위대가표!A3125)&amp;"_x0005_`"</f>
        <v>_x0007_`COD|B04759_x0005_`QTY1|1_x0005_`BQC|_x0005_`EQC|_x0005_`JDC|_x0005_`WQC|_x0005_`EDT|_x0005_`ADJ|F_x0005_`DET|3125_x0005_`</v>
      </c>
      <c r="K678" s="3" t="str">
        <f ca="1">HYPERLINK("#"&amp;일위대가표!N2&amp;"!A"&amp;ROW(일위대가표!A3125),"대가675 →")</f>
        <v>대가675 →</v>
      </c>
    </row>
    <row r="679" spans="1:11" ht="22.35" customHeight="1" x14ac:dyDescent="0.3">
      <c r="A679" s="9" t="s">
        <v>1747</v>
      </c>
      <c r="B679" s="10" t="s">
        <v>1682</v>
      </c>
      <c r="C679" s="10" t="s">
        <v>1748</v>
      </c>
      <c r="D679" s="9" t="s">
        <v>14</v>
      </c>
      <c r="E679" s="48">
        <f>일위대가표!F3136</f>
        <v>1583750</v>
      </c>
      <c r="F679" s="47">
        <f>일위대가표!H3136</f>
        <v>1537622</v>
      </c>
      <c r="G679" s="56">
        <f>일위대가표!J3136</f>
        <v>0</v>
      </c>
      <c r="H679" s="48">
        <f>일위대가표!L3136</f>
        <v>46128</v>
      </c>
      <c r="I679" s="15" t="s">
        <v>1747</v>
      </c>
      <c r="J679" s="17" t="str">
        <f>"_x0007_`COD|B04784_x0005_`QTY1|1_x0005_`BQC|_x0005_`EQC|_x0005_`JDC|_x0005_`WQC|_x0005_`EDT|_x0005_`ADJ|F_x0005_`DET|"&amp;ROW(일위대가표!A3132)&amp;"_x0005_`"</f>
        <v>_x0007_`COD|B04784_x0005_`QTY1|1_x0005_`BQC|_x0005_`EQC|_x0005_`JDC|_x0005_`WQC|_x0005_`EDT|_x0005_`ADJ|F_x0005_`DET|3132_x0005_`</v>
      </c>
      <c r="K679" s="3" t="str">
        <f ca="1">HYPERLINK("#"&amp;일위대가표!N2&amp;"!A"&amp;ROW(일위대가표!A3132),"대가676 →")</f>
        <v>대가676 →</v>
      </c>
    </row>
    <row r="680" spans="1:11" ht="22.35" customHeight="1" x14ac:dyDescent="0.3">
      <c r="A680" s="9" t="s">
        <v>1750</v>
      </c>
      <c r="B680" s="10" t="s">
        <v>1686</v>
      </c>
      <c r="C680" s="10" t="s">
        <v>1751</v>
      </c>
      <c r="D680" s="9" t="s">
        <v>14</v>
      </c>
      <c r="E680" s="48">
        <f>일위대가표!F3141</f>
        <v>452499</v>
      </c>
      <c r="F680" s="47">
        <f>일위대가표!H3141</f>
        <v>439320</v>
      </c>
      <c r="G680" s="56">
        <f>일위대가표!J3141</f>
        <v>0</v>
      </c>
      <c r="H680" s="48">
        <f>일위대가표!L3141</f>
        <v>13179</v>
      </c>
      <c r="I680" s="15" t="s">
        <v>1750</v>
      </c>
      <c r="J680" s="17" t="str">
        <f>"_x0007_`COD|B04772_x0005_`QTY1|1_x0005_`BQC|_x0005_`EQC|_x0005_`JDC|_x0005_`WQC|_x0005_`EDT|_x0005_`ADJ|F_x0005_`DET|"&amp;ROW(일위대가표!A3138)&amp;"_x0005_`"</f>
        <v>_x0007_`COD|B04772_x0005_`QTY1|1_x0005_`BQC|_x0005_`EQC|_x0005_`JDC|_x0005_`WQC|_x0005_`EDT|_x0005_`ADJ|F_x0005_`DET|3138_x0005_`</v>
      </c>
      <c r="K680" s="3" t="str">
        <f ca="1">HYPERLINK("#"&amp;일위대가표!N2&amp;"!A"&amp;ROW(일위대가표!A3138),"대가677 →")</f>
        <v>대가677 →</v>
      </c>
    </row>
    <row r="681" spans="1:11" ht="22.35" customHeight="1" x14ac:dyDescent="0.3">
      <c r="A681" s="9" t="s">
        <v>1753</v>
      </c>
      <c r="B681" s="10" t="s">
        <v>1690</v>
      </c>
      <c r="C681" s="10" t="s">
        <v>1754</v>
      </c>
      <c r="D681" s="9" t="s">
        <v>14</v>
      </c>
      <c r="E681" s="48">
        <f>일위대가표!F3148</f>
        <v>1131251</v>
      </c>
      <c r="F681" s="47">
        <f>일위대가표!H3148</f>
        <v>1098302</v>
      </c>
      <c r="G681" s="56">
        <f>일위대가표!J3148</f>
        <v>0</v>
      </c>
      <c r="H681" s="48">
        <f>일위대가표!L3148</f>
        <v>32949</v>
      </c>
      <c r="I681" s="15" t="s">
        <v>1753</v>
      </c>
      <c r="J681" s="17" t="str">
        <f>"_x0007_`COD|B04760_x0005_`QTY1|1_x0005_`BQC|_x0005_`EQC|_x0005_`JDC|_x0005_`WQC|_x0005_`EDT|_x0005_`ADJ|F_x0005_`DET|"&amp;ROW(일위대가표!A3143)&amp;"_x0005_`"</f>
        <v>_x0007_`COD|B04760_x0005_`QTY1|1_x0005_`BQC|_x0005_`EQC|_x0005_`JDC|_x0005_`WQC|_x0005_`EDT|_x0005_`ADJ|F_x0005_`DET|3143_x0005_`</v>
      </c>
      <c r="K681" s="3" t="str">
        <f ca="1">HYPERLINK("#"&amp;일위대가표!N2&amp;"!A"&amp;ROW(일위대가표!A3143),"대가678 →")</f>
        <v>대가678 →</v>
      </c>
    </row>
    <row r="682" spans="1:11" ht="22.35" customHeight="1" x14ac:dyDescent="0.3">
      <c r="A682" s="9" t="s">
        <v>1756</v>
      </c>
      <c r="B682" s="10" t="s">
        <v>1682</v>
      </c>
      <c r="C682" s="10" t="s">
        <v>1757</v>
      </c>
      <c r="D682" s="9" t="s">
        <v>14</v>
      </c>
      <c r="E682" s="48">
        <f>일위대가표!F3154</f>
        <v>2044858</v>
      </c>
      <c r="F682" s="47">
        <f>일위대가표!H3154</f>
        <v>1985300</v>
      </c>
      <c r="G682" s="56">
        <f>일위대가표!J3154</f>
        <v>0</v>
      </c>
      <c r="H682" s="48">
        <f>일위대가표!L3154</f>
        <v>59558</v>
      </c>
      <c r="I682" s="15" t="s">
        <v>1756</v>
      </c>
      <c r="J682" s="17" t="str">
        <f>"_x0007_`COD|B04785_x0005_`QTY1|1_x0005_`BQC|_x0005_`EQC|_x0005_`JDC|_x0005_`WQC|_x0005_`EDT|_x0005_`ADJ|F_x0005_`DET|"&amp;ROW(일위대가표!A3150)&amp;"_x0005_`"</f>
        <v>_x0007_`COD|B04785_x0005_`QTY1|1_x0005_`BQC|_x0005_`EQC|_x0005_`JDC|_x0005_`WQC|_x0005_`EDT|_x0005_`ADJ|F_x0005_`DET|3150_x0005_`</v>
      </c>
      <c r="K682" s="3" t="str">
        <f ca="1">HYPERLINK("#"&amp;일위대가표!N2&amp;"!A"&amp;ROW(일위대가표!A3150),"대가679 →")</f>
        <v>대가679 →</v>
      </c>
    </row>
    <row r="683" spans="1:11" ht="22.35" customHeight="1" x14ac:dyDescent="0.3">
      <c r="A683" s="9" t="s">
        <v>1759</v>
      </c>
      <c r="B683" s="10" t="s">
        <v>1686</v>
      </c>
      <c r="C683" s="10" t="s">
        <v>1760</v>
      </c>
      <c r="D683" s="9" t="s">
        <v>14</v>
      </c>
      <c r="E683" s="48">
        <f>일위대가표!F3159</f>
        <v>584244</v>
      </c>
      <c r="F683" s="47">
        <f>일위대가표!H3159</f>
        <v>567228</v>
      </c>
      <c r="G683" s="56">
        <f>일위대가표!J3159</f>
        <v>0</v>
      </c>
      <c r="H683" s="48">
        <f>일위대가표!L3159</f>
        <v>17016</v>
      </c>
      <c r="I683" s="15" t="s">
        <v>1759</v>
      </c>
      <c r="J683" s="17" t="str">
        <f>"_x0007_`COD|B04773_x0005_`QTY1|1_x0005_`BQC|_x0005_`EQC|_x0005_`JDC|_x0005_`WQC|_x0005_`EDT|_x0005_`ADJ|F_x0005_`DET|"&amp;ROW(일위대가표!A3156)&amp;"_x0005_`"</f>
        <v>_x0007_`COD|B04773_x0005_`QTY1|1_x0005_`BQC|_x0005_`EQC|_x0005_`JDC|_x0005_`WQC|_x0005_`EDT|_x0005_`ADJ|F_x0005_`DET|3156_x0005_`</v>
      </c>
      <c r="K683" s="3" t="str">
        <f ca="1">HYPERLINK("#"&amp;일위대가표!N2&amp;"!A"&amp;ROW(일위대가표!A3156),"대가680 →")</f>
        <v>대가680 →</v>
      </c>
    </row>
    <row r="684" spans="1:11" ht="22.35" customHeight="1" x14ac:dyDescent="0.3">
      <c r="A684" s="9" t="s">
        <v>1762</v>
      </c>
      <c r="B684" s="10" t="s">
        <v>1690</v>
      </c>
      <c r="C684" s="10" t="s">
        <v>1763</v>
      </c>
      <c r="D684" s="9" t="s">
        <v>14</v>
      </c>
      <c r="E684" s="48">
        <f>일위대가표!F3166</f>
        <v>1460614</v>
      </c>
      <c r="F684" s="47">
        <f>일위대가표!H3166</f>
        <v>1418072</v>
      </c>
      <c r="G684" s="56">
        <f>일위대가표!J3166</f>
        <v>0</v>
      </c>
      <c r="H684" s="48">
        <f>일위대가표!L3166</f>
        <v>42542</v>
      </c>
      <c r="I684" s="15" t="s">
        <v>1762</v>
      </c>
      <c r="J684" s="17" t="str">
        <f>"_x0007_`COD|B04761_x0005_`QTY1|1_x0005_`BQC|_x0005_`EQC|_x0005_`JDC|_x0005_`WQC|_x0005_`EDT|_x0005_`ADJ|F_x0005_`DET|"&amp;ROW(일위대가표!A3161)&amp;"_x0005_`"</f>
        <v>_x0007_`COD|B04761_x0005_`QTY1|1_x0005_`BQC|_x0005_`EQC|_x0005_`JDC|_x0005_`WQC|_x0005_`EDT|_x0005_`ADJ|F_x0005_`DET|3161_x0005_`</v>
      </c>
      <c r="K684" s="3" t="str">
        <f ca="1">HYPERLINK("#"&amp;일위대가표!N2&amp;"!A"&amp;ROW(일위대가표!A3161),"대가681 →")</f>
        <v>대가681 →</v>
      </c>
    </row>
    <row r="685" spans="1:11" ht="22.35" customHeight="1" x14ac:dyDescent="0.3">
      <c r="A685" s="9" t="s">
        <v>1765</v>
      </c>
      <c r="B685" s="10" t="s">
        <v>1682</v>
      </c>
      <c r="C685" s="10" t="s">
        <v>1766</v>
      </c>
      <c r="D685" s="9" t="s">
        <v>14</v>
      </c>
      <c r="E685" s="48">
        <f>일위대가표!F3172</f>
        <v>3289807</v>
      </c>
      <c r="F685" s="47">
        <f>일위대가표!H3172</f>
        <v>3193989</v>
      </c>
      <c r="G685" s="56">
        <f>일위대가표!J3172</f>
        <v>0</v>
      </c>
      <c r="H685" s="48">
        <f>일위대가표!L3172</f>
        <v>95818</v>
      </c>
      <c r="I685" s="15" t="s">
        <v>1765</v>
      </c>
      <c r="J685" s="17" t="str">
        <f>"_x0007_`COD|B04786_x0005_`QTY1|1_x0005_`BQC|_x0005_`EQC|_x0005_`JDC|_x0005_`WQC|_x0005_`EDT|_x0005_`ADJ|F_x0005_`DET|"&amp;ROW(일위대가표!A3168)&amp;"_x0005_`"</f>
        <v>_x0007_`COD|B04786_x0005_`QTY1|1_x0005_`BQC|_x0005_`EQC|_x0005_`JDC|_x0005_`WQC|_x0005_`EDT|_x0005_`ADJ|F_x0005_`DET|3168_x0005_`</v>
      </c>
      <c r="K685" s="3" t="str">
        <f ca="1">HYPERLINK("#"&amp;일위대가표!N2&amp;"!A"&amp;ROW(일위대가표!A3168),"대가682 →")</f>
        <v>대가682 →</v>
      </c>
    </row>
    <row r="686" spans="1:11" ht="22.35" customHeight="1" x14ac:dyDescent="0.3">
      <c r="A686" s="9" t="s">
        <v>1768</v>
      </c>
      <c r="B686" s="10" t="s">
        <v>1686</v>
      </c>
      <c r="C686" s="10" t="s">
        <v>1769</v>
      </c>
      <c r="D686" s="9" t="s">
        <v>14</v>
      </c>
      <c r="E686" s="48">
        <f>일위대가표!F3177</f>
        <v>939944</v>
      </c>
      <c r="F686" s="47">
        <f>일위대가표!H3177</f>
        <v>912568</v>
      </c>
      <c r="G686" s="56">
        <f>일위대가표!J3177</f>
        <v>0</v>
      </c>
      <c r="H686" s="48">
        <f>일위대가표!L3177</f>
        <v>27376</v>
      </c>
      <c r="I686" s="15" t="s">
        <v>1768</v>
      </c>
      <c r="J686" s="17" t="str">
        <f>"_x0007_`COD|B04774_x0005_`QTY1|1_x0005_`BQC|_x0005_`EQC|_x0005_`JDC|_x0005_`WQC|_x0005_`EDT|_x0005_`ADJ|F_x0005_`DET|"&amp;ROW(일위대가표!A3174)&amp;"_x0005_`"</f>
        <v>_x0007_`COD|B04774_x0005_`QTY1|1_x0005_`BQC|_x0005_`EQC|_x0005_`JDC|_x0005_`WQC|_x0005_`EDT|_x0005_`ADJ|F_x0005_`DET|3174_x0005_`</v>
      </c>
      <c r="K686" s="3" t="str">
        <f ca="1">HYPERLINK("#"&amp;일위대가표!N2&amp;"!A"&amp;ROW(일위대가표!A3174),"대가683 →")</f>
        <v>대가683 →</v>
      </c>
    </row>
    <row r="687" spans="1:11" ht="22.35" customHeight="1" x14ac:dyDescent="0.3">
      <c r="A687" s="9" t="s">
        <v>1771</v>
      </c>
      <c r="B687" s="10" t="s">
        <v>1690</v>
      </c>
      <c r="C687" s="10" t="s">
        <v>1772</v>
      </c>
      <c r="D687" s="9" t="s">
        <v>14</v>
      </c>
      <c r="E687" s="48">
        <f>일위대가표!F3184</f>
        <v>2349863</v>
      </c>
      <c r="F687" s="47">
        <f>일위대가표!H3184</f>
        <v>2281421</v>
      </c>
      <c r="G687" s="56">
        <f>일위대가표!J3184</f>
        <v>0</v>
      </c>
      <c r="H687" s="48">
        <f>일위대가표!L3184</f>
        <v>68442</v>
      </c>
      <c r="I687" s="15" t="s">
        <v>1771</v>
      </c>
      <c r="J687" s="17" t="str">
        <f>"_x0007_`COD|B04762_x0005_`QTY1|1_x0005_`BQC|_x0005_`EQC|_x0005_`JDC|_x0005_`WQC|_x0005_`EDT|_x0005_`ADJ|F_x0005_`DET|"&amp;ROW(일위대가표!A3179)&amp;"_x0005_`"</f>
        <v>_x0007_`COD|B04762_x0005_`QTY1|1_x0005_`BQC|_x0005_`EQC|_x0005_`JDC|_x0005_`WQC|_x0005_`EDT|_x0005_`ADJ|F_x0005_`DET|3179_x0005_`</v>
      </c>
      <c r="K687" s="3" t="str">
        <f ca="1">HYPERLINK("#"&amp;일위대가표!N2&amp;"!A"&amp;ROW(일위대가표!A3179),"대가684 →")</f>
        <v>대가684 →</v>
      </c>
    </row>
    <row r="688" spans="1:11" ht="22.35" customHeight="1" x14ac:dyDescent="0.3">
      <c r="A688" s="9" t="s">
        <v>1774</v>
      </c>
      <c r="B688" s="10" t="s">
        <v>1682</v>
      </c>
      <c r="C688" s="10" t="s">
        <v>1775</v>
      </c>
      <c r="D688" s="9" t="s">
        <v>14</v>
      </c>
      <c r="E688" s="48">
        <f>일위대가표!F3190</f>
        <v>4030109</v>
      </c>
      <c r="F688" s="47">
        <f>일위대가표!H3190</f>
        <v>3912728</v>
      </c>
      <c r="G688" s="56">
        <f>일위대가표!J3190</f>
        <v>0</v>
      </c>
      <c r="H688" s="48">
        <f>일위대가표!L3190</f>
        <v>117381</v>
      </c>
      <c r="I688" s="15" t="s">
        <v>1774</v>
      </c>
      <c r="J688" s="17" t="str">
        <f>"_x0007_`COD|B04787_x0005_`QTY1|1_x0005_`BQC|_x0005_`EQC|_x0005_`JDC|_x0005_`WQC|_x0005_`EDT|_x0005_`ADJ|F_x0005_`DET|"&amp;ROW(일위대가표!A3186)&amp;"_x0005_`"</f>
        <v>_x0007_`COD|B04787_x0005_`QTY1|1_x0005_`BQC|_x0005_`EQC|_x0005_`JDC|_x0005_`WQC|_x0005_`EDT|_x0005_`ADJ|F_x0005_`DET|3186_x0005_`</v>
      </c>
      <c r="K688" s="3" t="str">
        <f ca="1">HYPERLINK("#"&amp;일위대가표!N2&amp;"!A"&amp;ROW(일위대가표!A3186),"대가685 →")</f>
        <v>대가685 →</v>
      </c>
    </row>
    <row r="689" spans="1:11" ht="22.35" customHeight="1" x14ac:dyDescent="0.3">
      <c r="A689" s="9" t="s">
        <v>1777</v>
      </c>
      <c r="B689" s="10" t="s">
        <v>1686</v>
      </c>
      <c r="C689" s="10" t="s">
        <v>1778</v>
      </c>
      <c r="D689" s="9" t="s">
        <v>14</v>
      </c>
      <c r="E689" s="48">
        <f>일위대가표!F3195</f>
        <v>1151459</v>
      </c>
      <c r="F689" s="47">
        <f>일위대가표!H3195</f>
        <v>1117922</v>
      </c>
      <c r="G689" s="56">
        <f>일위대가표!J3195</f>
        <v>0</v>
      </c>
      <c r="H689" s="48">
        <f>일위대가표!L3195</f>
        <v>33537</v>
      </c>
      <c r="I689" s="15" t="s">
        <v>1777</v>
      </c>
      <c r="J689" s="17" t="str">
        <f>"_x0007_`COD|B04775_x0005_`QTY1|1_x0005_`BQC|_x0005_`EQC|_x0005_`JDC|_x0005_`WQC|_x0005_`EDT|_x0005_`ADJ|F_x0005_`DET|"&amp;ROW(일위대가표!A3192)&amp;"_x0005_`"</f>
        <v>_x0007_`COD|B04775_x0005_`QTY1|1_x0005_`BQC|_x0005_`EQC|_x0005_`JDC|_x0005_`WQC|_x0005_`EDT|_x0005_`ADJ|F_x0005_`DET|3192_x0005_`</v>
      </c>
      <c r="K689" s="3" t="str">
        <f ca="1">HYPERLINK("#"&amp;일위대가표!N2&amp;"!A"&amp;ROW(일위대가표!A3192),"대가686 →")</f>
        <v>대가686 →</v>
      </c>
    </row>
    <row r="690" spans="1:11" ht="22.35" customHeight="1" x14ac:dyDescent="0.3">
      <c r="A690" s="9" t="s">
        <v>1780</v>
      </c>
      <c r="B690" s="10" t="s">
        <v>1690</v>
      </c>
      <c r="C690" s="10" t="s">
        <v>1781</v>
      </c>
      <c r="D690" s="9" t="s">
        <v>14</v>
      </c>
      <c r="E690" s="48">
        <f>일위대가표!F3202</f>
        <v>2878650</v>
      </c>
      <c r="F690" s="47">
        <f>일위대가표!H3202</f>
        <v>2794806</v>
      </c>
      <c r="G690" s="56">
        <f>일위대가표!J3202</f>
        <v>0</v>
      </c>
      <c r="H690" s="48">
        <f>일위대가표!L3202</f>
        <v>83844</v>
      </c>
      <c r="I690" s="15" t="s">
        <v>1780</v>
      </c>
      <c r="J690" s="17" t="str">
        <f>"_x0007_`COD|B04763_x0005_`QTY1|1_x0005_`BQC|_x0005_`EQC|_x0005_`JDC|_x0005_`WQC|_x0005_`EDT|_x0005_`ADJ|F_x0005_`DET|"&amp;ROW(일위대가표!A3197)&amp;"_x0005_`"</f>
        <v>_x0007_`COD|B04763_x0005_`QTY1|1_x0005_`BQC|_x0005_`EQC|_x0005_`JDC|_x0005_`WQC|_x0005_`EDT|_x0005_`ADJ|F_x0005_`DET|3197_x0005_`</v>
      </c>
      <c r="K690" s="3" t="str">
        <f ca="1">HYPERLINK("#"&amp;일위대가표!N2&amp;"!A"&amp;ROW(일위대가표!A3197),"대가687 →")</f>
        <v>대가687 →</v>
      </c>
    </row>
    <row r="691" spans="1:11" ht="22.35" customHeight="1" x14ac:dyDescent="0.3">
      <c r="A691" s="9" t="s">
        <v>1783</v>
      </c>
      <c r="B691" s="10" t="s">
        <v>1682</v>
      </c>
      <c r="C691" s="10" t="s">
        <v>1784</v>
      </c>
      <c r="D691" s="9" t="s">
        <v>14</v>
      </c>
      <c r="E691" s="48">
        <f>일위대가표!F3208</f>
        <v>329994</v>
      </c>
      <c r="F691" s="47">
        <f>일위대가표!H3208</f>
        <v>320383</v>
      </c>
      <c r="G691" s="56">
        <f>일위대가표!J3208</f>
        <v>0</v>
      </c>
      <c r="H691" s="48">
        <f>일위대가표!L3208</f>
        <v>9611</v>
      </c>
      <c r="I691" s="15" t="s">
        <v>1783</v>
      </c>
      <c r="J691" s="17" t="str">
        <f>"_x0007_`COD|B04776_x0005_`QTY1|1_x0005_`BQC|_x0005_`EQC|_x0005_`JDC|_x0005_`WQC|_x0005_`EDT|_x0005_`ADJ|F_x0005_`DET|"&amp;ROW(일위대가표!A3204)&amp;"_x0005_`"</f>
        <v>_x0007_`COD|B04776_x0005_`QTY1|1_x0005_`BQC|_x0005_`EQC|_x0005_`JDC|_x0005_`WQC|_x0005_`EDT|_x0005_`ADJ|F_x0005_`DET|3204_x0005_`</v>
      </c>
      <c r="K691" s="3" t="str">
        <f ca="1">HYPERLINK("#"&amp;일위대가표!N2&amp;"!A"&amp;ROW(일위대가표!A3204),"대가688 →")</f>
        <v>대가688 →</v>
      </c>
    </row>
    <row r="692" spans="1:11" ht="22.35" customHeight="1" x14ac:dyDescent="0.3">
      <c r="A692" s="9" t="s">
        <v>1786</v>
      </c>
      <c r="B692" s="10" t="s">
        <v>1686</v>
      </c>
      <c r="C692" s="10" t="s">
        <v>1787</v>
      </c>
      <c r="D692" s="9" t="s">
        <v>14</v>
      </c>
      <c r="E692" s="48">
        <f>일위대가표!F3213</f>
        <v>94284</v>
      </c>
      <c r="F692" s="47">
        <f>일위대가표!H3213</f>
        <v>91538</v>
      </c>
      <c r="G692" s="56">
        <f>일위대가표!J3213</f>
        <v>0</v>
      </c>
      <c r="H692" s="48">
        <f>일위대가표!L3213</f>
        <v>2746</v>
      </c>
      <c r="I692" s="15" t="s">
        <v>1786</v>
      </c>
      <c r="J692" s="17" t="str">
        <f>"_x0007_`COD|B04764_x0005_`QTY1|1_x0005_`BQC|_x0005_`EQC|_x0005_`JDC|_x0005_`WQC|_x0005_`EDT|_x0005_`ADJ|F_x0005_`DET|"&amp;ROW(일위대가표!A3210)&amp;"_x0005_`"</f>
        <v>_x0007_`COD|B04764_x0005_`QTY1|1_x0005_`BQC|_x0005_`EQC|_x0005_`JDC|_x0005_`WQC|_x0005_`EDT|_x0005_`ADJ|F_x0005_`DET|3210_x0005_`</v>
      </c>
      <c r="K692" s="3" t="str">
        <f ca="1">HYPERLINK("#"&amp;일위대가표!N2&amp;"!A"&amp;ROW(일위대가표!A3210),"대가689 →")</f>
        <v>대가689 →</v>
      </c>
    </row>
    <row r="693" spans="1:11" ht="22.35" customHeight="1" x14ac:dyDescent="0.3">
      <c r="A693" s="9" t="s">
        <v>1789</v>
      </c>
      <c r="B693" s="10" t="s">
        <v>1690</v>
      </c>
      <c r="C693" s="10" t="s">
        <v>1790</v>
      </c>
      <c r="D693" s="9" t="s">
        <v>14</v>
      </c>
      <c r="E693" s="48">
        <f>일위대가표!F3220</f>
        <v>235710</v>
      </c>
      <c r="F693" s="47">
        <f>일위대가표!H3220</f>
        <v>228845</v>
      </c>
      <c r="G693" s="56">
        <f>일위대가표!J3220</f>
        <v>0</v>
      </c>
      <c r="H693" s="48">
        <f>일위대가표!L3220</f>
        <v>6865</v>
      </c>
      <c r="I693" s="15" t="s">
        <v>1789</v>
      </c>
      <c r="J693" s="17" t="str">
        <f>"_x0007_`COD|B04752_x0005_`QTY1|1_x0005_`BQC|_x0005_`EQC|_x0005_`JDC|_x0005_`WQC|_x0005_`EDT|_x0005_`ADJ|F_x0005_`DET|"&amp;ROW(일위대가표!A3215)&amp;"_x0005_`"</f>
        <v>_x0007_`COD|B04752_x0005_`QTY1|1_x0005_`BQC|_x0005_`EQC|_x0005_`JDC|_x0005_`WQC|_x0005_`EDT|_x0005_`ADJ|F_x0005_`DET|3215_x0005_`</v>
      </c>
      <c r="K693" s="3" t="str">
        <f ca="1">HYPERLINK("#"&amp;일위대가표!N2&amp;"!A"&amp;ROW(일위대가표!A3215),"대가690 →")</f>
        <v>대가690 →</v>
      </c>
    </row>
    <row r="694" spans="1:11" ht="22.35" customHeight="1" x14ac:dyDescent="0.3">
      <c r="A694" s="9" t="s">
        <v>1792</v>
      </c>
      <c r="B694" s="10" t="s">
        <v>1793</v>
      </c>
      <c r="C694" s="10" t="s">
        <v>1784</v>
      </c>
      <c r="D694" s="9" t="s">
        <v>14</v>
      </c>
      <c r="E694" s="48">
        <f>일위대가표!F3226</f>
        <v>578663</v>
      </c>
      <c r="F694" s="47">
        <f>일위대가표!H3226</f>
        <v>561810</v>
      </c>
      <c r="G694" s="56">
        <f>일위대가표!J3226</f>
        <v>0</v>
      </c>
      <c r="H694" s="48">
        <f>일위대가표!L3226</f>
        <v>16853</v>
      </c>
      <c r="I694" s="15" t="s">
        <v>1792</v>
      </c>
      <c r="J694" s="17" t="str">
        <f>"_x0007_`COD|B04746_x0005_`QTY1|1_x0005_`BQC|_x0005_`EQC|_x0005_`JDC|_x0005_`WQC|_x0005_`EDT|_x0005_`ADJ|F_x0005_`DET|"&amp;ROW(일위대가표!A3222)&amp;"_x0005_`"</f>
        <v>_x0007_`COD|B04746_x0005_`QTY1|1_x0005_`BQC|_x0005_`EQC|_x0005_`JDC|_x0005_`WQC|_x0005_`EDT|_x0005_`ADJ|F_x0005_`DET|3222_x0005_`</v>
      </c>
      <c r="K694" s="3" t="str">
        <f ca="1">HYPERLINK("#"&amp;일위대가표!N2&amp;"!A"&amp;ROW(일위대가표!A3222),"대가691 →")</f>
        <v>대가691 →</v>
      </c>
    </row>
    <row r="695" spans="1:11" ht="22.35" customHeight="1" x14ac:dyDescent="0.3">
      <c r="A695" s="9" t="s">
        <v>1795</v>
      </c>
      <c r="B695" s="10" t="s">
        <v>1796</v>
      </c>
      <c r="C695" s="10" t="s">
        <v>1797</v>
      </c>
      <c r="D695" s="9" t="s">
        <v>14</v>
      </c>
      <c r="E695" s="48">
        <f>일위대가표!F3230</f>
        <v>165332</v>
      </c>
      <c r="F695" s="47">
        <f>일위대가표!H3230</f>
        <v>160517</v>
      </c>
      <c r="G695" s="56">
        <f>일위대가표!J3230</f>
        <v>0</v>
      </c>
      <c r="H695" s="48">
        <f>일위대가표!L3230</f>
        <v>4815</v>
      </c>
      <c r="I695" s="15" t="s">
        <v>1795</v>
      </c>
      <c r="J695" s="17" t="str">
        <f>"_x0007_`COD|B04735_x0005_`QTY1|1_x0005_`BQC|_x0005_`EQC|_x0005_`JDC|_x0005_`WQC|_x0005_`EDT|_x0005_`ADJ|F_x0005_`DET|"&amp;ROW(일위대가표!A3228)&amp;"_x0005_`"</f>
        <v>_x0007_`COD|B04735_x0005_`QTY1|1_x0005_`BQC|_x0005_`EQC|_x0005_`JDC|_x0005_`WQC|_x0005_`EDT|_x0005_`ADJ|F_x0005_`DET|3228_x0005_`</v>
      </c>
      <c r="K695" s="3" t="str">
        <f ca="1">HYPERLINK("#"&amp;일위대가표!N2&amp;"!A"&amp;ROW(일위대가표!A3228),"대가692 →")</f>
        <v>대가692 →</v>
      </c>
    </row>
    <row r="696" spans="1:11" ht="22.35" customHeight="1" x14ac:dyDescent="0.3">
      <c r="A696" s="9" t="s">
        <v>1799</v>
      </c>
      <c r="B696" s="10" t="s">
        <v>1800</v>
      </c>
      <c r="C696" s="10" t="s">
        <v>1790</v>
      </c>
      <c r="D696" s="9" t="s">
        <v>14</v>
      </c>
      <c r="E696" s="48">
        <f>일위대가표!F3237</f>
        <v>413331</v>
      </c>
      <c r="F696" s="47">
        <f>일위대가표!H3237</f>
        <v>401293</v>
      </c>
      <c r="G696" s="56">
        <f>일위대가표!J3237</f>
        <v>0</v>
      </c>
      <c r="H696" s="48">
        <f>일위대가표!L3237</f>
        <v>12038</v>
      </c>
      <c r="I696" s="15" t="s">
        <v>1799</v>
      </c>
      <c r="J696" s="17" t="str">
        <f>"_x0007_`COD|B04734_x0005_`QTY1|1_x0005_`BQC|_x0005_`EQC|_x0005_`JDC|_x0005_`WQC|_x0005_`EDT|_x0005_`ADJ|F_x0005_`DET|"&amp;ROW(일위대가표!A3232)&amp;"_x0005_`"</f>
        <v>_x0007_`COD|B04734_x0005_`QTY1|1_x0005_`BQC|_x0005_`EQC|_x0005_`JDC|_x0005_`WQC|_x0005_`EDT|_x0005_`ADJ|F_x0005_`DET|3232_x0005_`</v>
      </c>
      <c r="K696" s="3" t="str">
        <f ca="1">HYPERLINK("#"&amp;일위대가표!N2&amp;"!A"&amp;ROW(일위대가표!A3232),"대가693 →")</f>
        <v>대가693 →</v>
      </c>
    </row>
    <row r="697" spans="1:11" ht="22.35" customHeight="1" x14ac:dyDescent="0.3">
      <c r="A697" s="9" t="s">
        <v>1802</v>
      </c>
      <c r="B697" s="10" t="s">
        <v>1793</v>
      </c>
      <c r="C697" s="10" t="s">
        <v>1683</v>
      </c>
      <c r="D697" s="9" t="s">
        <v>14</v>
      </c>
      <c r="E697" s="48">
        <f>일위대가표!F3243</f>
        <v>654343</v>
      </c>
      <c r="F697" s="47">
        <f>일위대가표!H3243</f>
        <v>635285</v>
      </c>
      <c r="G697" s="56">
        <f>일위대가표!J3243</f>
        <v>0</v>
      </c>
      <c r="H697" s="48">
        <f>일위대가표!L3243</f>
        <v>19058</v>
      </c>
      <c r="I697" s="15" t="s">
        <v>1802</v>
      </c>
      <c r="J697" s="17" t="str">
        <f>"_x0007_`COD|B04747_x0005_`QTY1|1_x0005_`BQC|_x0005_`EQC|_x0005_`JDC|_x0005_`WQC|_x0005_`EDT|_x0005_`ADJ|F_x0005_`DET|"&amp;ROW(일위대가표!A3239)&amp;"_x0005_`"</f>
        <v>_x0007_`COD|B04747_x0005_`QTY1|1_x0005_`BQC|_x0005_`EQC|_x0005_`JDC|_x0005_`WQC|_x0005_`EDT|_x0005_`ADJ|F_x0005_`DET|3239_x0005_`</v>
      </c>
      <c r="K697" s="3" t="str">
        <f ca="1">HYPERLINK("#"&amp;일위대가표!N2&amp;"!A"&amp;ROW(일위대가표!A3239),"대가694 →")</f>
        <v>대가694 →</v>
      </c>
    </row>
    <row r="698" spans="1:11" ht="22.35" customHeight="1" x14ac:dyDescent="0.3">
      <c r="A698" s="9" t="s">
        <v>1804</v>
      </c>
      <c r="B698" s="10" t="s">
        <v>1796</v>
      </c>
      <c r="C698" s="10" t="s">
        <v>1805</v>
      </c>
      <c r="D698" s="9" t="s">
        <v>14</v>
      </c>
      <c r="E698" s="48">
        <f>일위대가표!F3247</f>
        <v>186955</v>
      </c>
      <c r="F698" s="47">
        <f>일위대가표!H3247</f>
        <v>181510</v>
      </c>
      <c r="G698" s="56">
        <f>일위대가표!J3247</f>
        <v>0</v>
      </c>
      <c r="H698" s="48">
        <f>일위대가표!L3247</f>
        <v>5445</v>
      </c>
      <c r="I698" s="15" t="s">
        <v>1804</v>
      </c>
      <c r="J698" s="17" t="str">
        <f>"_x0007_`COD|B04737_x0005_`QTY1|1_x0005_`BQC|_x0005_`EQC|_x0005_`JDC|_x0005_`WQC|_x0005_`EDT|_x0005_`ADJ|F_x0005_`DET|"&amp;ROW(일위대가표!A3245)&amp;"_x0005_`"</f>
        <v>_x0007_`COD|B04737_x0005_`QTY1|1_x0005_`BQC|_x0005_`EQC|_x0005_`JDC|_x0005_`WQC|_x0005_`EDT|_x0005_`ADJ|F_x0005_`DET|3245_x0005_`</v>
      </c>
      <c r="K698" s="3" t="str">
        <f ca="1">HYPERLINK("#"&amp;일위대가표!N2&amp;"!A"&amp;ROW(일위대가표!A3245),"대가695 →")</f>
        <v>대가695 →</v>
      </c>
    </row>
    <row r="699" spans="1:11" ht="22.35" customHeight="1" x14ac:dyDescent="0.3">
      <c r="A699" s="9" t="s">
        <v>1807</v>
      </c>
      <c r="B699" s="10" t="s">
        <v>1800</v>
      </c>
      <c r="C699" s="10" t="s">
        <v>1691</v>
      </c>
      <c r="D699" s="9" t="s">
        <v>14</v>
      </c>
      <c r="E699" s="48">
        <f>일위대가표!F3254</f>
        <v>467388</v>
      </c>
      <c r="F699" s="47">
        <f>일위대가표!H3254</f>
        <v>453775</v>
      </c>
      <c r="G699" s="56">
        <f>일위대가표!J3254</f>
        <v>0</v>
      </c>
      <c r="H699" s="48">
        <f>일위대가표!L3254</f>
        <v>13613</v>
      </c>
      <c r="I699" s="15" t="s">
        <v>1807</v>
      </c>
      <c r="J699" s="17" t="str">
        <f>"_x0007_`COD|B04736_x0005_`QTY1|1_x0005_`BQC|_x0005_`EQC|_x0005_`JDC|_x0005_`WQC|_x0005_`EDT|_x0005_`ADJ|F_x0005_`DET|"&amp;ROW(일위대가표!A3249)&amp;"_x0005_`"</f>
        <v>_x0007_`COD|B04736_x0005_`QTY1|1_x0005_`BQC|_x0005_`EQC|_x0005_`JDC|_x0005_`WQC|_x0005_`EDT|_x0005_`ADJ|F_x0005_`DET|3249_x0005_`</v>
      </c>
      <c r="K699" s="3" t="str">
        <f ca="1">HYPERLINK("#"&amp;일위대가표!N2&amp;"!A"&amp;ROW(일위대가표!A3249),"대가696 →")</f>
        <v>대가696 →</v>
      </c>
    </row>
    <row r="700" spans="1:11" ht="22.35" customHeight="1" x14ac:dyDescent="0.3">
      <c r="A700" s="9" t="s">
        <v>1809</v>
      </c>
      <c r="B700" s="10" t="s">
        <v>1793</v>
      </c>
      <c r="C700" s="10" t="s">
        <v>1694</v>
      </c>
      <c r="D700" s="9" t="s">
        <v>14</v>
      </c>
      <c r="E700" s="48">
        <f>일위대가표!F3260</f>
        <v>724947</v>
      </c>
      <c r="F700" s="47">
        <f>일위대가표!H3260</f>
        <v>703833</v>
      </c>
      <c r="G700" s="56">
        <f>일위대가표!J3260</f>
        <v>0</v>
      </c>
      <c r="H700" s="48">
        <f>일위대가표!L3260</f>
        <v>21114</v>
      </c>
      <c r="I700" s="15" t="s">
        <v>1809</v>
      </c>
      <c r="J700" s="17" t="str">
        <f>"_x0007_`COD|B04748_x0005_`QTY1|1_x0005_`BQC|_x0005_`EQC|_x0005_`JDC|_x0005_`WQC|_x0005_`EDT|_x0005_`ADJ|F_x0005_`DET|"&amp;ROW(일위대가표!A3256)&amp;"_x0005_`"</f>
        <v>_x0007_`COD|B04748_x0005_`QTY1|1_x0005_`BQC|_x0005_`EQC|_x0005_`JDC|_x0005_`WQC|_x0005_`EDT|_x0005_`ADJ|F_x0005_`DET|3256_x0005_`</v>
      </c>
      <c r="K700" s="3" t="str">
        <f ca="1">HYPERLINK("#"&amp;일위대가표!N2&amp;"!A"&amp;ROW(일위대가표!A3256),"대가697 →")</f>
        <v>대가697 →</v>
      </c>
    </row>
    <row r="701" spans="1:11" ht="22.35" customHeight="1" x14ac:dyDescent="0.3">
      <c r="A701" s="9" t="s">
        <v>1811</v>
      </c>
      <c r="B701" s="10" t="s">
        <v>1796</v>
      </c>
      <c r="C701" s="10" t="s">
        <v>1812</v>
      </c>
      <c r="D701" s="9" t="s">
        <v>14</v>
      </c>
      <c r="E701" s="48">
        <f>일위대가표!F3264</f>
        <v>207127</v>
      </c>
      <c r="F701" s="47">
        <f>일위대가표!H3264</f>
        <v>201095</v>
      </c>
      <c r="G701" s="56">
        <f>일위대가표!J3264</f>
        <v>0</v>
      </c>
      <c r="H701" s="48">
        <f>일위대가표!L3264</f>
        <v>6032</v>
      </c>
      <c r="I701" s="15" t="s">
        <v>1811</v>
      </c>
      <c r="J701" s="17" t="str">
        <f>"_x0007_`COD|B04742_x0005_`QTY1|1_x0005_`BQC|_x0005_`EQC|_x0005_`JDC|_x0005_`WQC|_x0005_`EDT|_x0005_`ADJ|F_x0005_`DET|"&amp;ROW(일위대가표!A3262)&amp;"_x0005_`"</f>
        <v>_x0007_`COD|B04742_x0005_`QTY1|1_x0005_`BQC|_x0005_`EQC|_x0005_`JDC|_x0005_`WQC|_x0005_`EDT|_x0005_`ADJ|F_x0005_`DET|3262_x0005_`</v>
      </c>
      <c r="K701" s="3" t="str">
        <f ca="1">HYPERLINK("#"&amp;일위대가표!N2&amp;"!A"&amp;ROW(일위대가표!A3262),"대가698 →")</f>
        <v>대가698 →</v>
      </c>
    </row>
    <row r="702" spans="1:11" ht="22.35" customHeight="1" x14ac:dyDescent="0.3">
      <c r="A702" s="9" t="s">
        <v>1814</v>
      </c>
      <c r="B702" s="10" t="s">
        <v>1800</v>
      </c>
      <c r="C702" s="10" t="s">
        <v>1700</v>
      </c>
      <c r="D702" s="9" t="s">
        <v>14</v>
      </c>
      <c r="E702" s="48">
        <f>일위대가표!F3271</f>
        <v>517820</v>
      </c>
      <c r="F702" s="47">
        <f>일위대가표!H3271</f>
        <v>502738</v>
      </c>
      <c r="G702" s="56">
        <f>일위대가표!J3271</f>
        <v>0</v>
      </c>
      <c r="H702" s="48">
        <f>일위대가표!L3271</f>
        <v>15082</v>
      </c>
      <c r="I702" s="15" t="s">
        <v>1814</v>
      </c>
      <c r="J702" s="17" t="str">
        <f>"_x0007_`COD|B04738_x0005_`QTY1|1_x0005_`BQC|_x0005_`EQC|_x0005_`JDC|_x0005_`WQC|_x0005_`EDT|_x0005_`ADJ|F_x0005_`DET|"&amp;ROW(일위대가표!A3266)&amp;"_x0005_`"</f>
        <v>_x0007_`COD|B04738_x0005_`QTY1|1_x0005_`BQC|_x0005_`EQC|_x0005_`JDC|_x0005_`WQC|_x0005_`EDT|_x0005_`ADJ|F_x0005_`DET|3266_x0005_`</v>
      </c>
      <c r="K702" s="3" t="str">
        <f ca="1">HYPERLINK("#"&amp;일위대가표!N2&amp;"!A"&amp;ROW(일위대가표!A3266),"대가699 →")</f>
        <v>대가699 →</v>
      </c>
    </row>
    <row r="703" spans="1:11" ht="22.35" customHeight="1" x14ac:dyDescent="0.3">
      <c r="A703" s="9" t="s">
        <v>1816</v>
      </c>
      <c r="B703" s="10" t="s">
        <v>1793</v>
      </c>
      <c r="C703" s="10" t="s">
        <v>1703</v>
      </c>
      <c r="D703" s="9" t="s">
        <v>14</v>
      </c>
      <c r="E703" s="48">
        <f>일위대가표!F3277</f>
        <v>875708</v>
      </c>
      <c r="F703" s="47">
        <f>일위대가표!H3277</f>
        <v>850203</v>
      </c>
      <c r="G703" s="56">
        <f>일위대가표!J3277</f>
        <v>0</v>
      </c>
      <c r="H703" s="48">
        <f>일위대가표!L3277</f>
        <v>25505</v>
      </c>
      <c r="I703" s="15" t="s">
        <v>1816</v>
      </c>
      <c r="J703" s="17" t="str">
        <f>"_x0007_`COD|B04749_x0005_`QTY1|1_x0005_`BQC|_x0005_`EQC|_x0005_`JDC|_x0005_`WQC|_x0005_`EDT|_x0005_`ADJ|F_x0005_`DET|"&amp;ROW(일위대가표!A3273)&amp;"_x0005_`"</f>
        <v>_x0007_`COD|B04749_x0005_`QTY1|1_x0005_`BQC|_x0005_`EQC|_x0005_`JDC|_x0005_`WQC|_x0005_`EDT|_x0005_`ADJ|F_x0005_`DET|3273_x0005_`</v>
      </c>
      <c r="K703" s="3" t="str">
        <f ca="1">HYPERLINK("#"&amp;일위대가표!N2&amp;"!A"&amp;ROW(일위대가표!A3273),"대가700 →")</f>
        <v>대가700 →</v>
      </c>
    </row>
    <row r="704" spans="1:11" ht="22.35" customHeight="1" x14ac:dyDescent="0.3">
      <c r="A704" s="9" t="s">
        <v>1818</v>
      </c>
      <c r="B704" s="10" t="s">
        <v>1796</v>
      </c>
      <c r="C704" s="10" t="s">
        <v>1819</v>
      </c>
      <c r="D704" s="9" t="s">
        <v>14</v>
      </c>
      <c r="E704" s="48">
        <f>일위대가표!F3281</f>
        <v>250202</v>
      </c>
      <c r="F704" s="47">
        <f>일위대가표!H3281</f>
        <v>242915</v>
      </c>
      <c r="G704" s="56">
        <f>일위대가표!J3281</f>
        <v>0</v>
      </c>
      <c r="H704" s="48">
        <f>일위대가표!L3281</f>
        <v>7287</v>
      </c>
      <c r="I704" s="15" t="s">
        <v>1818</v>
      </c>
      <c r="J704" s="17" t="str">
        <f>"_x0007_`COD|B04743_x0005_`QTY1|1_x0005_`BQC|_x0005_`EQC|_x0005_`JDC|_x0005_`WQC|_x0005_`EDT|_x0005_`ADJ|F_x0005_`DET|"&amp;ROW(일위대가표!A3279)&amp;"_x0005_`"</f>
        <v>_x0007_`COD|B04743_x0005_`QTY1|1_x0005_`BQC|_x0005_`EQC|_x0005_`JDC|_x0005_`WQC|_x0005_`EDT|_x0005_`ADJ|F_x0005_`DET|3279_x0005_`</v>
      </c>
      <c r="K704" s="3" t="str">
        <f ca="1">HYPERLINK("#"&amp;일위대가표!N2&amp;"!A"&amp;ROW(일위대가표!A3279),"대가701 →")</f>
        <v>대가701 →</v>
      </c>
    </row>
    <row r="705" spans="1:11" ht="22.35" customHeight="1" x14ac:dyDescent="0.3">
      <c r="A705" s="9" t="s">
        <v>1821</v>
      </c>
      <c r="B705" s="10" t="s">
        <v>1800</v>
      </c>
      <c r="C705" s="10" t="s">
        <v>1709</v>
      </c>
      <c r="D705" s="9" t="s">
        <v>14</v>
      </c>
      <c r="E705" s="48">
        <f>일위대가표!F3288</f>
        <v>625506</v>
      </c>
      <c r="F705" s="47">
        <f>일위대가표!H3288</f>
        <v>607288</v>
      </c>
      <c r="G705" s="56">
        <f>일위대가표!J3288</f>
        <v>0</v>
      </c>
      <c r="H705" s="48">
        <f>일위대가표!L3288</f>
        <v>18218</v>
      </c>
      <c r="I705" s="15" t="s">
        <v>1821</v>
      </c>
      <c r="J705" s="17" t="str">
        <f>"_x0007_`COD|B04739_x0005_`QTY1|1_x0005_`BQC|_x0005_`EQC|_x0005_`JDC|_x0005_`WQC|_x0005_`EDT|_x0005_`ADJ|F_x0005_`DET|"&amp;ROW(일위대가표!A3283)&amp;"_x0005_`"</f>
        <v>_x0007_`COD|B04739_x0005_`QTY1|1_x0005_`BQC|_x0005_`EQC|_x0005_`JDC|_x0005_`WQC|_x0005_`EDT|_x0005_`ADJ|F_x0005_`DET|3283_x0005_`</v>
      </c>
      <c r="K705" s="3" t="str">
        <f ca="1">HYPERLINK("#"&amp;일위대가표!N2&amp;"!A"&amp;ROW(일위대가표!A3283),"대가702 →")</f>
        <v>대가702 →</v>
      </c>
    </row>
    <row r="706" spans="1:11" ht="22.35" customHeight="1" x14ac:dyDescent="0.3">
      <c r="A706" s="9" t="s">
        <v>1823</v>
      </c>
      <c r="B706" s="10" t="s">
        <v>1793</v>
      </c>
      <c r="C706" s="10" t="s">
        <v>1712</v>
      </c>
      <c r="D706" s="9" t="s">
        <v>14</v>
      </c>
      <c r="E706" s="48">
        <f>일위대가표!F3294</f>
        <v>1057069</v>
      </c>
      <c r="F706" s="47">
        <f>일위대가표!H3294</f>
        <v>1026282</v>
      </c>
      <c r="G706" s="56">
        <f>일위대가표!J3294</f>
        <v>0</v>
      </c>
      <c r="H706" s="48">
        <f>일위대가표!L3294</f>
        <v>30787</v>
      </c>
      <c r="I706" s="15" t="s">
        <v>1823</v>
      </c>
      <c r="J706" s="17" t="str">
        <f>"_x0007_`COD|B04750_x0005_`QTY1|1_x0005_`BQC|_x0005_`EQC|_x0005_`JDC|_x0005_`WQC|_x0005_`EDT|_x0005_`ADJ|F_x0005_`DET|"&amp;ROW(일위대가표!A3290)&amp;"_x0005_`"</f>
        <v>_x0007_`COD|B04750_x0005_`QTY1|1_x0005_`BQC|_x0005_`EQC|_x0005_`JDC|_x0005_`WQC|_x0005_`EDT|_x0005_`ADJ|F_x0005_`DET|3290_x0005_`</v>
      </c>
      <c r="K706" s="3" t="str">
        <f ca="1">HYPERLINK("#"&amp;일위대가표!N2&amp;"!A"&amp;ROW(일위대가표!A3290),"대가703 →")</f>
        <v>대가703 →</v>
      </c>
    </row>
    <row r="707" spans="1:11" ht="22.35" customHeight="1" x14ac:dyDescent="0.3">
      <c r="A707" s="9" t="s">
        <v>1825</v>
      </c>
      <c r="B707" s="10" t="s">
        <v>1796</v>
      </c>
      <c r="C707" s="10" t="s">
        <v>1826</v>
      </c>
      <c r="D707" s="9" t="s">
        <v>14</v>
      </c>
      <c r="E707" s="48">
        <f>일위대가표!F3298</f>
        <v>302019</v>
      </c>
      <c r="F707" s="47">
        <f>일위대가표!H3298</f>
        <v>293223</v>
      </c>
      <c r="G707" s="56">
        <f>일위대가표!J3298</f>
        <v>0</v>
      </c>
      <c r="H707" s="48">
        <f>일위대가표!L3298</f>
        <v>8796</v>
      </c>
      <c r="I707" s="15" t="s">
        <v>1825</v>
      </c>
      <c r="J707" s="17" t="str">
        <f>"_x0007_`COD|B04744_x0005_`QTY1|1_x0005_`BQC|_x0005_`EQC|_x0005_`JDC|_x0005_`WQC|_x0005_`EDT|_x0005_`ADJ|F_x0005_`DET|"&amp;ROW(일위대가표!A3296)&amp;"_x0005_`"</f>
        <v>_x0007_`COD|B04744_x0005_`QTY1|1_x0005_`BQC|_x0005_`EQC|_x0005_`JDC|_x0005_`WQC|_x0005_`EDT|_x0005_`ADJ|F_x0005_`DET|3296_x0005_`</v>
      </c>
      <c r="K707" s="3" t="str">
        <f ca="1">HYPERLINK("#"&amp;일위대가표!N2&amp;"!A"&amp;ROW(일위대가표!A3296),"대가704 →")</f>
        <v>대가704 →</v>
      </c>
    </row>
    <row r="708" spans="1:11" ht="22.35" customHeight="1" x14ac:dyDescent="0.3">
      <c r="A708" s="9" t="s">
        <v>1828</v>
      </c>
      <c r="B708" s="10" t="s">
        <v>1800</v>
      </c>
      <c r="C708" s="10" t="s">
        <v>1718</v>
      </c>
      <c r="D708" s="9" t="s">
        <v>14</v>
      </c>
      <c r="E708" s="48">
        <f>일위대가표!F3305</f>
        <v>755050</v>
      </c>
      <c r="F708" s="47">
        <f>일위대가표!H3305</f>
        <v>733059</v>
      </c>
      <c r="G708" s="56">
        <f>일위대가표!J3305</f>
        <v>0</v>
      </c>
      <c r="H708" s="48">
        <f>일위대가표!L3305</f>
        <v>21991</v>
      </c>
      <c r="I708" s="15" t="s">
        <v>1828</v>
      </c>
      <c r="J708" s="17" t="str">
        <f>"_x0007_`COD|B04740_x0005_`QTY1|1_x0005_`BQC|_x0005_`EQC|_x0005_`JDC|_x0005_`WQC|_x0005_`EDT|_x0005_`ADJ|F_x0005_`DET|"&amp;ROW(일위대가표!A3300)&amp;"_x0005_`"</f>
        <v>_x0007_`COD|B04740_x0005_`QTY1|1_x0005_`BQC|_x0005_`EQC|_x0005_`JDC|_x0005_`WQC|_x0005_`EDT|_x0005_`ADJ|F_x0005_`DET|3300_x0005_`</v>
      </c>
      <c r="K708" s="3" t="str">
        <f ca="1">HYPERLINK("#"&amp;일위대가표!N2&amp;"!A"&amp;ROW(일위대가표!A3300),"대가705 →")</f>
        <v>대가705 →</v>
      </c>
    </row>
    <row r="709" spans="1:11" ht="22.35" customHeight="1" x14ac:dyDescent="0.3">
      <c r="A709" s="9" t="s">
        <v>1830</v>
      </c>
      <c r="B709" s="10" t="s">
        <v>1793</v>
      </c>
      <c r="C709" s="10" t="s">
        <v>1721</v>
      </c>
      <c r="D709" s="9" t="s">
        <v>14</v>
      </c>
      <c r="E709" s="48">
        <f>일위대가표!F3311</f>
        <v>1258434</v>
      </c>
      <c r="F709" s="47">
        <f>일위대가표!H3311</f>
        <v>1221781</v>
      </c>
      <c r="G709" s="56">
        <f>일위대가표!J3311</f>
        <v>0</v>
      </c>
      <c r="H709" s="48">
        <f>일위대가표!L3311</f>
        <v>36653</v>
      </c>
      <c r="I709" s="15" t="s">
        <v>1830</v>
      </c>
      <c r="J709" s="17" t="str">
        <f>"_x0007_`COD|B04751_x0005_`QTY1|1_x0005_`BQC|_x0005_`EQC|_x0005_`JDC|_x0005_`WQC|_x0005_`EDT|_x0005_`ADJ|F_x0005_`DET|"&amp;ROW(일위대가표!A3307)&amp;"_x0005_`"</f>
        <v>_x0007_`COD|B04751_x0005_`QTY1|1_x0005_`BQC|_x0005_`EQC|_x0005_`JDC|_x0005_`WQC|_x0005_`EDT|_x0005_`ADJ|F_x0005_`DET|3307_x0005_`</v>
      </c>
      <c r="K709" s="3" t="str">
        <f ca="1">HYPERLINK("#"&amp;일위대가표!N2&amp;"!A"&amp;ROW(일위대가표!A3307),"대가706 →")</f>
        <v>대가706 →</v>
      </c>
    </row>
    <row r="710" spans="1:11" ht="22.35" customHeight="1" x14ac:dyDescent="0.3">
      <c r="A710" s="9" t="s">
        <v>1832</v>
      </c>
      <c r="B710" s="10" t="s">
        <v>1796</v>
      </c>
      <c r="C710" s="10" t="s">
        <v>1833</v>
      </c>
      <c r="D710" s="9" t="s">
        <v>14</v>
      </c>
      <c r="E710" s="48">
        <f>일위대가표!F3315</f>
        <v>359552</v>
      </c>
      <c r="F710" s="47">
        <f>일위대가표!H3315</f>
        <v>349080</v>
      </c>
      <c r="G710" s="56">
        <f>일위대가표!J3315</f>
        <v>0</v>
      </c>
      <c r="H710" s="48">
        <f>일위대가표!L3315</f>
        <v>10472</v>
      </c>
      <c r="I710" s="15" t="s">
        <v>1832</v>
      </c>
      <c r="J710" s="17" t="str">
        <f>"_x0007_`COD|B04745_x0005_`QTY1|1_x0005_`BQC|_x0005_`EQC|_x0005_`JDC|_x0005_`WQC|_x0005_`EDT|_x0005_`ADJ|F_x0005_`DET|"&amp;ROW(일위대가표!A3313)&amp;"_x0005_`"</f>
        <v>_x0007_`COD|B04745_x0005_`QTY1|1_x0005_`BQC|_x0005_`EQC|_x0005_`JDC|_x0005_`WQC|_x0005_`EDT|_x0005_`ADJ|F_x0005_`DET|3313_x0005_`</v>
      </c>
      <c r="K710" s="3" t="str">
        <f ca="1">HYPERLINK("#"&amp;일위대가표!N2&amp;"!A"&amp;ROW(일위대가표!A3313),"대가707 →")</f>
        <v>대가707 →</v>
      </c>
    </row>
    <row r="711" spans="1:11" ht="22.35" customHeight="1" x14ac:dyDescent="0.3">
      <c r="A711" s="9" t="s">
        <v>1835</v>
      </c>
      <c r="B711" s="10" t="s">
        <v>1800</v>
      </c>
      <c r="C711" s="10" t="s">
        <v>1727</v>
      </c>
      <c r="D711" s="9" t="s">
        <v>14</v>
      </c>
      <c r="E711" s="48">
        <f>일위대가표!F3322</f>
        <v>898882</v>
      </c>
      <c r="F711" s="47">
        <f>일위대가표!H3322</f>
        <v>872701</v>
      </c>
      <c r="G711" s="56">
        <f>일위대가표!J3322</f>
        <v>0</v>
      </c>
      <c r="H711" s="48">
        <f>일위대가표!L3322</f>
        <v>26181</v>
      </c>
      <c r="I711" s="15" t="s">
        <v>1835</v>
      </c>
      <c r="J711" s="17" t="str">
        <f>"_x0007_`COD|B04741_x0005_`QTY1|1_x0005_`BQC|_x0005_`EQC|_x0005_`JDC|_x0005_`WQC|_x0005_`EDT|_x0005_`ADJ|F_x0005_`DET|"&amp;ROW(일위대가표!A3317)&amp;"_x0005_`"</f>
        <v>_x0007_`COD|B04741_x0005_`QTY1|1_x0005_`BQC|_x0005_`EQC|_x0005_`JDC|_x0005_`WQC|_x0005_`EDT|_x0005_`ADJ|F_x0005_`DET|3317_x0005_`</v>
      </c>
      <c r="K711" s="3" t="str">
        <f ca="1">HYPERLINK("#"&amp;일위대가표!N2&amp;"!A"&amp;ROW(일위대가표!A3317),"대가708 →")</f>
        <v>대가708 →</v>
      </c>
    </row>
    <row r="712" spans="1:11" ht="22.35" customHeight="1" x14ac:dyDescent="0.3">
      <c r="A712" s="9" t="s">
        <v>1837</v>
      </c>
      <c r="B712" s="10" t="s">
        <v>1838</v>
      </c>
      <c r="C712" s="10" t="s">
        <v>1839</v>
      </c>
      <c r="D712" s="9" t="s">
        <v>1010</v>
      </c>
      <c r="E712" s="48">
        <f>일위대가표!F3328</f>
        <v>103775</v>
      </c>
      <c r="F712" s="47">
        <f>일위대가표!H3328</f>
        <v>100753</v>
      </c>
      <c r="G712" s="56">
        <f>일위대가표!J3328</f>
        <v>0</v>
      </c>
      <c r="H712" s="48">
        <f>일위대가표!L3328</f>
        <v>3022</v>
      </c>
      <c r="I712" s="15" t="s">
        <v>1837</v>
      </c>
      <c r="J712" s="17" t="str">
        <f>"_x0007_`COD|B04834_x0005_`QTY1|1_x0005_`BQC|_x0005_`EQC|_x0005_`JDC|_x0005_`WQC|_x0005_`EDT|_x0005_`ADJ|F_x0005_`DET|"&amp;ROW(일위대가표!A3324)&amp;"_x0005_`"</f>
        <v>_x0007_`COD|B04834_x0005_`QTY1|1_x0005_`BQC|_x0005_`EQC|_x0005_`JDC|_x0005_`WQC|_x0005_`EDT|_x0005_`ADJ|F_x0005_`DET|3324_x0005_`</v>
      </c>
      <c r="K712" s="3" t="str">
        <f ca="1">HYPERLINK("#"&amp;일위대가표!N2&amp;"!A"&amp;ROW(일위대가표!A3324),"대가709 →")</f>
        <v>대가709 →</v>
      </c>
    </row>
    <row r="713" spans="1:11" ht="22.35" customHeight="1" x14ac:dyDescent="0.3">
      <c r="A713" s="9" t="s">
        <v>1841</v>
      </c>
      <c r="B713" s="10" t="s">
        <v>1842</v>
      </c>
      <c r="C713" s="10" t="s">
        <v>1839</v>
      </c>
      <c r="D713" s="9" t="s">
        <v>1010</v>
      </c>
      <c r="E713" s="48">
        <f>일위대가표!F3333</f>
        <v>29649</v>
      </c>
      <c r="F713" s="47">
        <f>일위대가표!H3333</f>
        <v>28786</v>
      </c>
      <c r="G713" s="56">
        <f>일위대가표!J3333</f>
        <v>0</v>
      </c>
      <c r="H713" s="48">
        <f>일위대가표!L3333</f>
        <v>863</v>
      </c>
      <c r="I713" s="15" t="s">
        <v>1841</v>
      </c>
      <c r="J713" s="17" t="str">
        <f>"_x0007_`COD|B04829_x0005_`QTY1|1_x0005_`BQC|_x0005_`EQC|_x0005_`JDC|_x0005_`WQC|_x0005_`EDT|_x0005_`ADJ|F_x0005_`DET|"&amp;ROW(일위대가표!A3330)&amp;"_x0005_`"</f>
        <v>_x0007_`COD|B04829_x0005_`QTY1|1_x0005_`BQC|_x0005_`EQC|_x0005_`JDC|_x0005_`WQC|_x0005_`EDT|_x0005_`ADJ|F_x0005_`DET|3330_x0005_`</v>
      </c>
      <c r="K713" s="3" t="str">
        <f ca="1">HYPERLINK("#"&amp;일위대가표!N2&amp;"!A"&amp;ROW(일위대가표!A3330),"대가710 →")</f>
        <v>대가710 →</v>
      </c>
    </row>
    <row r="714" spans="1:11" ht="22.35" customHeight="1" x14ac:dyDescent="0.3">
      <c r="A714" s="9" t="s">
        <v>1844</v>
      </c>
      <c r="B714" s="10" t="s">
        <v>1845</v>
      </c>
      <c r="C714" s="10" t="s">
        <v>1543</v>
      </c>
      <c r="D714" s="9" t="s">
        <v>1010</v>
      </c>
      <c r="E714" s="48">
        <f>일위대가표!F3340</f>
        <v>74126</v>
      </c>
      <c r="F714" s="47">
        <f>일위대가표!H3340</f>
        <v>71967</v>
      </c>
      <c r="G714" s="56">
        <f>일위대가표!J3340</f>
        <v>0</v>
      </c>
      <c r="H714" s="48">
        <f>일위대가표!L3340</f>
        <v>2159</v>
      </c>
      <c r="I714" s="15" t="s">
        <v>1844</v>
      </c>
      <c r="J714" s="17" t="str">
        <f>"_x0007_`COD|B04825_x0005_`QTY1|1_x0005_`BQC|_x0005_`EQC|_x0005_`JDC|_x0005_`WQC|_x0005_`EDT|_x0005_`ADJ|F_x0005_`DET|"&amp;ROW(일위대가표!A3335)&amp;"_x0005_`"</f>
        <v>_x0007_`COD|B04825_x0005_`QTY1|1_x0005_`BQC|_x0005_`EQC|_x0005_`JDC|_x0005_`WQC|_x0005_`EDT|_x0005_`ADJ|F_x0005_`DET|3335_x0005_`</v>
      </c>
      <c r="K714" s="3" t="str">
        <f ca="1">HYPERLINK("#"&amp;일위대가표!N2&amp;"!A"&amp;ROW(일위대가표!A3335),"대가711 →")</f>
        <v>대가711 →</v>
      </c>
    </row>
    <row r="715" spans="1:11" ht="22.35" customHeight="1" x14ac:dyDescent="0.3">
      <c r="A715" s="9" t="s">
        <v>1847</v>
      </c>
      <c r="B715" s="10" t="s">
        <v>1838</v>
      </c>
      <c r="C715" s="10" t="s">
        <v>1848</v>
      </c>
      <c r="D715" s="9" t="s">
        <v>1010</v>
      </c>
      <c r="E715" s="48">
        <f>일위대가표!F3346</f>
        <v>145668</v>
      </c>
      <c r="F715" s="47">
        <f>일위대가표!H3346</f>
        <v>145668</v>
      </c>
      <c r="G715" s="56">
        <f>일위대가표!J3346</f>
        <v>0</v>
      </c>
      <c r="H715" s="48">
        <f>일위대가표!L3346</f>
        <v>0</v>
      </c>
      <c r="I715" s="15" t="s">
        <v>1847</v>
      </c>
      <c r="J715" s="17" t="str">
        <f>"_x0007_`COD|B04835_x0005_`QTY1|1_x0005_`BQC|_x0005_`EQC|_x0005_`JDC|_x0005_`WQC|_x0005_`EDT|_x0005_`ADJ|F_x0005_`DET|"&amp;ROW(일위대가표!A3342)&amp;"_x0005_`"</f>
        <v>_x0007_`COD|B04835_x0005_`QTY1|1_x0005_`BQC|_x0005_`EQC|_x0005_`JDC|_x0005_`WQC|_x0005_`EDT|_x0005_`ADJ|F_x0005_`DET|3342_x0005_`</v>
      </c>
      <c r="K715" s="3" t="str">
        <f ca="1">HYPERLINK("#"&amp;일위대가표!N2&amp;"!A"&amp;ROW(일위대가표!A3342),"대가712 →")</f>
        <v>대가712 →</v>
      </c>
    </row>
    <row r="716" spans="1:11" ht="22.35" customHeight="1" x14ac:dyDescent="0.3">
      <c r="A716" s="9" t="s">
        <v>1850</v>
      </c>
      <c r="B716" s="10" t="s">
        <v>1842</v>
      </c>
      <c r="C716" s="10" t="s">
        <v>1848</v>
      </c>
      <c r="D716" s="9" t="s">
        <v>1010</v>
      </c>
      <c r="E716" s="48">
        <f>일위대가표!F3351</f>
        <v>41619</v>
      </c>
      <c r="F716" s="47">
        <f>일위대가표!H3351</f>
        <v>41619</v>
      </c>
      <c r="G716" s="56">
        <f>일위대가표!J3351</f>
        <v>0</v>
      </c>
      <c r="H716" s="48">
        <f>일위대가표!L3351</f>
        <v>0</v>
      </c>
      <c r="I716" s="15" t="s">
        <v>1850</v>
      </c>
      <c r="J716" s="17" t="str">
        <f>"_x0007_`COD|B04830_x0005_`QTY1|1_x0005_`BQC|_x0005_`EQC|_x0005_`JDC|_x0005_`WQC|_x0005_`EDT|_x0005_`ADJ|F_x0005_`DET|"&amp;ROW(일위대가표!A3348)&amp;"_x0005_`"</f>
        <v>_x0007_`COD|B04830_x0005_`QTY1|1_x0005_`BQC|_x0005_`EQC|_x0005_`JDC|_x0005_`WQC|_x0005_`EDT|_x0005_`ADJ|F_x0005_`DET|3348_x0005_`</v>
      </c>
      <c r="K716" s="3" t="str">
        <f ca="1">HYPERLINK("#"&amp;일위대가표!N2&amp;"!A"&amp;ROW(일위대가표!A3348),"대가713 →")</f>
        <v>대가713 →</v>
      </c>
    </row>
    <row r="717" spans="1:11" ht="22.35" customHeight="1" x14ac:dyDescent="0.3">
      <c r="A717" s="9" t="s">
        <v>1852</v>
      </c>
      <c r="B717" s="10" t="s">
        <v>1845</v>
      </c>
      <c r="C717" s="10" t="s">
        <v>1546</v>
      </c>
      <c r="D717" s="9" t="s">
        <v>1010</v>
      </c>
      <c r="E717" s="48">
        <f>일위대가표!F3357</f>
        <v>104049</v>
      </c>
      <c r="F717" s="47">
        <f>일위대가표!H3357</f>
        <v>104049</v>
      </c>
      <c r="G717" s="56">
        <f>일위대가표!J3357</f>
        <v>0</v>
      </c>
      <c r="H717" s="48">
        <f>일위대가표!L3357</f>
        <v>0</v>
      </c>
      <c r="I717" s="15" t="s">
        <v>1852</v>
      </c>
      <c r="J717" s="17" t="str">
        <f>"_x0007_`COD|B04826_x0005_`QTY1|1_x0005_`BQC|_x0005_`EQC|_x0005_`JDC|_x0005_`WQC|_x0005_`EDT|_x0005_`ADJ|F_x0005_`DET|"&amp;ROW(일위대가표!A3353)&amp;"_x0005_`"</f>
        <v>_x0007_`COD|B04826_x0005_`QTY1|1_x0005_`BQC|_x0005_`EQC|_x0005_`JDC|_x0005_`WQC|_x0005_`EDT|_x0005_`ADJ|F_x0005_`DET|3353_x0005_`</v>
      </c>
      <c r="K717" s="3" t="str">
        <f ca="1">HYPERLINK("#"&amp;일위대가표!N2&amp;"!A"&amp;ROW(일위대가표!A3353),"대가714 →")</f>
        <v>대가714 →</v>
      </c>
    </row>
    <row r="718" spans="1:11" ht="22.35" customHeight="1" x14ac:dyDescent="0.3">
      <c r="A718" s="9" t="s">
        <v>1854</v>
      </c>
      <c r="B718" s="10" t="s">
        <v>1838</v>
      </c>
      <c r="C718" s="10" t="s">
        <v>1855</v>
      </c>
      <c r="D718" s="9" t="s">
        <v>1010</v>
      </c>
      <c r="E718" s="48">
        <f>일위대가표!F3363</f>
        <v>189819</v>
      </c>
      <c r="F718" s="47">
        <f>일위대가표!H3363</f>
        <v>189819</v>
      </c>
      <c r="G718" s="56">
        <f>일위대가표!J3363</f>
        <v>0</v>
      </c>
      <c r="H718" s="48">
        <f>일위대가표!L3363</f>
        <v>0</v>
      </c>
      <c r="I718" s="15" t="s">
        <v>1854</v>
      </c>
      <c r="J718" s="17" t="str">
        <f>"_x0007_`COD|B04836_x0005_`QTY1|1_x0005_`BQC|_x0005_`EQC|_x0005_`JDC|_x0005_`WQC|_x0005_`EDT|_x0005_`ADJ|F_x0005_`DET|"&amp;ROW(일위대가표!A3359)&amp;"_x0005_`"</f>
        <v>_x0007_`COD|B04836_x0005_`QTY1|1_x0005_`BQC|_x0005_`EQC|_x0005_`JDC|_x0005_`WQC|_x0005_`EDT|_x0005_`ADJ|F_x0005_`DET|3359_x0005_`</v>
      </c>
      <c r="K718" s="3" t="str">
        <f ca="1">HYPERLINK("#"&amp;일위대가표!N2&amp;"!A"&amp;ROW(일위대가표!A3359),"대가715 →")</f>
        <v>대가715 →</v>
      </c>
    </row>
    <row r="719" spans="1:11" ht="22.35" customHeight="1" x14ac:dyDescent="0.3">
      <c r="A719" s="9" t="s">
        <v>1857</v>
      </c>
      <c r="B719" s="10" t="s">
        <v>1842</v>
      </c>
      <c r="C719" s="10" t="s">
        <v>1855</v>
      </c>
      <c r="D719" s="9" t="s">
        <v>1010</v>
      </c>
      <c r="E719" s="48">
        <f>일위대가표!F3368</f>
        <v>54234</v>
      </c>
      <c r="F719" s="47">
        <f>일위대가표!H3368</f>
        <v>54234</v>
      </c>
      <c r="G719" s="56">
        <f>일위대가표!J3368</f>
        <v>0</v>
      </c>
      <c r="H719" s="48">
        <f>일위대가표!L3368</f>
        <v>0</v>
      </c>
      <c r="I719" s="15" t="s">
        <v>1857</v>
      </c>
      <c r="J719" s="17" t="str">
        <f>"_x0007_`COD|B04831_x0005_`QTY1|1_x0005_`BQC|_x0005_`EQC|_x0005_`JDC|_x0005_`WQC|_x0005_`EDT|_x0005_`ADJ|F_x0005_`DET|"&amp;ROW(일위대가표!A3365)&amp;"_x0005_`"</f>
        <v>_x0007_`COD|B04831_x0005_`QTY1|1_x0005_`BQC|_x0005_`EQC|_x0005_`JDC|_x0005_`WQC|_x0005_`EDT|_x0005_`ADJ|F_x0005_`DET|3365_x0005_`</v>
      </c>
      <c r="K719" s="3" t="str">
        <f ca="1">HYPERLINK("#"&amp;일위대가표!N2&amp;"!A"&amp;ROW(일위대가표!A3365),"대가716 →")</f>
        <v>대가716 →</v>
      </c>
    </row>
    <row r="720" spans="1:11" ht="22.35" customHeight="1" x14ac:dyDescent="0.3">
      <c r="A720" s="9" t="s">
        <v>1859</v>
      </c>
      <c r="B720" s="10" t="s">
        <v>1845</v>
      </c>
      <c r="C720" s="10" t="s">
        <v>1569</v>
      </c>
      <c r="D720" s="9" t="s">
        <v>1010</v>
      </c>
      <c r="E720" s="48">
        <f>일위대가표!F3374</f>
        <v>135585</v>
      </c>
      <c r="F720" s="47">
        <f>일위대가표!H3374</f>
        <v>135585</v>
      </c>
      <c r="G720" s="56">
        <f>일위대가표!J3374</f>
        <v>0</v>
      </c>
      <c r="H720" s="48">
        <f>일위대가표!L3374</f>
        <v>0</v>
      </c>
      <c r="I720" s="15" t="s">
        <v>1859</v>
      </c>
      <c r="J720" s="17" t="str">
        <f>"_x0007_`COD|B04827_x0005_`QTY1|1_x0005_`BQC|_x0005_`EQC|_x0005_`JDC|_x0005_`WQC|_x0005_`EDT|_x0005_`ADJ|F_x0005_`DET|"&amp;ROW(일위대가표!A3370)&amp;"_x0005_`"</f>
        <v>_x0007_`COD|B04827_x0005_`QTY1|1_x0005_`BQC|_x0005_`EQC|_x0005_`JDC|_x0005_`WQC|_x0005_`EDT|_x0005_`ADJ|F_x0005_`DET|3370_x0005_`</v>
      </c>
      <c r="K720" s="3" t="str">
        <f ca="1">HYPERLINK("#"&amp;일위대가표!N2&amp;"!A"&amp;ROW(일위대가표!A3370),"대가717 →")</f>
        <v>대가717 →</v>
      </c>
    </row>
    <row r="721" spans="1:11" ht="22.35" customHeight="1" x14ac:dyDescent="0.3">
      <c r="A721" s="9" t="s">
        <v>1861</v>
      </c>
      <c r="B721" s="10" t="s">
        <v>1838</v>
      </c>
      <c r="C721" s="10" t="s">
        <v>1862</v>
      </c>
      <c r="D721" s="9" t="s">
        <v>1010</v>
      </c>
      <c r="E721" s="48">
        <f>일위대가표!F3380</f>
        <v>246873</v>
      </c>
      <c r="F721" s="47">
        <f>일위대가표!H3380</f>
        <v>246873</v>
      </c>
      <c r="G721" s="56">
        <f>일위대가표!J3380</f>
        <v>0</v>
      </c>
      <c r="H721" s="48">
        <f>일위대가표!L3380</f>
        <v>0</v>
      </c>
      <c r="I721" s="15" t="s">
        <v>1861</v>
      </c>
      <c r="J721" s="17" t="str">
        <f>"_x0007_`COD|B04837_x0005_`QTY1|1_x0005_`BQC|_x0005_`EQC|_x0005_`JDC|_x0005_`WQC|_x0005_`EDT|_x0005_`ADJ|F_x0005_`DET|"&amp;ROW(일위대가표!A3376)&amp;"_x0005_`"</f>
        <v>_x0007_`COD|B04837_x0005_`QTY1|1_x0005_`BQC|_x0005_`EQC|_x0005_`JDC|_x0005_`WQC|_x0005_`EDT|_x0005_`ADJ|F_x0005_`DET|3376_x0005_`</v>
      </c>
      <c r="K721" s="3" t="str">
        <f ca="1">HYPERLINK("#"&amp;일위대가표!N2&amp;"!A"&amp;ROW(일위대가표!A3376),"대가718 →")</f>
        <v>대가718 →</v>
      </c>
    </row>
    <row r="722" spans="1:11" ht="22.35" customHeight="1" x14ac:dyDescent="0.3">
      <c r="A722" s="9" t="s">
        <v>1864</v>
      </c>
      <c r="B722" s="10" t="s">
        <v>1842</v>
      </c>
      <c r="C722" s="10" t="s">
        <v>1862</v>
      </c>
      <c r="D722" s="9" t="s">
        <v>1010</v>
      </c>
      <c r="E722" s="48">
        <f>일위대가표!F3385</f>
        <v>70535</v>
      </c>
      <c r="F722" s="47">
        <f>일위대가표!H3385</f>
        <v>70535</v>
      </c>
      <c r="G722" s="56">
        <f>일위대가표!J3385</f>
        <v>0</v>
      </c>
      <c r="H722" s="48">
        <f>일위대가표!L3385</f>
        <v>0</v>
      </c>
      <c r="I722" s="15" t="s">
        <v>1864</v>
      </c>
      <c r="J722" s="17" t="str">
        <f>"_x0007_`COD|B04832_x0005_`QTY1|1_x0005_`BQC|_x0005_`EQC|_x0005_`JDC|_x0005_`WQC|_x0005_`EDT|_x0005_`ADJ|F_x0005_`DET|"&amp;ROW(일위대가표!A3382)&amp;"_x0005_`"</f>
        <v>_x0007_`COD|B04832_x0005_`QTY1|1_x0005_`BQC|_x0005_`EQC|_x0005_`JDC|_x0005_`WQC|_x0005_`EDT|_x0005_`ADJ|F_x0005_`DET|3382_x0005_`</v>
      </c>
      <c r="K722" s="3" t="str">
        <f ca="1">HYPERLINK("#"&amp;일위대가표!N2&amp;"!A"&amp;ROW(일위대가표!A3382),"대가719 →")</f>
        <v>대가719 →</v>
      </c>
    </row>
    <row r="723" spans="1:11" ht="22.35" customHeight="1" x14ac:dyDescent="0.3">
      <c r="A723" s="9" t="s">
        <v>1866</v>
      </c>
      <c r="B723" s="10" t="s">
        <v>1845</v>
      </c>
      <c r="C723" s="10" t="s">
        <v>1572</v>
      </c>
      <c r="D723" s="9" t="s">
        <v>1010</v>
      </c>
      <c r="E723" s="48">
        <f>일위대가표!F3391</f>
        <v>176338</v>
      </c>
      <c r="F723" s="47">
        <f>일위대가표!H3391</f>
        <v>176338</v>
      </c>
      <c r="G723" s="56">
        <f>일위대가표!J3391</f>
        <v>0</v>
      </c>
      <c r="H723" s="48">
        <f>일위대가표!L3391</f>
        <v>0</v>
      </c>
      <c r="I723" s="15" t="s">
        <v>1866</v>
      </c>
      <c r="J723" s="17" t="str">
        <f>"_x0007_`COD|B04828_x0005_`QTY1|1_x0005_`BQC|_x0005_`EQC|_x0005_`JDC|_x0005_`WQC|_x0005_`EDT|_x0005_`ADJ|F_x0005_`DET|"&amp;ROW(일위대가표!A3387)&amp;"_x0005_`"</f>
        <v>_x0007_`COD|B04828_x0005_`QTY1|1_x0005_`BQC|_x0005_`EQC|_x0005_`JDC|_x0005_`WQC|_x0005_`EDT|_x0005_`ADJ|F_x0005_`DET|3387_x0005_`</v>
      </c>
      <c r="K723" s="3" t="str">
        <f ca="1">HYPERLINK("#"&amp;일위대가표!N2&amp;"!A"&amp;ROW(일위대가표!A3387),"대가720 →")</f>
        <v>대가720 →</v>
      </c>
    </row>
    <row r="724" spans="1:11" ht="22.35" customHeight="1" x14ac:dyDescent="0.3">
      <c r="A724" s="9" t="s">
        <v>1868</v>
      </c>
      <c r="B724" s="10" t="s">
        <v>1838</v>
      </c>
      <c r="C724" s="10" t="s">
        <v>1869</v>
      </c>
      <c r="D724" s="9" t="s">
        <v>1010</v>
      </c>
      <c r="E724" s="48">
        <f>일위대가표!F3397</f>
        <v>60695</v>
      </c>
      <c r="F724" s="47">
        <f>일위대가표!H3397</f>
        <v>60695</v>
      </c>
      <c r="G724" s="56">
        <f>일위대가표!J3397</f>
        <v>0</v>
      </c>
      <c r="H724" s="48">
        <f>일위대가표!L3397</f>
        <v>0</v>
      </c>
      <c r="I724" s="15" t="s">
        <v>1868</v>
      </c>
      <c r="J724" s="17" t="str">
        <f>"_x0007_`COD|B04833_x0005_`QTY1|1_x0005_`BQC|_x0005_`EQC|_x0005_`JDC|_x0005_`WQC|_x0005_`EDT|_x0005_`ADJ|F_x0005_`DET|"&amp;ROW(일위대가표!A3393)&amp;"_x0005_`"</f>
        <v>_x0007_`COD|B04833_x0005_`QTY1|1_x0005_`BQC|_x0005_`EQC|_x0005_`JDC|_x0005_`WQC|_x0005_`EDT|_x0005_`ADJ|F_x0005_`DET|3393_x0005_`</v>
      </c>
      <c r="K724" s="3" t="str">
        <f ca="1">HYPERLINK("#"&amp;일위대가표!N2&amp;"!A"&amp;ROW(일위대가표!A3393),"대가721 →")</f>
        <v>대가721 →</v>
      </c>
    </row>
    <row r="725" spans="1:11" ht="22.35" customHeight="1" x14ac:dyDescent="0.3">
      <c r="A725" s="9" t="s">
        <v>1871</v>
      </c>
      <c r="B725" s="10" t="s">
        <v>1842</v>
      </c>
      <c r="C725" s="10" t="s">
        <v>1869</v>
      </c>
      <c r="D725" s="9" t="s">
        <v>1010</v>
      </c>
      <c r="E725" s="48">
        <f>일위대가표!F3402</f>
        <v>17341</v>
      </c>
      <c r="F725" s="47">
        <f>일위대가표!H3402</f>
        <v>17341</v>
      </c>
      <c r="G725" s="56">
        <f>일위대가표!J3402</f>
        <v>0</v>
      </c>
      <c r="H725" s="48">
        <f>일위대가표!L3402</f>
        <v>0</v>
      </c>
      <c r="I725" s="15" t="s">
        <v>1871</v>
      </c>
      <c r="J725" s="17" t="str">
        <f>"_x0007_`COD|B04812_x0005_`QTY1|1_x0005_`BQC|_x0005_`EQC|_x0005_`JDC|_x0005_`WQC|_x0005_`EDT|_x0005_`ADJ|F_x0005_`DET|"&amp;ROW(일위대가표!A3399)&amp;"_x0005_`"</f>
        <v>_x0007_`COD|B04812_x0005_`QTY1|1_x0005_`BQC|_x0005_`EQC|_x0005_`JDC|_x0005_`WQC|_x0005_`EDT|_x0005_`ADJ|F_x0005_`DET|3399_x0005_`</v>
      </c>
      <c r="K725" s="3" t="str">
        <f ca="1">HYPERLINK("#"&amp;일위대가표!N2&amp;"!A"&amp;ROW(일위대가표!A3399),"대가722 →")</f>
        <v>대가722 →</v>
      </c>
    </row>
    <row r="726" spans="1:11" ht="22.35" customHeight="1" x14ac:dyDescent="0.3">
      <c r="A726" s="9" t="s">
        <v>1873</v>
      </c>
      <c r="B726" s="10" t="s">
        <v>1845</v>
      </c>
      <c r="C726" s="10" t="s">
        <v>1562</v>
      </c>
      <c r="D726" s="9" t="s">
        <v>1010</v>
      </c>
      <c r="E726" s="48">
        <f>일위대가표!F3408</f>
        <v>43354</v>
      </c>
      <c r="F726" s="47">
        <f>일위대가표!H3408</f>
        <v>43354</v>
      </c>
      <c r="G726" s="56">
        <f>일위대가표!J3408</f>
        <v>0</v>
      </c>
      <c r="H726" s="48">
        <f>일위대가표!L3408</f>
        <v>0</v>
      </c>
      <c r="I726" s="15" t="s">
        <v>1873</v>
      </c>
      <c r="J726" s="17" t="str">
        <f>"_x0007_`COD|B04824_x0005_`QTY1|1_x0005_`BQC|_x0005_`EQC|_x0005_`JDC|_x0005_`WQC|_x0005_`EDT|_x0005_`ADJ|F_x0005_`DET|"&amp;ROW(일위대가표!A3404)&amp;"_x0005_`"</f>
        <v>_x0007_`COD|B04824_x0005_`QTY1|1_x0005_`BQC|_x0005_`EQC|_x0005_`JDC|_x0005_`WQC|_x0005_`EDT|_x0005_`ADJ|F_x0005_`DET|3404_x0005_`</v>
      </c>
      <c r="K726" s="3" t="str">
        <f ca="1">HYPERLINK("#"&amp;일위대가표!N2&amp;"!A"&amp;ROW(일위대가표!A3404),"대가723 →")</f>
        <v>대가723 →</v>
      </c>
    </row>
    <row r="727" spans="1:11" ht="22.35" customHeight="1" x14ac:dyDescent="0.3">
      <c r="A727" s="9" t="s">
        <v>1875</v>
      </c>
      <c r="B727" s="10" t="s">
        <v>1842</v>
      </c>
      <c r="C727" s="10" t="s">
        <v>1876</v>
      </c>
      <c r="D727" s="9" t="s">
        <v>1010</v>
      </c>
      <c r="E727" s="48">
        <f>일위대가표!F3413</f>
        <v>70535</v>
      </c>
      <c r="F727" s="47">
        <f>일위대가표!H3413</f>
        <v>70535</v>
      </c>
      <c r="G727" s="56">
        <f>일위대가표!J3413</f>
        <v>0</v>
      </c>
      <c r="H727" s="48">
        <f>일위대가표!L3413</f>
        <v>0</v>
      </c>
      <c r="I727" s="15" t="s">
        <v>1875</v>
      </c>
      <c r="J727" s="17" t="str">
        <f>"_x0007_`COD|B05066_x0005_`QTY1|1_x0005_`BQC|_x0005_`EQC|_x0005_`JDC|_x0005_`WQC|_x0005_`EDT|_x0005_`ADJ|F_x0005_`DET|"&amp;ROW(일위대가표!A3410)&amp;"_x0005_`"</f>
        <v>_x0007_`COD|B05066_x0005_`QTY1|1_x0005_`BQC|_x0005_`EQC|_x0005_`JDC|_x0005_`WQC|_x0005_`EDT|_x0005_`ADJ|F_x0005_`DET|3410_x0005_`</v>
      </c>
      <c r="K727" s="3" t="str">
        <f ca="1">HYPERLINK("#"&amp;일위대가표!N2&amp;"!A"&amp;ROW(일위대가표!A3410),"대가724 →")</f>
        <v>대가724 →</v>
      </c>
    </row>
    <row r="728" spans="1:11" ht="22.35" customHeight="1" x14ac:dyDescent="0.3">
      <c r="A728" s="9" t="s">
        <v>1878</v>
      </c>
      <c r="B728" s="10" t="s">
        <v>1845</v>
      </c>
      <c r="C728" s="10" t="s">
        <v>1879</v>
      </c>
      <c r="D728" s="9" t="s">
        <v>1010</v>
      </c>
      <c r="E728" s="48">
        <f>일위대가표!F3419</f>
        <v>176338</v>
      </c>
      <c r="F728" s="47">
        <f>일위대가표!H3419</f>
        <v>176338</v>
      </c>
      <c r="G728" s="56">
        <f>일위대가표!J3419</f>
        <v>0</v>
      </c>
      <c r="H728" s="48">
        <f>일위대가표!L3419</f>
        <v>0</v>
      </c>
      <c r="I728" s="15" t="s">
        <v>1878</v>
      </c>
      <c r="J728" s="17" t="str">
        <f>"_x0007_`COD|B05069_x0005_`QTY1|1_x0005_`BQC|_x0005_`EQC|_x0005_`JDC|_x0005_`WQC|_x0005_`EDT|_x0005_`ADJ|F_x0005_`DET|"&amp;ROW(일위대가표!A3415)&amp;"_x0005_`"</f>
        <v>_x0007_`COD|B05069_x0005_`QTY1|1_x0005_`BQC|_x0005_`EQC|_x0005_`JDC|_x0005_`WQC|_x0005_`EDT|_x0005_`ADJ|F_x0005_`DET|3415_x0005_`</v>
      </c>
      <c r="K728" s="3" t="str">
        <f ca="1">HYPERLINK("#"&amp;일위대가표!N2&amp;"!A"&amp;ROW(일위대가표!A3415),"대가725 →")</f>
        <v>대가725 →</v>
      </c>
    </row>
    <row r="729" spans="1:11" ht="22.35" customHeight="1" x14ac:dyDescent="0.3">
      <c r="A729" s="9" t="s">
        <v>1881</v>
      </c>
      <c r="B729" s="10" t="s">
        <v>1838</v>
      </c>
      <c r="C729" s="10" t="s">
        <v>1882</v>
      </c>
      <c r="D729" s="9" t="s">
        <v>1010</v>
      </c>
      <c r="E729" s="48">
        <f>일위대가표!F3425</f>
        <v>60695</v>
      </c>
      <c r="F729" s="47">
        <f>일위대가표!H3425</f>
        <v>60695</v>
      </c>
      <c r="G729" s="56">
        <f>일위대가표!J3425</f>
        <v>0</v>
      </c>
      <c r="H729" s="48">
        <f>일위대가표!L3425</f>
        <v>0</v>
      </c>
      <c r="I729" s="15" t="s">
        <v>1881</v>
      </c>
      <c r="J729" s="17" t="str">
        <f>"_x0007_`COD|B05068_x0005_`QTY1|1_x0005_`BQC|_x0005_`EQC|_x0005_`JDC|_x0005_`WQC|_x0005_`EDT|_x0005_`ADJ|F_x0005_`DET|"&amp;ROW(일위대가표!A3421)&amp;"_x0005_`"</f>
        <v>_x0007_`COD|B05068_x0005_`QTY1|1_x0005_`BQC|_x0005_`EQC|_x0005_`JDC|_x0005_`WQC|_x0005_`EDT|_x0005_`ADJ|F_x0005_`DET|3421_x0005_`</v>
      </c>
      <c r="K729" s="3" t="str">
        <f ca="1">HYPERLINK("#"&amp;일위대가표!N2&amp;"!A"&amp;ROW(일위대가표!A3421),"대가726 →")</f>
        <v>대가726 →</v>
      </c>
    </row>
    <row r="730" spans="1:11" ht="22.35" customHeight="1" x14ac:dyDescent="0.3">
      <c r="A730" s="9" t="s">
        <v>1884</v>
      </c>
      <c r="B730" s="10" t="s">
        <v>1838</v>
      </c>
      <c r="C730" s="10" t="s">
        <v>1876</v>
      </c>
      <c r="D730" s="9" t="s">
        <v>1010</v>
      </c>
      <c r="E730" s="48">
        <f>일위대가표!F3431</f>
        <v>246873</v>
      </c>
      <c r="F730" s="47">
        <f>일위대가표!H3431</f>
        <v>246873</v>
      </c>
      <c r="G730" s="56">
        <f>일위대가표!J3431</f>
        <v>0</v>
      </c>
      <c r="H730" s="48">
        <f>일위대가표!L3431</f>
        <v>0</v>
      </c>
      <c r="I730" s="15" t="s">
        <v>1884</v>
      </c>
      <c r="J730" s="17" t="str">
        <f>"_x0007_`COD|B05071_x0005_`QTY1|1_x0005_`BQC|_x0005_`EQC|_x0005_`JDC|_x0005_`WQC|_x0005_`EDT|_x0005_`ADJ|F_x0005_`DET|"&amp;ROW(일위대가표!A3427)&amp;"_x0005_`"</f>
        <v>_x0007_`COD|B05071_x0005_`QTY1|1_x0005_`BQC|_x0005_`EQC|_x0005_`JDC|_x0005_`WQC|_x0005_`EDT|_x0005_`ADJ|F_x0005_`DET|3427_x0005_`</v>
      </c>
      <c r="K730" s="3" t="str">
        <f ca="1">HYPERLINK("#"&amp;일위대가표!N2&amp;"!A"&amp;ROW(일위대가표!A3427),"대가727 →")</f>
        <v>대가727 →</v>
      </c>
    </row>
    <row r="731" spans="1:11" ht="22.35" customHeight="1" x14ac:dyDescent="0.3">
      <c r="A731" s="9" t="s">
        <v>1886</v>
      </c>
      <c r="B731" s="10" t="s">
        <v>1887</v>
      </c>
      <c r="C731" s="10" t="s">
        <v>1888</v>
      </c>
      <c r="D731" s="9" t="s">
        <v>1010</v>
      </c>
      <c r="E731" s="48">
        <f>일위대가표!F3437</f>
        <v>42735</v>
      </c>
      <c r="F731" s="47">
        <f>일위대가표!H3437</f>
        <v>42735</v>
      </c>
      <c r="G731" s="56">
        <f>일위대가표!J3437</f>
        <v>0</v>
      </c>
      <c r="H731" s="48">
        <f>일위대가표!L3437</f>
        <v>0</v>
      </c>
      <c r="I731" s="15" t="s">
        <v>1886</v>
      </c>
      <c r="J731" s="17" t="str">
        <f>"_x0007_`COD|B05038_x0005_`QTY1|1_x0005_`BQC|_x0005_`EQC|_x0005_`JDC|_x0005_`WQC|_x0005_`EDT|_x0005_`ADJ|F_x0005_`DET|"&amp;ROW(일위대가표!A3433)&amp;"_x0005_`"</f>
        <v>_x0007_`COD|B05038_x0005_`QTY1|1_x0005_`BQC|_x0005_`EQC|_x0005_`JDC|_x0005_`WQC|_x0005_`EDT|_x0005_`ADJ|F_x0005_`DET|3433_x0005_`</v>
      </c>
      <c r="K731" s="3" t="str">
        <f ca="1">HYPERLINK("#"&amp;일위대가표!N2&amp;"!A"&amp;ROW(일위대가표!A3433),"대가728 →")</f>
        <v>대가728 →</v>
      </c>
    </row>
    <row r="732" spans="1:11" ht="22.35" customHeight="1" x14ac:dyDescent="0.3">
      <c r="A732" s="9" t="s">
        <v>1890</v>
      </c>
      <c r="B732" s="10" t="s">
        <v>1891</v>
      </c>
      <c r="C732" s="10" t="s">
        <v>1888</v>
      </c>
      <c r="D732" s="9" t="s">
        <v>1010</v>
      </c>
      <c r="E732" s="48">
        <f>일위대가표!F3442</f>
        <v>14245</v>
      </c>
      <c r="F732" s="47">
        <f>일위대가표!H3442</f>
        <v>14245</v>
      </c>
      <c r="G732" s="56">
        <f>일위대가표!J3442</f>
        <v>0</v>
      </c>
      <c r="H732" s="48">
        <f>일위대가표!L3442</f>
        <v>0</v>
      </c>
      <c r="I732" s="15" t="s">
        <v>1890</v>
      </c>
      <c r="J732" s="17" t="str">
        <f>"_x0007_`COD|B04845_x0005_`QTY1|1_x0005_`BQC|_x0005_`EQC|_x0005_`JDC|_x0005_`WQC|_x0005_`EDT|_x0005_`ADJ|F_x0005_`DET|"&amp;ROW(일위대가표!A3439)&amp;"_x0005_`"</f>
        <v>_x0007_`COD|B04845_x0005_`QTY1|1_x0005_`BQC|_x0005_`EQC|_x0005_`JDC|_x0005_`WQC|_x0005_`EDT|_x0005_`ADJ|F_x0005_`DET|3439_x0005_`</v>
      </c>
      <c r="K732" s="3" t="str">
        <f ca="1">HYPERLINK("#"&amp;일위대가표!N2&amp;"!A"&amp;ROW(일위대가표!A3439),"대가729 →")</f>
        <v>대가729 →</v>
      </c>
    </row>
    <row r="733" spans="1:11" ht="22.35" customHeight="1" x14ac:dyDescent="0.3">
      <c r="A733" s="9" t="s">
        <v>1893</v>
      </c>
      <c r="B733" s="10" t="s">
        <v>1894</v>
      </c>
      <c r="C733" s="10" t="s">
        <v>1895</v>
      </c>
      <c r="D733" s="9" t="s">
        <v>1010</v>
      </c>
      <c r="E733" s="48">
        <f>일위대가표!F3448</f>
        <v>28490</v>
      </c>
      <c r="F733" s="47">
        <f>일위대가표!H3448</f>
        <v>28490</v>
      </c>
      <c r="G733" s="56">
        <f>일위대가표!J3448</f>
        <v>0</v>
      </c>
      <c r="H733" s="48">
        <f>일위대가표!L3448</f>
        <v>0</v>
      </c>
      <c r="I733" s="15" t="s">
        <v>1893</v>
      </c>
      <c r="J733" s="17" t="str">
        <f>"_x0007_`COD|B04838_x0005_`QTY1|1_x0005_`BQC|_x0005_`EQC|_x0005_`JDC|_x0005_`WQC|_x0005_`EDT|_x0005_`ADJ|F_x0005_`DET|"&amp;ROW(일위대가표!A3444)&amp;"_x0005_`"</f>
        <v>_x0007_`COD|B04838_x0005_`QTY1|1_x0005_`BQC|_x0005_`EQC|_x0005_`JDC|_x0005_`WQC|_x0005_`EDT|_x0005_`ADJ|F_x0005_`DET|3444_x0005_`</v>
      </c>
      <c r="K733" s="3" t="str">
        <f ca="1">HYPERLINK("#"&amp;일위대가표!N2&amp;"!A"&amp;ROW(일위대가표!A3444),"대가730 →")</f>
        <v>대가730 →</v>
      </c>
    </row>
    <row r="734" spans="1:11" ht="22.35" customHeight="1" x14ac:dyDescent="0.3">
      <c r="A734" s="9" t="s">
        <v>1897</v>
      </c>
      <c r="B734" s="10" t="s">
        <v>1887</v>
      </c>
      <c r="C734" s="10" t="s">
        <v>1898</v>
      </c>
      <c r="D734" s="9" t="s">
        <v>1010</v>
      </c>
      <c r="E734" s="48">
        <f>일위대가표!F3454</f>
        <v>126102</v>
      </c>
      <c r="F734" s="47">
        <f>일위대가표!H3454</f>
        <v>126102</v>
      </c>
      <c r="G734" s="56">
        <f>일위대가표!J3454</f>
        <v>0</v>
      </c>
      <c r="H734" s="48">
        <f>일위대가표!L3454</f>
        <v>0</v>
      </c>
      <c r="I734" s="15" t="s">
        <v>1897</v>
      </c>
      <c r="J734" s="17" t="str">
        <f>"_x0007_`COD|B05039_x0005_`QTY1|1_x0005_`BQC|_x0005_`EQC|_x0005_`JDC|_x0005_`WQC|_x0005_`EDT|_x0005_`ADJ|F_x0005_`DET|"&amp;ROW(일위대가표!A3450)&amp;"_x0005_`"</f>
        <v>_x0007_`COD|B05039_x0005_`QTY1|1_x0005_`BQC|_x0005_`EQC|_x0005_`JDC|_x0005_`WQC|_x0005_`EDT|_x0005_`ADJ|F_x0005_`DET|3450_x0005_`</v>
      </c>
      <c r="K734" s="3" t="str">
        <f ca="1">HYPERLINK("#"&amp;일위대가표!N2&amp;"!A"&amp;ROW(일위대가표!A3450),"대가731 →")</f>
        <v>대가731 →</v>
      </c>
    </row>
    <row r="735" spans="1:11" ht="22.35" customHeight="1" x14ac:dyDescent="0.3">
      <c r="A735" s="9" t="s">
        <v>1900</v>
      </c>
      <c r="B735" s="10" t="s">
        <v>1891</v>
      </c>
      <c r="C735" s="10" t="s">
        <v>1898</v>
      </c>
      <c r="D735" s="9" t="s">
        <v>1010</v>
      </c>
      <c r="E735" s="48">
        <f>일위대가표!F3459</f>
        <v>42034</v>
      </c>
      <c r="F735" s="47">
        <f>일위대가표!H3459</f>
        <v>42034</v>
      </c>
      <c r="G735" s="56">
        <f>일위대가표!J3459</f>
        <v>0</v>
      </c>
      <c r="H735" s="48">
        <f>일위대가표!L3459</f>
        <v>0</v>
      </c>
      <c r="I735" s="15" t="s">
        <v>1900</v>
      </c>
      <c r="J735" s="17" t="str">
        <f>"_x0007_`COD|B04846_x0005_`QTY1|1_x0005_`BQC|_x0005_`EQC|_x0005_`JDC|_x0005_`WQC|_x0005_`EDT|_x0005_`ADJ|F_x0005_`DET|"&amp;ROW(일위대가표!A3456)&amp;"_x0005_`"</f>
        <v>_x0007_`COD|B04846_x0005_`QTY1|1_x0005_`BQC|_x0005_`EQC|_x0005_`JDC|_x0005_`WQC|_x0005_`EDT|_x0005_`ADJ|F_x0005_`DET|3456_x0005_`</v>
      </c>
      <c r="K735" s="3" t="str">
        <f ca="1">HYPERLINK("#"&amp;일위대가표!N2&amp;"!A"&amp;ROW(일위대가표!A3456),"대가732 →")</f>
        <v>대가732 →</v>
      </c>
    </row>
    <row r="736" spans="1:11" ht="22.35" customHeight="1" x14ac:dyDescent="0.3">
      <c r="A736" s="9" t="s">
        <v>1902</v>
      </c>
      <c r="B736" s="10" t="s">
        <v>1894</v>
      </c>
      <c r="C736" s="10" t="s">
        <v>1903</v>
      </c>
      <c r="D736" s="9" t="s">
        <v>1010</v>
      </c>
      <c r="E736" s="48">
        <f>일위대가표!F3465</f>
        <v>84068</v>
      </c>
      <c r="F736" s="47">
        <f>일위대가표!H3465</f>
        <v>84068</v>
      </c>
      <c r="G736" s="56">
        <f>일위대가표!J3465</f>
        <v>0</v>
      </c>
      <c r="H736" s="48">
        <f>일위대가표!L3465</f>
        <v>0</v>
      </c>
      <c r="I736" s="15" t="s">
        <v>1902</v>
      </c>
      <c r="J736" s="17" t="str">
        <f>"_x0007_`COD|B04839_x0005_`QTY1|1_x0005_`BQC|_x0005_`EQC|_x0005_`JDC|_x0005_`WQC|_x0005_`EDT|_x0005_`ADJ|F_x0005_`DET|"&amp;ROW(일위대가표!A3461)&amp;"_x0005_`"</f>
        <v>_x0007_`COD|B04839_x0005_`QTY1|1_x0005_`BQC|_x0005_`EQC|_x0005_`JDC|_x0005_`WQC|_x0005_`EDT|_x0005_`ADJ|F_x0005_`DET|3461_x0005_`</v>
      </c>
      <c r="K736" s="3" t="str">
        <f ca="1">HYPERLINK("#"&amp;일위대가표!N2&amp;"!A"&amp;ROW(일위대가표!A3461),"대가733 →")</f>
        <v>대가733 →</v>
      </c>
    </row>
    <row r="737" spans="1:11" ht="22.35" customHeight="1" x14ac:dyDescent="0.3">
      <c r="A737" s="9" t="s">
        <v>1905</v>
      </c>
      <c r="B737" s="10" t="s">
        <v>1887</v>
      </c>
      <c r="C737" s="10" t="s">
        <v>1906</v>
      </c>
      <c r="D737" s="9" t="s">
        <v>1010</v>
      </c>
      <c r="E737" s="48">
        <f>일위대가표!F3471</f>
        <v>187711</v>
      </c>
      <c r="F737" s="47">
        <f>일위대가표!H3471</f>
        <v>187711</v>
      </c>
      <c r="G737" s="56">
        <f>일위대가표!J3471</f>
        <v>0</v>
      </c>
      <c r="H737" s="48">
        <f>일위대가표!L3471</f>
        <v>0</v>
      </c>
      <c r="I737" s="15" t="s">
        <v>1905</v>
      </c>
      <c r="J737" s="17" t="str">
        <f>"_x0007_`COD|B05040_x0005_`QTY1|1_x0005_`BQC|_x0005_`EQC|_x0005_`JDC|_x0005_`WQC|_x0005_`EDT|_x0005_`ADJ|F_x0005_`DET|"&amp;ROW(일위대가표!A3467)&amp;"_x0005_`"</f>
        <v>_x0007_`COD|B05040_x0005_`QTY1|1_x0005_`BQC|_x0005_`EQC|_x0005_`JDC|_x0005_`WQC|_x0005_`EDT|_x0005_`ADJ|F_x0005_`DET|3467_x0005_`</v>
      </c>
      <c r="K737" s="3" t="str">
        <f ca="1">HYPERLINK("#"&amp;일위대가표!N2&amp;"!A"&amp;ROW(일위대가표!A3467),"대가734 →")</f>
        <v>대가734 →</v>
      </c>
    </row>
    <row r="738" spans="1:11" ht="22.35" customHeight="1" x14ac:dyDescent="0.3">
      <c r="A738" s="9" t="s">
        <v>1908</v>
      </c>
      <c r="B738" s="10" t="s">
        <v>1891</v>
      </c>
      <c r="C738" s="10" t="s">
        <v>1906</v>
      </c>
      <c r="D738" s="9" t="s">
        <v>1010</v>
      </c>
      <c r="E738" s="48">
        <f>일위대가표!F3476</f>
        <v>62570</v>
      </c>
      <c r="F738" s="47">
        <f>일위대가표!H3476</f>
        <v>62570</v>
      </c>
      <c r="G738" s="56">
        <f>일위대가표!J3476</f>
        <v>0</v>
      </c>
      <c r="H738" s="48">
        <f>일위대가표!L3476</f>
        <v>0</v>
      </c>
      <c r="I738" s="15" t="s">
        <v>1908</v>
      </c>
      <c r="J738" s="17" t="str">
        <f>"_x0007_`COD|B04847_x0005_`QTY1|1_x0005_`BQC|_x0005_`EQC|_x0005_`JDC|_x0005_`WQC|_x0005_`EDT|_x0005_`ADJ|F_x0005_`DET|"&amp;ROW(일위대가표!A3473)&amp;"_x0005_`"</f>
        <v>_x0007_`COD|B04847_x0005_`QTY1|1_x0005_`BQC|_x0005_`EQC|_x0005_`JDC|_x0005_`WQC|_x0005_`EDT|_x0005_`ADJ|F_x0005_`DET|3473_x0005_`</v>
      </c>
      <c r="K738" s="3" t="str">
        <f ca="1">HYPERLINK("#"&amp;일위대가표!N2&amp;"!A"&amp;ROW(일위대가표!A3473),"대가735 →")</f>
        <v>대가735 →</v>
      </c>
    </row>
    <row r="739" spans="1:11" ht="22.35" customHeight="1" x14ac:dyDescent="0.3">
      <c r="A739" s="9" t="s">
        <v>1910</v>
      </c>
      <c r="B739" s="10" t="s">
        <v>1894</v>
      </c>
      <c r="C739" s="10" t="s">
        <v>1911</v>
      </c>
      <c r="D739" s="9" t="s">
        <v>1010</v>
      </c>
      <c r="E739" s="48">
        <f>일위대가표!F3482</f>
        <v>125141</v>
      </c>
      <c r="F739" s="47">
        <f>일위대가표!H3482</f>
        <v>125141</v>
      </c>
      <c r="G739" s="56">
        <f>일위대가표!J3482</f>
        <v>0</v>
      </c>
      <c r="H739" s="48">
        <f>일위대가표!L3482</f>
        <v>0</v>
      </c>
      <c r="I739" s="15" t="s">
        <v>1910</v>
      </c>
      <c r="J739" s="17" t="str">
        <f>"_x0007_`COD|B04840_x0005_`QTY1|1_x0005_`BQC|_x0005_`EQC|_x0005_`JDC|_x0005_`WQC|_x0005_`EDT|_x0005_`ADJ|F_x0005_`DET|"&amp;ROW(일위대가표!A3478)&amp;"_x0005_`"</f>
        <v>_x0007_`COD|B04840_x0005_`QTY1|1_x0005_`BQC|_x0005_`EQC|_x0005_`JDC|_x0005_`WQC|_x0005_`EDT|_x0005_`ADJ|F_x0005_`DET|3478_x0005_`</v>
      </c>
      <c r="K739" s="3" t="str">
        <f ca="1">HYPERLINK("#"&amp;일위대가표!N2&amp;"!A"&amp;ROW(일위대가표!A3478),"대가736 →")</f>
        <v>대가736 →</v>
      </c>
    </row>
    <row r="740" spans="1:11" ht="22.35" customHeight="1" x14ac:dyDescent="0.3">
      <c r="A740" s="9" t="s">
        <v>1913</v>
      </c>
      <c r="B740" s="10" t="s">
        <v>1887</v>
      </c>
      <c r="C740" s="10" t="s">
        <v>1914</v>
      </c>
      <c r="D740" s="9" t="s">
        <v>1010</v>
      </c>
      <c r="E740" s="48">
        <f>일위대가표!F3488</f>
        <v>319974</v>
      </c>
      <c r="F740" s="47">
        <f>일위대가표!H3488</f>
        <v>319974</v>
      </c>
      <c r="G740" s="56">
        <f>일위대가표!J3488</f>
        <v>0</v>
      </c>
      <c r="H740" s="48">
        <f>일위대가표!L3488</f>
        <v>0</v>
      </c>
      <c r="I740" s="15" t="s">
        <v>1913</v>
      </c>
      <c r="J740" s="17" t="str">
        <f>"_x0007_`COD|B05041_x0005_`QTY1|1_x0005_`BQC|_x0005_`EQC|_x0005_`JDC|_x0005_`WQC|_x0005_`EDT|_x0005_`ADJ|F_x0005_`DET|"&amp;ROW(일위대가표!A3484)&amp;"_x0005_`"</f>
        <v>_x0007_`COD|B05041_x0005_`QTY1|1_x0005_`BQC|_x0005_`EQC|_x0005_`JDC|_x0005_`WQC|_x0005_`EDT|_x0005_`ADJ|F_x0005_`DET|3484_x0005_`</v>
      </c>
      <c r="K740" s="3" t="str">
        <f ca="1">HYPERLINK("#"&amp;일위대가표!N2&amp;"!A"&amp;ROW(일위대가표!A3484),"대가737 →")</f>
        <v>대가737 →</v>
      </c>
    </row>
    <row r="741" spans="1:11" ht="22.35" customHeight="1" x14ac:dyDescent="0.3">
      <c r="A741" s="9" t="s">
        <v>1916</v>
      </c>
      <c r="B741" s="10" t="s">
        <v>1891</v>
      </c>
      <c r="C741" s="10" t="s">
        <v>1914</v>
      </c>
      <c r="D741" s="9" t="s">
        <v>1010</v>
      </c>
      <c r="E741" s="48">
        <f>일위대가표!F3493</f>
        <v>106658</v>
      </c>
      <c r="F741" s="47">
        <f>일위대가표!H3493</f>
        <v>106658</v>
      </c>
      <c r="G741" s="56">
        <f>일위대가표!J3493</f>
        <v>0</v>
      </c>
      <c r="H741" s="48">
        <f>일위대가표!L3493</f>
        <v>0</v>
      </c>
      <c r="I741" s="15" t="s">
        <v>1916</v>
      </c>
      <c r="J741" s="17" t="str">
        <f>"_x0007_`COD|B04848_x0005_`QTY1|1_x0005_`BQC|_x0005_`EQC|_x0005_`JDC|_x0005_`WQC|_x0005_`EDT|_x0005_`ADJ|F_x0005_`DET|"&amp;ROW(일위대가표!A3490)&amp;"_x0005_`"</f>
        <v>_x0007_`COD|B04848_x0005_`QTY1|1_x0005_`BQC|_x0005_`EQC|_x0005_`JDC|_x0005_`WQC|_x0005_`EDT|_x0005_`ADJ|F_x0005_`DET|3490_x0005_`</v>
      </c>
      <c r="K741" s="3" t="str">
        <f ca="1">HYPERLINK("#"&amp;일위대가표!N2&amp;"!A"&amp;ROW(일위대가표!A3490),"대가738 →")</f>
        <v>대가738 →</v>
      </c>
    </row>
    <row r="742" spans="1:11" ht="22.35" customHeight="1" x14ac:dyDescent="0.3">
      <c r="A742" s="9" t="s">
        <v>1918</v>
      </c>
      <c r="B742" s="10" t="s">
        <v>1894</v>
      </c>
      <c r="C742" s="10" t="s">
        <v>1919</v>
      </c>
      <c r="D742" s="9" t="s">
        <v>1010</v>
      </c>
      <c r="E742" s="48">
        <f>일위대가표!F3499</f>
        <v>213316</v>
      </c>
      <c r="F742" s="47">
        <f>일위대가표!H3499</f>
        <v>213316</v>
      </c>
      <c r="G742" s="56">
        <f>일위대가표!J3499</f>
        <v>0</v>
      </c>
      <c r="H742" s="48">
        <f>일위대가표!L3499</f>
        <v>0</v>
      </c>
      <c r="I742" s="15" t="s">
        <v>1918</v>
      </c>
      <c r="J742" s="17" t="str">
        <f>"_x0007_`COD|B04841_x0005_`QTY1|1_x0005_`BQC|_x0005_`EQC|_x0005_`JDC|_x0005_`WQC|_x0005_`EDT|_x0005_`ADJ|F_x0005_`DET|"&amp;ROW(일위대가표!A3495)&amp;"_x0005_`"</f>
        <v>_x0007_`COD|B04841_x0005_`QTY1|1_x0005_`BQC|_x0005_`EQC|_x0005_`JDC|_x0005_`WQC|_x0005_`EDT|_x0005_`ADJ|F_x0005_`DET|3495_x0005_`</v>
      </c>
      <c r="K742" s="3" t="str">
        <f ca="1">HYPERLINK("#"&amp;일위대가표!N2&amp;"!A"&amp;ROW(일위대가표!A3495),"대가739 →")</f>
        <v>대가739 →</v>
      </c>
    </row>
    <row r="743" spans="1:11" ht="22.35" customHeight="1" x14ac:dyDescent="0.3">
      <c r="A743" s="9" t="s">
        <v>1921</v>
      </c>
      <c r="B743" s="10" t="s">
        <v>1887</v>
      </c>
      <c r="C743" s="10" t="s">
        <v>1922</v>
      </c>
      <c r="D743" s="9" t="s">
        <v>1010</v>
      </c>
      <c r="E743" s="48">
        <f>일위대가표!F3505</f>
        <v>441247</v>
      </c>
      <c r="F743" s="47">
        <f>일위대가표!H3505</f>
        <v>441247</v>
      </c>
      <c r="G743" s="56">
        <f>일위대가표!J3505</f>
        <v>0</v>
      </c>
      <c r="H743" s="48">
        <f>일위대가표!L3505</f>
        <v>0</v>
      </c>
      <c r="I743" s="15" t="s">
        <v>1921</v>
      </c>
      <c r="J743" s="17" t="str">
        <f>"_x0007_`COD|B05042_x0005_`QTY1|1_x0005_`BQC|_x0005_`EQC|_x0005_`JDC|_x0005_`WQC|_x0005_`EDT|_x0005_`ADJ|F_x0005_`DET|"&amp;ROW(일위대가표!A3501)&amp;"_x0005_`"</f>
        <v>_x0007_`COD|B05042_x0005_`QTY1|1_x0005_`BQC|_x0005_`EQC|_x0005_`JDC|_x0005_`WQC|_x0005_`EDT|_x0005_`ADJ|F_x0005_`DET|3501_x0005_`</v>
      </c>
      <c r="K743" s="3" t="str">
        <f ca="1">HYPERLINK("#"&amp;일위대가표!N2&amp;"!A"&amp;ROW(일위대가표!A3501),"대가740 →")</f>
        <v>대가740 →</v>
      </c>
    </row>
    <row r="744" spans="1:11" ht="22.35" customHeight="1" x14ac:dyDescent="0.3">
      <c r="A744" s="9" t="s">
        <v>1924</v>
      </c>
      <c r="B744" s="10" t="s">
        <v>1891</v>
      </c>
      <c r="C744" s="10" t="s">
        <v>1922</v>
      </c>
      <c r="D744" s="9" t="s">
        <v>1010</v>
      </c>
      <c r="E744" s="48">
        <f>일위대가표!F3510</f>
        <v>147082</v>
      </c>
      <c r="F744" s="47">
        <f>일위대가표!H3510</f>
        <v>147082</v>
      </c>
      <c r="G744" s="56">
        <f>일위대가표!J3510</f>
        <v>0</v>
      </c>
      <c r="H744" s="48">
        <f>일위대가표!L3510</f>
        <v>0</v>
      </c>
      <c r="I744" s="15" t="s">
        <v>1924</v>
      </c>
      <c r="J744" s="17" t="str">
        <f>"_x0007_`COD|B04849_x0005_`QTY1|1_x0005_`BQC|_x0005_`EQC|_x0005_`JDC|_x0005_`WQC|_x0005_`EDT|_x0005_`ADJ|F_x0005_`DET|"&amp;ROW(일위대가표!A3507)&amp;"_x0005_`"</f>
        <v>_x0007_`COD|B04849_x0005_`QTY1|1_x0005_`BQC|_x0005_`EQC|_x0005_`JDC|_x0005_`WQC|_x0005_`EDT|_x0005_`ADJ|F_x0005_`DET|3507_x0005_`</v>
      </c>
      <c r="K744" s="3" t="str">
        <f ca="1">HYPERLINK("#"&amp;일위대가표!N2&amp;"!A"&amp;ROW(일위대가표!A3507),"대가741 →")</f>
        <v>대가741 →</v>
      </c>
    </row>
    <row r="745" spans="1:11" ht="22.35" customHeight="1" x14ac:dyDescent="0.3">
      <c r="A745" s="9" t="s">
        <v>1926</v>
      </c>
      <c r="B745" s="10" t="s">
        <v>1894</v>
      </c>
      <c r="C745" s="10" t="s">
        <v>1927</v>
      </c>
      <c r="D745" s="9" t="s">
        <v>1010</v>
      </c>
      <c r="E745" s="48">
        <f>일위대가표!F3516</f>
        <v>294165</v>
      </c>
      <c r="F745" s="47">
        <f>일위대가표!H3516</f>
        <v>294165</v>
      </c>
      <c r="G745" s="56">
        <f>일위대가표!J3516</f>
        <v>0</v>
      </c>
      <c r="H745" s="48">
        <f>일위대가표!L3516</f>
        <v>0</v>
      </c>
      <c r="I745" s="15" t="s">
        <v>1926</v>
      </c>
      <c r="J745" s="17" t="str">
        <f>"_x0007_`COD|B04842_x0005_`QTY1|1_x0005_`BQC|_x0005_`EQC|_x0005_`JDC|_x0005_`WQC|_x0005_`EDT|_x0005_`ADJ|F_x0005_`DET|"&amp;ROW(일위대가표!A3512)&amp;"_x0005_`"</f>
        <v>_x0007_`COD|B04842_x0005_`QTY1|1_x0005_`BQC|_x0005_`EQC|_x0005_`JDC|_x0005_`WQC|_x0005_`EDT|_x0005_`ADJ|F_x0005_`DET|3512_x0005_`</v>
      </c>
      <c r="K745" s="3" t="str">
        <f ca="1">HYPERLINK("#"&amp;일위대가표!N2&amp;"!A"&amp;ROW(일위대가표!A3512),"대가742 →")</f>
        <v>대가742 →</v>
      </c>
    </row>
    <row r="746" spans="1:11" ht="22.35" customHeight="1" x14ac:dyDescent="0.3">
      <c r="A746" s="9" t="s">
        <v>1929</v>
      </c>
      <c r="B746" s="10" t="s">
        <v>1887</v>
      </c>
      <c r="C746" s="10" t="s">
        <v>1930</v>
      </c>
      <c r="D746" s="9" t="s">
        <v>1010</v>
      </c>
      <c r="E746" s="48">
        <f>일위대가표!F3522</f>
        <v>566239</v>
      </c>
      <c r="F746" s="47">
        <f>일위대가표!H3522</f>
        <v>566239</v>
      </c>
      <c r="G746" s="56">
        <f>일위대가표!J3522</f>
        <v>0</v>
      </c>
      <c r="H746" s="48">
        <f>일위대가표!L3522</f>
        <v>0</v>
      </c>
      <c r="I746" s="15" t="s">
        <v>1929</v>
      </c>
      <c r="J746" s="17" t="str">
        <f>"_x0007_`COD|B05043_x0005_`QTY1|1_x0005_`BQC|_x0005_`EQC|_x0005_`JDC|_x0005_`WQC|_x0005_`EDT|_x0005_`ADJ|F_x0005_`DET|"&amp;ROW(일위대가표!A3518)&amp;"_x0005_`"</f>
        <v>_x0007_`COD|B05043_x0005_`QTY1|1_x0005_`BQC|_x0005_`EQC|_x0005_`JDC|_x0005_`WQC|_x0005_`EDT|_x0005_`ADJ|F_x0005_`DET|3518_x0005_`</v>
      </c>
      <c r="K746" s="3" t="str">
        <f ca="1">HYPERLINK("#"&amp;일위대가표!N2&amp;"!A"&amp;ROW(일위대가표!A3518),"대가743 →")</f>
        <v>대가743 →</v>
      </c>
    </row>
    <row r="747" spans="1:11" ht="22.35" customHeight="1" x14ac:dyDescent="0.3">
      <c r="A747" s="9" t="s">
        <v>1932</v>
      </c>
      <c r="B747" s="10" t="s">
        <v>1891</v>
      </c>
      <c r="C747" s="10" t="s">
        <v>1930</v>
      </c>
      <c r="D747" s="9" t="s">
        <v>1010</v>
      </c>
      <c r="E747" s="48">
        <f>일위대가표!F3527</f>
        <v>188746</v>
      </c>
      <c r="F747" s="47">
        <f>일위대가표!H3527</f>
        <v>188746</v>
      </c>
      <c r="G747" s="56">
        <f>일위대가표!J3527</f>
        <v>0</v>
      </c>
      <c r="H747" s="48">
        <f>일위대가표!L3527</f>
        <v>0</v>
      </c>
      <c r="I747" s="15" t="s">
        <v>1932</v>
      </c>
      <c r="J747" s="17" t="str">
        <f>"_x0007_`COD|B04850_x0005_`QTY1|1_x0005_`BQC|_x0005_`EQC|_x0005_`JDC|_x0005_`WQC|_x0005_`EDT|_x0005_`ADJ|F_x0005_`DET|"&amp;ROW(일위대가표!A3524)&amp;"_x0005_`"</f>
        <v>_x0007_`COD|B04850_x0005_`QTY1|1_x0005_`BQC|_x0005_`EQC|_x0005_`JDC|_x0005_`WQC|_x0005_`EDT|_x0005_`ADJ|F_x0005_`DET|3524_x0005_`</v>
      </c>
      <c r="K747" s="3" t="str">
        <f ca="1">HYPERLINK("#"&amp;일위대가표!N2&amp;"!A"&amp;ROW(일위대가표!A3524),"대가744 →")</f>
        <v>대가744 →</v>
      </c>
    </row>
    <row r="748" spans="1:11" ht="22.35" customHeight="1" x14ac:dyDescent="0.3">
      <c r="A748" s="9" t="s">
        <v>1934</v>
      </c>
      <c r="B748" s="10" t="s">
        <v>1894</v>
      </c>
      <c r="C748" s="10" t="s">
        <v>1935</v>
      </c>
      <c r="D748" s="9" t="s">
        <v>1010</v>
      </c>
      <c r="E748" s="48">
        <f>일위대가표!F3533</f>
        <v>377493</v>
      </c>
      <c r="F748" s="47">
        <f>일위대가표!H3533</f>
        <v>377493</v>
      </c>
      <c r="G748" s="56">
        <f>일위대가표!J3533</f>
        <v>0</v>
      </c>
      <c r="H748" s="48">
        <f>일위대가표!L3533</f>
        <v>0</v>
      </c>
      <c r="I748" s="15" t="s">
        <v>1934</v>
      </c>
      <c r="J748" s="17" t="str">
        <f>"_x0007_`COD|B04843_x0005_`QTY1|1_x0005_`BQC|_x0005_`EQC|_x0005_`JDC|_x0005_`WQC|_x0005_`EDT|_x0005_`ADJ|F_x0005_`DET|"&amp;ROW(일위대가표!A3529)&amp;"_x0005_`"</f>
        <v>_x0007_`COD|B04843_x0005_`QTY1|1_x0005_`BQC|_x0005_`EQC|_x0005_`JDC|_x0005_`WQC|_x0005_`EDT|_x0005_`ADJ|F_x0005_`DET|3529_x0005_`</v>
      </c>
      <c r="K748" s="3" t="str">
        <f ca="1">HYPERLINK("#"&amp;일위대가표!N2&amp;"!A"&amp;ROW(일위대가표!A3529),"대가745 →")</f>
        <v>대가745 →</v>
      </c>
    </row>
    <row r="749" spans="1:11" ht="22.35" customHeight="1" x14ac:dyDescent="0.3">
      <c r="A749" s="9" t="s">
        <v>1937</v>
      </c>
      <c r="B749" s="10" t="s">
        <v>1938</v>
      </c>
      <c r="C749" s="10" t="s">
        <v>1512</v>
      </c>
      <c r="D749" s="9" t="s">
        <v>1939</v>
      </c>
      <c r="E749" s="48">
        <f>일위대가표!F3537</f>
        <v>24042</v>
      </c>
      <c r="F749" s="47">
        <f>일위대가표!H3537</f>
        <v>23571</v>
      </c>
      <c r="G749" s="56">
        <f>일위대가표!J3537</f>
        <v>0</v>
      </c>
      <c r="H749" s="48">
        <f>일위대가표!L3537</f>
        <v>471</v>
      </c>
      <c r="I749" s="15" t="s">
        <v>1937</v>
      </c>
      <c r="J749" s="17" t="str">
        <f>"_x0007_`COD|B01015_x0005_`QTY1|1_x0005_`BQC|_x0005_`EQC|_x0005_`JDC|_x0005_`WQC|_x0005_`EDT|_x0005_`ADJ|F_x0005_`DET|"&amp;ROW(일위대가표!A3535)&amp;"_x0005_`"</f>
        <v>_x0007_`COD|B01015_x0005_`QTY1|1_x0005_`BQC|_x0005_`EQC|_x0005_`JDC|_x0005_`WQC|_x0005_`EDT|_x0005_`ADJ|F_x0005_`DET|3535_x0005_`</v>
      </c>
      <c r="K749" s="3" t="str">
        <f ca="1">HYPERLINK("#"&amp;일위대가표!N2&amp;"!A"&amp;ROW(일위대가표!A3535),"대가746 →")</f>
        <v>대가746 →</v>
      </c>
    </row>
    <row r="750" spans="1:11" ht="22.35" customHeight="1" x14ac:dyDescent="0.3">
      <c r="A750" s="9" t="s">
        <v>1941</v>
      </c>
      <c r="B750" s="10" t="s">
        <v>1938</v>
      </c>
      <c r="C750" s="10" t="s">
        <v>1518</v>
      </c>
      <c r="D750" s="9" t="s">
        <v>1939</v>
      </c>
      <c r="E750" s="48">
        <f>일위대가표!F3541</f>
        <v>33660</v>
      </c>
      <c r="F750" s="47">
        <f>일위대가표!H3541</f>
        <v>33000</v>
      </c>
      <c r="G750" s="56">
        <f>일위대가표!J3541</f>
        <v>0</v>
      </c>
      <c r="H750" s="48">
        <f>일위대가표!L3541</f>
        <v>660</v>
      </c>
      <c r="I750" s="15" t="s">
        <v>1941</v>
      </c>
      <c r="J750" s="17" t="str">
        <f>"_x0007_`COD|B02875_x0005_`QTY1|1_x0005_`BQC|_x0005_`EQC|_x0005_`JDC|_x0005_`WQC|_x0005_`EDT|_x0005_`ADJ|F_x0005_`DET|"&amp;ROW(일위대가표!A3539)&amp;"_x0005_`"</f>
        <v>_x0007_`COD|B02875_x0005_`QTY1|1_x0005_`BQC|_x0005_`EQC|_x0005_`JDC|_x0005_`WQC|_x0005_`EDT|_x0005_`ADJ|F_x0005_`DET|3539_x0005_`</v>
      </c>
      <c r="K750" s="3" t="str">
        <f ca="1">HYPERLINK("#"&amp;일위대가표!N2&amp;"!A"&amp;ROW(일위대가표!A3539),"대가747 →")</f>
        <v>대가747 →</v>
      </c>
    </row>
    <row r="751" spans="1:11" ht="22.35" customHeight="1" x14ac:dyDescent="0.3">
      <c r="A751" s="9" t="s">
        <v>1943</v>
      </c>
      <c r="B751" s="10" t="s">
        <v>1938</v>
      </c>
      <c r="C751" s="10" t="s">
        <v>1521</v>
      </c>
      <c r="D751" s="9" t="s">
        <v>1939</v>
      </c>
      <c r="E751" s="48">
        <f>일위대가표!F3545</f>
        <v>46749</v>
      </c>
      <c r="F751" s="47">
        <f>일위대가표!H3545</f>
        <v>45833</v>
      </c>
      <c r="G751" s="56">
        <f>일위대가표!J3545</f>
        <v>0</v>
      </c>
      <c r="H751" s="48">
        <f>일위대가표!L3545</f>
        <v>916</v>
      </c>
      <c r="I751" s="15" t="s">
        <v>1943</v>
      </c>
      <c r="J751" s="17" t="str">
        <f>"_x0007_`COD|B04852_x0005_`QTY1|1_x0005_`BQC|_x0005_`EQC|_x0005_`JDC|_x0005_`WQC|_x0005_`EDT|_x0005_`ADJ|F_x0005_`DET|"&amp;ROW(일위대가표!A3543)&amp;"_x0005_`"</f>
        <v>_x0007_`COD|B04852_x0005_`QTY1|1_x0005_`BQC|_x0005_`EQC|_x0005_`JDC|_x0005_`WQC|_x0005_`EDT|_x0005_`ADJ|F_x0005_`DET|3543_x0005_`</v>
      </c>
      <c r="K751" s="3" t="str">
        <f ca="1">HYPERLINK("#"&amp;일위대가표!N2&amp;"!A"&amp;ROW(일위대가표!A3543),"대가748 →")</f>
        <v>대가748 →</v>
      </c>
    </row>
    <row r="752" spans="1:11" ht="22.35" customHeight="1" x14ac:dyDescent="0.3">
      <c r="A752" s="9" t="s">
        <v>1945</v>
      </c>
      <c r="B752" s="10" t="s">
        <v>1938</v>
      </c>
      <c r="C752" s="10" t="s">
        <v>1524</v>
      </c>
      <c r="D752" s="9" t="s">
        <v>1939</v>
      </c>
      <c r="E752" s="48">
        <f>일위대가표!F3549</f>
        <v>70125</v>
      </c>
      <c r="F752" s="47">
        <f>일위대가표!H3549</f>
        <v>68750</v>
      </c>
      <c r="G752" s="56">
        <f>일위대가표!J3549</f>
        <v>0</v>
      </c>
      <c r="H752" s="48">
        <f>일위대가표!L3549</f>
        <v>1375</v>
      </c>
      <c r="I752" s="15" t="s">
        <v>1945</v>
      </c>
      <c r="J752" s="17" t="str">
        <f>"_x0007_`COD|B04853_x0005_`QTY1|1_x0005_`BQC|_x0005_`EQC|_x0005_`JDC|_x0005_`WQC|_x0005_`EDT|_x0005_`ADJ|F_x0005_`DET|"&amp;ROW(일위대가표!A3547)&amp;"_x0005_`"</f>
        <v>_x0007_`COD|B04853_x0005_`QTY1|1_x0005_`BQC|_x0005_`EQC|_x0005_`JDC|_x0005_`WQC|_x0005_`EDT|_x0005_`ADJ|F_x0005_`DET|3547_x0005_`</v>
      </c>
      <c r="K752" s="3" t="str">
        <f ca="1">HYPERLINK("#"&amp;일위대가표!N2&amp;"!A"&amp;ROW(일위대가표!A3547),"대가749 →")</f>
        <v>대가749 →</v>
      </c>
    </row>
    <row r="753" spans="1:11" ht="22.35" customHeight="1" x14ac:dyDescent="0.3">
      <c r="A753" s="9" t="s">
        <v>1947</v>
      </c>
      <c r="B753" s="10" t="s">
        <v>1938</v>
      </c>
      <c r="C753" s="10" t="s">
        <v>1527</v>
      </c>
      <c r="D753" s="9" t="s">
        <v>1939</v>
      </c>
      <c r="E753" s="48">
        <f>일위대가표!F3553</f>
        <v>97209</v>
      </c>
      <c r="F753" s="47">
        <f>일위대가표!H3553</f>
        <v>95303</v>
      </c>
      <c r="G753" s="56">
        <f>일위대가표!J3553</f>
        <v>0</v>
      </c>
      <c r="H753" s="48">
        <f>일위대가표!L3553</f>
        <v>1906</v>
      </c>
      <c r="I753" s="15" t="s">
        <v>1947</v>
      </c>
      <c r="J753" s="17" t="str">
        <f>"_x0007_`COD|B04854_x0005_`QTY1|1_x0005_`BQC|_x0005_`EQC|_x0005_`JDC|_x0005_`WQC|_x0005_`EDT|_x0005_`ADJ|F_x0005_`DET|"&amp;ROW(일위대가표!A3551)&amp;"_x0005_`"</f>
        <v>_x0007_`COD|B04854_x0005_`QTY1|1_x0005_`BQC|_x0005_`EQC|_x0005_`JDC|_x0005_`WQC|_x0005_`EDT|_x0005_`ADJ|F_x0005_`DET|3551_x0005_`</v>
      </c>
      <c r="K753" s="3" t="str">
        <f ca="1">HYPERLINK("#"&amp;일위대가표!N2&amp;"!A"&amp;ROW(일위대가표!A3551),"대가750 →")</f>
        <v>대가750 →</v>
      </c>
    </row>
    <row r="754" spans="1:11" ht="22.35" customHeight="1" x14ac:dyDescent="0.3">
      <c r="A754" s="9" t="s">
        <v>1949</v>
      </c>
      <c r="B754" s="10" t="s">
        <v>1938</v>
      </c>
      <c r="C754" s="10" t="s">
        <v>1530</v>
      </c>
      <c r="D754" s="9" t="s">
        <v>1939</v>
      </c>
      <c r="E754" s="48">
        <f>일위대가표!F3557</f>
        <v>133662</v>
      </c>
      <c r="F754" s="47">
        <f>일위대가표!H3557</f>
        <v>131042</v>
      </c>
      <c r="G754" s="56">
        <f>일위대가표!J3557</f>
        <v>0</v>
      </c>
      <c r="H754" s="48">
        <f>일위대가표!L3557</f>
        <v>2620</v>
      </c>
      <c r="I754" s="15" t="s">
        <v>1949</v>
      </c>
      <c r="J754" s="17" t="str">
        <f>"_x0007_`COD|B04855_x0005_`QTY1|1_x0005_`BQC|_x0005_`EQC|_x0005_`JDC|_x0005_`WQC|_x0005_`EDT|_x0005_`ADJ|F_x0005_`DET|"&amp;ROW(일위대가표!A3555)&amp;"_x0005_`"</f>
        <v>_x0007_`COD|B04855_x0005_`QTY1|1_x0005_`BQC|_x0005_`EQC|_x0005_`JDC|_x0005_`WQC|_x0005_`EDT|_x0005_`ADJ|F_x0005_`DET|3555_x0005_`</v>
      </c>
      <c r="K754" s="3" t="str">
        <f ca="1">HYPERLINK("#"&amp;일위대가표!N2&amp;"!A"&amp;ROW(일위대가표!A3555),"대가751 →")</f>
        <v>대가751 →</v>
      </c>
    </row>
    <row r="755" spans="1:11" ht="22.35" customHeight="1" x14ac:dyDescent="0.3">
      <c r="A755" s="9" t="s">
        <v>1951</v>
      </c>
      <c r="B755" s="10" t="s">
        <v>1952</v>
      </c>
      <c r="C755" s="10" t="s">
        <v>1953</v>
      </c>
      <c r="D755" s="9" t="s">
        <v>515</v>
      </c>
      <c r="E755" s="48">
        <f>일위대가표!F3562</f>
        <v>18710</v>
      </c>
      <c r="F755" s="47">
        <f>일위대가표!H3562</f>
        <v>18344</v>
      </c>
      <c r="G755" s="56">
        <f>일위대가표!J3562</f>
        <v>0</v>
      </c>
      <c r="H755" s="48">
        <f>일위대가표!L3562</f>
        <v>366</v>
      </c>
      <c r="I755" s="15" t="s">
        <v>1951</v>
      </c>
      <c r="J755" s="17" t="str">
        <f>"_x0007_`COD|B02644_x0005_`QTY1|1_x0005_`BQC|_x0005_`EQC|_x0005_`JDC|_x0005_`WQC|_x0005_`EDT|_x0005_`ADJ|F_x0005_`DET|"&amp;ROW(일위대가표!A3559)&amp;"_x0005_`"</f>
        <v>_x0007_`COD|B02644_x0005_`QTY1|1_x0005_`BQC|_x0005_`EQC|_x0005_`JDC|_x0005_`WQC|_x0005_`EDT|_x0005_`ADJ|F_x0005_`DET|3559_x0005_`</v>
      </c>
      <c r="K755" s="3" t="str">
        <f ca="1">HYPERLINK("#"&amp;일위대가표!N2&amp;"!A"&amp;ROW(일위대가표!A3559),"대가752 →")</f>
        <v>대가752 →</v>
      </c>
    </row>
    <row r="756" spans="1:11" ht="22.35" customHeight="1" x14ac:dyDescent="0.3">
      <c r="A756" s="9" t="s">
        <v>1955</v>
      </c>
      <c r="B756" s="10" t="s">
        <v>1952</v>
      </c>
      <c r="C756" s="10" t="s">
        <v>1543</v>
      </c>
      <c r="D756" s="9" t="s">
        <v>515</v>
      </c>
      <c r="E756" s="48">
        <f>일위대가표!F3568</f>
        <v>50219</v>
      </c>
      <c r="F756" s="47">
        <f>일위대가표!H3568</f>
        <v>49235</v>
      </c>
      <c r="G756" s="56">
        <f>일위대가표!J3568</f>
        <v>0</v>
      </c>
      <c r="H756" s="48">
        <f>일위대가표!L3568</f>
        <v>984</v>
      </c>
      <c r="I756" s="15" t="s">
        <v>1955</v>
      </c>
      <c r="J756" s="17" t="str">
        <f>"_x0007_`COD|B02866_x0005_`QTY1|1_x0005_`BQC|_x0005_`EQC|_x0005_`JDC|_x0005_`WQC|_x0005_`EDT|_x0005_`ADJ|F_x0005_`DET|"&amp;ROW(일위대가표!A3564)&amp;"_x0005_`"</f>
        <v>_x0007_`COD|B02866_x0005_`QTY1|1_x0005_`BQC|_x0005_`EQC|_x0005_`JDC|_x0005_`WQC|_x0005_`EDT|_x0005_`ADJ|F_x0005_`DET|3564_x0005_`</v>
      </c>
      <c r="K756" s="3" t="str">
        <f ca="1">HYPERLINK("#"&amp;일위대가표!N2&amp;"!A"&amp;ROW(일위대가표!A3564),"대가753 →")</f>
        <v>대가753 →</v>
      </c>
    </row>
    <row r="757" spans="1:11" ht="22.35" customHeight="1" x14ac:dyDescent="0.3">
      <c r="A757" s="9" t="s">
        <v>1957</v>
      </c>
      <c r="B757" s="10" t="s">
        <v>1952</v>
      </c>
      <c r="C757" s="10" t="s">
        <v>1546</v>
      </c>
      <c r="D757" s="9" t="s">
        <v>515</v>
      </c>
      <c r="E757" s="48">
        <f>일위대가표!F3574</f>
        <v>72539</v>
      </c>
      <c r="F757" s="47">
        <f>일위대가표!H3574</f>
        <v>71117</v>
      </c>
      <c r="G757" s="56">
        <f>일위대가표!J3574</f>
        <v>0</v>
      </c>
      <c r="H757" s="48">
        <f>일위대가표!L3574</f>
        <v>1422</v>
      </c>
      <c r="I757" s="15" t="s">
        <v>1957</v>
      </c>
      <c r="J757" s="17" t="str">
        <f>"_x0007_`COD|B02865_x0005_`QTY1|1_x0005_`BQC|_x0005_`EQC|_x0005_`JDC|_x0005_`WQC|_x0005_`EDT|_x0005_`ADJ|F_x0005_`DET|"&amp;ROW(일위대가표!A3570)&amp;"_x0005_`"</f>
        <v>_x0007_`COD|B02865_x0005_`QTY1|1_x0005_`BQC|_x0005_`EQC|_x0005_`JDC|_x0005_`WQC|_x0005_`EDT|_x0005_`ADJ|F_x0005_`DET|3570_x0005_`</v>
      </c>
      <c r="K757" s="3" t="str">
        <f ca="1">HYPERLINK("#"&amp;일위대가표!N2&amp;"!A"&amp;ROW(일위대가표!A3570),"대가754 →")</f>
        <v>대가754 →</v>
      </c>
    </row>
    <row r="758" spans="1:11" ht="22.35" customHeight="1" x14ac:dyDescent="0.3">
      <c r="A758" s="9" t="s">
        <v>1959</v>
      </c>
      <c r="B758" s="10" t="s">
        <v>1952</v>
      </c>
      <c r="C758" s="10" t="s">
        <v>1569</v>
      </c>
      <c r="D758" s="9" t="s">
        <v>515</v>
      </c>
      <c r="E758" s="48">
        <f>일위대가표!F3580</f>
        <v>112528</v>
      </c>
      <c r="F758" s="47">
        <f>일위대가표!H3580</f>
        <v>110322</v>
      </c>
      <c r="G758" s="56">
        <f>일위대가표!J3580</f>
        <v>0</v>
      </c>
      <c r="H758" s="48">
        <f>일위대가표!L3580</f>
        <v>2206</v>
      </c>
      <c r="I758" s="15" t="s">
        <v>1959</v>
      </c>
      <c r="J758" s="17" t="str">
        <f>"_x0007_`COD|B05102_x0005_`QTY1|1_x0005_`BQC|_x0005_`EQC|_x0005_`JDC|_x0005_`WQC|_x0005_`EDT|_x0005_`ADJ|F_x0005_`DET|"&amp;ROW(일위대가표!A3576)&amp;"_x0005_`"</f>
        <v>_x0007_`COD|B05102_x0005_`QTY1|1_x0005_`BQC|_x0005_`EQC|_x0005_`JDC|_x0005_`WQC|_x0005_`EDT|_x0005_`ADJ|F_x0005_`DET|3576_x0005_`</v>
      </c>
      <c r="K758" s="3" t="str">
        <f ca="1">HYPERLINK("#"&amp;일위대가표!N2&amp;"!A"&amp;ROW(일위대가표!A3576),"대가755 →")</f>
        <v>대가755 →</v>
      </c>
    </row>
    <row r="759" spans="1:11" ht="22.35" customHeight="1" x14ac:dyDescent="0.3">
      <c r="A759" s="9" t="s">
        <v>1961</v>
      </c>
      <c r="B759" s="10" t="s">
        <v>1952</v>
      </c>
      <c r="C759" s="10" t="s">
        <v>1572</v>
      </c>
      <c r="D759" s="9" t="s">
        <v>515</v>
      </c>
      <c r="E759" s="48">
        <f>일위대가표!F3586</f>
        <v>152090</v>
      </c>
      <c r="F759" s="47">
        <f>일위대가표!H3586</f>
        <v>149108</v>
      </c>
      <c r="G759" s="56">
        <f>일위대가표!J3586</f>
        <v>0</v>
      </c>
      <c r="H759" s="48">
        <f>일위대가표!L3586</f>
        <v>2982</v>
      </c>
      <c r="I759" s="15" t="s">
        <v>1961</v>
      </c>
      <c r="J759" s="17" t="str">
        <f>"_x0007_`COD|B05103_x0005_`QTY1|1_x0005_`BQC|_x0005_`EQC|_x0005_`JDC|_x0005_`WQC|_x0005_`EDT|_x0005_`ADJ|F_x0005_`DET|"&amp;ROW(일위대가표!A3582)&amp;"_x0005_`"</f>
        <v>_x0007_`COD|B05103_x0005_`QTY1|1_x0005_`BQC|_x0005_`EQC|_x0005_`JDC|_x0005_`WQC|_x0005_`EDT|_x0005_`ADJ|F_x0005_`DET|3582_x0005_`</v>
      </c>
      <c r="K759" s="3" t="str">
        <f ca="1">HYPERLINK("#"&amp;일위대가표!N2&amp;"!A"&amp;ROW(일위대가표!A3582),"대가756 →")</f>
        <v>대가756 →</v>
      </c>
    </row>
    <row r="760" spans="1:11" ht="22.35" customHeight="1" x14ac:dyDescent="0.3">
      <c r="A760" s="9" t="s">
        <v>1963</v>
      </c>
      <c r="B760" s="10" t="s">
        <v>1964</v>
      </c>
      <c r="C760" s="10" t="s">
        <v>1965</v>
      </c>
      <c r="D760" s="9" t="s">
        <v>1603</v>
      </c>
      <c r="E760" s="48">
        <f>일위대가표!F3594</f>
        <v>487337</v>
      </c>
      <c r="F760" s="47">
        <f>일위대가표!H3594</f>
        <v>401047</v>
      </c>
      <c r="G760" s="56">
        <f>일위대가표!J3594</f>
        <v>86290</v>
      </c>
      <c r="H760" s="48">
        <f>일위대가표!L3594</f>
        <v>0</v>
      </c>
      <c r="I760" s="15" t="s">
        <v>1963</v>
      </c>
      <c r="J760" s="17" t="str">
        <f>"_x0007_`COD|B04867_x0005_`QTY1|1_x0005_`BQC|_x0005_`EQC|_x0005_`JDC|_x0005_`WQC|_x0005_`EDT|_x0005_`ADJ|F_x0005_`DET|"&amp;ROW(일위대가표!A3588)&amp;"_x0005_`"</f>
        <v>_x0007_`COD|B04867_x0005_`QTY1|1_x0005_`BQC|_x0005_`EQC|_x0005_`JDC|_x0005_`WQC|_x0005_`EDT|_x0005_`ADJ|F_x0005_`DET|3588_x0005_`</v>
      </c>
      <c r="K760" s="3" t="str">
        <f ca="1">HYPERLINK("#"&amp;일위대가표!N2&amp;"!A"&amp;ROW(일위대가표!A3588),"대가757 →")</f>
        <v>대가757 →</v>
      </c>
    </row>
    <row r="761" spans="1:11" ht="22.35" customHeight="1" x14ac:dyDescent="0.3">
      <c r="A761" s="9" t="s">
        <v>1967</v>
      </c>
      <c r="B761" s="10" t="s">
        <v>1968</v>
      </c>
      <c r="C761" s="10" t="s">
        <v>1969</v>
      </c>
      <c r="D761" s="9" t="s">
        <v>1676</v>
      </c>
      <c r="E761" s="48">
        <f>일위대가표!F3600</f>
        <v>48340</v>
      </c>
      <c r="F761" s="47">
        <f>일위대가표!H3600</f>
        <v>34461</v>
      </c>
      <c r="G761" s="56">
        <f>일위대가표!J3600</f>
        <v>13535</v>
      </c>
      <c r="H761" s="48">
        <f>일위대가표!L3600</f>
        <v>344</v>
      </c>
      <c r="I761" s="15" t="s">
        <v>1967</v>
      </c>
      <c r="J761" s="17" t="str">
        <f>"_x0007_`COD|B01343_x0005_`QTY1|1_x0005_`BQC|_x0005_`EQC|_x0005_`JDC|_x0005_`WQC|_x0005_`EDT|_x0005_`ADJ|F_x0005_`DET|"&amp;ROW(일위대가표!A3596)&amp;"_x0005_`"</f>
        <v>_x0007_`COD|B01343_x0005_`QTY1|1_x0005_`BQC|_x0005_`EQC|_x0005_`JDC|_x0005_`WQC|_x0005_`EDT|_x0005_`ADJ|F_x0005_`DET|3596_x0005_`</v>
      </c>
      <c r="K761" s="3" t="str">
        <f ca="1">HYPERLINK("#"&amp;일위대가표!N2&amp;"!A"&amp;ROW(일위대가표!A3596),"대가758 →")</f>
        <v>대가758 →</v>
      </c>
    </row>
    <row r="762" spans="1:11" ht="22.35" customHeight="1" x14ac:dyDescent="0.3">
      <c r="A762" s="9" t="s">
        <v>1971</v>
      </c>
      <c r="B762" s="10" t="s">
        <v>1601</v>
      </c>
      <c r="C762" s="10" t="s">
        <v>1972</v>
      </c>
      <c r="D762" s="9" t="s">
        <v>1603</v>
      </c>
      <c r="E762" s="48">
        <f>일위대가표!F3605</f>
        <v>62811</v>
      </c>
      <c r="F762" s="47">
        <f>일위대가표!H3605</f>
        <v>62811</v>
      </c>
      <c r="G762" s="56">
        <f>일위대가표!J3605</f>
        <v>0</v>
      </c>
      <c r="H762" s="48">
        <f>일위대가표!L3605</f>
        <v>0</v>
      </c>
      <c r="I762" s="15" t="s">
        <v>1971</v>
      </c>
      <c r="J762" s="17" t="str">
        <f>"_x0007_`COD|B01337_x0005_`QTY1|1_x0005_`BQC|_x0005_`EQC|_x0005_`JDC|_x0005_`WQC|_x0005_`EDT|_x0005_`ADJ|F_x0005_`DET|"&amp;ROW(일위대가표!A3602)&amp;"_x0005_`"</f>
        <v>_x0007_`COD|B01337_x0005_`QTY1|1_x0005_`BQC|_x0005_`EQC|_x0005_`JDC|_x0005_`WQC|_x0005_`EDT|_x0005_`ADJ|F_x0005_`DET|3602_x0005_`</v>
      </c>
      <c r="K762" s="3" t="str">
        <f ca="1">HYPERLINK("#"&amp;일위대가표!N2&amp;"!A"&amp;ROW(일위대가표!A3602),"대가759 →")</f>
        <v>대가759 →</v>
      </c>
    </row>
    <row r="763" spans="1:11" ht="22.35" customHeight="1" x14ac:dyDescent="0.3">
      <c r="A763" s="9" t="s">
        <v>1974</v>
      </c>
      <c r="B763" s="10" t="s">
        <v>1975</v>
      </c>
      <c r="C763" s="10" t="s">
        <v>1976</v>
      </c>
      <c r="D763" s="9" t="s">
        <v>1603</v>
      </c>
      <c r="E763" s="48">
        <f>일위대가표!F3609</f>
        <v>17206</v>
      </c>
      <c r="F763" s="47">
        <f>일위대가표!H3609</f>
        <v>17206</v>
      </c>
      <c r="G763" s="56">
        <f>일위대가표!J3609</f>
        <v>0</v>
      </c>
      <c r="H763" s="48">
        <f>일위대가표!L3609</f>
        <v>0</v>
      </c>
      <c r="I763" s="15" t="s">
        <v>1974</v>
      </c>
      <c r="J763" s="17" t="str">
        <f>"_x0007_`COD|B00036_x0005_`QTY1|1_x0005_`BQC|_x0005_`EQC|_x0005_`JDC|_x0005_`WQC|_x0005_`EDT|_x0005_`ADJ|F_x0005_`DET|"&amp;ROW(일위대가표!A3607)&amp;"_x0005_`"</f>
        <v>_x0007_`COD|B00036_x0005_`QTY1|1_x0005_`BQC|_x0005_`EQC|_x0005_`JDC|_x0005_`WQC|_x0005_`EDT|_x0005_`ADJ|F_x0005_`DET|3607_x0005_`</v>
      </c>
      <c r="K763" s="3" t="str">
        <f ca="1">HYPERLINK("#"&amp;일위대가표!N2&amp;"!A"&amp;ROW(일위대가표!A3607),"대가760 →")</f>
        <v>대가760 →</v>
      </c>
    </row>
    <row r="764" spans="1:11" ht="22.35" customHeight="1" x14ac:dyDescent="0.3">
      <c r="A764" s="9" t="s">
        <v>1978</v>
      </c>
      <c r="B764" s="10" t="s">
        <v>1979</v>
      </c>
      <c r="C764" s="10" t="s">
        <v>1980</v>
      </c>
      <c r="D764" s="9" t="s">
        <v>1603</v>
      </c>
      <c r="E764" s="48">
        <f>일위대가표!F3614</f>
        <v>34413</v>
      </c>
      <c r="F764" s="47">
        <f>일위대가표!H3614</f>
        <v>34413</v>
      </c>
      <c r="G764" s="56">
        <f>일위대가표!J3614</f>
        <v>0</v>
      </c>
      <c r="H764" s="48">
        <f>일위대가표!L3614</f>
        <v>0</v>
      </c>
      <c r="I764" s="15" t="s">
        <v>1978</v>
      </c>
      <c r="J764" s="17" t="str">
        <f>"_x0007_`COD|B00037_x0005_`QTY1|1_x0005_`BQC|_x0005_`EQC|_x0005_`JDC|_x0005_`WQC|_x0005_`EDT|_x0005_`ADJ|F_x0005_`DET|"&amp;ROW(일위대가표!A3611)&amp;"_x0005_`"</f>
        <v>_x0007_`COD|B00037_x0005_`QTY1|1_x0005_`BQC|_x0005_`EQC|_x0005_`JDC|_x0005_`WQC|_x0005_`EDT|_x0005_`ADJ|F_x0005_`DET|3611_x0005_`</v>
      </c>
      <c r="K764" s="3" t="str">
        <f ca="1">HYPERLINK("#"&amp;일위대가표!N2&amp;"!A"&amp;ROW(일위대가표!A3611),"대가761 →")</f>
        <v>대가761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 xr:uid="{F33F93A1-DADA-40CD-93DB-76EA61A2B748}"/>
    <hyperlink ref="J1" r:id="rId2" tooltip="설계예산시스템(STmate w26.07)으로 작성 하였으며,_x000a_엑셀 인쇄품질 600 dpi에 최적화 되어 있습니다._x000a_경영정보(주) http://www.stma.co.kr_x000a_Tel) 070-4350-0040_x000a_Fax) 0505-300-3948" xr:uid="{995E74F3-8B9C-41B8-B482-C50994FC0425}"/>
  </hyperlinks>
  <printOptions horizontalCentered="1"/>
  <pageMargins left="0.78740157480314965" right="0.78740157480314965" top="0.59055118110236215" bottom="0.55118110236220474" header="0" footer="0.35433070866141736"/>
  <pageSetup paperSize="9" scale="98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71DA-D0B7-47BF-B45A-2C691ABC1604}">
  <dimension ref="A1:Z3614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83" hidden="1" customWidth="1"/>
    <col min="15" max="25" width="2.125" style="6" customWidth="1"/>
    <col min="26" max="26" width="9.125" style="18" customWidth="1"/>
    <col min="27" max="16384" width="9.125" style="6"/>
  </cols>
  <sheetData>
    <row r="1" spans="1:26" ht="24.95" customHeight="1" x14ac:dyDescent="0.3">
      <c r="A1" s="131" t="s">
        <v>6396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5" t="s">
        <v>1982</v>
      </c>
      <c r="Z1" s="19" t="s">
        <v>1982</v>
      </c>
    </row>
    <row r="2" spans="1:26" ht="28.7" customHeight="1" x14ac:dyDescent="0.3">
      <c r="A2" s="1" t="s">
        <v>1</v>
      </c>
      <c r="N2" s="20" t="str">
        <f ca="1">MID(CELL("filename",$A$1),FIND("]",CELL("filename",$A$1))+1,LEN(CELL("filename",$A$1)))</f>
        <v>일위대가표</v>
      </c>
    </row>
    <row r="3" spans="1:26" ht="28.7" customHeight="1" x14ac:dyDescent="0.3">
      <c r="A3" s="142" t="s">
        <v>3</v>
      </c>
      <c r="B3" s="142" t="s">
        <v>4</v>
      </c>
      <c r="C3" s="142" t="s">
        <v>3334</v>
      </c>
      <c r="D3" s="142" t="s">
        <v>5</v>
      </c>
      <c r="E3" s="134" t="s">
        <v>6</v>
      </c>
      <c r="F3" s="143"/>
      <c r="G3" s="134" t="s">
        <v>7</v>
      </c>
      <c r="H3" s="143"/>
      <c r="I3" s="134" t="s">
        <v>8</v>
      </c>
      <c r="J3" s="143"/>
      <c r="K3" s="134" t="s">
        <v>9</v>
      </c>
      <c r="L3" s="143"/>
      <c r="M3" s="134" t="s">
        <v>10</v>
      </c>
    </row>
    <row r="4" spans="1:26" ht="28.7" customHeight="1" x14ac:dyDescent="0.3">
      <c r="A4" s="143"/>
      <c r="B4" s="143"/>
      <c r="C4" s="143"/>
      <c r="D4" s="143"/>
      <c r="E4" s="9" t="s">
        <v>2035</v>
      </c>
      <c r="F4" s="9" t="s">
        <v>3335</v>
      </c>
      <c r="G4" s="9" t="s">
        <v>2035</v>
      </c>
      <c r="H4" s="9" t="s">
        <v>3335</v>
      </c>
      <c r="I4" s="9" t="s">
        <v>2035</v>
      </c>
      <c r="J4" s="9" t="s">
        <v>3335</v>
      </c>
      <c r="K4" s="9" t="s">
        <v>2035</v>
      </c>
      <c r="L4" s="9" t="s">
        <v>3335</v>
      </c>
      <c r="M4" s="135"/>
      <c r="Z4" s="3" t="str">
        <f>HYPERLINK("#'〓 목 차 〓'!B2","목차 →")</f>
        <v>목차 →</v>
      </c>
    </row>
    <row r="5" spans="1:26" ht="28.7" customHeight="1" x14ac:dyDescent="0.3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26" ht="28.7" customHeight="1" x14ac:dyDescent="0.3">
      <c r="A6" s="136" t="s">
        <v>6397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44"/>
      <c r="M6" s="22" t="s">
        <v>6398</v>
      </c>
      <c r="N6" s="84" t="str">
        <f>HYPERLINK("#N"&amp;ROW(N8),"_x0005_`BDCOD|B04896_x0007_`POSS|"&amp;ROW(N7)&amp;"_x0007_`POSE|"&amp;ROW(N8)&amp;"_x0007_`")</f>
        <v>_x0005_`BDCOD|B04896_x0007_`POSS|7_x0007_`POSE|8_x0007_`</v>
      </c>
      <c r="O6" s="7" t="s">
        <v>6399</v>
      </c>
    </row>
    <row r="7" spans="1:26" ht="28.7" customHeight="1" x14ac:dyDescent="0.3">
      <c r="A7" s="10" t="s">
        <v>1682</v>
      </c>
      <c r="B7" s="10" t="s">
        <v>1683</v>
      </c>
      <c r="C7" s="75">
        <v>1</v>
      </c>
      <c r="D7" s="31" t="s">
        <v>14</v>
      </c>
      <c r="E7" s="55">
        <f>I7+G7+K7</f>
        <v>365273</v>
      </c>
      <c r="F7" s="76">
        <f>J7+H7+L7</f>
        <v>365273</v>
      </c>
      <c r="G7" s="78">
        <f>일위대가목록표!F658</f>
        <v>354635</v>
      </c>
      <c r="H7" s="80">
        <f>IF(C7=0,0,ROUNDDOWN(G7*C7,1))</f>
        <v>354635</v>
      </c>
      <c r="I7" s="78">
        <f>일위대가목록표!G658</f>
        <v>0</v>
      </c>
      <c r="J7" s="80">
        <f>IF(C7=0,0,ROUNDDOWN(I7*C7,1))</f>
        <v>0</v>
      </c>
      <c r="K7" s="78">
        <f>일위대가목록표!H658</f>
        <v>10638</v>
      </c>
      <c r="L7" s="80">
        <f>IF(C7=0,0,ROUNDDOWN(K7*C7,1))</f>
        <v>10638</v>
      </c>
      <c r="M7" s="22" t="s">
        <v>6403</v>
      </c>
      <c r="N7" s="17" t="s">
        <v>6400</v>
      </c>
      <c r="O7" s="7" t="s">
        <v>6401</v>
      </c>
      <c r="P7" s="7" t="s">
        <v>6406</v>
      </c>
      <c r="Z7" s="3" t="str">
        <f ca="1">HYPERLINK("#"&amp;일위대가목록표!J2&amp;"!A"&amp;ROW(일위대가목록표!A658),"대가655 →")</f>
        <v>대가655 →</v>
      </c>
    </row>
    <row r="8" spans="1:26" ht="28.7" customHeight="1" x14ac:dyDescent="0.3">
      <c r="A8" s="10" t="s">
        <v>12</v>
      </c>
      <c r="B8" s="10" t="s">
        <v>2161</v>
      </c>
      <c r="C8" s="75">
        <v>1</v>
      </c>
      <c r="D8" s="31" t="s">
        <v>14</v>
      </c>
      <c r="E8" s="55">
        <f>I8+G8+K8</f>
        <v>8000000</v>
      </c>
      <c r="F8" s="77">
        <f>J8+H8+L8</f>
        <v>8000000</v>
      </c>
      <c r="G8" s="51">
        <v>0</v>
      </c>
      <c r="H8" s="76">
        <f>IF(C8=0,0,ROUNDDOWN(G8*C8,1))</f>
        <v>0</v>
      </c>
      <c r="I8" s="78">
        <f>재료비목록표!E43</f>
        <v>8000000</v>
      </c>
      <c r="J8" s="81">
        <f>IF(C8=0,0,ROUNDDOWN(I8*C8,1))</f>
        <v>8000000</v>
      </c>
      <c r="K8" s="51">
        <v>0</v>
      </c>
      <c r="L8" s="76">
        <f>IF(C8=0,0,ROUNDDOWN(K8*C8,1))</f>
        <v>0</v>
      </c>
      <c r="M8" s="22" t="s">
        <v>6405</v>
      </c>
      <c r="N8" s="17" t="s">
        <v>6404</v>
      </c>
      <c r="O8" s="7" t="s">
        <v>5316</v>
      </c>
      <c r="P8" s="7" t="s">
        <v>6406</v>
      </c>
      <c r="Z8" s="3" t="str">
        <f ca="1">HYPERLINK("#"&amp;재료비목록표!G2&amp;"!A"&amp;ROW(재료비목록표!A43),"자재40 →")</f>
        <v>자재40 →</v>
      </c>
    </row>
    <row r="9" spans="1:26" ht="28.7" customHeight="1" x14ac:dyDescent="0.3">
      <c r="A9" s="22" t="s">
        <v>6</v>
      </c>
      <c r="B9" s="74"/>
      <c r="C9" s="74"/>
      <c r="D9" s="74"/>
      <c r="E9" s="74"/>
      <c r="F9" s="48">
        <f>J9+H9+L9</f>
        <v>8365273</v>
      </c>
      <c r="G9" s="74"/>
      <c r="H9" s="48">
        <f>ROUNDDOWN(SUMIF(P7:P8,O9,H7:H8),0)</f>
        <v>354635</v>
      </c>
      <c r="I9" s="74"/>
      <c r="J9" s="48">
        <f>ROUNDDOWN(SUMIF(P7:P8,O9,J7:J8),0)</f>
        <v>8000000</v>
      </c>
      <c r="K9" s="74"/>
      <c r="L9" s="48">
        <f>ROUNDDOWN(SUMIF(P7:P8,O9,L7:L8),0)</f>
        <v>10638</v>
      </c>
      <c r="M9" s="74"/>
      <c r="O9" s="7" t="s">
        <v>6406</v>
      </c>
    </row>
    <row r="10" spans="1:26" ht="28.7" customHeight="1" x14ac:dyDescent="0.3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</row>
    <row r="11" spans="1:26" ht="28.7" customHeight="1" x14ac:dyDescent="0.3">
      <c r="A11" s="136" t="s">
        <v>15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44"/>
      <c r="M11" s="22" t="s">
        <v>6402</v>
      </c>
      <c r="N11" s="84" t="str">
        <f>HYPERLINK("#N"&amp;ROW(N13),"_x0005_`BDCOD|B04897_x0007_`POSS|"&amp;ROW(N12)&amp;"_x0007_`POSE|"&amp;ROW(N13)&amp;"_x0007_`")</f>
        <v>_x0005_`BDCOD|B04897_x0007_`POSS|12_x0007_`POSE|13_x0007_`</v>
      </c>
      <c r="O11" s="7" t="s">
        <v>6407</v>
      </c>
    </row>
    <row r="12" spans="1:26" ht="28.7" customHeight="1" x14ac:dyDescent="0.3">
      <c r="A12" s="10" t="s">
        <v>1682</v>
      </c>
      <c r="B12" s="10" t="s">
        <v>1694</v>
      </c>
      <c r="C12" s="75">
        <v>1</v>
      </c>
      <c r="D12" s="31" t="s">
        <v>14</v>
      </c>
      <c r="E12" s="55">
        <f>I12+G12+K12</f>
        <v>420901</v>
      </c>
      <c r="F12" s="76">
        <f>J12+H12+L12</f>
        <v>420901</v>
      </c>
      <c r="G12" s="78">
        <f>일위대가목록표!F661</f>
        <v>408643</v>
      </c>
      <c r="H12" s="80">
        <f>IF(C12=0,0,ROUNDDOWN(G12*C12,1))</f>
        <v>408643</v>
      </c>
      <c r="I12" s="78">
        <f>일위대가목록표!G661</f>
        <v>0</v>
      </c>
      <c r="J12" s="80">
        <f>IF(C12=0,0,ROUNDDOWN(I12*C12,1))</f>
        <v>0</v>
      </c>
      <c r="K12" s="78">
        <f>일위대가목록표!H661</f>
        <v>12258</v>
      </c>
      <c r="L12" s="80">
        <f>IF(C12=0,0,ROUNDDOWN(K12*C12,1))</f>
        <v>12258</v>
      </c>
      <c r="M12" s="22" t="s">
        <v>6411</v>
      </c>
      <c r="N12" s="17" t="s">
        <v>6408</v>
      </c>
      <c r="O12" s="7" t="s">
        <v>6409</v>
      </c>
      <c r="P12" s="7" t="s">
        <v>6406</v>
      </c>
      <c r="Z12" s="3" t="str">
        <f ca="1">HYPERLINK("#"&amp;일위대가목록표!J2&amp;"!A"&amp;ROW(일위대가목록표!A661),"대가658 →")</f>
        <v>대가658 →</v>
      </c>
    </row>
    <row r="13" spans="1:26" ht="28.7" customHeight="1" x14ac:dyDescent="0.3">
      <c r="A13" s="10" t="s">
        <v>12</v>
      </c>
      <c r="B13" s="10" t="s">
        <v>17</v>
      </c>
      <c r="C13" s="75">
        <v>1</v>
      </c>
      <c r="D13" s="31" t="s">
        <v>14</v>
      </c>
      <c r="E13" s="55">
        <f>I13+G13+K13</f>
        <v>9500000</v>
      </c>
      <c r="F13" s="77">
        <f>J13+H13+L13</f>
        <v>9500000</v>
      </c>
      <c r="G13" s="51">
        <v>0</v>
      </c>
      <c r="H13" s="76">
        <f>IF(C13=0,0,ROUNDDOWN(G13*C13,1))</f>
        <v>0</v>
      </c>
      <c r="I13" s="78">
        <f>재료비목록표!E45</f>
        <v>9500000</v>
      </c>
      <c r="J13" s="81">
        <f>IF(C13=0,0,ROUNDDOWN(I13*C13,1))</f>
        <v>9500000</v>
      </c>
      <c r="K13" s="51">
        <v>0</v>
      </c>
      <c r="L13" s="76">
        <f>IF(C13=0,0,ROUNDDOWN(K13*C13,1))</f>
        <v>0</v>
      </c>
      <c r="M13" s="22" t="s">
        <v>6413</v>
      </c>
      <c r="N13" s="17" t="s">
        <v>6412</v>
      </c>
      <c r="O13" s="7" t="s">
        <v>5319</v>
      </c>
      <c r="P13" s="7" t="s">
        <v>6406</v>
      </c>
      <c r="Z13" s="3" t="str">
        <f ca="1">HYPERLINK("#"&amp;재료비목록표!G2&amp;"!A"&amp;ROW(재료비목록표!A45),"자재42 →")</f>
        <v>자재42 →</v>
      </c>
    </row>
    <row r="14" spans="1:26" ht="28.7" customHeight="1" x14ac:dyDescent="0.3">
      <c r="A14" s="22" t="s">
        <v>6</v>
      </c>
      <c r="B14" s="74"/>
      <c r="C14" s="74"/>
      <c r="D14" s="74"/>
      <c r="E14" s="74"/>
      <c r="F14" s="48">
        <f>J14+H14+L14</f>
        <v>9920901</v>
      </c>
      <c r="G14" s="74"/>
      <c r="H14" s="48">
        <f>ROUNDDOWN(SUMIF(P12:P13,O14,H12:H13),0)</f>
        <v>408643</v>
      </c>
      <c r="I14" s="74"/>
      <c r="J14" s="48">
        <f>ROUNDDOWN(SUMIF(P12:P13,O14,J12:J13),0)</f>
        <v>9500000</v>
      </c>
      <c r="K14" s="74"/>
      <c r="L14" s="48">
        <f>ROUNDDOWN(SUMIF(P12:P13,O14,L12:L13),0)</f>
        <v>12258</v>
      </c>
      <c r="M14" s="74"/>
      <c r="O14" s="7" t="s">
        <v>6406</v>
      </c>
    </row>
    <row r="15" spans="1:26" ht="28.7" customHeight="1" x14ac:dyDescent="0.3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</row>
    <row r="16" spans="1:26" ht="28.7" customHeight="1" x14ac:dyDescent="0.3">
      <c r="A16" s="136" t="s">
        <v>18</v>
      </c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44"/>
      <c r="M16" s="22" t="s">
        <v>6410</v>
      </c>
      <c r="N16" s="84" t="str">
        <f>HYPERLINK("#N"&amp;ROW(N18),"_x0005_`BDCOD|B04898_x0007_`POSS|"&amp;ROW(N17)&amp;"_x0007_`POSE|"&amp;ROW(N18)&amp;"_x0007_`")</f>
        <v>_x0005_`BDCOD|B04898_x0007_`POSS|17_x0007_`POSE|18_x0007_`</v>
      </c>
      <c r="O16" s="7" t="s">
        <v>6414</v>
      </c>
    </row>
    <row r="17" spans="1:26" ht="28.7" customHeight="1" x14ac:dyDescent="0.3">
      <c r="A17" s="10" t="s">
        <v>1682</v>
      </c>
      <c r="B17" s="10" t="s">
        <v>1703</v>
      </c>
      <c r="C17" s="75">
        <v>1</v>
      </c>
      <c r="D17" s="31" t="s">
        <v>14</v>
      </c>
      <c r="E17" s="55">
        <f>I17+G17+K17</f>
        <v>483348</v>
      </c>
      <c r="F17" s="76">
        <f>J17+H17+L17</f>
        <v>483348</v>
      </c>
      <c r="G17" s="78">
        <f>일위대가목록표!F664</f>
        <v>469271</v>
      </c>
      <c r="H17" s="80">
        <f>IF(C17=0,0,ROUNDDOWN(G17*C17,1))</f>
        <v>469271</v>
      </c>
      <c r="I17" s="78">
        <f>일위대가목록표!G664</f>
        <v>0</v>
      </c>
      <c r="J17" s="80">
        <f>IF(C17=0,0,ROUNDDOWN(I17*C17,1))</f>
        <v>0</v>
      </c>
      <c r="K17" s="78">
        <f>일위대가목록표!H664</f>
        <v>14077</v>
      </c>
      <c r="L17" s="80">
        <f>IF(C17=0,0,ROUNDDOWN(K17*C17,1))</f>
        <v>14077</v>
      </c>
      <c r="M17" s="22" t="s">
        <v>6418</v>
      </c>
      <c r="N17" s="17" t="s">
        <v>6415</v>
      </c>
      <c r="O17" s="7" t="s">
        <v>6416</v>
      </c>
      <c r="P17" s="7" t="s">
        <v>6406</v>
      </c>
      <c r="Z17" s="3" t="str">
        <f ca="1">HYPERLINK("#"&amp;일위대가목록표!J2&amp;"!A"&amp;ROW(일위대가목록표!A664),"대가661 →")</f>
        <v>대가661 →</v>
      </c>
    </row>
    <row r="18" spans="1:26" ht="28.7" customHeight="1" x14ac:dyDescent="0.3">
      <c r="A18" s="10" t="s">
        <v>12</v>
      </c>
      <c r="B18" s="10" t="s">
        <v>2175</v>
      </c>
      <c r="C18" s="75">
        <v>1</v>
      </c>
      <c r="D18" s="31" t="s">
        <v>14</v>
      </c>
      <c r="E18" s="55">
        <f>I18+G18+K18</f>
        <v>11000000</v>
      </c>
      <c r="F18" s="77">
        <f>J18+H18+L18</f>
        <v>11000000</v>
      </c>
      <c r="G18" s="51">
        <v>0</v>
      </c>
      <c r="H18" s="76">
        <f>IF(C18=0,0,ROUNDDOWN(G18*C18,1))</f>
        <v>0</v>
      </c>
      <c r="I18" s="78">
        <f>재료비목록표!E48</f>
        <v>11000000</v>
      </c>
      <c r="J18" s="81">
        <f>IF(C18=0,0,ROUNDDOWN(I18*C18,1))</f>
        <v>11000000</v>
      </c>
      <c r="K18" s="51">
        <v>0</v>
      </c>
      <c r="L18" s="76">
        <f>IF(C18=0,0,ROUNDDOWN(K18*C18,1))</f>
        <v>0</v>
      </c>
      <c r="M18" s="22" t="s">
        <v>6420</v>
      </c>
      <c r="N18" s="17" t="s">
        <v>6419</v>
      </c>
      <c r="O18" s="7" t="s">
        <v>5322</v>
      </c>
      <c r="P18" s="7" t="s">
        <v>6406</v>
      </c>
      <c r="Z18" s="3" t="str">
        <f ca="1">HYPERLINK("#"&amp;재료비목록표!G2&amp;"!A"&amp;ROW(재료비목록표!A48),"자재45 →")</f>
        <v>자재45 →</v>
      </c>
    </row>
    <row r="19" spans="1:26" ht="28.7" customHeight="1" x14ac:dyDescent="0.3">
      <c r="A19" s="22" t="s">
        <v>6</v>
      </c>
      <c r="B19" s="74"/>
      <c r="C19" s="74"/>
      <c r="D19" s="74"/>
      <c r="E19" s="74"/>
      <c r="F19" s="48">
        <f>J19+H19+L19</f>
        <v>11483348</v>
      </c>
      <c r="G19" s="74"/>
      <c r="H19" s="48">
        <f>ROUNDDOWN(SUMIF(P17:P18,O19,H17:H18),0)</f>
        <v>469271</v>
      </c>
      <c r="I19" s="74"/>
      <c r="J19" s="48">
        <f>ROUNDDOWN(SUMIF(P17:P18,O19,J17:J18),0)</f>
        <v>11000000</v>
      </c>
      <c r="K19" s="74"/>
      <c r="L19" s="48">
        <f>ROUNDDOWN(SUMIF(P17:P18,O19,L17:L18),0)</f>
        <v>14077</v>
      </c>
      <c r="M19" s="74"/>
      <c r="O19" s="7" t="s">
        <v>6406</v>
      </c>
    </row>
    <row r="20" spans="1:26" ht="28.7" customHeight="1" x14ac:dyDescent="0.3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26" ht="28.7" customHeight="1" x14ac:dyDescent="0.3">
      <c r="A21" s="136" t="s">
        <v>21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44"/>
      <c r="M21" s="22" t="s">
        <v>6417</v>
      </c>
      <c r="N21" s="84" t="str">
        <f>HYPERLINK("#N"&amp;ROW(N23),"_x0005_`BDCOD|B04899_x0007_`POSS|"&amp;ROW(N22)&amp;"_x0007_`POSE|"&amp;ROW(N23)&amp;"_x0007_`")</f>
        <v>_x0005_`BDCOD|B04899_x0007_`POSS|22_x0007_`POSE|23_x0007_`</v>
      </c>
      <c r="O21" s="7" t="s">
        <v>6421</v>
      </c>
    </row>
    <row r="22" spans="1:26" ht="28.7" customHeight="1" x14ac:dyDescent="0.3">
      <c r="A22" s="10" t="s">
        <v>1682</v>
      </c>
      <c r="B22" s="10" t="s">
        <v>1712</v>
      </c>
      <c r="C22" s="75">
        <v>1</v>
      </c>
      <c r="D22" s="31" t="s">
        <v>14</v>
      </c>
      <c r="E22" s="55">
        <f>I22+G22+K22</f>
        <v>582367</v>
      </c>
      <c r="F22" s="76">
        <f>J22+H22+L22</f>
        <v>582367</v>
      </c>
      <c r="G22" s="78">
        <f>일위대가목록표!F667</f>
        <v>565406</v>
      </c>
      <c r="H22" s="80">
        <f>IF(C22=0,0,ROUNDDOWN(G22*C22,1))</f>
        <v>565406</v>
      </c>
      <c r="I22" s="78">
        <f>일위대가목록표!G667</f>
        <v>0</v>
      </c>
      <c r="J22" s="80">
        <f>IF(C22=0,0,ROUNDDOWN(I22*C22,1))</f>
        <v>0</v>
      </c>
      <c r="K22" s="78">
        <f>일위대가목록표!H667</f>
        <v>16961</v>
      </c>
      <c r="L22" s="80">
        <f>IF(C22=0,0,ROUNDDOWN(K22*C22,1))</f>
        <v>16961</v>
      </c>
      <c r="M22" s="22" t="s">
        <v>6425</v>
      </c>
      <c r="N22" s="17" t="s">
        <v>6422</v>
      </c>
      <c r="O22" s="7" t="s">
        <v>6423</v>
      </c>
      <c r="P22" s="7" t="s">
        <v>6406</v>
      </c>
      <c r="Z22" s="3" t="str">
        <f ca="1">HYPERLINK("#"&amp;일위대가목록표!J2&amp;"!A"&amp;ROW(일위대가목록표!A667),"대가664 →")</f>
        <v>대가664 →</v>
      </c>
    </row>
    <row r="23" spans="1:26" ht="28.7" customHeight="1" x14ac:dyDescent="0.3">
      <c r="A23" s="10" t="s">
        <v>12</v>
      </c>
      <c r="B23" s="10" t="s">
        <v>2181</v>
      </c>
      <c r="C23" s="75">
        <v>1</v>
      </c>
      <c r="D23" s="31" t="s">
        <v>14</v>
      </c>
      <c r="E23" s="55">
        <f>I23+G23+K23</f>
        <v>12500000</v>
      </c>
      <c r="F23" s="77">
        <f>J23+H23+L23</f>
        <v>12500000</v>
      </c>
      <c r="G23" s="51">
        <v>0</v>
      </c>
      <c r="H23" s="76">
        <f>IF(C23=0,0,ROUNDDOWN(G23*C23,1))</f>
        <v>0</v>
      </c>
      <c r="I23" s="78">
        <f>재료비목록표!E50</f>
        <v>12500000</v>
      </c>
      <c r="J23" s="81">
        <f>IF(C23=0,0,ROUNDDOWN(I23*C23,1))</f>
        <v>12500000</v>
      </c>
      <c r="K23" s="51">
        <v>0</v>
      </c>
      <c r="L23" s="76">
        <f>IF(C23=0,0,ROUNDDOWN(K23*C23,1))</f>
        <v>0</v>
      </c>
      <c r="M23" s="22" t="s">
        <v>6427</v>
      </c>
      <c r="N23" s="17" t="s">
        <v>6426</v>
      </c>
      <c r="O23" s="7" t="s">
        <v>5325</v>
      </c>
      <c r="P23" s="7" t="s">
        <v>6406</v>
      </c>
      <c r="Z23" s="3" t="str">
        <f ca="1">HYPERLINK("#"&amp;재료비목록표!G2&amp;"!A"&amp;ROW(재료비목록표!A50),"자재47 →")</f>
        <v>자재47 →</v>
      </c>
    </row>
    <row r="24" spans="1:26" ht="28.7" customHeight="1" x14ac:dyDescent="0.3">
      <c r="A24" s="22" t="s">
        <v>6</v>
      </c>
      <c r="B24" s="74"/>
      <c r="C24" s="74"/>
      <c r="D24" s="74"/>
      <c r="E24" s="74"/>
      <c r="F24" s="48">
        <f>J24+H24+L24</f>
        <v>13082367</v>
      </c>
      <c r="G24" s="74"/>
      <c r="H24" s="48">
        <f>ROUNDDOWN(SUMIF(P22:P23,O24,H22:H23),0)</f>
        <v>565406</v>
      </c>
      <c r="I24" s="74"/>
      <c r="J24" s="48">
        <f>ROUNDDOWN(SUMIF(P22:P23,O24,J22:J23),0)</f>
        <v>12500000</v>
      </c>
      <c r="K24" s="74"/>
      <c r="L24" s="48">
        <f>ROUNDDOWN(SUMIF(P22:P23,O24,L22:L23),0)</f>
        <v>16961</v>
      </c>
      <c r="M24" s="74"/>
      <c r="O24" s="7" t="s">
        <v>6406</v>
      </c>
    </row>
    <row r="25" spans="1:26" ht="28.7" customHeight="1" x14ac:dyDescent="0.3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</row>
    <row r="26" spans="1:26" ht="28.7" customHeight="1" x14ac:dyDescent="0.3">
      <c r="A26" s="136" t="s">
        <v>24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44"/>
      <c r="M26" s="22" t="s">
        <v>6424</v>
      </c>
      <c r="N26" s="84" t="str">
        <f>HYPERLINK("#N"&amp;ROW(N28),"_x0005_`BDCOD|B04900_x0007_`POSS|"&amp;ROW(N27)&amp;"_x0007_`POSE|"&amp;ROW(N28)&amp;"_x0007_`")</f>
        <v>_x0005_`BDCOD|B04900_x0007_`POSS|27_x0007_`POSE|28_x0007_`</v>
      </c>
      <c r="O26" s="7" t="s">
        <v>6428</v>
      </c>
    </row>
    <row r="27" spans="1:26" ht="28.7" customHeight="1" x14ac:dyDescent="0.3">
      <c r="A27" s="10" t="s">
        <v>1682</v>
      </c>
      <c r="B27" s="10" t="s">
        <v>1721</v>
      </c>
      <c r="C27" s="75">
        <v>1</v>
      </c>
      <c r="D27" s="31" t="s">
        <v>14</v>
      </c>
      <c r="E27" s="55">
        <f>I27+G27+K27</f>
        <v>734777</v>
      </c>
      <c r="F27" s="76">
        <f>J27+H27+L27</f>
        <v>734777</v>
      </c>
      <c r="G27" s="78">
        <f>일위대가목록표!F670</f>
        <v>713377</v>
      </c>
      <c r="H27" s="80">
        <f>IF(C27=0,0,ROUNDDOWN(G27*C27,1))</f>
        <v>713377</v>
      </c>
      <c r="I27" s="78">
        <f>일위대가목록표!G670</f>
        <v>0</v>
      </c>
      <c r="J27" s="80">
        <f>IF(C27=0,0,ROUNDDOWN(I27*C27,1))</f>
        <v>0</v>
      </c>
      <c r="K27" s="78">
        <f>일위대가목록표!H670</f>
        <v>21400</v>
      </c>
      <c r="L27" s="80">
        <f>IF(C27=0,0,ROUNDDOWN(K27*C27,1))</f>
        <v>21400</v>
      </c>
      <c r="M27" s="22" t="s">
        <v>6432</v>
      </c>
      <c r="N27" s="17" t="s">
        <v>6429</v>
      </c>
      <c r="O27" s="7" t="s">
        <v>6430</v>
      </c>
      <c r="P27" s="7" t="s">
        <v>6406</v>
      </c>
      <c r="Z27" s="3" t="str">
        <f ca="1">HYPERLINK("#"&amp;일위대가목록표!J2&amp;"!A"&amp;ROW(일위대가목록표!A670),"대가667 →")</f>
        <v>대가667 →</v>
      </c>
    </row>
    <row r="28" spans="1:26" ht="28.7" customHeight="1" x14ac:dyDescent="0.3">
      <c r="A28" s="10" t="s">
        <v>12</v>
      </c>
      <c r="B28" s="10" t="s">
        <v>2147</v>
      </c>
      <c r="C28" s="75">
        <v>1</v>
      </c>
      <c r="D28" s="31" t="s">
        <v>14</v>
      </c>
      <c r="E28" s="55">
        <f>I28+G28+K28</f>
        <v>14000000</v>
      </c>
      <c r="F28" s="77">
        <f>J28+H28+L28</f>
        <v>14000000</v>
      </c>
      <c r="G28" s="51">
        <v>0</v>
      </c>
      <c r="H28" s="76">
        <f>IF(C28=0,0,ROUNDDOWN(G28*C28,1))</f>
        <v>0</v>
      </c>
      <c r="I28" s="78">
        <f>재료비목록표!E38</f>
        <v>14000000</v>
      </c>
      <c r="J28" s="81">
        <f>IF(C28=0,0,ROUNDDOWN(I28*C28,1))</f>
        <v>14000000</v>
      </c>
      <c r="K28" s="51">
        <v>0</v>
      </c>
      <c r="L28" s="76">
        <f>IF(C28=0,0,ROUNDDOWN(K28*C28,1))</f>
        <v>0</v>
      </c>
      <c r="M28" s="22" t="s">
        <v>6434</v>
      </c>
      <c r="N28" s="17" t="s">
        <v>6433</v>
      </c>
      <c r="O28" s="7" t="s">
        <v>5328</v>
      </c>
      <c r="P28" s="7" t="s">
        <v>6406</v>
      </c>
      <c r="Z28" s="3" t="str">
        <f ca="1">HYPERLINK("#"&amp;재료비목록표!G2&amp;"!A"&amp;ROW(재료비목록표!A38),"자재35 →")</f>
        <v>자재35 →</v>
      </c>
    </row>
    <row r="29" spans="1:26" ht="28.7" customHeight="1" x14ac:dyDescent="0.3">
      <c r="A29" s="22" t="s">
        <v>6</v>
      </c>
      <c r="B29" s="74"/>
      <c r="C29" s="74"/>
      <c r="D29" s="74"/>
      <c r="E29" s="74"/>
      <c r="F29" s="48">
        <f>J29+H29+L29</f>
        <v>14734777</v>
      </c>
      <c r="G29" s="74"/>
      <c r="H29" s="48">
        <f>ROUNDDOWN(SUMIF(P27:P28,O29,H27:H28),0)</f>
        <v>713377</v>
      </c>
      <c r="I29" s="74"/>
      <c r="J29" s="48">
        <f>ROUNDDOWN(SUMIF(P27:P28,O29,J27:J28),0)</f>
        <v>14000000</v>
      </c>
      <c r="K29" s="74"/>
      <c r="L29" s="48">
        <f>ROUNDDOWN(SUMIF(P27:P28,O29,L27:L28),0)</f>
        <v>21400</v>
      </c>
      <c r="M29" s="74"/>
      <c r="O29" s="7" t="s">
        <v>6406</v>
      </c>
    </row>
    <row r="30" spans="1:26" ht="28.7" customHeight="1" x14ac:dyDescent="0.3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</row>
    <row r="31" spans="1:26" ht="28.7" customHeight="1" x14ac:dyDescent="0.3">
      <c r="A31" s="136" t="s">
        <v>27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44"/>
      <c r="M31" s="22" t="s">
        <v>6431</v>
      </c>
      <c r="N31" s="84" t="str">
        <f>HYPERLINK("#N"&amp;ROW(N33),"_x0005_`BDCOD|B04901_x0007_`POSS|"&amp;ROW(N32)&amp;"_x0007_`POSE|"&amp;ROW(N33)&amp;"_x0007_`")</f>
        <v>_x0005_`BDCOD|B04901_x0007_`POSS|32_x0007_`POSE|33_x0007_`</v>
      </c>
      <c r="O31" s="7" t="s">
        <v>6435</v>
      </c>
    </row>
    <row r="32" spans="1:26" ht="28.7" customHeight="1" x14ac:dyDescent="0.3">
      <c r="A32" s="10" t="s">
        <v>1682</v>
      </c>
      <c r="B32" s="10" t="s">
        <v>1730</v>
      </c>
      <c r="C32" s="75">
        <v>1</v>
      </c>
      <c r="D32" s="31" t="s">
        <v>14</v>
      </c>
      <c r="E32" s="55">
        <f>I32+G32+K32</f>
        <v>923410</v>
      </c>
      <c r="F32" s="76">
        <f>J32+H32+L32</f>
        <v>923410</v>
      </c>
      <c r="G32" s="78">
        <f>일위대가목록표!F673</f>
        <v>896515</v>
      </c>
      <c r="H32" s="80">
        <f>IF(C32=0,0,ROUNDDOWN(G32*C32,1))</f>
        <v>896515</v>
      </c>
      <c r="I32" s="78">
        <f>일위대가목록표!G673</f>
        <v>0</v>
      </c>
      <c r="J32" s="80">
        <f>IF(C32=0,0,ROUNDDOWN(I32*C32,1))</f>
        <v>0</v>
      </c>
      <c r="K32" s="78">
        <f>일위대가목록표!H673</f>
        <v>26895</v>
      </c>
      <c r="L32" s="80">
        <f>IF(C32=0,0,ROUNDDOWN(K32*C32,1))</f>
        <v>26895</v>
      </c>
      <c r="M32" s="22" t="s">
        <v>6439</v>
      </c>
      <c r="N32" s="17" t="s">
        <v>6436</v>
      </c>
      <c r="O32" s="7" t="s">
        <v>6437</v>
      </c>
      <c r="P32" s="7" t="s">
        <v>6406</v>
      </c>
      <c r="Z32" s="3" t="str">
        <f ca="1">HYPERLINK("#"&amp;일위대가목록표!J2&amp;"!A"&amp;ROW(일위대가목록표!A673),"대가670 →")</f>
        <v>대가670 →</v>
      </c>
    </row>
    <row r="33" spans="1:26" ht="28.7" customHeight="1" x14ac:dyDescent="0.3">
      <c r="A33" s="10" t="s">
        <v>12</v>
      </c>
      <c r="B33" s="10" t="s">
        <v>2152</v>
      </c>
      <c r="C33" s="75">
        <v>1</v>
      </c>
      <c r="D33" s="31" t="s">
        <v>14</v>
      </c>
      <c r="E33" s="55">
        <f>I33+G33+K33</f>
        <v>16000000</v>
      </c>
      <c r="F33" s="77">
        <f>J33+H33+L33</f>
        <v>16000000</v>
      </c>
      <c r="G33" s="51">
        <v>0</v>
      </c>
      <c r="H33" s="76">
        <f>IF(C33=0,0,ROUNDDOWN(G33*C33,1))</f>
        <v>0</v>
      </c>
      <c r="I33" s="78">
        <f>재료비목록표!E40</f>
        <v>16000000</v>
      </c>
      <c r="J33" s="81">
        <f>IF(C33=0,0,ROUNDDOWN(I33*C33,1))</f>
        <v>16000000</v>
      </c>
      <c r="K33" s="51">
        <v>0</v>
      </c>
      <c r="L33" s="76">
        <f>IF(C33=0,0,ROUNDDOWN(K33*C33,1))</f>
        <v>0</v>
      </c>
      <c r="M33" s="22" t="s">
        <v>6441</v>
      </c>
      <c r="N33" s="17" t="s">
        <v>6440</v>
      </c>
      <c r="O33" s="7" t="s">
        <v>5331</v>
      </c>
      <c r="P33" s="7" t="s">
        <v>6406</v>
      </c>
      <c r="Z33" s="3" t="str">
        <f ca="1">HYPERLINK("#"&amp;재료비목록표!G2&amp;"!A"&amp;ROW(재료비목록표!A40),"자재37 →")</f>
        <v>자재37 →</v>
      </c>
    </row>
    <row r="34" spans="1:26" ht="28.7" customHeight="1" x14ac:dyDescent="0.3">
      <c r="A34" s="22" t="s">
        <v>6</v>
      </c>
      <c r="B34" s="74"/>
      <c r="C34" s="74"/>
      <c r="D34" s="74"/>
      <c r="E34" s="74"/>
      <c r="F34" s="48">
        <f>J34+H34+L34</f>
        <v>16923410</v>
      </c>
      <c r="G34" s="74"/>
      <c r="H34" s="48">
        <f>ROUNDDOWN(SUMIF(P32:P33,O34,H32:H33),0)</f>
        <v>896515</v>
      </c>
      <c r="I34" s="74"/>
      <c r="J34" s="48">
        <f>ROUNDDOWN(SUMIF(P32:P33,O34,J32:J33),0)</f>
        <v>16000000</v>
      </c>
      <c r="K34" s="74"/>
      <c r="L34" s="48">
        <f>ROUNDDOWN(SUMIF(P32:P33,O34,L32:L33),0)</f>
        <v>26895</v>
      </c>
      <c r="M34" s="74"/>
      <c r="O34" s="7" t="s">
        <v>6406</v>
      </c>
    </row>
    <row r="35" spans="1:26" ht="28.7" customHeight="1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</row>
    <row r="36" spans="1:26" ht="28.7" customHeight="1" x14ac:dyDescent="0.3">
      <c r="A36" s="136" t="s">
        <v>30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44"/>
      <c r="M36" s="22" t="s">
        <v>6438</v>
      </c>
      <c r="N36" s="84" t="str">
        <f>HYPERLINK("#N"&amp;ROW(N38),"_x0005_`BDCOD|B04902_x0007_`POSS|"&amp;ROW(N37)&amp;"_x0007_`POSE|"&amp;ROW(N38)&amp;"_x0007_`")</f>
        <v>_x0005_`BDCOD|B04902_x0007_`POSS|37_x0007_`POSE|38_x0007_`</v>
      </c>
      <c r="O36" s="7" t="s">
        <v>6442</v>
      </c>
    </row>
    <row r="37" spans="1:26" ht="28.7" customHeight="1" x14ac:dyDescent="0.3">
      <c r="A37" s="10" t="s">
        <v>1682</v>
      </c>
      <c r="B37" s="10" t="s">
        <v>1739</v>
      </c>
      <c r="C37" s="75">
        <v>1</v>
      </c>
      <c r="D37" s="31" t="s">
        <v>14</v>
      </c>
      <c r="E37" s="55">
        <f>I37+G37+K37</f>
        <v>980333</v>
      </c>
      <c r="F37" s="76">
        <f>J37+H37+L37</f>
        <v>980333</v>
      </c>
      <c r="G37" s="78">
        <f>일위대가목록표!F676</f>
        <v>951780</v>
      </c>
      <c r="H37" s="80">
        <f>IF(C37=0,0,ROUNDDOWN(G37*C37,1))</f>
        <v>951780</v>
      </c>
      <c r="I37" s="78">
        <f>일위대가목록표!G676</f>
        <v>0</v>
      </c>
      <c r="J37" s="80">
        <f>IF(C37=0,0,ROUNDDOWN(I37*C37,1))</f>
        <v>0</v>
      </c>
      <c r="K37" s="78">
        <f>일위대가목록표!H676</f>
        <v>28553</v>
      </c>
      <c r="L37" s="80">
        <f>IF(C37=0,0,ROUNDDOWN(K37*C37,1))</f>
        <v>28553</v>
      </c>
      <c r="M37" s="22" t="s">
        <v>6446</v>
      </c>
      <c r="N37" s="17" t="s">
        <v>6443</v>
      </c>
      <c r="O37" s="7" t="s">
        <v>6444</v>
      </c>
      <c r="P37" s="7" t="s">
        <v>6406</v>
      </c>
      <c r="Z37" s="3" t="str">
        <f ca="1">HYPERLINK("#"&amp;일위대가목록표!J2&amp;"!A"&amp;ROW(일위대가목록표!A676),"대가673 →")</f>
        <v>대가673 →</v>
      </c>
    </row>
    <row r="38" spans="1:26" ht="28.7" customHeight="1" x14ac:dyDescent="0.3">
      <c r="A38" s="10" t="s">
        <v>12</v>
      </c>
      <c r="B38" s="10" t="s">
        <v>2155</v>
      </c>
      <c r="C38" s="75">
        <v>1</v>
      </c>
      <c r="D38" s="31" t="s">
        <v>14</v>
      </c>
      <c r="E38" s="55">
        <f>I38+G38+K38</f>
        <v>18500000</v>
      </c>
      <c r="F38" s="77">
        <f>J38+H38+L38</f>
        <v>18500000</v>
      </c>
      <c r="G38" s="51">
        <v>0</v>
      </c>
      <c r="H38" s="76">
        <f>IF(C38=0,0,ROUNDDOWN(G38*C38,1))</f>
        <v>0</v>
      </c>
      <c r="I38" s="78">
        <f>재료비목록표!E41</f>
        <v>18500000</v>
      </c>
      <c r="J38" s="81">
        <f>IF(C38=0,0,ROUNDDOWN(I38*C38,1))</f>
        <v>18500000</v>
      </c>
      <c r="K38" s="51">
        <v>0</v>
      </c>
      <c r="L38" s="76">
        <f>IF(C38=0,0,ROUNDDOWN(K38*C38,1))</f>
        <v>0</v>
      </c>
      <c r="M38" s="22" t="s">
        <v>6448</v>
      </c>
      <c r="N38" s="17" t="s">
        <v>6447</v>
      </c>
      <c r="O38" s="7" t="s">
        <v>5334</v>
      </c>
      <c r="P38" s="7" t="s">
        <v>6406</v>
      </c>
      <c r="Z38" s="3" t="str">
        <f ca="1">HYPERLINK("#"&amp;재료비목록표!G2&amp;"!A"&amp;ROW(재료비목록표!A41),"자재38 →")</f>
        <v>자재38 →</v>
      </c>
    </row>
    <row r="39" spans="1:26" ht="28.7" customHeight="1" x14ac:dyDescent="0.3">
      <c r="A39" s="22" t="s">
        <v>6</v>
      </c>
      <c r="B39" s="74"/>
      <c r="C39" s="74"/>
      <c r="D39" s="74"/>
      <c r="E39" s="74"/>
      <c r="F39" s="48">
        <f>J39+H39+L39</f>
        <v>19480333</v>
      </c>
      <c r="G39" s="74"/>
      <c r="H39" s="48">
        <f>ROUNDDOWN(SUMIF(P37:P38,O39,H37:H38),0)</f>
        <v>951780</v>
      </c>
      <c r="I39" s="74"/>
      <c r="J39" s="48">
        <f>ROUNDDOWN(SUMIF(P37:P38,O39,J37:J38),0)</f>
        <v>18500000</v>
      </c>
      <c r="K39" s="74"/>
      <c r="L39" s="48">
        <f>ROUNDDOWN(SUMIF(P37:P38,O39,L37:L38),0)</f>
        <v>28553</v>
      </c>
      <c r="M39" s="74"/>
      <c r="O39" s="7" t="s">
        <v>6406</v>
      </c>
    </row>
    <row r="40" spans="1:26" ht="28.7" customHeight="1" x14ac:dyDescent="0.3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</row>
    <row r="41" spans="1:26" ht="28.7" customHeight="1" x14ac:dyDescent="0.3">
      <c r="A41" s="136" t="s">
        <v>33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44"/>
      <c r="M41" s="22" t="s">
        <v>6445</v>
      </c>
      <c r="N41" s="84" t="str">
        <f>HYPERLINK("#N"&amp;ROW(N43),"_x0005_`BDCOD|B04903_x0007_`POSS|"&amp;ROW(N42)&amp;"_x0007_`POSE|"&amp;ROW(N43)&amp;"_x0007_`")</f>
        <v>_x0005_`BDCOD|B04903_x0007_`POSS|42_x0007_`POSE|43_x0007_`</v>
      </c>
      <c r="O41" s="7" t="s">
        <v>6449</v>
      </c>
    </row>
    <row r="42" spans="1:26" ht="28.7" customHeight="1" x14ac:dyDescent="0.3">
      <c r="A42" s="10" t="s">
        <v>1682</v>
      </c>
      <c r="B42" s="10" t="s">
        <v>1748</v>
      </c>
      <c r="C42" s="75">
        <v>1</v>
      </c>
      <c r="D42" s="31" t="s">
        <v>14</v>
      </c>
      <c r="E42" s="55">
        <f>I42+G42+K42</f>
        <v>1583750</v>
      </c>
      <c r="F42" s="76">
        <f>J42+H42+L42</f>
        <v>1583750</v>
      </c>
      <c r="G42" s="78">
        <f>일위대가목록표!F679</f>
        <v>1537622</v>
      </c>
      <c r="H42" s="80">
        <f>IF(C42=0,0,ROUNDDOWN(G42*C42,1))</f>
        <v>1537622</v>
      </c>
      <c r="I42" s="78">
        <f>일위대가목록표!G679</f>
        <v>0</v>
      </c>
      <c r="J42" s="80">
        <f>IF(C42=0,0,ROUNDDOWN(I42*C42,1))</f>
        <v>0</v>
      </c>
      <c r="K42" s="78">
        <f>일위대가목록표!H679</f>
        <v>46128</v>
      </c>
      <c r="L42" s="80">
        <f>IF(C42=0,0,ROUNDDOWN(K42*C42,1))</f>
        <v>46128</v>
      </c>
      <c r="M42" s="22" t="s">
        <v>6453</v>
      </c>
      <c r="N42" s="17" t="s">
        <v>6450</v>
      </c>
      <c r="O42" s="7" t="s">
        <v>6451</v>
      </c>
      <c r="P42" s="7" t="s">
        <v>6406</v>
      </c>
      <c r="Z42" s="3" t="str">
        <f ca="1">HYPERLINK("#"&amp;일위대가목록표!J2&amp;"!A"&amp;ROW(일위대가목록표!A679),"대가676 →")</f>
        <v>대가676 →</v>
      </c>
    </row>
    <row r="43" spans="1:26" ht="28.7" customHeight="1" x14ac:dyDescent="0.3">
      <c r="A43" s="10" t="s">
        <v>12</v>
      </c>
      <c r="B43" s="10" t="s">
        <v>2164</v>
      </c>
      <c r="C43" s="75">
        <v>1</v>
      </c>
      <c r="D43" s="31" t="s">
        <v>14</v>
      </c>
      <c r="E43" s="55">
        <f>I43+G43+K43</f>
        <v>21177000</v>
      </c>
      <c r="F43" s="77">
        <f>J43+H43+L43</f>
        <v>21177000</v>
      </c>
      <c r="G43" s="51">
        <v>0</v>
      </c>
      <c r="H43" s="76">
        <f>IF(C43=0,0,ROUNDDOWN(G43*C43,1))</f>
        <v>0</v>
      </c>
      <c r="I43" s="78">
        <f>재료비목록표!E44</f>
        <v>21177000</v>
      </c>
      <c r="J43" s="81">
        <f>IF(C43=0,0,ROUNDDOWN(I43*C43,1))</f>
        <v>21177000</v>
      </c>
      <c r="K43" s="51">
        <v>0</v>
      </c>
      <c r="L43" s="76">
        <f>IF(C43=0,0,ROUNDDOWN(K43*C43,1))</f>
        <v>0</v>
      </c>
      <c r="M43" s="22" t="s">
        <v>6455</v>
      </c>
      <c r="N43" s="17" t="s">
        <v>6454</v>
      </c>
      <c r="O43" s="7" t="s">
        <v>5340</v>
      </c>
      <c r="P43" s="7" t="s">
        <v>6406</v>
      </c>
      <c r="Z43" s="3" t="str">
        <f ca="1">HYPERLINK("#"&amp;재료비목록표!G2&amp;"!A"&amp;ROW(재료비목록표!A44),"자재41 →")</f>
        <v>자재41 →</v>
      </c>
    </row>
    <row r="44" spans="1:26" ht="28.7" customHeight="1" x14ac:dyDescent="0.3">
      <c r="A44" s="22" t="s">
        <v>6</v>
      </c>
      <c r="B44" s="74"/>
      <c r="C44" s="74"/>
      <c r="D44" s="74"/>
      <c r="E44" s="74"/>
      <c r="F44" s="48">
        <f>J44+H44+L44</f>
        <v>22760750</v>
      </c>
      <c r="G44" s="74"/>
      <c r="H44" s="48">
        <f>ROUNDDOWN(SUMIF(P42:P43,O44,H42:H43),0)</f>
        <v>1537622</v>
      </c>
      <c r="I44" s="74"/>
      <c r="J44" s="48">
        <f>ROUNDDOWN(SUMIF(P42:P43,O44,J42:J43),0)</f>
        <v>21177000</v>
      </c>
      <c r="K44" s="74"/>
      <c r="L44" s="48">
        <f>ROUNDDOWN(SUMIF(P42:P43,O44,L42:L43),0)</f>
        <v>46128</v>
      </c>
      <c r="M44" s="74"/>
      <c r="O44" s="7" t="s">
        <v>6406</v>
      </c>
    </row>
    <row r="45" spans="1:26" ht="28.7" customHeight="1" x14ac:dyDescent="0.3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</row>
    <row r="46" spans="1:26" ht="28.7" customHeight="1" x14ac:dyDescent="0.3">
      <c r="A46" s="136" t="s">
        <v>36</v>
      </c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44"/>
      <c r="M46" s="22" t="s">
        <v>6452</v>
      </c>
      <c r="N46" s="84" t="str">
        <f>HYPERLINK("#N"&amp;ROW(N48),"_x0005_`BDCOD|B04904_x0007_`POSS|"&amp;ROW(N47)&amp;"_x0007_`POSE|"&amp;ROW(N48)&amp;"_x0007_`")</f>
        <v>_x0005_`BDCOD|B04904_x0007_`POSS|47_x0007_`POSE|48_x0007_`</v>
      </c>
      <c r="O46" s="7" t="s">
        <v>6456</v>
      </c>
    </row>
    <row r="47" spans="1:26" ht="28.7" customHeight="1" x14ac:dyDescent="0.3">
      <c r="A47" s="10" t="s">
        <v>1682</v>
      </c>
      <c r="B47" s="10" t="s">
        <v>1757</v>
      </c>
      <c r="C47" s="75">
        <v>1</v>
      </c>
      <c r="D47" s="31" t="s">
        <v>14</v>
      </c>
      <c r="E47" s="55">
        <f>I47+G47+K47</f>
        <v>2044858</v>
      </c>
      <c r="F47" s="76">
        <f>J47+H47+L47</f>
        <v>2044858</v>
      </c>
      <c r="G47" s="78">
        <f>일위대가목록표!F682</f>
        <v>1985300</v>
      </c>
      <c r="H47" s="80">
        <f>IF(C47=0,0,ROUNDDOWN(G47*C47,1))</f>
        <v>1985300</v>
      </c>
      <c r="I47" s="78">
        <f>일위대가목록표!G682</f>
        <v>0</v>
      </c>
      <c r="J47" s="80">
        <f>IF(C47=0,0,ROUNDDOWN(I47*C47,1))</f>
        <v>0</v>
      </c>
      <c r="K47" s="78">
        <f>일위대가목록표!H682</f>
        <v>59558</v>
      </c>
      <c r="L47" s="80">
        <f>IF(C47=0,0,ROUNDDOWN(K47*C47,1))</f>
        <v>59558</v>
      </c>
      <c r="M47" s="22" t="s">
        <v>6460</v>
      </c>
      <c r="N47" s="17" t="s">
        <v>6457</v>
      </c>
      <c r="O47" s="7" t="s">
        <v>6458</v>
      </c>
      <c r="P47" s="7" t="s">
        <v>6406</v>
      </c>
      <c r="Z47" s="3" t="str">
        <f ca="1">HYPERLINK("#"&amp;일위대가목록표!J2&amp;"!A"&amp;ROW(일위대가목록표!A682),"대가679 →")</f>
        <v>대가679 →</v>
      </c>
    </row>
    <row r="48" spans="1:26" ht="28.7" customHeight="1" x14ac:dyDescent="0.3">
      <c r="A48" s="10" t="s">
        <v>12</v>
      </c>
      <c r="B48" s="10" t="s">
        <v>2169</v>
      </c>
      <c r="C48" s="75">
        <v>1</v>
      </c>
      <c r="D48" s="31" t="s">
        <v>14</v>
      </c>
      <c r="E48" s="55">
        <f>I48+G48+K48</f>
        <v>26000000</v>
      </c>
      <c r="F48" s="77">
        <f>J48+H48+L48</f>
        <v>26000000</v>
      </c>
      <c r="G48" s="51">
        <v>0</v>
      </c>
      <c r="H48" s="76">
        <f>IF(C48=0,0,ROUNDDOWN(G48*C48,1))</f>
        <v>0</v>
      </c>
      <c r="I48" s="78">
        <f>재료비목록표!E46</f>
        <v>26000000</v>
      </c>
      <c r="J48" s="81">
        <f>IF(C48=0,0,ROUNDDOWN(I48*C48,1))</f>
        <v>26000000</v>
      </c>
      <c r="K48" s="51">
        <v>0</v>
      </c>
      <c r="L48" s="76">
        <f>IF(C48=0,0,ROUNDDOWN(K48*C48,1))</f>
        <v>0</v>
      </c>
      <c r="M48" s="22" t="s">
        <v>6462</v>
      </c>
      <c r="N48" s="17" t="s">
        <v>6461</v>
      </c>
      <c r="O48" s="7" t="s">
        <v>5343</v>
      </c>
      <c r="P48" s="7" t="s">
        <v>6406</v>
      </c>
      <c r="Z48" s="3" t="str">
        <f ca="1">HYPERLINK("#"&amp;재료비목록표!G2&amp;"!A"&amp;ROW(재료비목록표!A46),"자재43 →")</f>
        <v>자재43 →</v>
      </c>
    </row>
    <row r="49" spans="1:26" ht="28.7" customHeight="1" x14ac:dyDescent="0.3">
      <c r="A49" s="22" t="s">
        <v>6</v>
      </c>
      <c r="B49" s="74"/>
      <c r="C49" s="74"/>
      <c r="D49" s="74"/>
      <c r="E49" s="74"/>
      <c r="F49" s="48">
        <f>J49+H49+L49</f>
        <v>28044858</v>
      </c>
      <c r="G49" s="74"/>
      <c r="H49" s="48">
        <f>ROUNDDOWN(SUMIF(P47:P48,O49,H47:H48),0)</f>
        <v>1985300</v>
      </c>
      <c r="I49" s="74"/>
      <c r="J49" s="48">
        <f>ROUNDDOWN(SUMIF(P47:P48,O49,J47:J48),0)</f>
        <v>26000000</v>
      </c>
      <c r="K49" s="74"/>
      <c r="L49" s="48">
        <f>ROUNDDOWN(SUMIF(P47:P48,O49,L47:L48),0)</f>
        <v>59558</v>
      </c>
      <c r="M49" s="74"/>
      <c r="O49" s="7" t="s">
        <v>6406</v>
      </c>
    </row>
    <row r="50" spans="1:26" ht="28.7" customHeight="1" x14ac:dyDescent="0.3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</row>
    <row r="51" spans="1:26" ht="28.7" customHeight="1" x14ac:dyDescent="0.3">
      <c r="A51" s="136" t="s">
        <v>39</v>
      </c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44"/>
      <c r="M51" s="22" t="s">
        <v>6459</v>
      </c>
      <c r="N51" s="84" t="str">
        <f>HYPERLINK("#N"&amp;ROW(N53),"_x0005_`BDCOD|B04905_x0007_`POSS|"&amp;ROW(N52)&amp;"_x0007_`POSE|"&amp;ROW(N53)&amp;"_x0007_`")</f>
        <v>_x0005_`BDCOD|B04905_x0007_`POSS|52_x0007_`POSE|53_x0007_`</v>
      </c>
      <c r="O51" s="7" t="s">
        <v>6463</v>
      </c>
    </row>
    <row r="52" spans="1:26" ht="28.7" customHeight="1" x14ac:dyDescent="0.3">
      <c r="A52" s="10" t="s">
        <v>1682</v>
      </c>
      <c r="B52" s="10" t="s">
        <v>1766</v>
      </c>
      <c r="C52" s="75">
        <v>1</v>
      </c>
      <c r="D52" s="31" t="s">
        <v>14</v>
      </c>
      <c r="E52" s="55">
        <f>I52+G52+K52</f>
        <v>3289807</v>
      </c>
      <c r="F52" s="76">
        <f>J52+H52+L52</f>
        <v>3289807</v>
      </c>
      <c r="G52" s="78">
        <f>일위대가목록표!F685</f>
        <v>3193989</v>
      </c>
      <c r="H52" s="80">
        <f>IF(C52=0,0,ROUNDDOWN(G52*C52,1))</f>
        <v>3193989</v>
      </c>
      <c r="I52" s="78">
        <f>일위대가목록표!G685</f>
        <v>0</v>
      </c>
      <c r="J52" s="80">
        <f>IF(C52=0,0,ROUNDDOWN(I52*C52,1))</f>
        <v>0</v>
      </c>
      <c r="K52" s="78">
        <f>일위대가목록표!H685</f>
        <v>95818</v>
      </c>
      <c r="L52" s="80">
        <f>IF(C52=0,0,ROUNDDOWN(K52*C52,1))</f>
        <v>95818</v>
      </c>
      <c r="M52" s="22" t="s">
        <v>6467</v>
      </c>
      <c r="N52" s="17" t="s">
        <v>6464</v>
      </c>
      <c r="O52" s="7" t="s">
        <v>6465</v>
      </c>
      <c r="P52" s="7" t="s">
        <v>6406</v>
      </c>
      <c r="Z52" s="3" t="str">
        <f ca="1">HYPERLINK("#"&amp;일위대가목록표!J2&amp;"!A"&amp;ROW(일위대가목록표!A685),"대가682 →")</f>
        <v>대가682 →</v>
      </c>
    </row>
    <row r="53" spans="1:26" ht="28.7" customHeight="1" x14ac:dyDescent="0.3">
      <c r="A53" s="10" t="s">
        <v>12</v>
      </c>
      <c r="B53" s="10" t="s">
        <v>2172</v>
      </c>
      <c r="C53" s="75">
        <v>1</v>
      </c>
      <c r="D53" s="31" t="s">
        <v>14</v>
      </c>
      <c r="E53" s="55">
        <f>I53+G53+K53</f>
        <v>32000000</v>
      </c>
      <c r="F53" s="77">
        <f>J53+H53+L53</f>
        <v>32000000</v>
      </c>
      <c r="G53" s="51">
        <v>0</v>
      </c>
      <c r="H53" s="76">
        <f>IF(C53=0,0,ROUNDDOWN(G53*C53,1))</f>
        <v>0</v>
      </c>
      <c r="I53" s="78">
        <f>재료비목록표!E47</f>
        <v>32000000</v>
      </c>
      <c r="J53" s="81">
        <f>IF(C53=0,0,ROUNDDOWN(I53*C53,1))</f>
        <v>32000000</v>
      </c>
      <c r="K53" s="51">
        <v>0</v>
      </c>
      <c r="L53" s="76">
        <f>IF(C53=0,0,ROUNDDOWN(K53*C53,1))</f>
        <v>0</v>
      </c>
      <c r="M53" s="22" t="s">
        <v>6469</v>
      </c>
      <c r="N53" s="17" t="s">
        <v>6468</v>
      </c>
      <c r="O53" s="7" t="s">
        <v>5346</v>
      </c>
      <c r="P53" s="7" t="s">
        <v>6406</v>
      </c>
      <c r="Z53" s="3" t="str">
        <f ca="1">HYPERLINK("#"&amp;재료비목록표!G2&amp;"!A"&amp;ROW(재료비목록표!A47),"자재44 →")</f>
        <v>자재44 →</v>
      </c>
    </row>
    <row r="54" spans="1:26" ht="28.7" customHeight="1" x14ac:dyDescent="0.3">
      <c r="A54" s="22" t="s">
        <v>6</v>
      </c>
      <c r="B54" s="74"/>
      <c r="C54" s="74"/>
      <c r="D54" s="74"/>
      <c r="E54" s="74"/>
      <c r="F54" s="48">
        <f>J54+H54+L54</f>
        <v>35289807</v>
      </c>
      <c r="G54" s="74"/>
      <c r="H54" s="48">
        <f>ROUNDDOWN(SUMIF(P52:P53,O54,H52:H53),0)</f>
        <v>3193989</v>
      </c>
      <c r="I54" s="74"/>
      <c r="J54" s="48">
        <f>ROUNDDOWN(SUMIF(P52:P53,O54,J52:J53),0)</f>
        <v>32000000</v>
      </c>
      <c r="K54" s="74"/>
      <c r="L54" s="48">
        <f>ROUNDDOWN(SUMIF(P52:P53,O54,L52:L53),0)</f>
        <v>95818</v>
      </c>
      <c r="M54" s="74"/>
      <c r="O54" s="7" t="s">
        <v>6406</v>
      </c>
    </row>
    <row r="55" spans="1:26" ht="28.7" customHeight="1" x14ac:dyDescent="0.3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</row>
    <row r="56" spans="1:26" ht="28.7" customHeight="1" x14ac:dyDescent="0.3">
      <c r="A56" s="136" t="s">
        <v>42</v>
      </c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44"/>
      <c r="M56" s="22" t="s">
        <v>6466</v>
      </c>
      <c r="N56" s="84" t="str">
        <f>HYPERLINK("#N"&amp;ROW(N58),"_x0005_`BDCOD|B04906_x0007_`POSS|"&amp;ROW(N57)&amp;"_x0007_`POSE|"&amp;ROW(N58)&amp;"_x0007_`")</f>
        <v>_x0005_`BDCOD|B04906_x0007_`POSS|57_x0007_`POSE|58_x0007_`</v>
      </c>
      <c r="O56" s="7" t="s">
        <v>6470</v>
      </c>
    </row>
    <row r="57" spans="1:26" ht="28.7" customHeight="1" x14ac:dyDescent="0.3">
      <c r="A57" s="10" t="s">
        <v>1682</v>
      </c>
      <c r="B57" s="10" t="s">
        <v>1766</v>
      </c>
      <c r="C57" s="75">
        <v>1</v>
      </c>
      <c r="D57" s="31" t="s">
        <v>14</v>
      </c>
      <c r="E57" s="55">
        <f>I57+G57+K57</f>
        <v>3289807</v>
      </c>
      <c r="F57" s="76">
        <f>J57+H57+L57</f>
        <v>3289807</v>
      </c>
      <c r="G57" s="78">
        <f>일위대가목록표!F685</f>
        <v>3193989</v>
      </c>
      <c r="H57" s="80">
        <f>IF(C57=0,0,ROUNDDOWN(G57*C57,1))</f>
        <v>3193989</v>
      </c>
      <c r="I57" s="78">
        <f>일위대가목록표!G685</f>
        <v>0</v>
      </c>
      <c r="J57" s="80">
        <f>IF(C57=0,0,ROUNDDOWN(I57*C57,1))</f>
        <v>0</v>
      </c>
      <c r="K57" s="78">
        <f>일위대가목록표!H685</f>
        <v>95818</v>
      </c>
      <c r="L57" s="80">
        <f>IF(C57=0,0,ROUNDDOWN(K57*C57,1))</f>
        <v>95818</v>
      </c>
      <c r="M57" s="22" t="s">
        <v>6467</v>
      </c>
      <c r="N57" s="17" t="s">
        <v>6464</v>
      </c>
      <c r="O57" s="7" t="s">
        <v>6465</v>
      </c>
      <c r="P57" s="7" t="s">
        <v>6406</v>
      </c>
      <c r="Z57" s="3" t="str">
        <f ca="1">HYPERLINK("#"&amp;일위대가목록표!J2&amp;"!A"&amp;ROW(일위대가목록표!A685),"대가682 →")</f>
        <v>대가682 →</v>
      </c>
    </row>
    <row r="58" spans="1:26" ht="28.7" customHeight="1" x14ac:dyDescent="0.3">
      <c r="A58" s="10" t="s">
        <v>12</v>
      </c>
      <c r="B58" s="10" t="s">
        <v>2178</v>
      </c>
      <c r="C58" s="75">
        <v>1</v>
      </c>
      <c r="D58" s="31" t="s">
        <v>14</v>
      </c>
      <c r="E58" s="55">
        <f>I58+G58+K58</f>
        <v>39000000</v>
      </c>
      <c r="F58" s="77">
        <f>J58+H58+L58</f>
        <v>39000000</v>
      </c>
      <c r="G58" s="51">
        <v>0</v>
      </c>
      <c r="H58" s="76">
        <f>IF(C58=0,0,ROUNDDOWN(G58*C58,1))</f>
        <v>0</v>
      </c>
      <c r="I58" s="78">
        <f>재료비목록표!E49</f>
        <v>39000000</v>
      </c>
      <c r="J58" s="81">
        <f>IF(C58=0,0,ROUNDDOWN(I58*C58,1))</f>
        <v>39000000</v>
      </c>
      <c r="K58" s="51">
        <v>0</v>
      </c>
      <c r="L58" s="76">
        <f>IF(C58=0,0,ROUNDDOWN(K58*C58,1))</f>
        <v>0</v>
      </c>
      <c r="M58" s="22" t="s">
        <v>6473</v>
      </c>
      <c r="N58" s="17" t="s">
        <v>6472</v>
      </c>
      <c r="O58" s="7" t="s">
        <v>5349</v>
      </c>
      <c r="P58" s="7" t="s">
        <v>6406</v>
      </c>
      <c r="Z58" s="3" t="str">
        <f ca="1">HYPERLINK("#"&amp;재료비목록표!G2&amp;"!A"&amp;ROW(재료비목록표!A49),"자재46 →")</f>
        <v>자재46 →</v>
      </c>
    </row>
    <row r="59" spans="1:26" ht="28.7" customHeight="1" x14ac:dyDescent="0.3">
      <c r="A59" s="22" t="s">
        <v>6</v>
      </c>
      <c r="B59" s="74"/>
      <c r="C59" s="74"/>
      <c r="D59" s="74"/>
      <c r="E59" s="74"/>
      <c r="F59" s="48">
        <f>J59+H59+L59</f>
        <v>42289807</v>
      </c>
      <c r="G59" s="74"/>
      <c r="H59" s="48">
        <f>ROUNDDOWN(SUMIF(P57:P58,O59,H57:H58),0)</f>
        <v>3193989</v>
      </c>
      <c r="I59" s="74"/>
      <c r="J59" s="48">
        <f>ROUNDDOWN(SUMIF(P57:P58,O59,J57:J58),0)</f>
        <v>39000000</v>
      </c>
      <c r="K59" s="74"/>
      <c r="L59" s="48">
        <f>ROUNDDOWN(SUMIF(P57:P58,O59,L57:L58),0)</f>
        <v>95818</v>
      </c>
      <c r="M59" s="74"/>
      <c r="O59" s="7" t="s">
        <v>6406</v>
      </c>
    </row>
    <row r="60" spans="1:26" ht="28.7" customHeight="1" x14ac:dyDescent="0.3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</row>
    <row r="61" spans="1:26" ht="28.7" customHeight="1" x14ac:dyDescent="0.3">
      <c r="A61" s="136" t="s">
        <v>45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44"/>
      <c r="M61" s="22" t="s">
        <v>6471</v>
      </c>
      <c r="N61" s="84" t="str">
        <f>HYPERLINK("#N"&amp;ROW(N63),"_x0005_`BDCOD|B04907_x0007_`POSS|"&amp;ROW(N62)&amp;"_x0007_`POSE|"&amp;ROW(N63)&amp;"_x0007_`")</f>
        <v>_x0005_`BDCOD|B04907_x0007_`POSS|62_x0007_`POSE|63_x0007_`</v>
      </c>
      <c r="O61" s="7" t="s">
        <v>6474</v>
      </c>
    </row>
    <row r="62" spans="1:26" ht="28.7" customHeight="1" x14ac:dyDescent="0.3">
      <c r="A62" s="10" t="s">
        <v>1682</v>
      </c>
      <c r="B62" s="10" t="s">
        <v>1775</v>
      </c>
      <c r="C62" s="75">
        <v>1</v>
      </c>
      <c r="D62" s="31" t="s">
        <v>14</v>
      </c>
      <c r="E62" s="55">
        <f>I62+G62+K62</f>
        <v>4030109</v>
      </c>
      <c r="F62" s="76">
        <f>J62+H62+L62</f>
        <v>4030109</v>
      </c>
      <c r="G62" s="78">
        <f>일위대가목록표!F688</f>
        <v>3912728</v>
      </c>
      <c r="H62" s="80">
        <f>IF(C62=0,0,ROUNDDOWN(G62*C62,1))</f>
        <v>3912728</v>
      </c>
      <c r="I62" s="78">
        <f>일위대가목록표!G688</f>
        <v>0</v>
      </c>
      <c r="J62" s="80">
        <f>IF(C62=0,0,ROUNDDOWN(I62*C62,1))</f>
        <v>0</v>
      </c>
      <c r="K62" s="78">
        <f>일위대가목록표!H688</f>
        <v>117381</v>
      </c>
      <c r="L62" s="80">
        <f>IF(C62=0,0,ROUNDDOWN(K62*C62,1))</f>
        <v>117381</v>
      </c>
      <c r="M62" s="22" t="s">
        <v>6478</v>
      </c>
      <c r="N62" s="17" t="s">
        <v>6475</v>
      </c>
      <c r="O62" s="7" t="s">
        <v>6476</v>
      </c>
      <c r="P62" s="7" t="s">
        <v>6406</v>
      </c>
      <c r="Z62" s="3" t="str">
        <f ca="1">HYPERLINK("#"&amp;일위대가목록표!J2&amp;"!A"&amp;ROW(일위대가목록표!A688),"대가685 →")</f>
        <v>대가685 →</v>
      </c>
    </row>
    <row r="63" spans="1:26" ht="28.7" customHeight="1" x14ac:dyDescent="0.3">
      <c r="A63" s="10" t="s">
        <v>12</v>
      </c>
      <c r="B63" s="10" t="s">
        <v>47</v>
      </c>
      <c r="C63" s="75">
        <v>1</v>
      </c>
      <c r="D63" s="31" t="s">
        <v>14</v>
      </c>
      <c r="E63" s="55">
        <f>I63+G63+K63</f>
        <v>99500000</v>
      </c>
      <c r="F63" s="77">
        <f>J63+H63+L63</f>
        <v>99500000</v>
      </c>
      <c r="G63" s="51">
        <v>0</v>
      </c>
      <c r="H63" s="76">
        <f>IF(C63=0,0,ROUNDDOWN(G63*C63,1))</f>
        <v>0</v>
      </c>
      <c r="I63" s="78">
        <f>재료비목록표!E39</f>
        <v>99500000</v>
      </c>
      <c r="J63" s="81">
        <f>IF(C63=0,0,ROUNDDOWN(I63*C63,1))</f>
        <v>99500000</v>
      </c>
      <c r="K63" s="51">
        <v>0</v>
      </c>
      <c r="L63" s="76">
        <f>IF(C63=0,0,ROUNDDOWN(K63*C63,1))</f>
        <v>0</v>
      </c>
      <c r="M63" s="22" t="s">
        <v>6480</v>
      </c>
      <c r="N63" s="17" t="s">
        <v>6479</v>
      </c>
      <c r="O63" s="7" t="s">
        <v>5352</v>
      </c>
      <c r="P63" s="7" t="s">
        <v>6406</v>
      </c>
      <c r="Z63" s="3" t="str">
        <f ca="1">HYPERLINK("#"&amp;재료비목록표!G2&amp;"!A"&amp;ROW(재료비목록표!A39),"자재36 →")</f>
        <v>자재36 →</v>
      </c>
    </row>
    <row r="64" spans="1:26" ht="28.7" customHeight="1" x14ac:dyDescent="0.3">
      <c r="A64" s="22" t="s">
        <v>6</v>
      </c>
      <c r="B64" s="74"/>
      <c r="C64" s="74"/>
      <c r="D64" s="74"/>
      <c r="E64" s="74"/>
      <c r="F64" s="48">
        <f>J64+H64+L64</f>
        <v>103530109</v>
      </c>
      <c r="G64" s="74"/>
      <c r="H64" s="48">
        <f>ROUNDDOWN(SUMIF(P62:P63,O64,H62:H63),0)</f>
        <v>3912728</v>
      </c>
      <c r="I64" s="74"/>
      <c r="J64" s="48">
        <f>ROUNDDOWN(SUMIF(P62:P63,O64,J62:J63),0)</f>
        <v>99500000</v>
      </c>
      <c r="K64" s="74"/>
      <c r="L64" s="48">
        <f>ROUNDDOWN(SUMIF(P62:P63,O64,L62:L63),0)</f>
        <v>117381</v>
      </c>
      <c r="M64" s="74"/>
      <c r="O64" s="7" t="s">
        <v>6406</v>
      </c>
    </row>
    <row r="65" spans="1:26" ht="28.7" customHeight="1" x14ac:dyDescent="0.3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</row>
    <row r="66" spans="1:26" ht="28.7" customHeight="1" x14ac:dyDescent="0.3">
      <c r="A66" s="136" t="s">
        <v>48</v>
      </c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44"/>
      <c r="M66" s="22" t="s">
        <v>6477</v>
      </c>
      <c r="N66" s="84" t="str">
        <f>HYPERLINK("#N"&amp;ROW(N67),"_x0005_`BDCOD|B05105_x0007_`POSS|"&amp;ROW(N67)&amp;"_x0007_`POSE|"&amp;ROW(N67)&amp;"_x0007_`")</f>
        <v>_x0005_`BDCOD|B05105_x0007_`POSS|67_x0007_`POSE|67_x0007_`</v>
      </c>
      <c r="O66" s="7" t="s">
        <v>6481</v>
      </c>
    </row>
    <row r="67" spans="1:26" ht="28.7" customHeight="1" x14ac:dyDescent="0.3">
      <c r="A67" s="10" t="s">
        <v>1682</v>
      </c>
      <c r="B67" s="10" t="s">
        <v>1683</v>
      </c>
      <c r="C67" s="75">
        <v>1</v>
      </c>
      <c r="D67" s="31" t="s">
        <v>14</v>
      </c>
      <c r="E67" s="55">
        <f>I67+G67+K67</f>
        <v>365273</v>
      </c>
      <c r="F67" s="76">
        <f>J67+H67+L67</f>
        <v>365273</v>
      </c>
      <c r="G67" s="78">
        <f>일위대가목록표!F658</f>
        <v>354635</v>
      </c>
      <c r="H67" s="80">
        <f>IF(C67=0,0,ROUNDDOWN(G67*C67,1))</f>
        <v>354635</v>
      </c>
      <c r="I67" s="78">
        <f>일위대가목록표!G658</f>
        <v>0</v>
      </c>
      <c r="J67" s="80">
        <f>IF(C67=0,0,ROUNDDOWN(I67*C67,1))</f>
        <v>0</v>
      </c>
      <c r="K67" s="78">
        <f>일위대가목록표!H658</f>
        <v>10638</v>
      </c>
      <c r="L67" s="80">
        <f>IF(C67=0,0,ROUNDDOWN(K67*C67,1))</f>
        <v>10638</v>
      </c>
      <c r="M67" s="22" t="s">
        <v>6403</v>
      </c>
      <c r="N67" s="17" t="s">
        <v>6400</v>
      </c>
      <c r="O67" s="7" t="s">
        <v>6401</v>
      </c>
      <c r="P67" s="7" t="s">
        <v>6406</v>
      </c>
      <c r="Z67" s="3" t="str">
        <f ca="1">HYPERLINK("#"&amp;일위대가목록표!J2&amp;"!A"&amp;ROW(일위대가목록표!A658),"대가655 →")</f>
        <v>대가655 →</v>
      </c>
    </row>
    <row r="68" spans="1:26" ht="28.7" customHeight="1" x14ac:dyDescent="0.3">
      <c r="A68" s="22" t="s">
        <v>6</v>
      </c>
      <c r="B68" s="74"/>
      <c r="C68" s="74"/>
      <c r="D68" s="74"/>
      <c r="E68" s="74"/>
      <c r="F68" s="48">
        <f>J68+H68+L68</f>
        <v>365273</v>
      </c>
      <c r="G68" s="74"/>
      <c r="H68" s="48">
        <f>ROUNDDOWN(SUMIF(P67:P67,O68,H67:H67),0)</f>
        <v>354635</v>
      </c>
      <c r="I68" s="74"/>
      <c r="J68" s="48">
        <f>ROUNDDOWN(SUMIF(P67:P67,O68,J67:J67),0)</f>
        <v>0</v>
      </c>
      <c r="K68" s="74"/>
      <c r="L68" s="48">
        <f>ROUNDDOWN(SUMIF(P67:P67,O68,L67:L67),0)</f>
        <v>10638</v>
      </c>
      <c r="M68" s="74"/>
      <c r="O68" s="7" t="s">
        <v>6406</v>
      </c>
    </row>
    <row r="69" spans="1:26" ht="28.7" customHeight="1" x14ac:dyDescent="0.3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</row>
    <row r="70" spans="1:26" ht="28.7" customHeight="1" x14ac:dyDescent="0.3">
      <c r="A70" s="136" t="s">
        <v>51</v>
      </c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44"/>
      <c r="M70" s="22" t="s">
        <v>6482</v>
      </c>
      <c r="N70" s="84" t="str">
        <f>HYPERLINK("#N"&amp;ROW(N71),"_x0005_`BDCOD|B05106_x0007_`POSS|"&amp;ROW(N71)&amp;"_x0007_`POSE|"&amp;ROW(N71)&amp;"_x0007_`")</f>
        <v>_x0005_`BDCOD|B05106_x0007_`POSS|71_x0007_`POSE|71_x0007_`</v>
      </c>
      <c r="O70" s="7" t="s">
        <v>6483</v>
      </c>
    </row>
    <row r="71" spans="1:26" ht="28.7" customHeight="1" x14ac:dyDescent="0.3">
      <c r="A71" s="10" t="s">
        <v>1682</v>
      </c>
      <c r="B71" s="10" t="s">
        <v>1694</v>
      </c>
      <c r="C71" s="75">
        <v>1</v>
      </c>
      <c r="D71" s="31" t="s">
        <v>14</v>
      </c>
      <c r="E71" s="55">
        <f>I71+G71+K71</f>
        <v>420901</v>
      </c>
      <c r="F71" s="76">
        <f>J71+H71+L71</f>
        <v>420901</v>
      </c>
      <c r="G71" s="78">
        <f>일위대가목록표!F661</f>
        <v>408643</v>
      </c>
      <c r="H71" s="80">
        <f>IF(C71=0,0,ROUNDDOWN(G71*C71,1))</f>
        <v>408643</v>
      </c>
      <c r="I71" s="78">
        <f>일위대가목록표!G661</f>
        <v>0</v>
      </c>
      <c r="J71" s="80">
        <f>IF(C71=0,0,ROUNDDOWN(I71*C71,1))</f>
        <v>0</v>
      </c>
      <c r="K71" s="78">
        <f>일위대가목록표!H661</f>
        <v>12258</v>
      </c>
      <c r="L71" s="80">
        <f>IF(C71=0,0,ROUNDDOWN(K71*C71,1))</f>
        <v>12258</v>
      </c>
      <c r="M71" s="22" t="s">
        <v>6411</v>
      </c>
      <c r="N71" s="17" t="s">
        <v>6408</v>
      </c>
      <c r="O71" s="7" t="s">
        <v>6409</v>
      </c>
      <c r="P71" s="7" t="s">
        <v>6406</v>
      </c>
      <c r="Z71" s="3" t="str">
        <f ca="1">HYPERLINK("#"&amp;일위대가목록표!J2&amp;"!A"&amp;ROW(일위대가목록표!A661),"대가658 →")</f>
        <v>대가658 →</v>
      </c>
    </row>
    <row r="72" spans="1:26" ht="28.7" customHeight="1" x14ac:dyDescent="0.3">
      <c r="A72" s="22" t="s">
        <v>6</v>
      </c>
      <c r="B72" s="74"/>
      <c r="C72" s="74"/>
      <c r="D72" s="74"/>
      <c r="E72" s="74"/>
      <c r="F72" s="48">
        <f>J72+H72+L72</f>
        <v>420901</v>
      </c>
      <c r="G72" s="74"/>
      <c r="H72" s="48">
        <f>ROUNDDOWN(SUMIF(P71:P71,O72,H71:H71),0)</f>
        <v>408643</v>
      </c>
      <c r="I72" s="74"/>
      <c r="J72" s="48">
        <f>ROUNDDOWN(SUMIF(P71:P71,O72,J71:J71),0)</f>
        <v>0</v>
      </c>
      <c r="K72" s="74"/>
      <c r="L72" s="48">
        <f>ROUNDDOWN(SUMIF(P71:P71,O72,L71:L71),0)</f>
        <v>12258</v>
      </c>
      <c r="M72" s="74"/>
      <c r="O72" s="7" t="s">
        <v>6406</v>
      </c>
    </row>
    <row r="73" spans="1:26" ht="28.7" customHeight="1" x14ac:dyDescent="0.3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</row>
    <row r="74" spans="1:26" ht="28.7" customHeight="1" x14ac:dyDescent="0.3">
      <c r="A74" s="136" t="s">
        <v>53</v>
      </c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44"/>
      <c r="M74" s="22" t="s">
        <v>6484</v>
      </c>
      <c r="N74" s="84" t="str">
        <f>HYPERLINK("#N"&amp;ROW(N75),"_x0005_`BDCOD|B05107_x0007_`POSS|"&amp;ROW(N75)&amp;"_x0007_`POSE|"&amp;ROW(N75)&amp;"_x0007_`")</f>
        <v>_x0005_`BDCOD|B05107_x0007_`POSS|75_x0007_`POSE|75_x0007_`</v>
      </c>
      <c r="O74" s="7" t="s">
        <v>6485</v>
      </c>
    </row>
    <row r="75" spans="1:26" ht="28.7" customHeight="1" x14ac:dyDescent="0.3">
      <c r="A75" s="10" t="s">
        <v>1682</v>
      </c>
      <c r="B75" s="10" t="s">
        <v>1703</v>
      </c>
      <c r="C75" s="75">
        <v>1</v>
      </c>
      <c r="D75" s="31" t="s">
        <v>14</v>
      </c>
      <c r="E75" s="55">
        <f>I75+G75+K75</f>
        <v>483348</v>
      </c>
      <c r="F75" s="76">
        <f>J75+H75+L75</f>
        <v>483348</v>
      </c>
      <c r="G75" s="78">
        <f>일위대가목록표!F664</f>
        <v>469271</v>
      </c>
      <c r="H75" s="80">
        <f>IF(C75=0,0,ROUNDDOWN(G75*C75,1))</f>
        <v>469271</v>
      </c>
      <c r="I75" s="78">
        <f>일위대가목록표!G664</f>
        <v>0</v>
      </c>
      <c r="J75" s="80">
        <f>IF(C75=0,0,ROUNDDOWN(I75*C75,1))</f>
        <v>0</v>
      </c>
      <c r="K75" s="78">
        <f>일위대가목록표!H664</f>
        <v>14077</v>
      </c>
      <c r="L75" s="80">
        <f>IF(C75=0,0,ROUNDDOWN(K75*C75,1))</f>
        <v>14077</v>
      </c>
      <c r="M75" s="22" t="s">
        <v>6418</v>
      </c>
      <c r="N75" s="17" t="s">
        <v>6415</v>
      </c>
      <c r="O75" s="7" t="s">
        <v>6416</v>
      </c>
      <c r="P75" s="7" t="s">
        <v>6406</v>
      </c>
      <c r="Z75" s="3" t="str">
        <f ca="1">HYPERLINK("#"&amp;일위대가목록표!J2&amp;"!A"&amp;ROW(일위대가목록표!A664),"대가661 →")</f>
        <v>대가661 →</v>
      </c>
    </row>
    <row r="76" spans="1:26" ht="28.7" customHeight="1" x14ac:dyDescent="0.3">
      <c r="A76" s="22" t="s">
        <v>6</v>
      </c>
      <c r="B76" s="74"/>
      <c r="C76" s="74"/>
      <c r="D76" s="74"/>
      <c r="E76" s="74"/>
      <c r="F76" s="48">
        <f>J76+H76+L76</f>
        <v>483348</v>
      </c>
      <c r="G76" s="74"/>
      <c r="H76" s="48">
        <f>ROUNDDOWN(SUMIF(P75:P75,O76,H75:H75),0)</f>
        <v>469271</v>
      </c>
      <c r="I76" s="74"/>
      <c r="J76" s="48">
        <f>ROUNDDOWN(SUMIF(P75:P75,O76,J75:J75),0)</f>
        <v>0</v>
      </c>
      <c r="K76" s="74"/>
      <c r="L76" s="48">
        <f>ROUNDDOWN(SUMIF(P75:P75,O76,L75:L75),0)</f>
        <v>14077</v>
      </c>
      <c r="M76" s="74"/>
      <c r="O76" s="7" t="s">
        <v>6406</v>
      </c>
    </row>
    <row r="77" spans="1:26" ht="28.7" customHeight="1" x14ac:dyDescent="0.3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</row>
    <row r="78" spans="1:26" ht="28.7" customHeight="1" x14ac:dyDescent="0.3">
      <c r="A78" s="136" t="s">
        <v>55</v>
      </c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44"/>
      <c r="M78" s="22" t="s">
        <v>6486</v>
      </c>
      <c r="N78" s="84" t="str">
        <f>HYPERLINK("#N"&amp;ROW(N79),"_x0005_`BDCOD|B05108_x0007_`POSS|"&amp;ROW(N79)&amp;"_x0007_`POSE|"&amp;ROW(N79)&amp;"_x0007_`")</f>
        <v>_x0005_`BDCOD|B05108_x0007_`POSS|79_x0007_`POSE|79_x0007_`</v>
      </c>
      <c r="O78" s="7" t="s">
        <v>6487</v>
      </c>
    </row>
    <row r="79" spans="1:26" ht="28.7" customHeight="1" x14ac:dyDescent="0.3">
      <c r="A79" s="10" t="s">
        <v>1682</v>
      </c>
      <c r="B79" s="10" t="s">
        <v>1712</v>
      </c>
      <c r="C79" s="75">
        <v>1</v>
      </c>
      <c r="D79" s="31" t="s">
        <v>14</v>
      </c>
      <c r="E79" s="55">
        <f>I79+G79+K79</f>
        <v>582367</v>
      </c>
      <c r="F79" s="76">
        <f>J79+H79+L79</f>
        <v>582367</v>
      </c>
      <c r="G79" s="78">
        <f>일위대가목록표!F667</f>
        <v>565406</v>
      </c>
      <c r="H79" s="80">
        <f>IF(C79=0,0,ROUNDDOWN(G79*C79,1))</f>
        <v>565406</v>
      </c>
      <c r="I79" s="78">
        <f>일위대가목록표!G667</f>
        <v>0</v>
      </c>
      <c r="J79" s="80">
        <f>IF(C79=0,0,ROUNDDOWN(I79*C79,1))</f>
        <v>0</v>
      </c>
      <c r="K79" s="78">
        <f>일위대가목록표!H667</f>
        <v>16961</v>
      </c>
      <c r="L79" s="80">
        <f>IF(C79=0,0,ROUNDDOWN(K79*C79,1))</f>
        <v>16961</v>
      </c>
      <c r="M79" s="22" t="s">
        <v>6425</v>
      </c>
      <c r="N79" s="17" t="s">
        <v>6422</v>
      </c>
      <c r="O79" s="7" t="s">
        <v>6423</v>
      </c>
      <c r="P79" s="7" t="s">
        <v>6406</v>
      </c>
      <c r="Z79" s="3" t="str">
        <f ca="1">HYPERLINK("#"&amp;일위대가목록표!J2&amp;"!A"&amp;ROW(일위대가목록표!A667),"대가664 →")</f>
        <v>대가664 →</v>
      </c>
    </row>
    <row r="80" spans="1:26" ht="28.7" customHeight="1" x14ac:dyDescent="0.3">
      <c r="A80" s="22" t="s">
        <v>6</v>
      </c>
      <c r="B80" s="74"/>
      <c r="C80" s="74"/>
      <c r="D80" s="74"/>
      <c r="E80" s="74"/>
      <c r="F80" s="48">
        <f>J80+H80+L80</f>
        <v>582367</v>
      </c>
      <c r="G80" s="74"/>
      <c r="H80" s="48">
        <f>ROUNDDOWN(SUMIF(P79:P79,O80,H79:H79),0)</f>
        <v>565406</v>
      </c>
      <c r="I80" s="74"/>
      <c r="J80" s="48">
        <f>ROUNDDOWN(SUMIF(P79:P79,O80,J79:J79),0)</f>
        <v>0</v>
      </c>
      <c r="K80" s="74"/>
      <c r="L80" s="48">
        <f>ROUNDDOWN(SUMIF(P79:P79,O80,L79:L79),0)</f>
        <v>16961</v>
      </c>
      <c r="M80" s="74"/>
      <c r="O80" s="7" t="s">
        <v>6406</v>
      </c>
    </row>
    <row r="81" spans="1:26" ht="28.7" customHeight="1" x14ac:dyDescent="0.3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</row>
    <row r="82" spans="1:26" ht="28.7" customHeight="1" x14ac:dyDescent="0.3">
      <c r="A82" s="136" t="s">
        <v>57</v>
      </c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44"/>
      <c r="M82" s="22" t="s">
        <v>6488</v>
      </c>
      <c r="N82" s="84" t="str">
        <f>HYPERLINK("#N"&amp;ROW(N83),"_x0005_`BDCOD|B05109_x0007_`POSS|"&amp;ROW(N83)&amp;"_x0007_`POSE|"&amp;ROW(N83)&amp;"_x0007_`")</f>
        <v>_x0005_`BDCOD|B05109_x0007_`POSS|83_x0007_`POSE|83_x0007_`</v>
      </c>
      <c r="O82" s="7" t="s">
        <v>6489</v>
      </c>
    </row>
    <row r="83" spans="1:26" ht="28.7" customHeight="1" x14ac:dyDescent="0.3">
      <c r="A83" s="10" t="s">
        <v>1682</v>
      </c>
      <c r="B83" s="10" t="s">
        <v>1721</v>
      </c>
      <c r="C83" s="75">
        <v>1</v>
      </c>
      <c r="D83" s="31" t="s">
        <v>14</v>
      </c>
      <c r="E83" s="55">
        <f>I83+G83+K83</f>
        <v>734777</v>
      </c>
      <c r="F83" s="76">
        <f>J83+H83+L83</f>
        <v>734777</v>
      </c>
      <c r="G83" s="78">
        <f>일위대가목록표!F670</f>
        <v>713377</v>
      </c>
      <c r="H83" s="80">
        <f>IF(C83=0,0,ROUNDDOWN(G83*C83,1))</f>
        <v>713377</v>
      </c>
      <c r="I83" s="78">
        <f>일위대가목록표!G670</f>
        <v>0</v>
      </c>
      <c r="J83" s="80">
        <f>IF(C83=0,0,ROUNDDOWN(I83*C83,1))</f>
        <v>0</v>
      </c>
      <c r="K83" s="78">
        <f>일위대가목록표!H670</f>
        <v>21400</v>
      </c>
      <c r="L83" s="80">
        <f>IF(C83=0,0,ROUNDDOWN(K83*C83,1))</f>
        <v>21400</v>
      </c>
      <c r="M83" s="22" t="s">
        <v>6432</v>
      </c>
      <c r="N83" s="17" t="s">
        <v>6429</v>
      </c>
      <c r="O83" s="7" t="s">
        <v>6430</v>
      </c>
      <c r="P83" s="7" t="s">
        <v>6406</v>
      </c>
      <c r="Z83" s="3" t="str">
        <f ca="1">HYPERLINK("#"&amp;일위대가목록표!J2&amp;"!A"&amp;ROW(일위대가목록표!A670),"대가667 →")</f>
        <v>대가667 →</v>
      </c>
    </row>
    <row r="84" spans="1:26" ht="28.7" customHeight="1" x14ac:dyDescent="0.3">
      <c r="A84" s="22" t="s">
        <v>6</v>
      </c>
      <c r="B84" s="74"/>
      <c r="C84" s="74"/>
      <c r="D84" s="74"/>
      <c r="E84" s="74"/>
      <c r="F84" s="48">
        <f>J84+H84+L84</f>
        <v>734777</v>
      </c>
      <c r="G84" s="74"/>
      <c r="H84" s="48">
        <f>ROUNDDOWN(SUMIF(P83:P83,O84,H83:H83),0)</f>
        <v>713377</v>
      </c>
      <c r="I84" s="74"/>
      <c r="J84" s="48">
        <f>ROUNDDOWN(SUMIF(P83:P83,O84,J83:J83),0)</f>
        <v>0</v>
      </c>
      <c r="K84" s="74"/>
      <c r="L84" s="48">
        <f>ROUNDDOWN(SUMIF(P83:P83,O84,L83:L83),0)</f>
        <v>21400</v>
      </c>
      <c r="M84" s="74"/>
      <c r="O84" s="7" t="s">
        <v>6406</v>
      </c>
    </row>
    <row r="85" spans="1:26" ht="28.7" customHeight="1" x14ac:dyDescent="0.3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26" ht="28.7" customHeight="1" x14ac:dyDescent="0.3">
      <c r="A86" s="136" t="s">
        <v>59</v>
      </c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44"/>
      <c r="M86" s="22" t="s">
        <v>6490</v>
      </c>
      <c r="N86" s="84" t="str">
        <f>HYPERLINK("#N"&amp;ROW(N87),"_x0005_`BDCOD|B05110_x0007_`POSS|"&amp;ROW(N87)&amp;"_x0007_`POSE|"&amp;ROW(N87)&amp;"_x0007_`")</f>
        <v>_x0005_`BDCOD|B05110_x0007_`POSS|87_x0007_`POSE|87_x0007_`</v>
      </c>
      <c r="O86" s="7" t="s">
        <v>6491</v>
      </c>
    </row>
    <row r="87" spans="1:26" ht="28.7" customHeight="1" x14ac:dyDescent="0.3">
      <c r="A87" s="10" t="s">
        <v>1682</v>
      </c>
      <c r="B87" s="10" t="s">
        <v>1730</v>
      </c>
      <c r="C87" s="75">
        <v>1</v>
      </c>
      <c r="D87" s="31" t="s">
        <v>14</v>
      </c>
      <c r="E87" s="55">
        <f>I87+G87+K87</f>
        <v>923410</v>
      </c>
      <c r="F87" s="76">
        <f>J87+H87+L87</f>
        <v>923410</v>
      </c>
      <c r="G87" s="78">
        <f>일위대가목록표!F673</f>
        <v>896515</v>
      </c>
      <c r="H87" s="80">
        <f>IF(C87=0,0,ROUNDDOWN(G87*C87,1))</f>
        <v>896515</v>
      </c>
      <c r="I87" s="78">
        <f>일위대가목록표!G673</f>
        <v>0</v>
      </c>
      <c r="J87" s="80">
        <f>IF(C87=0,0,ROUNDDOWN(I87*C87,1))</f>
        <v>0</v>
      </c>
      <c r="K87" s="78">
        <f>일위대가목록표!H673</f>
        <v>26895</v>
      </c>
      <c r="L87" s="80">
        <f>IF(C87=0,0,ROUNDDOWN(K87*C87,1))</f>
        <v>26895</v>
      </c>
      <c r="M87" s="22" t="s">
        <v>6439</v>
      </c>
      <c r="N87" s="17" t="s">
        <v>6436</v>
      </c>
      <c r="O87" s="7" t="s">
        <v>6437</v>
      </c>
      <c r="P87" s="7" t="s">
        <v>6406</v>
      </c>
      <c r="Z87" s="3" t="str">
        <f ca="1">HYPERLINK("#"&amp;일위대가목록표!J2&amp;"!A"&amp;ROW(일위대가목록표!A673),"대가670 →")</f>
        <v>대가670 →</v>
      </c>
    </row>
    <row r="88" spans="1:26" ht="28.7" customHeight="1" x14ac:dyDescent="0.3">
      <c r="A88" s="22" t="s">
        <v>6</v>
      </c>
      <c r="B88" s="74"/>
      <c r="C88" s="74"/>
      <c r="D88" s="74"/>
      <c r="E88" s="74"/>
      <c r="F88" s="48">
        <f>J88+H88+L88</f>
        <v>923410</v>
      </c>
      <c r="G88" s="74"/>
      <c r="H88" s="48">
        <f>ROUNDDOWN(SUMIF(P87:P87,O88,H87:H87),0)</f>
        <v>896515</v>
      </c>
      <c r="I88" s="74"/>
      <c r="J88" s="48">
        <f>ROUNDDOWN(SUMIF(P87:P87,O88,J87:J87),0)</f>
        <v>0</v>
      </c>
      <c r="K88" s="74"/>
      <c r="L88" s="48">
        <f>ROUNDDOWN(SUMIF(P87:P87,O88,L87:L87),0)</f>
        <v>26895</v>
      </c>
      <c r="M88" s="74"/>
      <c r="O88" s="7" t="s">
        <v>6406</v>
      </c>
    </row>
    <row r="89" spans="1:26" ht="28.7" customHeight="1" x14ac:dyDescent="0.3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</row>
    <row r="90" spans="1:26" ht="28.7" customHeight="1" x14ac:dyDescent="0.3">
      <c r="A90" s="136" t="s">
        <v>61</v>
      </c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44"/>
      <c r="M90" s="22" t="s">
        <v>6492</v>
      </c>
      <c r="N90" s="84" t="str">
        <f>HYPERLINK("#N"&amp;ROW(N91),"_x0005_`BDCOD|B05111_x0007_`POSS|"&amp;ROW(N91)&amp;"_x0007_`POSE|"&amp;ROW(N91)&amp;"_x0007_`")</f>
        <v>_x0005_`BDCOD|B05111_x0007_`POSS|91_x0007_`POSE|91_x0007_`</v>
      </c>
      <c r="O90" s="7" t="s">
        <v>6493</v>
      </c>
    </row>
    <row r="91" spans="1:26" ht="28.7" customHeight="1" x14ac:dyDescent="0.3">
      <c r="A91" s="10" t="s">
        <v>1682</v>
      </c>
      <c r="B91" s="10" t="s">
        <v>1739</v>
      </c>
      <c r="C91" s="75">
        <v>1</v>
      </c>
      <c r="D91" s="31" t="s">
        <v>14</v>
      </c>
      <c r="E91" s="55">
        <f>I91+G91+K91</f>
        <v>980333</v>
      </c>
      <c r="F91" s="76">
        <f>J91+H91+L91</f>
        <v>980333</v>
      </c>
      <c r="G91" s="78">
        <f>일위대가목록표!F676</f>
        <v>951780</v>
      </c>
      <c r="H91" s="80">
        <f>IF(C91=0,0,ROUNDDOWN(G91*C91,1))</f>
        <v>951780</v>
      </c>
      <c r="I91" s="78">
        <f>일위대가목록표!G676</f>
        <v>0</v>
      </c>
      <c r="J91" s="80">
        <f>IF(C91=0,0,ROUNDDOWN(I91*C91,1))</f>
        <v>0</v>
      </c>
      <c r="K91" s="78">
        <f>일위대가목록표!H676</f>
        <v>28553</v>
      </c>
      <c r="L91" s="80">
        <f>IF(C91=0,0,ROUNDDOWN(K91*C91,1))</f>
        <v>28553</v>
      </c>
      <c r="M91" s="22" t="s">
        <v>6446</v>
      </c>
      <c r="N91" s="17" t="s">
        <v>6443</v>
      </c>
      <c r="O91" s="7" t="s">
        <v>6444</v>
      </c>
      <c r="P91" s="7" t="s">
        <v>6406</v>
      </c>
      <c r="Z91" s="3" t="str">
        <f ca="1">HYPERLINK("#"&amp;일위대가목록표!J2&amp;"!A"&amp;ROW(일위대가목록표!A676),"대가673 →")</f>
        <v>대가673 →</v>
      </c>
    </row>
    <row r="92" spans="1:26" ht="28.7" customHeight="1" x14ac:dyDescent="0.3">
      <c r="A92" s="22" t="s">
        <v>6</v>
      </c>
      <c r="B92" s="74"/>
      <c r="C92" s="74"/>
      <c r="D92" s="74"/>
      <c r="E92" s="74"/>
      <c r="F92" s="48">
        <f>J92+H92+L92</f>
        <v>980333</v>
      </c>
      <c r="G92" s="74"/>
      <c r="H92" s="48">
        <f>ROUNDDOWN(SUMIF(P91:P91,O92,H91:H91),0)</f>
        <v>951780</v>
      </c>
      <c r="I92" s="74"/>
      <c r="J92" s="48">
        <f>ROUNDDOWN(SUMIF(P91:P91,O92,J91:J91),0)</f>
        <v>0</v>
      </c>
      <c r="K92" s="74"/>
      <c r="L92" s="48">
        <f>ROUNDDOWN(SUMIF(P91:P91,O92,L91:L91),0)</f>
        <v>28553</v>
      </c>
      <c r="M92" s="74"/>
      <c r="O92" s="7" t="s">
        <v>6406</v>
      </c>
    </row>
    <row r="93" spans="1:26" ht="28.7" customHeight="1" x14ac:dyDescent="0.3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</row>
    <row r="94" spans="1:26" ht="28.7" customHeight="1" x14ac:dyDescent="0.3">
      <c r="A94" s="136" t="s">
        <v>63</v>
      </c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44"/>
      <c r="M94" s="22" t="s">
        <v>6494</v>
      </c>
      <c r="N94" s="84" t="str">
        <f>HYPERLINK("#N"&amp;ROW(N95),"_x0005_`BDCOD|B05112_x0007_`POSS|"&amp;ROW(N95)&amp;"_x0007_`POSE|"&amp;ROW(N95)&amp;"_x0007_`")</f>
        <v>_x0005_`BDCOD|B05112_x0007_`POSS|95_x0007_`POSE|95_x0007_`</v>
      </c>
      <c r="O94" s="7" t="s">
        <v>6495</v>
      </c>
    </row>
    <row r="95" spans="1:26" ht="28.7" customHeight="1" x14ac:dyDescent="0.3">
      <c r="A95" s="10" t="s">
        <v>1682</v>
      </c>
      <c r="B95" s="10" t="s">
        <v>1748</v>
      </c>
      <c r="C95" s="75">
        <v>1</v>
      </c>
      <c r="D95" s="31" t="s">
        <v>14</v>
      </c>
      <c r="E95" s="55">
        <f>I95+G95+K95</f>
        <v>1583750</v>
      </c>
      <c r="F95" s="76">
        <f>J95+H95+L95</f>
        <v>1583750</v>
      </c>
      <c r="G95" s="78">
        <f>일위대가목록표!F679</f>
        <v>1537622</v>
      </c>
      <c r="H95" s="80">
        <f>IF(C95=0,0,ROUNDDOWN(G95*C95,1))</f>
        <v>1537622</v>
      </c>
      <c r="I95" s="78">
        <f>일위대가목록표!G679</f>
        <v>0</v>
      </c>
      <c r="J95" s="80">
        <f>IF(C95=0,0,ROUNDDOWN(I95*C95,1))</f>
        <v>0</v>
      </c>
      <c r="K95" s="78">
        <f>일위대가목록표!H679</f>
        <v>46128</v>
      </c>
      <c r="L95" s="80">
        <f>IF(C95=0,0,ROUNDDOWN(K95*C95,1))</f>
        <v>46128</v>
      </c>
      <c r="M95" s="22" t="s">
        <v>6453</v>
      </c>
      <c r="N95" s="17" t="s">
        <v>6450</v>
      </c>
      <c r="O95" s="7" t="s">
        <v>6451</v>
      </c>
      <c r="P95" s="7" t="s">
        <v>6406</v>
      </c>
      <c r="Z95" s="3" t="str">
        <f ca="1">HYPERLINK("#"&amp;일위대가목록표!J2&amp;"!A"&amp;ROW(일위대가목록표!A679),"대가676 →")</f>
        <v>대가676 →</v>
      </c>
    </row>
    <row r="96" spans="1:26" ht="28.7" customHeight="1" x14ac:dyDescent="0.3">
      <c r="A96" s="22" t="s">
        <v>6</v>
      </c>
      <c r="B96" s="74"/>
      <c r="C96" s="74"/>
      <c r="D96" s="74"/>
      <c r="E96" s="74"/>
      <c r="F96" s="48">
        <f>J96+H96+L96</f>
        <v>1583750</v>
      </c>
      <c r="G96" s="74"/>
      <c r="H96" s="48">
        <f>ROUNDDOWN(SUMIF(P95:P95,O96,H95:H95),0)</f>
        <v>1537622</v>
      </c>
      <c r="I96" s="74"/>
      <c r="J96" s="48">
        <f>ROUNDDOWN(SUMIF(P95:P95,O96,J95:J95),0)</f>
        <v>0</v>
      </c>
      <c r="K96" s="74"/>
      <c r="L96" s="48">
        <f>ROUNDDOWN(SUMIF(P95:P95,O96,L95:L95),0)</f>
        <v>46128</v>
      </c>
      <c r="M96" s="74"/>
      <c r="O96" s="7" t="s">
        <v>6406</v>
      </c>
    </row>
    <row r="97" spans="1:26" ht="28.7" customHeight="1" x14ac:dyDescent="0.3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</row>
    <row r="98" spans="1:26" ht="28.7" customHeight="1" x14ac:dyDescent="0.3">
      <c r="A98" s="136" t="s">
        <v>65</v>
      </c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44"/>
      <c r="M98" s="22" t="s">
        <v>6496</v>
      </c>
      <c r="N98" s="84" t="str">
        <f>HYPERLINK("#N"&amp;ROW(N99),"_x0005_`BDCOD|B05113_x0007_`POSS|"&amp;ROW(N99)&amp;"_x0007_`POSE|"&amp;ROW(N99)&amp;"_x0007_`")</f>
        <v>_x0005_`BDCOD|B05113_x0007_`POSS|99_x0007_`POSE|99_x0007_`</v>
      </c>
      <c r="O98" s="7" t="s">
        <v>6497</v>
      </c>
    </row>
    <row r="99" spans="1:26" ht="28.7" customHeight="1" x14ac:dyDescent="0.3">
      <c r="A99" s="10" t="s">
        <v>1682</v>
      </c>
      <c r="B99" s="10" t="s">
        <v>1757</v>
      </c>
      <c r="C99" s="75">
        <v>1</v>
      </c>
      <c r="D99" s="31" t="s">
        <v>14</v>
      </c>
      <c r="E99" s="55">
        <f>I99+G99+K99</f>
        <v>2044858</v>
      </c>
      <c r="F99" s="76">
        <f>J99+H99+L99</f>
        <v>2044858</v>
      </c>
      <c r="G99" s="78">
        <f>일위대가목록표!F682</f>
        <v>1985300</v>
      </c>
      <c r="H99" s="80">
        <f>IF(C99=0,0,ROUNDDOWN(G99*C99,1))</f>
        <v>1985300</v>
      </c>
      <c r="I99" s="78">
        <f>일위대가목록표!G682</f>
        <v>0</v>
      </c>
      <c r="J99" s="80">
        <f>IF(C99=0,0,ROUNDDOWN(I99*C99,1))</f>
        <v>0</v>
      </c>
      <c r="K99" s="78">
        <f>일위대가목록표!H682</f>
        <v>59558</v>
      </c>
      <c r="L99" s="80">
        <f>IF(C99=0,0,ROUNDDOWN(K99*C99,1))</f>
        <v>59558</v>
      </c>
      <c r="M99" s="22" t="s">
        <v>6460</v>
      </c>
      <c r="N99" s="17" t="s">
        <v>6457</v>
      </c>
      <c r="O99" s="7" t="s">
        <v>6458</v>
      </c>
      <c r="P99" s="7" t="s">
        <v>6406</v>
      </c>
      <c r="Z99" s="3" t="str">
        <f ca="1">HYPERLINK("#"&amp;일위대가목록표!J2&amp;"!A"&amp;ROW(일위대가목록표!A682),"대가679 →")</f>
        <v>대가679 →</v>
      </c>
    </row>
    <row r="100" spans="1:26" ht="28.7" customHeight="1" x14ac:dyDescent="0.3">
      <c r="A100" s="22" t="s">
        <v>6</v>
      </c>
      <c r="B100" s="74"/>
      <c r="C100" s="74"/>
      <c r="D100" s="74"/>
      <c r="E100" s="74"/>
      <c r="F100" s="48">
        <f>J100+H100+L100</f>
        <v>2044858</v>
      </c>
      <c r="G100" s="74"/>
      <c r="H100" s="48">
        <f>ROUNDDOWN(SUMIF(P99:P99,O100,H99:H99),0)</f>
        <v>1985300</v>
      </c>
      <c r="I100" s="74"/>
      <c r="J100" s="48">
        <f>ROUNDDOWN(SUMIF(P99:P99,O100,J99:J99),0)</f>
        <v>0</v>
      </c>
      <c r="K100" s="74"/>
      <c r="L100" s="48">
        <f>ROUNDDOWN(SUMIF(P99:P99,O100,L99:L99),0)</f>
        <v>59558</v>
      </c>
      <c r="M100" s="74"/>
      <c r="O100" s="7" t="s">
        <v>6406</v>
      </c>
    </row>
    <row r="101" spans="1:26" ht="28.7" customHeight="1" x14ac:dyDescent="0.3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</row>
    <row r="102" spans="1:26" ht="28.7" customHeight="1" x14ac:dyDescent="0.3">
      <c r="A102" s="136" t="s">
        <v>67</v>
      </c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44"/>
      <c r="M102" s="22" t="s">
        <v>6498</v>
      </c>
      <c r="N102" s="84" t="str">
        <f>HYPERLINK("#N"&amp;ROW(N103),"_x0005_`BDCOD|B05114_x0007_`POSS|"&amp;ROW(N103)&amp;"_x0007_`POSE|"&amp;ROW(N103)&amp;"_x0007_`")</f>
        <v>_x0005_`BDCOD|B05114_x0007_`POSS|103_x0007_`POSE|103_x0007_`</v>
      </c>
      <c r="O102" s="7" t="s">
        <v>6499</v>
      </c>
    </row>
    <row r="103" spans="1:26" ht="28.7" customHeight="1" x14ac:dyDescent="0.3">
      <c r="A103" s="10" t="s">
        <v>1682</v>
      </c>
      <c r="B103" s="10" t="s">
        <v>1766</v>
      </c>
      <c r="C103" s="75">
        <v>1</v>
      </c>
      <c r="D103" s="31" t="s">
        <v>14</v>
      </c>
      <c r="E103" s="55">
        <f>I103+G103+K103</f>
        <v>3289807</v>
      </c>
      <c r="F103" s="76">
        <f>J103+H103+L103</f>
        <v>3289807</v>
      </c>
      <c r="G103" s="78">
        <f>일위대가목록표!F685</f>
        <v>3193989</v>
      </c>
      <c r="H103" s="80">
        <f>IF(C103=0,0,ROUNDDOWN(G103*C103,1))</f>
        <v>3193989</v>
      </c>
      <c r="I103" s="78">
        <f>일위대가목록표!G685</f>
        <v>0</v>
      </c>
      <c r="J103" s="80">
        <f>IF(C103=0,0,ROUNDDOWN(I103*C103,1))</f>
        <v>0</v>
      </c>
      <c r="K103" s="78">
        <f>일위대가목록표!H685</f>
        <v>95818</v>
      </c>
      <c r="L103" s="80">
        <f>IF(C103=0,0,ROUNDDOWN(K103*C103,1))</f>
        <v>95818</v>
      </c>
      <c r="M103" s="22" t="s">
        <v>6467</v>
      </c>
      <c r="N103" s="17" t="s">
        <v>6464</v>
      </c>
      <c r="O103" s="7" t="s">
        <v>6465</v>
      </c>
      <c r="P103" s="7" t="s">
        <v>6406</v>
      </c>
      <c r="Z103" s="3" t="str">
        <f ca="1">HYPERLINK("#"&amp;일위대가목록표!J2&amp;"!A"&amp;ROW(일위대가목록표!A685),"대가682 →")</f>
        <v>대가682 →</v>
      </c>
    </row>
    <row r="104" spans="1:26" ht="28.7" customHeight="1" x14ac:dyDescent="0.3">
      <c r="A104" s="22" t="s">
        <v>6</v>
      </c>
      <c r="B104" s="74"/>
      <c r="C104" s="74"/>
      <c r="D104" s="74"/>
      <c r="E104" s="74"/>
      <c r="F104" s="48">
        <f>J104+H104+L104</f>
        <v>3289807</v>
      </c>
      <c r="G104" s="74"/>
      <c r="H104" s="48">
        <f>ROUNDDOWN(SUMIF(P103:P103,O104,H103:H103),0)</f>
        <v>3193989</v>
      </c>
      <c r="I104" s="74"/>
      <c r="J104" s="48">
        <f>ROUNDDOWN(SUMIF(P103:P103,O104,J103:J103),0)</f>
        <v>0</v>
      </c>
      <c r="K104" s="74"/>
      <c r="L104" s="48">
        <f>ROUNDDOWN(SUMIF(P103:P103,O104,L103:L103),0)</f>
        <v>95818</v>
      </c>
      <c r="M104" s="74"/>
      <c r="O104" s="7" t="s">
        <v>6406</v>
      </c>
    </row>
    <row r="105" spans="1:26" ht="28.7" customHeight="1" x14ac:dyDescent="0.3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</row>
    <row r="106" spans="1:26" ht="28.7" customHeight="1" x14ac:dyDescent="0.3">
      <c r="A106" s="136" t="s">
        <v>69</v>
      </c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44"/>
      <c r="M106" s="22" t="s">
        <v>6500</v>
      </c>
      <c r="N106" s="84" t="str">
        <f>HYPERLINK("#N"&amp;ROW(N107),"_x0005_`BDCOD|B05115_x0007_`POSS|"&amp;ROW(N107)&amp;"_x0007_`POSE|"&amp;ROW(N107)&amp;"_x0007_`")</f>
        <v>_x0005_`BDCOD|B05115_x0007_`POSS|107_x0007_`POSE|107_x0007_`</v>
      </c>
      <c r="O106" s="7" t="s">
        <v>6501</v>
      </c>
    </row>
    <row r="107" spans="1:26" ht="28.7" customHeight="1" x14ac:dyDescent="0.3">
      <c r="A107" s="10" t="s">
        <v>1682</v>
      </c>
      <c r="B107" s="10" t="s">
        <v>1766</v>
      </c>
      <c r="C107" s="75">
        <v>1</v>
      </c>
      <c r="D107" s="31" t="s">
        <v>14</v>
      </c>
      <c r="E107" s="55">
        <f>I107+G107+K107</f>
        <v>3289807</v>
      </c>
      <c r="F107" s="76">
        <f>J107+H107+L107</f>
        <v>3289807</v>
      </c>
      <c r="G107" s="78">
        <f>일위대가목록표!F685</f>
        <v>3193989</v>
      </c>
      <c r="H107" s="80">
        <f>IF(C107=0,0,ROUNDDOWN(G107*C107,1))</f>
        <v>3193989</v>
      </c>
      <c r="I107" s="78">
        <f>일위대가목록표!G685</f>
        <v>0</v>
      </c>
      <c r="J107" s="80">
        <f>IF(C107=0,0,ROUNDDOWN(I107*C107,1))</f>
        <v>0</v>
      </c>
      <c r="K107" s="78">
        <f>일위대가목록표!H685</f>
        <v>95818</v>
      </c>
      <c r="L107" s="80">
        <f>IF(C107=0,0,ROUNDDOWN(K107*C107,1))</f>
        <v>95818</v>
      </c>
      <c r="M107" s="22" t="s">
        <v>6467</v>
      </c>
      <c r="N107" s="17" t="s">
        <v>6464</v>
      </c>
      <c r="O107" s="7" t="s">
        <v>6465</v>
      </c>
      <c r="P107" s="7" t="s">
        <v>6406</v>
      </c>
      <c r="Z107" s="3" t="str">
        <f ca="1">HYPERLINK("#"&amp;일위대가목록표!J2&amp;"!A"&amp;ROW(일위대가목록표!A685),"대가682 →")</f>
        <v>대가682 →</v>
      </c>
    </row>
    <row r="108" spans="1:26" ht="28.7" customHeight="1" x14ac:dyDescent="0.3">
      <c r="A108" s="22" t="s">
        <v>6</v>
      </c>
      <c r="B108" s="74"/>
      <c r="C108" s="74"/>
      <c r="D108" s="74"/>
      <c r="E108" s="74"/>
      <c r="F108" s="48">
        <f>J108+H108+L108</f>
        <v>3289807</v>
      </c>
      <c r="G108" s="74"/>
      <c r="H108" s="48">
        <f>ROUNDDOWN(SUMIF(P107:P107,O108,H107:H107),0)</f>
        <v>3193989</v>
      </c>
      <c r="I108" s="74"/>
      <c r="J108" s="48">
        <f>ROUNDDOWN(SUMIF(P107:P107,O108,J107:J107),0)</f>
        <v>0</v>
      </c>
      <c r="K108" s="74"/>
      <c r="L108" s="48">
        <f>ROUNDDOWN(SUMIF(P107:P107,O108,L107:L107),0)</f>
        <v>95818</v>
      </c>
      <c r="M108" s="74"/>
      <c r="O108" s="7" t="s">
        <v>6406</v>
      </c>
    </row>
    <row r="109" spans="1:26" ht="28.7" customHeight="1" x14ac:dyDescent="0.3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</row>
    <row r="110" spans="1:26" ht="28.7" customHeight="1" x14ac:dyDescent="0.3">
      <c r="A110" s="136" t="s">
        <v>71</v>
      </c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44"/>
      <c r="M110" s="22" t="s">
        <v>6502</v>
      </c>
      <c r="N110" s="84" t="str">
        <f>HYPERLINK("#N"&amp;ROW(N111),"_x0005_`BDCOD|B05116_x0007_`POSS|"&amp;ROW(N111)&amp;"_x0007_`POSE|"&amp;ROW(N111)&amp;"_x0007_`")</f>
        <v>_x0005_`BDCOD|B05116_x0007_`POSS|111_x0007_`POSE|111_x0007_`</v>
      </c>
      <c r="O110" s="7" t="s">
        <v>6503</v>
      </c>
    </row>
    <row r="111" spans="1:26" ht="28.7" customHeight="1" x14ac:dyDescent="0.3">
      <c r="A111" s="10" t="s">
        <v>1682</v>
      </c>
      <c r="B111" s="10" t="s">
        <v>1775</v>
      </c>
      <c r="C111" s="75">
        <v>1</v>
      </c>
      <c r="D111" s="31" t="s">
        <v>14</v>
      </c>
      <c r="E111" s="55">
        <f>I111+G111+K111</f>
        <v>4030109</v>
      </c>
      <c r="F111" s="76">
        <f>J111+H111+L111</f>
        <v>4030109</v>
      </c>
      <c r="G111" s="78">
        <f>일위대가목록표!F688</f>
        <v>3912728</v>
      </c>
      <c r="H111" s="80">
        <f>IF(C111=0,0,ROUNDDOWN(G111*C111,1))</f>
        <v>3912728</v>
      </c>
      <c r="I111" s="78">
        <f>일위대가목록표!G688</f>
        <v>0</v>
      </c>
      <c r="J111" s="80">
        <f>IF(C111=0,0,ROUNDDOWN(I111*C111,1))</f>
        <v>0</v>
      </c>
      <c r="K111" s="78">
        <f>일위대가목록표!H688</f>
        <v>117381</v>
      </c>
      <c r="L111" s="80">
        <f>IF(C111=0,0,ROUNDDOWN(K111*C111,1))</f>
        <v>117381</v>
      </c>
      <c r="M111" s="22" t="s">
        <v>6478</v>
      </c>
      <c r="N111" s="17" t="s">
        <v>6475</v>
      </c>
      <c r="O111" s="7" t="s">
        <v>6476</v>
      </c>
      <c r="P111" s="7" t="s">
        <v>6406</v>
      </c>
      <c r="Z111" s="3" t="str">
        <f ca="1">HYPERLINK("#"&amp;일위대가목록표!J2&amp;"!A"&amp;ROW(일위대가목록표!A688),"대가685 →")</f>
        <v>대가685 →</v>
      </c>
    </row>
    <row r="112" spans="1:26" ht="28.7" customHeight="1" x14ac:dyDescent="0.3">
      <c r="A112" s="22" t="s">
        <v>6</v>
      </c>
      <c r="B112" s="74"/>
      <c r="C112" s="74"/>
      <c r="D112" s="74"/>
      <c r="E112" s="74"/>
      <c r="F112" s="48">
        <f>J112+H112+L112</f>
        <v>4030109</v>
      </c>
      <c r="G112" s="74"/>
      <c r="H112" s="48">
        <f>ROUNDDOWN(SUMIF(P111:P111,O112,H111:H111),0)</f>
        <v>3912728</v>
      </c>
      <c r="I112" s="74"/>
      <c r="J112" s="48">
        <f>ROUNDDOWN(SUMIF(P111:P111,O112,J111:J111),0)</f>
        <v>0</v>
      </c>
      <c r="K112" s="74"/>
      <c r="L112" s="48">
        <f>ROUNDDOWN(SUMIF(P111:P111,O112,L111:L111),0)</f>
        <v>117381</v>
      </c>
      <c r="M112" s="74"/>
      <c r="O112" s="7" t="s">
        <v>6406</v>
      </c>
    </row>
    <row r="113" spans="1:26" ht="28.7" customHeight="1" x14ac:dyDescent="0.3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</row>
    <row r="114" spans="1:26" ht="28.7" customHeight="1" x14ac:dyDescent="0.3">
      <c r="A114" s="136" t="s">
        <v>73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44"/>
      <c r="M114" s="22" t="s">
        <v>6504</v>
      </c>
      <c r="N114" s="84" t="str">
        <f>HYPERLINK("#N"&amp;ROW(N116),"_x0005_`BDCOD|B05129_x0007_`POSS|"&amp;ROW(N115)&amp;"_x0007_`POSE|"&amp;ROW(N116)&amp;"_x0007_`")</f>
        <v>_x0005_`BDCOD|B05129_x0007_`POSS|115_x0007_`POSE|116_x0007_`</v>
      </c>
      <c r="O114" s="7" t="s">
        <v>6505</v>
      </c>
    </row>
    <row r="115" spans="1:26" ht="28.7" customHeight="1" x14ac:dyDescent="0.3">
      <c r="A115" s="10"/>
      <c r="B115" s="10" t="s">
        <v>6506</v>
      </c>
      <c r="C115" s="75">
        <v>0</v>
      </c>
      <c r="D115" s="31"/>
      <c r="E115" s="33">
        <v>0</v>
      </c>
      <c r="F115" s="11">
        <v>0</v>
      </c>
      <c r="G115" s="42"/>
      <c r="H115" s="11">
        <v>0</v>
      </c>
      <c r="I115" s="42"/>
      <c r="J115" s="33">
        <v>0</v>
      </c>
      <c r="K115" s="46"/>
      <c r="L115" s="33">
        <v>0</v>
      </c>
      <c r="M115" s="22" t="s">
        <v>6509</v>
      </c>
      <c r="N115" s="17" t="s">
        <v>6507</v>
      </c>
      <c r="O115" s="7" t="s">
        <v>6508</v>
      </c>
      <c r="P115" s="7" t="s">
        <v>6508</v>
      </c>
    </row>
    <row r="116" spans="1:26" ht="28.7" customHeight="1" x14ac:dyDescent="0.3">
      <c r="A116" s="10" t="s">
        <v>1690</v>
      </c>
      <c r="B116" s="10" t="s">
        <v>1691</v>
      </c>
      <c r="C116" s="75">
        <v>1</v>
      </c>
      <c r="D116" s="31" t="s">
        <v>14</v>
      </c>
      <c r="E116" s="55">
        <f>I116+G116+K116</f>
        <v>260910</v>
      </c>
      <c r="F116" s="76">
        <f>J116+H116+L116</f>
        <v>260910</v>
      </c>
      <c r="G116" s="78">
        <f>일위대가목록표!F660</f>
        <v>253311</v>
      </c>
      <c r="H116" s="80">
        <f>IF(C116=0,0,ROUNDDOWN(G116*C116,1))</f>
        <v>253311</v>
      </c>
      <c r="I116" s="78">
        <f>일위대가목록표!G660</f>
        <v>0</v>
      </c>
      <c r="J116" s="80">
        <f>IF(C116=0,0,ROUNDDOWN(I116*C116,1))</f>
        <v>0</v>
      </c>
      <c r="K116" s="78">
        <f>일위대가목록표!H660</f>
        <v>7599</v>
      </c>
      <c r="L116" s="80">
        <f>IF(C116=0,0,ROUNDDOWN(K116*C116,1))</f>
        <v>7599</v>
      </c>
      <c r="M116" s="22" t="s">
        <v>6512</v>
      </c>
      <c r="N116" s="17" t="s">
        <v>6510</v>
      </c>
      <c r="O116" s="7" t="s">
        <v>6511</v>
      </c>
      <c r="P116" s="7" t="s">
        <v>6406</v>
      </c>
      <c r="Z116" s="3" t="str">
        <f ca="1">HYPERLINK("#"&amp;일위대가목록표!J2&amp;"!A"&amp;ROW(일위대가목록표!A660),"대가657 →")</f>
        <v>대가657 →</v>
      </c>
    </row>
    <row r="117" spans="1:26" ht="28.7" customHeight="1" x14ac:dyDescent="0.3">
      <c r="A117" s="22" t="s">
        <v>6</v>
      </c>
      <c r="B117" s="74"/>
      <c r="C117" s="74"/>
      <c r="D117" s="74"/>
      <c r="E117" s="74"/>
      <c r="F117" s="48">
        <f>J117+H117+L117</f>
        <v>260910</v>
      </c>
      <c r="G117" s="74"/>
      <c r="H117" s="48">
        <f>ROUNDDOWN(SUMIF(P115:P116,O117,H115:H116),0)</f>
        <v>253311</v>
      </c>
      <c r="I117" s="74"/>
      <c r="J117" s="48">
        <f>ROUNDDOWN(SUMIF(P115:P116,O117,J115:J116),0)</f>
        <v>0</v>
      </c>
      <c r="K117" s="74"/>
      <c r="L117" s="48">
        <f>ROUNDDOWN(SUMIF(P115:P116,O117,L115:L116),0)</f>
        <v>7599</v>
      </c>
      <c r="M117" s="74"/>
      <c r="O117" s="7" t="s">
        <v>6406</v>
      </c>
    </row>
    <row r="118" spans="1:26" ht="28.7" customHeight="1" x14ac:dyDescent="0.3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</row>
    <row r="119" spans="1:26" ht="28.7" customHeight="1" x14ac:dyDescent="0.3">
      <c r="A119" s="136" t="s">
        <v>76</v>
      </c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44"/>
      <c r="M119" s="22" t="s">
        <v>6513</v>
      </c>
      <c r="N119" s="84" t="str">
        <f>HYPERLINK("#N"&amp;ROW(N121),"_x0005_`BDCOD|B05130_x0007_`POSS|"&amp;ROW(N120)&amp;"_x0007_`POSE|"&amp;ROW(N121)&amp;"_x0007_`")</f>
        <v>_x0005_`BDCOD|B05130_x0007_`POSS|120_x0007_`POSE|121_x0007_`</v>
      </c>
      <c r="O119" s="7" t="s">
        <v>6514</v>
      </c>
    </row>
    <row r="120" spans="1:26" ht="28.7" customHeight="1" x14ac:dyDescent="0.3">
      <c r="A120" s="10"/>
      <c r="B120" s="10" t="s">
        <v>6506</v>
      </c>
      <c r="C120" s="75">
        <v>0</v>
      </c>
      <c r="D120" s="31"/>
      <c r="E120" s="33">
        <v>0</v>
      </c>
      <c r="F120" s="11">
        <v>0</v>
      </c>
      <c r="G120" s="42"/>
      <c r="H120" s="11">
        <v>0</v>
      </c>
      <c r="I120" s="42"/>
      <c r="J120" s="33">
        <v>0</v>
      </c>
      <c r="K120" s="46"/>
      <c r="L120" s="33">
        <v>0</v>
      </c>
      <c r="M120" s="22" t="s">
        <v>6509</v>
      </c>
      <c r="N120" s="17" t="s">
        <v>6507</v>
      </c>
      <c r="O120" s="7" t="s">
        <v>6508</v>
      </c>
      <c r="P120" s="7" t="s">
        <v>6508</v>
      </c>
    </row>
    <row r="121" spans="1:26" ht="28.7" customHeight="1" x14ac:dyDescent="0.3">
      <c r="A121" s="10" t="s">
        <v>1690</v>
      </c>
      <c r="B121" s="10" t="s">
        <v>1700</v>
      </c>
      <c r="C121" s="75">
        <v>1</v>
      </c>
      <c r="D121" s="31" t="s">
        <v>14</v>
      </c>
      <c r="E121" s="55">
        <f>I121+G121+K121</f>
        <v>300644</v>
      </c>
      <c r="F121" s="76">
        <f>J121+H121+L121</f>
        <v>300644</v>
      </c>
      <c r="G121" s="78">
        <f>일위대가목록표!F663</f>
        <v>291888</v>
      </c>
      <c r="H121" s="80">
        <f>IF(C121=0,0,ROUNDDOWN(G121*C121,1))</f>
        <v>291888</v>
      </c>
      <c r="I121" s="78">
        <f>일위대가목록표!G663</f>
        <v>0</v>
      </c>
      <c r="J121" s="80">
        <f>IF(C121=0,0,ROUNDDOWN(I121*C121,1))</f>
        <v>0</v>
      </c>
      <c r="K121" s="78">
        <f>일위대가목록표!H663</f>
        <v>8756</v>
      </c>
      <c r="L121" s="80">
        <f>IF(C121=0,0,ROUNDDOWN(K121*C121,1))</f>
        <v>8756</v>
      </c>
      <c r="M121" s="22" t="s">
        <v>6517</v>
      </c>
      <c r="N121" s="17" t="s">
        <v>6515</v>
      </c>
      <c r="O121" s="7" t="s">
        <v>6516</v>
      </c>
      <c r="P121" s="7" t="s">
        <v>6406</v>
      </c>
      <c r="Z121" s="3" t="str">
        <f ca="1">HYPERLINK("#"&amp;일위대가목록표!J2&amp;"!A"&amp;ROW(일위대가목록표!A663),"대가660 →")</f>
        <v>대가660 →</v>
      </c>
    </row>
    <row r="122" spans="1:26" ht="28.7" customHeight="1" x14ac:dyDescent="0.3">
      <c r="A122" s="22" t="s">
        <v>6</v>
      </c>
      <c r="B122" s="74"/>
      <c r="C122" s="74"/>
      <c r="D122" s="74"/>
      <c r="E122" s="74"/>
      <c r="F122" s="48">
        <f>J122+H122+L122</f>
        <v>300644</v>
      </c>
      <c r="G122" s="74"/>
      <c r="H122" s="48">
        <f>ROUNDDOWN(SUMIF(P120:P121,O122,H120:H121),0)</f>
        <v>291888</v>
      </c>
      <c r="I122" s="74"/>
      <c r="J122" s="48">
        <f>ROUNDDOWN(SUMIF(P120:P121,O122,J120:J121),0)</f>
        <v>0</v>
      </c>
      <c r="K122" s="74"/>
      <c r="L122" s="48">
        <f>ROUNDDOWN(SUMIF(P120:P121,O122,L120:L121),0)</f>
        <v>8756</v>
      </c>
      <c r="M122" s="74"/>
      <c r="O122" s="7" t="s">
        <v>6406</v>
      </c>
    </row>
    <row r="123" spans="1:26" ht="28.7" customHeight="1" x14ac:dyDescent="0.3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</row>
    <row r="124" spans="1:26" ht="28.7" customHeight="1" x14ac:dyDescent="0.3">
      <c r="A124" s="136" t="s">
        <v>78</v>
      </c>
      <c r="B124" s="127"/>
      <c r="C124" s="127"/>
      <c r="D124" s="127"/>
      <c r="E124" s="127"/>
      <c r="F124" s="127"/>
      <c r="G124" s="127"/>
      <c r="H124" s="127"/>
      <c r="I124" s="127"/>
      <c r="J124" s="127"/>
      <c r="K124" s="127"/>
      <c r="L124" s="144"/>
      <c r="M124" s="22" t="s">
        <v>6518</v>
      </c>
      <c r="N124" s="84" t="str">
        <f>HYPERLINK("#N"&amp;ROW(N125),"_x0005_`BDCOD|B05131_x0007_`POSS|"&amp;ROW(N125)&amp;"_x0007_`POSE|"&amp;ROW(N125)&amp;"_x0007_`")</f>
        <v>_x0005_`BDCOD|B05131_x0007_`POSS|125_x0007_`POSE|125_x0007_`</v>
      </c>
      <c r="O124" s="7" t="s">
        <v>6519</v>
      </c>
    </row>
    <row r="125" spans="1:26" ht="28.7" customHeight="1" x14ac:dyDescent="0.3">
      <c r="A125" s="10" t="s">
        <v>1682</v>
      </c>
      <c r="B125" s="10" t="s">
        <v>1703</v>
      </c>
      <c r="C125" s="75">
        <v>1</v>
      </c>
      <c r="D125" s="31" t="s">
        <v>14</v>
      </c>
      <c r="E125" s="55">
        <f>I125+G125+K125</f>
        <v>483348</v>
      </c>
      <c r="F125" s="76">
        <f>J125+H125+L125</f>
        <v>483348</v>
      </c>
      <c r="G125" s="78">
        <f>일위대가목록표!F664</f>
        <v>469271</v>
      </c>
      <c r="H125" s="80">
        <f>IF(C125=0,0,ROUNDDOWN(G125*C125,1))</f>
        <v>469271</v>
      </c>
      <c r="I125" s="78">
        <f>일위대가목록표!G664</f>
        <v>0</v>
      </c>
      <c r="J125" s="80">
        <f>IF(C125=0,0,ROUNDDOWN(I125*C125,1))</f>
        <v>0</v>
      </c>
      <c r="K125" s="78">
        <f>일위대가목록표!H664</f>
        <v>14077</v>
      </c>
      <c r="L125" s="80">
        <f>IF(C125=0,0,ROUNDDOWN(K125*C125,1))</f>
        <v>14077</v>
      </c>
      <c r="M125" s="22" t="s">
        <v>6418</v>
      </c>
      <c r="N125" s="17" t="s">
        <v>6415</v>
      </c>
      <c r="O125" s="7" t="s">
        <v>6416</v>
      </c>
      <c r="P125" s="7" t="s">
        <v>6406</v>
      </c>
      <c r="Z125" s="3" t="str">
        <f ca="1">HYPERLINK("#"&amp;일위대가목록표!J2&amp;"!A"&amp;ROW(일위대가목록표!A664),"대가661 →")</f>
        <v>대가661 →</v>
      </c>
    </row>
    <row r="126" spans="1:26" ht="28.7" customHeight="1" x14ac:dyDescent="0.3">
      <c r="A126" s="22" t="s">
        <v>6</v>
      </c>
      <c r="B126" s="74"/>
      <c r="C126" s="74"/>
      <c r="D126" s="74"/>
      <c r="E126" s="74"/>
      <c r="F126" s="48">
        <f>J126+H126+L126</f>
        <v>483348</v>
      </c>
      <c r="G126" s="74"/>
      <c r="H126" s="48">
        <f>ROUNDDOWN(SUMIF(P125:P125,O126,H125:H125),0)</f>
        <v>469271</v>
      </c>
      <c r="I126" s="74"/>
      <c r="J126" s="48">
        <f>ROUNDDOWN(SUMIF(P125:P125,O126,J125:J125),0)</f>
        <v>0</v>
      </c>
      <c r="K126" s="74"/>
      <c r="L126" s="48">
        <f>ROUNDDOWN(SUMIF(P125:P125,O126,L125:L125),0)</f>
        <v>14077</v>
      </c>
      <c r="M126" s="74"/>
      <c r="O126" s="7" t="s">
        <v>6406</v>
      </c>
    </row>
    <row r="127" spans="1:26" ht="28.7" customHeight="1" x14ac:dyDescent="0.3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</row>
    <row r="128" spans="1:26" ht="28.7" customHeight="1" x14ac:dyDescent="0.3">
      <c r="A128" s="136" t="s">
        <v>80</v>
      </c>
      <c r="B128" s="127"/>
      <c r="C128" s="127"/>
      <c r="D128" s="127"/>
      <c r="E128" s="127"/>
      <c r="F128" s="127"/>
      <c r="G128" s="127"/>
      <c r="H128" s="127"/>
      <c r="I128" s="127"/>
      <c r="J128" s="127"/>
      <c r="K128" s="127"/>
      <c r="L128" s="144"/>
      <c r="M128" s="22" t="s">
        <v>6520</v>
      </c>
      <c r="N128" s="84" t="str">
        <f>HYPERLINK("#N"&amp;ROW(N129),"_x0005_`BDCOD|B05133_x0007_`POSS|"&amp;ROW(N129)&amp;"_x0007_`POSE|"&amp;ROW(N129)&amp;"_x0007_`")</f>
        <v>_x0005_`BDCOD|B05133_x0007_`POSS|129_x0007_`POSE|129_x0007_`</v>
      </c>
      <c r="O128" s="7" t="s">
        <v>6521</v>
      </c>
    </row>
    <row r="129" spans="1:26" ht="28.7" customHeight="1" x14ac:dyDescent="0.3">
      <c r="A129" s="10" t="s">
        <v>1682</v>
      </c>
      <c r="B129" s="10" t="s">
        <v>1721</v>
      </c>
      <c r="C129" s="75">
        <v>1</v>
      </c>
      <c r="D129" s="31" t="s">
        <v>14</v>
      </c>
      <c r="E129" s="55">
        <f>I129+G129+K129</f>
        <v>734777</v>
      </c>
      <c r="F129" s="76">
        <f>J129+H129+L129</f>
        <v>734777</v>
      </c>
      <c r="G129" s="78">
        <f>일위대가목록표!F670</f>
        <v>713377</v>
      </c>
      <c r="H129" s="80">
        <f>IF(C129=0,0,ROUNDDOWN(G129*C129,1))</f>
        <v>713377</v>
      </c>
      <c r="I129" s="78">
        <f>일위대가목록표!G670</f>
        <v>0</v>
      </c>
      <c r="J129" s="80">
        <f>IF(C129=0,0,ROUNDDOWN(I129*C129,1))</f>
        <v>0</v>
      </c>
      <c r="K129" s="78">
        <f>일위대가목록표!H670</f>
        <v>21400</v>
      </c>
      <c r="L129" s="80">
        <f>IF(C129=0,0,ROUNDDOWN(K129*C129,1))</f>
        <v>21400</v>
      </c>
      <c r="M129" s="22" t="s">
        <v>6432</v>
      </c>
      <c r="N129" s="17" t="s">
        <v>6429</v>
      </c>
      <c r="O129" s="7" t="s">
        <v>6430</v>
      </c>
      <c r="P129" s="7" t="s">
        <v>6406</v>
      </c>
      <c r="Z129" s="3" t="str">
        <f ca="1">HYPERLINK("#"&amp;일위대가목록표!J2&amp;"!A"&amp;ROW(일위대가목록표!A670),"대가667 →")</f>
        <v>대가667 →</v>
      </c>
    </row>
    <row r="130" spans="1:26" ht="28.7" customHeight="1" x14ac:dyDescent="0.3">
      <c r="A130" s="22" t="s">
        <v>6</v>
      </c>
      <c r="B130" s="74"/>
      <c r="C130" s="74"/>
      <c r="D130" s="74"/>
      <c r="E130" s="74"/>
      <c r="F130" s="48">
        <f>J130+H130+L130</f>
        <v>734777</v>
      </c>
      <c r="G130" s="74"/>
      <c r="H130" s="48">
        <f>ROUNDDOWN(SUMIF(P129:P129,O130,H129:H129),0)</f>
        <v>713377</v>
      </c>
      <c r="I130" s="74"/>
      <c r="J130" s="48">
        <f>ROUNDDOWN(SUMIF(P129:P129,O130,J129:J129),0)</f>
        <v>0</v>
      </c>
      <c r="K130" s="74"/>
      <c r="L130" s="48">
        <f>ROUNDDOWN(SUMIF(P129:P129,O130,L129:L129),0)</f>
        <v>21400</v>
      </c>
      <c r="M130" s="74"/>
      <c r="O130" s="7" t="s">
        <v>6406</v>
      </c>
    </row>
    <row r="131" spans="1:26" ht="28.7" customHeight="1" x14ac:dyDescent="0.3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</row>
    <row r="132" spans="1:26" ht="28.7" customHeight="1" x14ac:dyDescent="0.3">
      <c r="A132" s="136" t="s">
        <v>82</v>
      </c>
      <c r="B132" s="127"/>
      <c r="C132" s="127"/>
      <c r="D132" s="127"/>
      <c r="E132" s="127"/>
      <c r="F132" s="127"/>
      <c r="G132" s="127"/>
      <c r="H132" s="127"/>
      <c r="I132" s="127"/>
      <c r="J132" s="127"/>
      <c r="K132" s="127"/>
      <c r="L132" s="144"/>
      <c r="M132" s="22" t="s">
        <v>6522</v>
      </c>
      <c r="N132" s="84" t="str">
        <f>HYPERLINK("#N"&amp;ROW(N133),"_x0005_`BDCOD|B05134_x0007_`POSS|"&amp;ROW(N133)&amp;"_x0007_`POSE|"&amp;ROW(N133)&amp;"_x0007_`")</f>
        <v>_x0005_`BDCOD|B05134_x0007_`POSS|133_x0007_`POSE|133_x0007_`</v>
      </c>
      <c r="O132" s="7" t="s">
        <v>6523</v>
      </c>
    </row>
    <row r="133" spans="1:26" ht="28.7" customHeight="1" x14ac:dyDescent="0.3">
      <c r="A133" s="10" t="s">
        <v>1682</v>
      </c>
      <c r="B133" s="10" t="s">
        <v>1730</v>
      </c>
      <c r="C133" s="75">
        <v>1</v>
      </c>
      <c r="D133" s="31" t="s">
        <v>14</v>
      </c>
      <c r="E133" s="55">
        <f>I133+G133+K133</f>
        <v>923410</v>
      </c>
      <c r="F133" s="76">
        <f>J133+H133+L133</f>
        <v>923410</v>
      </c>
      <c r="G133" s="78">
        <f>일위대가목록표!F673</f>
        <v>896515</v>
      </c>
      <c r="H133" s="80">
        <f>IF(C133=0,0,ROUNDDOWN(G133*C133,1))</f>
        <v>896515</v>
      </c>
      <c r="I133" s="78">
        <f>일위대가목록표!G673</f>
        <v>0</v>
      </c>
      <c r="J133" s="80">
        <f>IF(C133=0,0,ROUNDDOWN(I133*C133,1))</f>
        <v>0</v>
      </c>
      <c r="K133" s="78">
        <f>일위대가목록표!H673</f>
        <v>26895</v>
      </c>
      <c r="L133" s="80">
        <f>IF(C133=0,0,ROUNDDOWN(K133*C133,1))</f>
        <v>26895</v>
      </c>
      <c r="M133" s="22" t="s">
        <v>6439</v>
      </c>
      <c r="N133" s="17" t="s">
        <v>6436</v>
      </c>
      <c r="O133" s="7" t="s">
        <v>6437</v>
      </c>
      <c r="P133" s="7" t="s">
        <v>6406</v>
      </c>
      <c r="Z133" s="3" t="str">
        <f ca="1">HYPERLINK("#"&amp;일위대가목록표!J2&amp;"!A"&amp;ROW(일위대가목록표!A673),"대가670 →")</f>
        <v>대가670 →</v>
      </c>
    </row>
    <row r="134" spans="1:26" ht="28.7" customHeight="1" x14ac:dyDescent="0.3">
      <c r="A134" s="22" t="s">
        <v>6</v>
      </c>
      <c r="B134" s="74"/>
      <c r="C134" s="74"/>
      <c r="D134" s="74"/>
      <c r="E134" s="74"/>
      <c r="F134" s="48">
        <f>J134+H134+L134</f>
        <v>923410</v>
      </c>
      <c r="G134" s="74"/>
      <c r="H134" s="48">
        <f>ROUNDDOWN(SUMIF(P133:P133,O134,H133:H133),0)</f>
        <v>896515</v>
      </c>
      <c r="I134" s="74"/>
      <c r="J134" s="48">
        <f>ROUNDDOWN(SUMIF(P133:P133,O134,J133:J133),0)</f>
        <v>0</v>
      </c>
      <c r="K134" s="74"/>
      <c r="L134" s="48">
        <f>ROUNDDOWN(SUMIF(P133:P133,O134,L133:L133),0)</f>
        <v>26895</v>
      </c>
      <c r="M134" s="74"/>
      <c r="O134" s="7" t="s">
        <v>6406</v>
      </c>
    </row>
    <row r="135" spans="1:26" ht="28.7" customHeight="1" x14ac:dyDescent="0.3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</row>
    <row r="136" spans="1:26" ht="28.7" customHeight="1" x14ac:dyDescent="0.3">
      <c r="A136" s="136" t="s">
        <v>84</v>
      </c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44"/>
      <c r="M136" s="22" t="s">
        <v>6524</v>
      </c>
      <c r="N136" s="84" t="str">
        <f>HYPERLINK("#N"&amp;ROW(N137),"_x0005_`BDCOD|B05135_x0007_`POSS|"&amp;ROW(N137)&amp;"_x0007_`POSE|"&amp;ROW(N137)&amp;"_x0007_`")</f>
        <v>_x0005_`BDCOD|B05135_x0007_`POSS|137_x0007_`POSE|137_x0007_`</v>
      </c>
      <c r="O136" s="7" t="s">
        <v>6525</v>
      </c>
    </row>
    <row r="137" spans="1:26" ht="28.7" customHeight="1" x14ac:dyDescent="0.3">
      <c r="A137" s="10" t="s">
        <v>1682</v>
      </c>
      <c r="B137" s="10" t="s">
        <v>1739</v>
      </c>
      <c r="C137" s="75">
        <v>1</v>
      </c>
      <c r="D137" s="31" t="s">
        <v>14</v>
      </c>
      <c r="E137" s="55">
        <f>I137+G137+K137</f>
        <v>980333</v>
      </c>
      <c r="F137" s="76">
        <f>J137+H137+L137</f>
        <v>980333</v>
      </c>
      <c r="G137" s="78">
        <f>일위대가목록표!F676</f>
        <v>951780</v>
      </c>
      <c r="H137" s="80">
        <f>IF(C137=0,0,ROUNDDOWN(G137*C137,1))</f>
        <v>951780</v>
      </c>
      <c r="I137" s="78">
        <f>일위대가목록표!G676</f>
        <v>0</v>
      </c>
      <c r="J137" s="80">
        <f>IF(C137=0,0,ROUNDDOWN(I137*C137,1))</f>
        <v>0</v>
      </c>
      <c r="K137" s="78">
        <f>일위대가목록표!H676</f>
        <v>28553</v>
      </c>
      <c r="L137" s="80">
        <f>IF(C137=0,0,ROUNDDOWN(K137*C137,1))</f>
        <v>28553</v>
      </c>
      <c r="M137" s="22" t="s">
        <v>6446</v>
      </c>
      <c r="N137" s="17" t="s">
        <v>6443</v>
      </c>
      <c r="O137" s="7" t="s">
        <v>6444</v>
      </c>
      <c r="P137" s="7" t="s">
        <v>6406</v>
      </c>
      <c r="Z137" s="3" t="str">
        <f ca="1">HYPERLINK("#"&amp;일위대가목록표!J2&amp;"!A"&amp;ROW(일위대가목록표!A676),"대가673 →")</f>
        <v>대가673 →</v>
      </c>
    </row>
    <row r="138" spans="1:26" ht="28.7" customHeight="1" x14ac:dyDescent="0.3">
      <c r="A138" s="22" t="s">
        <v>6</v>
      </c>
      <c r="B138" s="74"/>
      <c r="C138" s="74"/>
      <c r="D138" s="74"/>
      <c r="E138" s="74"/>
      <c r="F138" s="48">
        <f>J138+H138+L138</f>
        <v>980333</v>
      </c>
      <c r="G138" s="74"/>
      <c r="H138" s="48">
        <f>ROUNDDOWN(SUMIF(P137:P137,O138,H137:H137),0)</f>
        <v>951780</v>
      </c>
      <c r="I138" s="74"/>
      <c r="J138" s="48">
        <f>ROUNDDOWN(SUMIF(P137:P137,O138,J137:J137),0)</f>
        <v>0</v>
      </c>
      <c r="K138" s="74"/>
      <c r="L138" s="48">
        <f>ROUNDDOWN(SUMIF(P137:P137,O138,L137:L137),0)</f>
        <v>28553</v>
      </c>
      <c r="M138" s="74"/>
      <c r="O138" s="7" t="s">
        <v>6406</v>
      </c>
    </row>
    <row r="139" spans="1:26" ht="28.7" customHeight="1" x14ac:dyDescent="0.3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</row>
    <row r="140" spans="1:26" ht="28.7" customHeight="1" x14ac:dyDescent="0.3">
      <c r="A140" s="136" t="s">
        <v>86</v>
      </c>
      <c r="B140" s="127"/>
      <c r="C140" s="127"/>
      <c r="D140" s="127"/>
      <c r="E140" s="127"/>
      <c r="F140" s="127"/>
      <c r="G140" s="127"/>
      <c r="H140" s="127"/>
      <c r="I140" s="127"/>
      <c r="J140" s="127"/>
      <c r="K140" s="127"/>
      <c r="L140" s="144"/>
      <c r="M140" s="22" t="s">
        <v>6526</v>
      </c>
      <c r="N140" s="84" t="str">
        <f>HYPERLINK("#N"&amp;ROW(N141),"_x0005_`BDCOD|B05136_x0007_`POSS|"&amp;ROW(N141)&amp;"_x0007_`POSE|"&amp;ROW(N141)&amp;"_x0007_`")</f>
        <v>_x0005_`BDCOD|B05136_x0007_`POSS|141_x0007_`POSE|141_x0007_`</v>
      </c>
      <c r="O140" s="7" t="s">
        <v>6527</v>
      </c>
    </row>
    <row r="141" spans="1:26" ht="28.7" customHeight="1" x14ac:dyDescent="0.3">
      <c r="A141" s="10" t="s">
        <v>1682</v>
      </c>
      <c r="B141" s="10" t="s">
        <v>1748</v>
      </c>
      <c r="C141" s="75">
        <v>1</v>
      </c>
      <c r="D141" s="31" t="s">
        <v>14</v>
      </c>
      <c r="E141" s="55">
        <f>I141+G141+K141</f>
        <v>1583750</v>
      </c>
      <c r="F141" s="76">
        <f>J141+H141+L141</f>
        <v>1583750</v>
      </c>
      <c r="G141" s="78">
        <f>일위대가목록표!F679</f>
        <v>1537622</v>
      </c>
      <c r="H141" s="80">
        <f>IF(C141=0,0,ROUNDDOWN(G141*C141,1))</f>
        <v>1537622</v>
      </c>
      <c r="I141" s="78">
        <f>일위대가목록표!G679</f>
        <v>0</v>
      </c>
      <c r="J141" s="80">
        <f>IF(C141=0,0,ROUNDDOWN(I141*C141,1))</f>
        <v>0</v>
      </c>
      <c r="K141" s="78">
        <f>일위대가목록표!H679</f>
        <v>46128</v>
      </c>
      <c r="L141" s="80">
        <f>IF(C141=0,0,ROUNDDOWN(K141*C141,1))</f>
        <v>46128</v>
      </c>
      <c r="M141" s="22" t="s">
        <v>6453</v>
      </c>
      <c r="N141" s="17" t="s">
        <v>6450</v>
      </c>
      <c r="O141" s="7" t="s">
        <v>6451</v>
      </c>
      <c r="P141" s="7" t="s">
        <v>6406</v>
      </c>
      <c r="Z141" s="3" t="str">
        <f ca="1">HYPERLINK("#"&amp;일위대가목록표!J2&amp;"!A"&amp;ROW(일위대가목록표!A679),"대가676 →")</f>
        <v>대가676 →</v>
      </c>
    </row>
    <row r="142" spans="1:26" ht="28.7" customHeight="1" x14ac:dyDescent="0.3">
      <c r="A142" s="22" t="s">
        <v>6</v>
      </c>
      <c r="B142" s="74"/>
      <c r="C142" s="74"/>
      <c r="D142" s="74"/>
      <c r="E142" s="74"/>
      <c r="F142" s="48">
        <f>J142+H142+L142</f>
        <v>1583750</v>
      </c>
      <c r="G142" s="74"/>
      <c r="H142" s="48">
        <f>ROUNDDOWN(SUMIF(P141:P141,O142,H141:H141),0)</f>
        <v>1537622</v>
      </c>
      <c r="I142" s="74"/>
      <c r="J142" s="48">
        <f>ROUNDDOWN(SUMIF(P141:P141,O142,J141:J141),0)</f>
        <v>0</v>
      </c>
      <c r="K142" s="74"/>
      <c r="L142" s="48">
        <f>ROUNDDOWN(SUMIF(P141:P141,O142,L141:L141),0)</f>
        <v>46128</v>
      </c>
      <c r="M142" s="74"/>
      <c r="O142" s="7" t="s">
        <v>6406</v>
      </c>
    </row>
    <row r="143" spans="1:26" ht="28.7" customHeight="1" x14ac:dyDescent="0.3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</row>
    <row r="144" spans="1:26" ht="28.7" customHeight="1" x14ac:dyDescent="0.3">
      <c r="A144" s="136" t="s">
        <v>88</v>
      </c>
      <c r="B144" s="127"/>
      <c r="C144" s="127"/>
      <c r="D144" s="127"/>
      <c r="E144" s="127"/>
      <c r="F144" s="127"/>
      <c r="G144" s="127"/>
      <c r="H144" s="127"/>
      <c r="I144" s="127"/>
      <c r="J144" s="127"/>
      <c r="K144" s="127"/>
      <c r="L144" s="144"/>
      <c r="M144" s="22" t="s">
        <v>6528</v>
      </c>
      <c r="N144" s="84" t="str">
        <f>HYPERLINK("#N"&amp;ROW(N145),"_x0005_`BDCOD|B05137_x0007_`POSS|"&amp;ROW(N145)&amp;"_x0007_`POSE|"&amp;ROW(N145)&amp;"_x0007_`")</f>
        <v>_x0005_`BDCOD|B05137_x0007_`POSS|145_x0007_`POSE|145_x0007_`</v>
      </c>
      <c r="O144" s="7" t="s">
        <v>6529</v>
      </c>
    </row>
    <row r="145" spans="1:26" ht="28.7" customHeight="1" x14ac:dyDescent="0.3">
      <c r="A145" s="10" t="s">
        <v>1682</v>
      </c>
      <c r="B145" s="10" t="s">
        <v>1757</v>
      </c>
      <c r="C145" s="75">
        <v>1</v>
      </c>
      <c r="D145" s="31" t="s">
        <v>14</v>
      </c>
      <c r="E145" s="55">
        <f>I145+G145+K145</f>
        <v>2044858</v>
      </c>
      <c r="F145" s="76">
        <f>J145+H145+L145</f>
        <v>2044858</v>
      </c>
      <c r="G145" s="78">
        <f>일위대가목록표!F682</f>
        <v>1985300</v>
      </c>
      <c r="H145" s="80">
        <f>IF(C145=0,0,ROUNDDOWN(G145*C145,1))</f>
        <v>1985300</v>
      </c>
      <c r="I145" s="78">
        <f>일위대가목록표!G682</f>
        <v>0</v>
      </c>
      <c r="J145" s="80">
        <f>IF(C145=0,0,ROUNDDOWN(I145*C145,1))</f>
        <v>0</v>
      </c>
      <c r="K145" s="78">
        <f>일위대가목록표!H682</f>
        <v>59558</v>
      </c>
      <c r="L145" s="80">
        <f>IF(C145=0,0,ROUNDDOWN(K145*C145,1))</f>
        <v>59558</v>
      </c>
      <c r="M145" s="22" t="s">
        <v>6460</v>
      </c>
      <c r="N145" s="17" t="s">
        <v>6457</v>
      </c>
      <c r="O145" s="7" t="s">
        <v>6458</v>
      </c>
      <c r="P145" s="7" t="s">
        <v>6406</v>
      </c>
      <c r="Z145" s="3" t="str">
        <f ca="1">HYPERLINK("#"&amp;일위대가목록표!J2&amp;"!A"&amp;ROW(일위대가목록표!A682),"대가679 →")</f>
        <v>대가679 →</v>
      </c>
    </row>
    <row r="146" spans="1:26" ht="28.7" customHeight="1" x14ac:dyDescent="0.3">
      <c r="A146" s="22" t="s">
        <v>6</v>
      </c>
      <c r="B146" s="74"/>
      <c r="C146" s="74"/>
      <c r="D146" s="74"/>
      <c r="E146" s="74"/>
      <c r="F146" s="48">
        <f>J146+H146+L146</f>
        <v>2044858</v>
      </c>
      <c r="G146" s="74"/>
      <c r="H146" s="48">
        <f>ROUNDDOWN(SUMIF(P145:P145,O146,H145:H145),0)</f>
        <v>1985300</v>
      </c>
      <c r="I146" s="74"/>
      <c r="J146" s="48">
        <f>ROUNDDOWN(SUMIF(P145:P145,O146,J145:J145),0)</f>
        <v>0</v>
      </c>
      <c r="K146" s="74"/>
      <c r="L146" s="48">
        <f>ROUNDDOWN(SUMIF(P145:P145,O146,L145:L145),0)</f>
        <v>59558</v>
      </c>
      <c r="M146" s="74"/>
      <c r="O146" s="7" t="s">
        <v>6406</v>
      </c>
    </row>
    <row r="147" spans="1:26" ht="28.7" customHeight="1" x14ac:dyDescent="0.3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</row>
    <row r="148" spans="1:26" ht="28.7" customHeight="1" x14ac:dyDescent="0.3">
      <c r="A148" s="136" t="s">
        <v>90</v>
      </c>
      <c r="B148" s="127"/>
      <c r="C148" s="127"/>
      <c r="D148" s="127"/>
      <c r="E148" s="127"/>
      <c r="F148" s="127"/>
      <c r="G148" s="127"/>
      <c r="H148" s="127"/>
      <c r="I148" s="127"/>
      <c r="J148" s="127"/>
      <c r="K148" s="127"/>
      <c r="L148" s="144"/>
      <c r="M148" s="22" t="s">
        <v>6530</v>
      </c>
      <c r="N148" s="84" t="str">
        <f>HYPERLINK("#N"&amp;ROW(N149),"_x0005_`BDCOD|B05138_x0007_`POSS|"&amp;ROW(N149)&amp;"_x0007_`POSE|"&amp;ROW(N149)&amp;"_x0007_`")</f>
        <v>_x0005_`BDCOD|B05138_x0007_`POSS|149_x0007_`POSE|149_x0007_`</v>
      </c>
      <c r="O148" s="7" t="s">
        <v>6531</v>
      </c>
    </row>
    <row r="149" spans="1:26" ht="28.7" customHeight="1" x14ac:dyDescent="0.3">
      <c r="A149" s="10" t="s">
        <v>1682</v>
      </c>
      <c r="B149" s="10" t="s">
        <v>1766</v>
      </c>
      <c r="C149" s="75">
        <v>1</v>
      </c>
      <c r="D149" s="31" t="s">
        <v>14</v>
      </c>
      <c r="E149" s="55">
        <f>I149+G149+K149</f>
        <v>3289807</v>
      </c>
      <c r="F149" s="76">
        <f>J149+H149+L149</f>
        <v>3289807</v>
      </c>
      <c r="G149" s="78">
        <f>일위대가목록표!F685</f>
        <v>3193989</v>
      </c>
      <c r="H149" s="80">
        <f>IF(C149=0,0,ROUNDDOWN(G149*C149,1))</f>
        <v>3193989</v>
      </c>
      <c r="I149" s="78">
        <f>일위대가목록표!G685</f>
        <v>0</v>
      </c>
      <c r="J149" s="80">
        <f>IF(C149=0,0,ROUNDDOWN(I149*C149,1))</f>
        <v>0</v>
      </c>
      <c r="K149" s="78">
        <f>일위대가목록표!H685</f>
        <v>95818</v>
      </c>
      <c r="L149" s="80">
        <f>IF(C149=0,0,ROUNDDOWN(K149*C149,1))</f>
        <v>95818</v>
      </c>
      <c r="M149" s="22" t="s">
        <v>6467</v>
      </c>
      <c r="N149" s="17" t="s">
        <v>6464</v>
      </c>
      <c r="O149" s="7" t="s">
        <v>6465</v>
      </c>
      <c r="P149" s="7" t="s">
        <v>6406</v>
      </c>
      <c r="Z149" s="3" t="str">
        <f ca="1">HYPERLINK("#"&amp;일위대가목록표!J2&amp;"!A"&amp;ROW(일위대가목록표!A685),"대가682 →")</f>
        <v>대가682 →</v>
      </c>
    </row>
    <row r="150" spans="1:26" ht="28.7" customHeight="1" x14ac:dyDescent="0.3">
      <c r="A150" s="22" t="s">
        <v>6</v>
      </c>
      <c r="B150" s="74"/>
      <c r="C150" s="74"/>
      <c r="D150" s="74"/>
      <c r="E150" s="74"/>
      <c r="F150" s="48">
        <f>J150+H150+L150</f>
        <v>3289807</v>
      </c>
      <c r="G150" s="74"/>
      <c r="H150" s="48">
        <f>ROUNDDOWN(SUMIF(P149:P149,O150,H149:H149),0)</f>
        <v>3193989</v>
      </c>
      <c r="I150" s="74"/>
      <c r="J150" s="48">
        <f>ROUNDDOWN(SUMIF(P149:P149,O150,J149:J149),0)</f>
        <v>0</v>
      </c>
      <c r="K150" s="74"/>
      <c r="L150" s="48">
        <f>ROUNDDOWN(SUMIF(P149:P149,O150,L149:L149),0)</f>
        <v>95818</v>
      </c>
      <c r="M150" s="74"/>
      <c r="O150" s="7" t="s">
        <v>6406</v>
      </c>
    </row>
    <row r="151" spans="1:26" ht="28.7" customHeight="1" x14ac:dyDescent="0.3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</row>
    <row r="152" spans="1:26" ht="28.7" customHeight="1" x14ac:dyDescent="0.3">
      <c r="A152" s="136" t="s">
        <v>92</v>
      </c>
      <c r="B152" s="127"/>
      <c r="C152" s="127"/>
      <c r="D152" s="127"/>
      <c r="E152" s="127"/>
      <c r="F152" s="127"/>
      <c r="G152" s="127"/>
      <c r="H152" s="127"/>
      <c r="I152" s="127"/>
      <c r="J152" s="127"/>
      <c r="K152" s="127"/>
      <c r="L152" s="144"/>
      <c r="M152" s="22" t="s">
        <v>6532</v>
      </c>
      <c r="N152" s="84" t="str">
        <f>HYPERLINK("#N"&amp;ROW(N153),"_x0005_`BDCOD|B05139_x0007_`POSS|"&amp;ROW(N153)&amp;"_x0007_`POSE|"&amp;ROW(N153)&amp;"_x0007_`")</f>
        <v>_x0005_`BDCOD|B05139_x0007_`POSS|153_x0007_`POSE|153_x0007_`</v>
      </c>
      <c r="O152" s="7" t="s">
        <v>6533</v>
      </c>
    </row>
    <row r="153" spans="1:26" ht="28.7" customHeight="1" x14ac:dyDescent="0.3">
      <c r="A153" s="10" t="s">
        <v>1682</v>
      </c>
      <c r="B153" s="10" t="s">
        <v>1766</v>
      </c>
      <c r="C153" s="75">
        <v>1</v>
      </c>
      <c r="D153" s="31" t="s">
        <v>14</v>
      </c>
      <c r="E153" s="55">
        <f>I153+G153+K153</f>
        <v>3289807</v>
      </c>
      <c r="F153" s="76">
        <f>J153+H153+L153</f>
        <v>3289807</v>
      </c>
      <c r="G153" s="78">
        <f>일위대가목록표!F685</f>
        <v>3193989</v>
      </c>
      <c r="H153" s="80">
        <f>IF(C153=0,0,ROUNDDOWN(G153*C153,1))</f>
        <v>3193989</v>
      </c>
      <c r="I153" s="78">
        <f>일위대가목록표!G685</f>
        <v>0</v>
      </c>
      <c r="J153" s="80">
        <f>IF(C153=0,0,ROUNDDOWN(I153*C153,1))</f>
        <v>0</v>
      </c>
      <c r="K153" s="78">
        <f>일위대가목록표!H685</f>
        <v>95818</v>
      </c>
      <c r="L153" s="80">
        <f>IF(C153=0,0,ROUNDDOWN(K153*C153,1))</f>
        <v>95818</v>
      </c>
      <c r="M153" s="22" t="s">
        <v>6467</v>
      </c>
      <c r="N153" s="17" t="s">
        <v>6464</v>
      </c>
      <c r="O153" s="7" t="s">
        <v>6465</v>
      </c>
      <c r="P153" s="7" t="s">
        <v>6406</v>
      </c>
      <c r="Z153" s="3" t="str">
        <f ca="1">HYPERLINK("#"&amp;일위대가목록표!J2&amp;"!A"&amp;ROW(일위대가목록표!A685),"대가682 →")</f>
        <v>대가682 →</v>
      </c>
    </row>
    <row r="154" spans="1:26" ht="28.7" customHeight="1" x14ac:dyDescent="0.3">
      <c r="A154" s="22" t="s">
        <v>6</v>
      </c>
      <c r="B154" s="74"/>
      <c r="C154" s="74"/>
      <c r="D154" s="74"/>
      <c r="E154" s="74"/>
      <c r="F154" s="48">
        <f>J154+H154+L154</f>
        <v>3289807</v>
      </c>
      <c r="G154" s="74"/>
      <c r="H154" s="48">
        <f>ROUNDDOWN(SUMIF(P153:P153,O154,H153:H153),0)</f>
        <v>3193989</v>
      </c>
      <c r="I154" s="74"/>
      <c r="J154" s="48">
        <f>ROUNDDOWN(SUMIF(P153:P153,O154,J153:J153),0)</f>
        <v>0</v>
      </c>
      <c r="K154" s="74"/>
      <c r="L154" s="48">
        <f>ROUNDDOWN(SUMIF(P153:P153,O154,L153:L153),0)</f>
        <v>95818</v>
      </c>
      <c r="M154" s="74"/>
      <c r="O154" s="7" t="s">
        <v>6406</v>
      </c>
    </row>
    <row r="155" spans="1:26" ht="28.7" customHeight="1" x14ac:dyDescent="0.3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</row>
    <row r="156" spans="1:26" ht="28.7" customHeight="1" x14ac:dyDescent="0.3">
      <c r="A156" s="136" t="s">
        <v>94</v>
      </c>
      <c r="B156" s="127"/>
      <c r="C156" s="127"/>
      <c r="D156" s="127"/>
      <c r="E156" s="127"/>
      <c r="F156" s="127"/>
      <c r="G156" s="127"/>
      <c r="H156" s="127"/>
      <c r="I156" s="127"/>
      <c r="J156" s="127"/>
      <c r="K156" s="127"/>
      <c r="L156" s="144"/>
      <c r="M156" s="22" t="s">
        <v>6534</v>
      </c>
      <c r="N156" s="84" t="str">
        <f>HYPERLINK("#N"&amp;ROW(N157),"_x0005_`BDCOD|B05140_x0007_`POSS|"&amp;ROW(N157)&amp;"_x0007_`POSE|"&amp;ROW(N157)&amp;"_x0007_`")</f>
        <v>_x0005_`BDCOD|B05140_x0007_`POSS|157_x0007_`POSE|157_x0007_`</v>
      </c>
      <c r="O156" s="7" t="s">
        <v>6535</v>
      </c>
    </row>
    <row r="157" spans="1:26" ht="28.7" customHeight="1" x14ac:dyDescent="0.3">
      <c r="A157" s="10" t="s">
        <v>1682</v>
      </c>
      <c r="B157" s="10" t="s">
        <v>1775</v>
      </c>
      <c r="C157" s="75">
        <v>1</v>
      </c>
      <c r="D157" s="31" t="s">
        <v>14</v>
      </c>
      <c r="E157" s="55">
        <f>I157+G157+K157</f>
        <v>4030109</v>
      </c>
      <c r="F157" s="76">
        <f>J157+H157+L157</f>
        <v>4030109</v>
      </c>
      <c r="G157" s="78">
        <f>일위대가목록표!F688</f>
        <v>3912728</v>
      </c>
      <c r="H157" s="80">
        <f>IF(C157=0,0,ROUNDDOWN(G157*C157,1))</f>
        <v>3912728</v>
      </c>
      <c r="I157" s="78">
        <f>일위대가목록표!G688</f>
        <v>0</v>
      </c>
      <c r="J157" s="80">
        <f>IF(C157=0,0,ROUNDDOWN(I157*C157,1))</f>
        <v>0</v>
      </c>
      <c r="K157" s="78">
        <f>일위대가목록표!H688</f>
        <v>117381</v>
      </c>
      <c r="L157" s="80">
        <f>IF(C157=0,0,ROUNDDOWN(K157*C157,1))</f>
        <v>117381</v>
      </c>
      <c r="M157" s="22" t="s">
        <v>6478</v>
      </c>
      <c r="N157" s="17" t="s">
        <v>6475</v>
      </c>
      <c r="O157" s="7" t="s">
        <v>6476</v>
      </c>
      <c r="P157" s="7" t="s">
        <v>6406</v>
      </c>
      <c r="Z157" s="3" t="str">
        <f ca="1">HYPERLINK("#"&amp;일위대가목록표!J2&amp;"!A"&amp;ROW(일위대가목록표!A688),"대가685 →")</f>
        <v>대가685 →</v>
      </c>
    </row>
    <row r="158" spans="1:26" ht="28.7" customHeight="1" x14ac:dyDescent="0.3">
      <c r="A158" s="22" t="s">
        <v>6</v>
      </c>
      <c r="B158" s="74"/>
      <c r="C158" s="74"/>
      <c r="D158" s="74"/>
      <c r="E158" s="74"/>
      <c r="F158" s="48">
        <f>J158+H158+L158</f>
        <v>4030109</v>
      </c>
      <c r="G158" s="74"/>
      <c r="H158" s="48">
        <f>ROUNDDOWN(SUMIF(P157:P157,O158,H157:H157),0)</f>
        <v>3912728</v>
      </c>
      <c r="I158" s="74"/>
      <c r="J158" s="48">
        <f>ROUNDDOWN(SUMIF(P157:P157,O158,J157:J157),0)</f>
        <v>0</v>
      </c>
      <c r="K158" s="74"/>
      <c r="L158" s="48">
        <f>ROUNDDOWN(SUMIF(P157:P157,O158,L157:L157),0)</f>
        <v>117381</v>
      </c>
      <c r="M158" s="74"/>
      <c r="O158" s="7" t="s">
        <v>6406</v>
      </c>
    </row>
    <row r="159" spans="1:26" ht="28.7" customHeight="1" x14ac:dyDescent="0.3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</row>
    <row r="160" spans="1:26" ht="28.7" customHeight="1" x14ac:dyDescent="0.3">
      <c r="A160" s="136" t="s">
        <v>96</v>
      </c>
      <c r="B160" s="127"/>
      <c r="C160" s="127"/>
      <c r="D160" s="127"/>
      <c r="E160" s="127"/>
      <c r="F160" s="127"/>
      <c r="G160" s="127"/>
      <c r="H160" s="127"/>
      <c r="I160" s="127"/>
      <c r="J160" s="127"/>
      <c r="K160" s="127"/>
      <c r="L160" s="144"/>
      <c r="M160" s="22" t="s">
        <v>6536</v>
      </c>
      <c r="N160" s="84" t="str">
        <f>HYPERLINK("#N"&amp;ROW(N161),"_x0005_`BDCOD|B05141_x0007_`POSS|"&amp;ROW(N161)&amp;"_x0007_`POSE|"&amp;ROW(N161)&amp;"_x0007_`")</f>
        <v>_x0005_`BDCOD|B05141_x0007_`POSS|161_x0007_`POSE|161_x0007_`</v>
      </c>
      <c r="O160" s="7" t="s">
        <v>6537</v>
      </c>
    </row>
    <row r="161" spans="1:26" ht="28.7" customHeight="1" x14ac:dyDescent="0.3">
      <c r="A161" s="10" t="s">
        <v>1686</v>
      </c>
      <c r="B161" s="10" t="s">
        <v>1687</v>
      </c>
      <c r="C161" s="75">
        <v>1</v>
      </c>
      <c r="D161" s="31" t="s">
        <v>14</v>
      </c>
      <c r="E161" s="55">
        <f>I161+G161+K161</f>
        <v>104363</v>
      </c>
      <c r="F161" s="76">
        <f>J161+H161+L161</f>
        <v>104363</v>
      </c>
      <c r="G161" s="78">
        <f>일위대가목록표!F659</f>
        <v>101324</v>
      </c>
      <c r="H161" s="80">
        <f>IF(C161=0,0,ROUNDDOWN(G161*C161,1))</f>
        <v>101324</v>
      </c>
      <c r="I161" s="78">
        <f>일위대가목록표!G659</f>
        <v>0</v>
      </c>
      <c r="J161" s="80">
        <f>IF(C161=0,0,ROUNDDOWN(I161*C161,1))</f>
        <v>0</v>
      </c>
      <c r="K161" s="78">
        <f>일위대가목록표!H659</f>
        <v>3039</v>
      </c>
      <c r="L161" s="80">
        <f>IF(C161=0,0,ROUNDDOWN(K161*C161,1))</f>
        <v>3039</v>
      </c>
      <c r="M161" s="22" t="s">
        <v>6540</v>
      </c>
      <c r="N161" s="17" t="s">
        <v>6538</v>
      </c>
      <c r="O161" s="7" t="s">
        <v>6539</v>
      </c>
      <c r="P161" s="7" t="s">
        <v>6406</v>
      </c>
      <c r="Z161" s="3" t="str">
        <f ca="1">HYPERLINK("#"&amp;일위대가목록표!J2&amp;"!A"&amp;ROW(일위대가목록표!A659),"대가656 →")</f>
        <v>대가656 →</v>
      </c>
    </row>
    <row r="162" spans="1:26" ht="28.7" customHeight="1" x14ac:dyDescent="0.3">
      <c r="A162" s="22" t="s">
        <v>6</v>
      </c>
      <c r="B162" s="74"/>
      <c r="C162" s="74"/>
      <c r="D162" s="74"/>
      <c r="E162" s="74"/>
      <c r="F162" s="48">
        <f>J162+H162+L162</f>
        <v>104363</v>
      </c>
      <c r="G162" s="74"/>
      <c r="H162" s="48">
        <f>ROUNDDOWN(SUMIF(P161:P161,O162,H161:H161),0)</f>
        <v>101324</v>
      </c>
      <c r="I162" s="74"/>
      <c r="J162" s="48">
        <f>ROUNDDOWN(SUMIF(P161:P161,O162,J161:J161),0)</f>
        <v>0</v>
      </c>
      <c r="K162" s="74"/>
      <c r="L162" s="48">
        <f>ROUNDDOWN(SUMIF(P161:P161,O162,L161:L161),0)</f>
        <v>3039</v>
      </c>
      <c r="M162" s="74"/>
      <c r="O162" s="7" t="s">
        <v>6406</v>
      </c>
    </row>
    <row r="163" spans="1:26" ht="28.7" customHeight="1" x14ac:dyDescent="0.3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26" ht="28.7" customHeight="1" x14ac:dyDescent="0.3">
      <c r="A164" s="136" t="s">
        <v>99</v>
      </c>
      <c r="B164" s="127"/>
      <c r="C164" s="127"/>
      <c r="D164" s="127"/>
      <c r="E164" s="127"/>
      <c r="F164" s="127"/>
      <c r="G164" s="127"/>
      <c r="H164" s="127"/>
      <c r="I164" s="127"/>
      <c r="J164" s="127"/>
      <c r="K164" s="127"/>
      <c r="L164" s="144"/>
      <c r="M164" s="22" t="s">
        <v>6541</v>
      </c>
      <c r="N164" s="84" t="str">
        <f>HYPERLINK("#N"&amp;ROW(N165),"_x0005_`BDCOD|B05142_x0007_`POSS|"&amp;ROW(N165)&amp;"_x0007_`POSE|"&amp;ROW(N165)&amp;"_x0007_`")</f>
        <v>_x0005_`BDCOD|B05142_x0007_`POSS|165_x0007_`POSE|165_x0007_`</v>
      </c>
      <c r="O164" s="7" t="s">
        <v>6542</v>
      </c>
    </row>
    <row r="165" spans="1:26" ht="28.7" customHeight="1" x14ac:dyDescent="0.3">
      <c r="A165" s="10" t="s">
        <v>1686</v>
      </c>
      <c r="B165" s="10" t="s">
        <v>1697</v>
      </c>
      <c r="C165" s="75">
        <v>1</v>
      </c>
      <c r="D165" s="31" t="s">
        <v>14</v>
      </c>
      <c r="E165" s="55">
        <f>I165+G165+K165</f>
        <v>120257</v>
      </c>
      <c r="F165" s="76">
        <f>J165+H165+L165</f>
        <v>120257</v>
      </c>
      <c r="G165" s="78">
        <f>일위대가목록표!F662</f>
        <v>116755</v>
      </c>
      <c r="H165" s="80">
        <f>IF(C165=0,0,ROUNDDOWN(G165*C165,1))</f>
        <v>116755</v>
      </c>
      <c r="I165" s="78">
        <f>일위대가목록표!G662</f>
        <v>0</v>
      </c>
      <c r="J165" s="80">
        <f>IF(C165=0,0,ROUNDDOWN(I165*C165,1))</f>
        <v>0</v>
      </c>
      <c r="K165" s="78">
        <f>일위대가목록표!H662</f>
        <v>3502</v>
      </c>
      <c r="L165" s="80">
        <f>IF(C165=0,0,ROUNDDOWN(K165*C165,1))</f>
        <v>3502</v>
      </c>
      <c r="M165" s="22" t="s">
        <v>6545</v>
      </c>
      <c r="N165" s="17" t="s">
        <v>6543</v>
      </c>
      <c r="O165" s="7" t="s">
        <v>6544</v>
      </c>
      <c r="P165" s="7" t="s">
        <v>6406</v>
      </c>
      <c r="Z165" s="3" t="str">
        <f ca="1">HYPERLINK("#"&amp;일위대가목록표!J2&amp;"!A"&amp;ROW(일위대가목록표!A662),"대가659 →")</f>
        <v>대가659 →</v>
      </c>
    </row>
    <row r="166" spans="1:26" ht="28.7" customHeight="1" x14ac:dyDescent="0.3">
      <c r="A166" s="22" t="s">
        <v>6</v>
      </c>
      <c r="B166" s="74"/>
      <c r="C166" s="74"/>
      <c r="D166" s="74"/>
      <c r="E166" s="74"/>
      <c r="F166" s="48">
        <f>J166+H166+L166</f>
        <v>120257</v>
      </c>
      <c r="G166" s="74"/>
      <c r="H166" s="48">
        <f>ROUNDDOWN(SUMIF(P165:P165,O166,H165:H165),0)</f>
        <v>116755</v>
      </c>
      <c r="I166" s="74"/>
      <c r="J166" s="48">
        <f>ROUNDDOWN(SUMIF(P165:P165,O166,J165:J165),0)</f>
        <v>0</v>
      </c>
      <c r="K166" s="74"/>
      <c r="L166" s="48">
        <f>ROUNDDOWN(SUMIF(P165:P165,O166,L165:L165),0)</f>
        <v>3502</v>
      </c>
      <c r="M166" s="74"/>
      <c r="O166" s="7" t="s">
        <v>6406</v>
      </c>
    </row>
    <row r="167" spans="1:26" ht="28.7" customHeight="1" x14ac:dyDescent="0.3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</row>
    <row r="168" spans="1:26" ht="28.7" customHeight="1" x14ac:dyDescent="0.3">
      <c r="A168" s="136" t="s">
        <v>101</v>
      </c>
      <c r="B168" s="127"/>
      <c r="C168" s="127"/>
      <c r="D168" s="127"/>
      <c r="E168" s="127"/>
      <c r="F168" s="127"/>
      <c r="G168" s="127"/>
      <c r="H168" s="127"/>
      <c r="I168" s="127"/>
      <c r="J168" s="127"/>
      <c r="K168" s="127"/>
      <c r="L168" s="144"/>
      <c r="M168" s="22" t="s">
        <v>6546</v>
      </c>
      <c r="N168" s="84" t="str">
        <f>HYPERLINK("#N"&amp;ROW(N169),"_x0005_`BDCOD|B05143_x0007_`POSS|"&amp;ROW(N169)&amp;"_x0007_`POSE|"&amp;ROW(N169)&amp;"_x0007_`")</f>
        <v>_x0005_`BDCOD|B05143_x0007_`POSS|169_x0007_`POSE|169_x0007_`</v>
      </c>
      <c r="O168" s="7" t="s">
        <v>6547</v>
      </c>
    </row>
    <row r="169" spans="1:26" ht="28.7" customHeight="1" x14ac:dyDescent="0.3">
      <c r="A169" s="10" t="s">
        <v>1686</v>
      </c>
      <c r="B169" s="10" t="s">
        <v>1706</v>
      </c>
      <c r="C169" s="75">
        <v>1</v>
      </c>
      <c r="D169" s="31" t="s">
        <v>14</v>
      </c>
      <c r="E169" s="55">
        <f>I169+G169+K169</f>
        <v>138099</v>
      </c>
      <c r="F169" s="76">
        <f>J169+H169+L169</f>
        <v>138099</v>
      </c>
      <c r="G169" s="78">
        <f>일위대가목록표!F665</f>
        <v>134077</v>
      </c>
      <c r="H169" s="80">
        <f>IF(C169=0,0,ROUNDDOWN(G169*C169,1))</f>
        <v>134077</v>
      </c>
      <c r="I169" s="78">
        <f>일위대가목록표!G665</f>
        <v>0</v>
      </c>
      <c r="J169" s="80">
        <f>IF(C169=0,0,ROUNDDOWN(I169*C169,1))</f>
        <v>0</v>
      </c>
      <c r="K169" s="78">
        <f>일위대가목록표!H665</f>
        <v>4022</v>
      </c>
      <c r="L169" s="80">
        <f>IF(C169=0,0,ROUNDDOWN(K169*C169,1))</f>
        <v>4022</v>
      </c>
      <c r="M169" s="22" t="s">
        <v>6550</v>
      </c>
      <c r="N169" s="17" t="s">
        <v>6548</v>
      </c>
      <c r="O169" s="7" t="s">
        <v>6549</v>
      </c>
      <c r="P169" s="7" t="s">
        <v>6406</v>
      </c>
      <c r="Z169" s="3" t="str">
        <f ca="1">HYPERLINK("#"&amp;일위대가목록표!J2&amp;"!A"&amp;ROW(일위대가목록표!A665),"대가662 →")</f>
        <v>대가662 →</v>
      </c>
    </row>
    <row r="170" spans="1:26" ht="28.7" customHeight="1" x14ac:dyDescent="0.3">
      <c r="A170" s="22" t="s">
        <v>6</v>
      </c>
      <c r="B170" s="74"/>
      <c r="C170" s="74"/>
      <c r="D170" s="74"/>
      <c r="E170" s="74"/>
      <c r="F170" s="48">
        <f>J170+H170+L170</f>
        <v>138099</v>
      </c>
      <c r="G170" s="74"/>
      <c r="H170" s="48">
        <f>ROUNDDOWN(SUMIF(P169:P169,O170,H169:H169),0)</f>
        <v>134077</v>
      </c>
      <c r="I170" s="74"/>
      <c r="J170" s="48">
        <f>ROUNDDOWN(SUMIF(P169:P169,O170,J169:J169),0)</f>
        <v>0</v>
      </c>
      <c r="K170" s="74"/>
      <c r="L170" s="48">
        <f>ROUNDDOWN(SUMIF(P169:P169,O170,L169:L169),0)</f>
        <v>4022</v>
      </c>
      <c r="M170" s="74"/>
      <c r="O170" s="7" t="s">
        <v>6406</v>
      </c>
    </row>
    <row r="171" spans="1:26" ht="28.7" customHeight="1" x14ac:dyDescent="0.3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</row>
    <row r="172" spans="1:26" ht="28.7" customHeight="1" x14ac:dyDescent="0.3">
      <c r="A172" s="136" t="s">
        <v>103</v>
      </c>
      <c r="B172" s="127"/>
      <c r="C172" s="127"/>
      <c r="D172" s="127"/>
      <c r="E172" s="127"/>
      <c r="F172" s="127"/>
      <c r="G172" s="127"/>
      <c r="H172" s="127"/>
      <c r="I172" s="127"/>
      <c r="J172" s="127"/>
      <c r="K172" s="127"/>
      <c r="L172" s="144"/>
      <c r="M172" s="22" t="s">
        <v>6551</v>
      </c>
      <c r="N172" s="84" t="str">
        <f>HYPERLINK("#N"&amp;ROW(N173),"_x0005_`BDCOD|B05144_x0007_`POSS|"&amp;ROW(N173)&amp;"_x0007_`POSE|"&amp;ROW(N173)&amp;"_x0007_`")</f>
        <v>_x0005_`BDCOD|B05144_x0007_`POSS|173_x0007_`POSE|173_x0007_`</v>
      </c>
      <c r="O172" s="7" t="s">
        <v>6552</v>
      </c>
    </row>
    <row r="173" spans="1:26" ht="28.7" customHeight="1" x14ac:dyDescent="0.3">
      <c r="A173" s="10" t="s">
        <v>1686</v>
      </c>
      <c r="B173" s="10" t="s">
        <v>1715</v>
      </c>
      <c r="C173" s="75">
        <v>1</v>
      </c>
      <c r="D173" s="31" t="s">
        <v>14</v>
      </c>
      <c r="E173" s="55">
        <f>I173+G173+K173</f>
        <v>166390</v>
      </c>
      <c r="F173" s="76">
        <f>J173+H173+L173</f>
        <v>166390</v>
      </c>
      <c r="G173" s="78">
        <f>일위대가목록표!F668</f>
        <v>161544</v>
      </c>
      <c r="H173" s="80">
        <f>IF(C173=0,0,ROUNDDOWN(G173*C173,1))</f>
        <v>161544</v>
      </c>
      <c r="I173" s="78">
        <f>일위대가목록표!G668</f>
        <v>0</v>
      </c>
      <c r="J173" s="80">
        <f>IF(C173=0,0,ROUNDDOWN(I173*C173,1))</f>
        <v>0</v>
      </c>
      <c r="K173" s="78">
        <f>일위대가목록표!H668</f>
        <v>4846</v>
      </c>
      <c r="L173" s="80">
        <f>IF(C173=0,0,ROUNDDOWN(K173*C173,1))</f>
        <v>4846</v>
      </c>
      <c r="M173" s="22" t="s">
        <v>6555</v>
      </c>
      <c r="N173" s="17" t="s">
        <v>6553</v>
      </c>
      <c r="O173" s="7" t="s">
        <v>6554</v>
      </c>
      <c r="P173" s="7" t="s">
        <v>6406</v>
      </c>
      <c r="Z173" s="3" t="str">
        <f ca="1">HYPERLINK("#"&amp;일위대가목록표!J2&amp;"!A"&amp;ROW(일위대가목록표!A668),"대가665 →")</f>
        <v>대가665 →</v>
      </c>
    </row>
    <row r="174" spans="1:26" ht="28.7" customHeight="1" x14ac:dyDescent="0.3">
      <c r="A174" s="22" t="s">
        <v>6</v>
      </c>
      <c r="B174" s="74"/>
      <c r="C174" s="74"/>
      <c r="D174" s="74"/>
      <c r="E174" s="74"/>
      <c r="F174" s="48">
        <f>J174+H174+L174</f>
        <v>166390</v>
      </c>
      <c r="G174" s="74"/>
      <c r="H174" s="48">
        <f>ROUNDDOWN(SUMIF(P173:P173,O174,H173:H173),0)</f>
        <v>161544</v>
      </c>
      <c r="I174" s="74"/>
      <c r="J174" s="48">
        <f>ROUNDDOWN(SUMIF(P173:P173,O174,J173:J173),0)</f>
        <v>0</v>
      </c>
      <c r="K174" s="74"/>
      <c r="L174" s="48">
        <f>ROUNDDOWN(SUMIF(P173:P173,O174,L173:L173),0)</f>
        <v>4846</v>
      </c>
      <c r="M174" s="74"/>
      <c r="O174" s="7" t="s">
        <v>6406</v>
      </c>
    </row>
    <row r="175" spans="1:26" ht="28.7" customHeight="1" x14ac:dyDescent="0.3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</row>
    <row r="176" spans="1:26" ht="28.7" customHeight="1" x14ac:dyDescent="0.3">
      <c r="A176" s="136" t="s">
        <v>105</v>
      </c>
      <c r="B176" s="127"/>
      <c r="C176" s="127"/>
      <c r="D176" s="127"/>
      <c r="E176" s="127"/>
      <c r="F176" s="127"/>
      <c r="G176" s="127"/>
      <c r="H176" s="127"/>
      <c r="I176" s="127"/>
      <c r="J176" s="127"/>
      <c r="K176" s="127"/>
      <c r="L176" s="144"/>
      <c r="M176" s="22" t="s">
        <v>6556</v>
      </c>
      <c r="N176" s="84" t="str">
        <f>HYPERLINK("#N"&amp;ROW(N177),"_x0005_`BDCOD|B05145_x0007_`POSS|"&amp;ROW(N177)&amp;"_x0007_`POSE|"&amp;ROW(N177)&amp;"_x0007_`")</f>
        <v>_x0005_`BDCOD|B05145_x0007_`POSS|177_x0007_`POSE|177_x0007_`</v>
      </c>
      <c r="O176" s="7" t="s">
        <v>6557</v>
      </c>
    </row>
    <row r="177" spans="1:26" ht="28.7" customHeight="1" x14ac:dyDescent="0.3">
      <c r="A177" s="10" t="s">
        <v>1686</v>
      </c>
      <c r="B177" s="10" t="s">
        <v>1724</v>
      </c>
      <c r="C177" s="75">
        <v>1</v>
      </c>
      <c r="D177" s="31" t="s">
        <v>14</v>
      </c>
      <c r="E177" s="55">
        <f>I177+G177+K177</f>
        <v>209936</v>
      </c>
      <c r="F177" s="76">
        <f>J177+H177+L177</f>
        <v>209936</v>
      </c>
      <c r="G177" s="78">
        <f>일위대가목록표!F671</f>
        <v>203822</v>
      </c>
      <c r="H177" s="80">
        <f>IF(C177=0,0,ROUNDDOWN(G177*C177,1))</f>
        <v>203822</v>
      </c>
      <c r="I177" s="78">
        <f>일위대가목록표!G671</f>
        <v>0</v>
      </c>
      <c r="J177" s="80">
        <f>IF(C177=0,0,ROUNDDOWN(I177*C177,1))</f>
        <v>0</v>
      </c>
      <c r="K177" s="78">
        <f>일위대가목록표!H671</f>
        <v>6114</v>
      </c>
      <c r="L177" s="80">
        <f>IF(C177=0,0,ROUNDDOWN(K177*C177,1))</f>
        <v>6114</v>
      </c>
      <c r="M177" s="22" t="s">
        <v>6560</v>
      </c>
      <c r="N177" s="17" t="s">
        <v>6558</v>
      </c>
      <c r="O177" s="7" t="s">
        <v>6559</v>
      </c>
      <c r="P177" s="7" t="s">
        <v>6406</v>
      </c>
      <c r="Z177" s="3" t="str">
        <f ca="1">HYPERLINK("#"&amp;일위대가목록표!J2&amp;"!A"&amp;ROW(일위대가목록표!A671),"대가668 →")</f>
        <v>대가668 →</v>
      </c>
    </row>
    <row r="178" spans="1:26" ht="28.7" customHeight="1" x14ac:dyDescent="0.3">
      <c r="A178" s="22" t="s">
        <v>6</v>
      </c>
      <c r="B178" s="74"/>
      <c r="C178" s="74"/>
      <c r="D178" s="74"/>
      <c r="E178" s="74"/>
      <c r="F178" s="48">
        <f>J178+H178+L178</f>
        <v>209936</v>
      </c>
      <c r="G178" s="74"/>
      <c r="H178" s="48">
        <f>ROUNDDOWN(SUMIF(P177:P177,O178,H177:H177),0)</f>
        <v>203822</v>
      </c>
      <c r="I178" s="74"/>
      <c r="J178" s="48">
        <f>ROUNDDOWN(SUMIF(P177:P177,O178,J177:J177),0)</f>
        <v>0</v>
      </c>
      <c r="K178" s="74"/>
      <c r="L178" s="48">
        <f>ROUNDDOWN(SUMIF(P177:P177,O178,L177:L177),0)</f>
        <v>6114</v>
      </c>
      <c r="M178" s="74"/>
      <c r="O178" s="7" t="s">
        <v>6406</v>
      </c>
    </row>
    <row r="179" spans="1:26" ht="28.7" customHeight="1" x14ac:dyDescent="0.3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</row>
    <row r="180" spans="1:26" ht="28.7" customHeight="1" x14ac:dyDescent="0.3">
      <c r="A180" s="136" t="s">
        <v>107</v>
      </c>
      <c r="B180" s="127"/>
      <c r="C180" s="127"/>
      <c r="D180" s="127"/>
      <c r="E180" s="127"/>
      <c r="F180" s="127"/>
      <c r="G180" s="127"/>
      <c r="H180" s="127"/>
      <c r="I180" s="127"/>
      <c r="J180" s="127"/>
      <c r="K180" s="127"/>
      <c r="L180" s="144"/>
      <c r="M180" s="22" t="s">
        <v>6561</v>
      </c>
      <c r="N180" s="84" t="str">
        <f>HYPERLINK("#N"&amp;ROW(N181),"_x0005_`BDCOD|B05146_x0007_`POSS|"&amp;ROW(N181)&amp;"_x0007_`POSE|"&amp;ROW(N181)&amp;"_x0007_`")</f>
        <v>_x0005_`BDCOD|B05146_x0007_`POSS|181_x0007_`POSE|181_x0007_`</v>
      </c>
      <c r="O180" s="7" t="s">
        <v>6562</v>
      </c>
    </row>
    <row r="181" spans="1:26" ht="28.7" customHeight="1" x14ac:dyDescent="0.3">
      <c r="A181" s="10" t="s">
        <v>1686</v>
      </c>
      <c r="B181" s="10" t="s">
        <v>1733</v>
      </c>
      <c r="C181" s="75">
        <v>1</v>
      </c>
      <c r="D181" s="31" t="s">
        <v>14</v>
      </c>
      <c r="E181" s="55">
        <f>I181+G181+K181</f>
        <v>263831</v>
      </c>
      <c r="F181" s="76">
        <f>J181+H181+L181</f>
        <v>263831</v>
      </c>
      <c r="G181" s="78">
        <f>일위대가목록표!F674</f>
        <v>256147</v>
      </c>
      <c r="H181" s="80">
        <f>IF(C181=0,0,ROUNDDOWN(G181*C181,1))</f>
        <v>256147</v>
      </c>
      <c r="I181" s="78">
        <f>일위대가목록표!G674</f>
        <v>0</v>
      </c>
      <c r="J181" s="80">
        <f>IF(C181=0,0,ROUNDDOWN(I181*C181,1))</f>
        <v>0</v>
      </c>
      <c r="K181" s="78">
        <f>일위대가목록표!H674</f>
        <v>7684</v>
      </c>
      <c r="L181" s="80">
        <f>IF(C181=0,0,ROUNDDOWN(K181*C181,1))</f>
        <v>7684</v>
      </c>
      <c r="M181" s="22" t="s">
        <v>6565</v>
      </c>
      <c r="N181" s="17" t="s">
        <v>6563</v>
      </c>
      <c r="O181" s="7" t="s">
        <v>6564</v>
      </c>
      <c r="P181" s="7" t="s">
        <v>6406</v>
      </c>
      <c r="Z181" s="3" t="str">
        <f ca="1">HYPERLINK("#"&amp;일위대가목록표!J2&amp;"!A"&amp;ROW(일위대가목록표!A674),"대가671 →")</f>
        <v>대가671 →</v>
      </c>
    </row>
    <row r="182" spans="1:26" ht="28.7" customHeight="1" x14ac:dyDescent="0.3">
      <c r="A182" s="22" t="s">
        <v>6</v>
      </c>
      <c r="B182" s="74"/>
      <c r="C182" s="74"/>
      <c r="D182" s="74"/>
      <c r="E182" s="74"/>
      <c r="F182" s="48">
        <f>J182+H182+L182</f>
        <v>263831</v>
      </c>
      <c r="G182" s="74"/>
      <c r="H182" s="48">
        <f>ROUNDDOWN(SUMIF(P181:P181,O182,H181:H181),0)</f>
        <v>256147</v>
      </c>
      <c r="I182" s="74"/>
      <c r="J182" s="48">
        <f>ROUNDDOWN(SUMIF(P181:P181,O182,J181:J181),0)</f>
        <v>0</v>
      </c>
      <c r="K182" s="74"/>
      <c r="L182" s="48">
        <f>ROUNDDOWN(SUMIF(P181:P181,O182,L181:L181),0)</f>
        <v>7684</v>
      </c>
      <c r="M182" s="74"/>
      <c r="O182" s="7" t="s">
        <v>6406</v>
      </c>
    </row>
    <row r="183" spans="1:26" ht="28.7" customHeight="1" x14ac:dyDescent="0.3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</row>
    <row r="184" spans="1:26" ht="28.7" customHeight="1" x14ac:dyDescent="0.3">
      <c r="A184" s="136" t="s">
        <v>109</v>
      </c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44"/>
      <c r="M184" s="22" t="s">
        <v>6566</v>
      </c>
      <c r="N184" s="84" t="str">
        <f>HYPERLINK("#N"&amp;ROW(N185),"_x0005_`BDCOD|B05147_x0007_`POSS|"&amp;ROW(N185)&amp;"_x0007_`POSE|"&amp;ROW(N185)&amp;"_x0007_`")</f>
        <v>_x0005_`BDCOD|B05147_x0007_`POSS|185_x0007_`POSE|185_x0007_`</v>
      </c>
      <c r="O184" s="7" t="s">
        <v>6567</v>
      </c>
    </row>
    <row r="185" spans="1:26" ht="28.7" customHeight="1" x14ac:dyDescent="0.3">
      <c r="A185" s="10" t="s">
        <v>1686</v>
      </c>
      <c r="B185" s="10" t="s">
        <v>1742</v>
      </c>
      <c r="C185" s="75">
        <v>1</v>
      </c>
      <c r="D185" s="31" t="s">
        <v>14</v>
      </c>
      <c r="E185" s="55">
        <f>I185+G185+K185</f>
        <v>280095</v>
      </c>
      <c r="F185" s="76">
        <f>J185+H185+L185</f>
        <v>280095</v>
      </c>
      <c r="G185" s="78">
        <f>일위대가목록표!F677</f>
        <v>271937</v>
      </c>
      <c r="H185" s="80">
        <f>IF(C185=0,0,ROUNDDOWN(G185*C185,1))</f>
        <v>271937</v>
      </c>
      <c r="I185" s="78">
        <f>일위대가목록표!G677</f>
        <v>0</v>
      </c>
      <c r="J185" s="80">
        <f>IF(C185=0,0,ROUNDDOWN(I185*C185,1))</f>
        <v>0</v>
      </c>
      <c r="K185" s="78">
        <f>일위대가목록표!H677</f>
        <v>8158</v>
      </c>
      <c r="L185" s="80">
        <f>IF(C185=0,0,ROUNDDOWN(K185*C185,1))</f>
        <v>8158</v>
      </c>
      <c r="M185" s="22" t="s">
        <v>6570</v>
      </c>
      <c r="N185" s="17" t="s">
        <v>6568</v>
      </c>
      <c r="O185" s="7" t="s">
        <v>6569</v>
      </c>
      <c r="P185" s="7" t="s">
        <v>6406</v>
      </c>
      <c r="Z185" s="3" t="str">
        <f ca="1">HYPERLINK("#"&amp;일위대가목록표!J2&amp;"!A"&amp;ROW(일위대가목록표!A677),"대가674 →")</f>
        <v>대가674 →</v>
      </c>
    </row>
    <row r="186" spans="1:26" ht="28.7" customHeight="1" x14ac:dyDescent="0.3">
      <c r="A186" s="22" t="s">
        <v>6</v>
      </c>
      <c r="B186" s="74"/>
      <c r="C186" s="74"/>
      <c r="D186" s="74"/>
      <c r="E186" s="74"/>
      <c r="F186" s="48">
        <f>J186+H186+L186</f>
        <v>280095</v>
      </c>
      <c r="G186" s="74"/>
      <c r="H186" s="48">
        <f>ROUNDDOWN(SUMIF(P185:P185,O186,H185:H185),0)</f>
        <v>271937</v>
      </c>
      <c r="I186" s="74"/>
      <c r="J186" s="48">
        <f>ROUNDDOWN(SUMIF(P185:P185,O186,J185:J185),0)</f>
        <v>0</v>
      </c>
      <c r="K186" s="74"/>
      <c r="L186" s="48">
        <f>ROUNDDOWN(SUMIF(P185:P185,O186,L185:L185),0)</f>
        <v>8158</v>
      </c>
      <c r="M186" s="74"/>
      <c r="O186" s="7" t="s">
        <v>6406</v>
      </c>
    </row>
    <row r="187" spans="1:26" ht="28.7" customHeight="1" x14ac:dyDescent="0.3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</row>
    <row r="188" spans="1:26" ht="28.7" customHeight="1" x14ac:dyDescent="0.3">
      <c r="A188" s="136" t="s">
        <v>111</v>
      </c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  <c r="L188" s="144"/>
      <c r="M188" s="22" t="s">
        <v>6571</v>
      </c>
      <c r="N188" s="84" t="str">
        <f>HYPERLINK("#N"&amp;ROW(N189),"_x0005_`BDCOD|B05148_x0007_`POSS|"&amp;ROW(N189)&amp;"_x0007_`POSE|"&amp;ROW(N189)&amp;"_x0007_`")</f>
        <v>_x0005_`BDCOD|B05148_x0007_`POSS|189_x0007_`POSE|189_x0007_`</v>
      </c>
      <c r="O188" s="7" t="s">
        <v>6572</v>
      </c>
    </row>
    <row r="189" spans="1:26" ht="28.7" customHeight="1" x14ac:dyDescent="0.3">
      <c r="A189" s="10" t="s">
        <v>1686</v>
      </c>
      <c r="B189" s="10" t="s">
        <v>1751</v>
      </c>
      <c r="C189" s="75">
        <v>1</v>
      </c>
      <c r="D189" s="31" t="s">
        <v>14</v>
      </c>
      <c r="E189" s="55">
        <f>I189+G189+K189</f>
        <v>452499</v>
      </c>
      <c r="F189" s="76">
        <f>J189+H189+L189</f>
        <v>452499</v>
      </c>
      <c r="G189" s="78">
        <f>일위대가목록표!F680</f>
        <v>439320</v>
      </c>
      <c r="H189" s="80">
        <f>IF(C189=0,0,ROUNDDOWN(G189*C189,1))</f>
        <v>439320</v>
      </c>
      <c r="I189" s="78">
        <f>일위대가목록표!G680</f>
        <v>0</v>
      </c>
      <c r="J189" s="80">
        <f>IF(C189=0,0,ROUNDDOWN(I189*C189,1))</f>
        <v>0</v>
      </c>
      <c r="K189" s="78">
        <f>일위대가목록표!H680</f>
        <v>13179</v>
      </c>
      <c r="L189" s="80">
        <f>IF(C189=0,0,ROUNDDOWN(K189*C189,1))</f>
        <v>13179</v>
      </c>
      <c r="M189" s="22" t="s">
        <v>6575</v>
      </c>
      <c r="N189" s="17" t="s">
        <v>6573</v>
      </c>
      <c r="O189" s="7" t="s">
        <v>6574</v>
      </c>
      <c r="P189" s="7" t="s">
        <v>6406</v>
      </c>
      <c r="Z189" s="3" t="str">
        <f ca="1">HYPERLINK("#"&amp;일위대가목록표!J2&amp;"!A"&amp;ROW(일위대가목록표!A680),"대가677 →")</f>
        <v>대가677 →</v>
      </c>
    </row>
    <row r="190" spans="1:26" ht="28.7" customHeight="1" x14ac:dyDescent="0.3">
      <c r="A190" s="22" t="s">
        <v>6</v>
      </c>
      <c r="B190" s="74"/>
      <c r="C190" s="74"/>
      <c r="D190" s="74"/>
      <c r="E190" s="74"/>
      <c r="F190" s="48">
        <f>J190+H190+L190</f>
        <v>452499</v>
      </c>
      <c r="G190" s="74"/>
      <c r="H190" s="48">
        <f>ROUNDDOWN(SUMIF(P189:P189,O190,H189:H189),0)</f>
        <v>439320</v>
      </c>
      <c r="I190" s="74"/>
      <c r="J190" s="48">
        <f>ROUNDDOWN(SUMIF(P189:P189,O190,J189:J189),0)</f>
        <v>0</v>
      </c>
      <c r="K190" s="74"/>
      <c r="L190" s="48">
        <f>ROUNDDOWN(SUMIF(P189:P189,O190,L189:L189),0)</f>
        <v>13179</v>
      </c>
      <c r="M190" s="74"/>
      <c r="O190" s="7" t="s">
        <v>6406</v>
      </c>
    </row>
    <row r="191" spans="1:26" ht="28.7" customHeight="1" x14ac:dyDescent="0.3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</row>
    <row r="192" spans="1:26" ht="28.7" customHeight="1" x14ac:dyDescent="0.3">
      <c r="A192" s="136" t="s">
        <v>113</v>
      </c>
      <c r="B192" s="127"/>
      <c r="C192" s="127"/>
      <c r="D192" s="127"/>
      <c r="E192" s="127"/>
      <c r="F192" s="127"/>
      <c r="G192" s="127"/>
      <c r="H192" s="127"/>
      <c r="I192" s="127"/>
      <c r="J192" s="127"/>
      <c r="K192" s="127"/>
      <c r="L192" s="144"/>
      <c r="M192" s="22" t="s">
        <v>6576</v>
      </c>
      <c r="N192" s="84" t="str">
        <f>HYPERLINK("#N"&amp;ROW(N193),"_x0005_`BDCOD|B05149_x0007_`POSS|"&amp;ROW(N193)&amp;"_x0007_`POSE|"&amp;ROW(N193)&amp;"_x0007_`")</f>
        <v>_x0005_`BDCOD|B05149_x0007_`POSS|193_x0007_`POSE|193_x0007_`</v>
      </c>
      <c r="O192" s="7" t="s">
        <v>6577</v>
      </c>
    </row>
    <row r="193" spans="1:26" ht="28.7" customHeight="1" x14ac:dyDescent="0.3">
      <c r="A193" s="10" t="s">
        <v>1686</v>
      </c>
      <c r="B193" s="10" t="s">
        <v>1760</v>
      </c>
      <c r="C193" s="75">
        <v>1</v>
      </c>
      <c r="D193" s="31" t="s">
        <v>14</v>
      </c>
      <c r="E193" s="55">
        <f>I193+G193+K193</f>
        <v>584244</v>
      </c>
      <c r="F193" s="76">
        <f>J193+H193+L193</f>
        <v>584244</v>
      </c>
      <c r="G193" s="78">
        <f>일위대가목록표!F683</f>
        <v>567228</v>
      </c>
      <c r="H193" s="80">
        <f>IF(C193=0,0,ROUNDDOWN(G193*C193,1))</f>
        <v>567228</v>
      </c>
      <c r="I193" s="78">
        <f>일위대가목록표!G683</f>
        <v>0</v>
      </c>
      <c r="J193" s="80">
        <f>IF(C193=0,0,ROUNDDOWN(I193*C193,1))</f>
        <v>0</v>
      </c>
      <c r="K193" s="78">
        <f>일위대가목록표!H683</f>
        <v>17016</v>
      </c>
      <c r="L193" s="80">
        <f>IF(C193=0,0,ROUNDDOWN(K193*C193,1))</f>
        <v>17016</v>
      </c>
      <c r="M193" s="22" t="s">
        <v>6580</v>
      </c>
      <c r="N193" s="17" t="s">
        <v>6578</v>
      </c>
      <c r="O193" s="7" t="s">
        <v>6579</v>
      </c>
      <c r="P193" s="7" t="s">
        <v>6406</v>
      </c>
      <c r="Z193" s="3" t="str">
        <f ca="1">HYPERLINK("#"&amp;일위대가목록표!J2&amp;"!A"&amp;ROW(일위대가목록표!A683),"대가680 →")</f>
        <v>대가680 →</v>
      </c>
    </row>
    <row r="194" spans="1:26" ht="28.7" customHeight="1" x14ac:dyDescent="0.3">
      <c r="A194" s="22" t="s">
        <v>6</v>
      </c>
      <c r="B194" s="74"/>
      <c r="C194" s="74"/>
      <c r="D194" s="74"/>
      <c r="E194" s="74"/>
      <c r="F194" s="48">
        <f>J194+H194+L194</f>
        <v>584244</v>
      </c>
      <c r="G194" s="74"/>
      <c r="H194" s="48">
        <f>ROUNDDOWN(SUMIF(P193:P193,O194,H193:H193),0)</f>
        <v>567228</v>
      </c>
      <c r="I194" s="74"/>
      <c r="J194" s="48">
        <f>ROUNDDOWN(SUMIF(P193:P193,O194,J193:J193),0)</f>
        <v>0</v>
      </c>
      <c r="K194" s="74"/>
      <c r="L194" s="48">
        <f>ROUNDDOWN(SUMIF(P193:P193,O194,L193:L193),0)</f>
        <v>17016</v>
      </c>
      <c r="M194" s="74"/>
      <c r="O194" s="7" t="s">
        <v>6406</v>
      </c>
    </row>
    <row r="195" spans="1:26" ht="28.7" customHeight="1" x14ac:dyDescent="0.3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</row>
    <row r="196" spans="1:26" ht="28.7" customHeight="1" x14ac:dyDescent="0.3">
      <c r="A196" s="136" t="s">
        <v>115</v>
      </c>
      <c r="B196" s="127"/>
      <c r="C196" s="127"/>
      <c r="D196" s="127"/>
      <c r="E196" s="127"/>
      <c r="F196" s="127"/>
      <c r="G196" s="127"/>
      <c r="H196" s="127"/>
      <c r="I196" s="127"/>
      <c r="J196" s="127"/>
      <c r="K196" s="127"/>
      <c r="L196" s="144"/>
      <c r="M196" s="22" t="s">
        <v>6581</v>
      </c>
      <c r="N196" s="84" t="str">
        <f>HYPERLINK("#N"&amp;ROW(N197),"_x0005_`BDCOD|B05150_x0007_`POSS|"&amp;ROW(N197)&amp;"_x0007_`POSE|"&amp;ROW(N197)&amp;"_x0007_`")</f>
        <v>_x0005_`BDCOD|B05150_x0007_`POSS|197_x0007_`POSE|197_x0007_`</v>
      </c>
      <c r="O196" s="7" t="s">
        <v>6582</v>
      </c>
    </row>
    <row r="197" spans="1:26" ht="28.7" customHeight="1" x14ac:dyDescent="0.3">
      <c r="A197" s="10" t="s">
        <v>1686</v>
      </c>
      <c r="B197" s="10" t="s">
        <v>1769</v>
      </c>
      <c r="C197" s="75">
        <v>1</v>
      </c>
      <c r="D197" s="31" t="s">
        <v>14</v>
      </c>
      <c r="E197" s="55">
        <f>I197+G197+K197</f>
        <v>939944</v>
      </c>
      <c r="F197" s="76">
        <f>J197+H197+L197</f>
        <v>939944</v>
      </c>
      <c r="G197" s="78">
        <f>일위대가목록표!F686</f>
        <v>912568</v>
      </c>
      <c r="H197" s="80">
        <f>IF(C197=0,0,ROUNDDOWN(G197*C197,1))</f>
        <v>912568</v>
      </c>
      <c r="I197" s="78">
        <f>일위대가목록표!G686</f>
        <v>0</v>
      </c>
      <c r="J197" s="80">
        <f>IF(C197=0,0,ROUNDDOWN(I197*C197,1))</f>
        <v>0</v>
      </c>
      <c r="K197" s="78">
        <f>일위대가목록표!H686</f>
        <v>27376</v>
      </c>
      <c r="L197" s="80">
        <f>IF(C197=0,0,ROUNDDOWN(K197*C197,1))</f>
        <v>27376</v>
      </c>
      <c r="M197" s="22" t="s">
        <v>6585</v>
      </c>
      <c r="N197" s="17" t="s">
        <v>6583</v>
      </c>
      <c r="O197" s="7" t="s">
        <v>6584</v>
      </c>
      <c r="P197" s="7" t="s">
        <v>6406</v>
      </c>
      <c r="Z197" s="3" t="str">
        <f ca="1">HYPERLINK("#"&amp;일위대가목록표!J2&amp;"!A"&amp;ROW(일위대가목록표!A686),"대가683 →")</f>
        <v>대가683 →</v>
      </c>
    </row>
    <row r="198" spans="1:26" ht="28.7" customHeight="1" x14ac:dyDescent="0.3">
      <c r="A198" s="22" t="s">
        <v>6</v>
      </c>
      <c r="B198" s="74"/>
      <c r="C198" s="74"/>
      <c r="D198" s="74"/>
      <c r="E198" s="74"/>
      <c r="F198" s="48">
        <f>J198+H198+L198</f>
        <v>939944</v>
      </c>
      <c r="G198" s="74"/>
      <c r="H198" s="48">
        <f>ROUNDDOWN(SUMIF(P197:P197,O198,H197:H197),0)</f>
        <v>912568</v>
      </c>
      <c r="I198" s="74"/>
      <c r="J198" s="48">
        <f>ROUNDDOWN(SUMIF(P197:P197,O198,J197:J197),0)</f>
        <v>0</v>
      </c>
      <c r="K198" s="74"/>
      <c r="L198" s="48">
        <f>ROUNDDOWN(SUMIF(P197:P197,O198,L197:L197),0)</f>
        <v>27376</v>
      </c>
      <c r="M198" s="74"/>
      <c r="O198" s="7" t="s">
        <v>6406</v>
      </c>
    </row>
    <row r="199" spans="1:26" ht="28.7" customHeight="1" x14ac:dyDescent="0.3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</row>
    <row r="200" spans="1:26" ht="28.7" customHeight="1" x14ac:dyDescent="0.3">
      <c r="A200" s="136" t="s">
        <v>117</v>
      </c>
      <c r="B200" s="127"/>
      <c r="C200" s="127"/>
      <c r="D200" s="127"/>
      <c r="E200" s="127"/>
      <c r="F200" s="127"/>
      <c r="G200" s="127"/>
      <c r="H200" s="127"/>
      <c r="I200" s="127"/>
      <c r="J200" s="127"/>
      <c r="K200" s="127"/>
      <c r="L200" s="144"/>
      <c r="M200" s="22" t="s">
        <v>6586</v>
      </c>
      <c r="N200" s="84" t="str">
        <f>HYPERLINK("#N"&amp;ROW(N201),"_x0005_`BDCOD|B05151_x0007_`POSS|"&amp;ROW(N201)&amp;"_x0007_`POSE|"&amp;ROW(N201)&amp;"_x0007_`")</f>
        <v>_x0005_`BDCOD|B05151_x0007_`POSS|201_x0007_`POSE|201_x0007_`</v>
      </c>
      <c r="O200" s="7" t="s">
        <v>6587</v>
      </c>
    </row>
    <row r="201" spans="1:26" ht="28.7" customHeight="1" x14ac:dyDescent="0.3">
      <c r="A201" s="10" t="s">
        <v>1686</v>
      </c>
      <c r="B201" s="10" t="s">
        <v>1769</v>
      </c>
      <c r="C201" s="75">
        <v>1</v>
      </c>
      <c r="D201" s="31" t="s">
        <v>14</v>
      </c>
      <c r="E201" s="55">
        <f>I201+G201+K201</f>
        <v>939944</v>
      </c>
      <c r="F201" s="76">
        <f>J201+H201+L201</f>
        <v>939944</v>
      </c>
      <c r="G201" s="78">
        <f>일위대가목록표!F686</f>
        <v>912568</v>
      </c>
      <c r="H201" s="80">
        <f>IF(C201=0,0,ROUNDDOWN(G201*C201,1))</f>
        <v>912568</v>
      </c>
      <c r="I201" s="78">
        <f>일위대가목록표!G686</f>
        <v>0</v>
      </c>
      <c r="J201" s="80">
        <f>IF(C201=0,0,ROUNDDOWN(I201*C201,1))</f>
        <v>0</v>
      </c>
      <c r="K201" s="78">
        <f>일위대가목록표!H686</f>
        <v>27376</v>
      </c>
      <c r="L201" s="80">
        <f>IF(C201=0,0,ROUNDDOWN(K201*C201,1))</f>
        <v>27376</v>
      </c>
      <c r="M201" s="22" t="s">
        <v>6585</v>
      </c>
      <c r="N201" s="17" t="s">
        <v>6583</v>
      </c>
      <c r="O201" s="7" t="s">
        <v>6584</v>
      </c>
      <c r="P201" s="7" t="s">
        <v>6406</v>
      </c>
      <c r="Z201" s="3" t="str">
        <f ca="1">HYPERLINK("#"&amp;일위대가목록표!J2&amp;"!A"&amp;ROW(일위대가목록표!A686),"대가683 →")</f>
        <v>대가683 →</v>
      </c>
    </row>
    <row r="202" spans="1:26" ht="28.7" customHeight="1" x14ac:dyDescent="0.3">
      <c r="A202" s="22" t="s">
        <v>6</v>
      </c>
      <c r="B202" s="74"/>
      <c r="C202" s="74"/>
      <c r="D202" s="74"/>
      <c r="E202" s="74"/>
      <c r="F202" s="48">
        <f>J202+H202+L202</f>
        <v>939944</v>
      </c>
      <c r="G202" s="74"/>
      <c r="H202" s="48">
        <f>ROUNDDOWN(SUMIF(P201:P201,O202,H201:H201),0)</f>
        <v>912568</v>
      </c>
      <c r="I202" s="74"/>
      <c r="J202" s="48">
        <f>ROUNDDOWN(SUMIF(P201:P201,O202,J201:J201),0)</f>
        <v>0</v>
      </c>
      <c r="K202" s="74"/>
      <c r="L202" s="48">
        <f>ROUNDDOWN(SUMIF(P201:P201,O202,L201:L201),0)</f>
        <v>27376</v>
      </c>
      <c r="M202" s="74"/>
      <c r="O202" s="7" t="s">
        <v>6406</v>
      </c>
    </row>
    <row r="203" spans="1:26" ht="28.7" customHeight="1" x14ac:dyDescent="0.3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</row>
    <row r="204" spans="1:26" ht="28.7" customHeight="1" x14ac:dyDescent="0.3">
      <c r="A204" s="136" t="s">
        <v>119</v>
      </c>
      <c r="B204" s="127"/>
      <c r="C204" s="127"/>
      <c r="D204" s="127"/>
      <c r="E204" s="127"/>
      <c r="F204" s="127"/>
      <c r="G204" s="127"/>
      <c r="H204" s="127"/>
      <c r="I204" s="127"/>
      <c r="J204" s="127"/>
      <c r="K204" s="127"/>
      <c r="L204" s="144"/>
      <c r="M204" s="22" t="s">
        <v>6588</v>
      </c>
      <c r="N204" s="84" t="str">
        <f>HYPERLINK("#N"&amp;ROW(N205),"_x0005_`BDCOD|B05152_x0007_`POSS|"&amp;ROW(N205)&amp;"_x0007_`POSE|"&amp;ROW(N205)&amp;"_x0007_`")</f>
        <v>_x0005_`BDCOD|B05152_x0007_`POSS|205_x0007_`POSE|205_x0007_`</v>
      </c>
      <c r="O204" s="7" t="s">
        <v>6589</v>
      </c>
    </row>
    <row r="205" spans="1:26" ht="28.7" customHeight="1" x14ac:dyDescent="0.3">
      <c r="A205" s="10" t="s">
        <v>1686</v>
      </c>
      <c r="B205" s="10" t="s">
        <v>1778</v>
      </c>
      <c r="C205" s="75">
        <v>1</v>
      </c>
      <c r="D205" s="31" t="s">
        <v>14</v>
      </c>
      <c r="E205" s="55">
        <f>I205+G205+K205</f>
        <v>1151459</v>
      </c>
      <c r="F205" s="76">
        <f>J205+H205+L205</f>
        <v>1151459</v>
      </c>
      <c r="G205" s="78">
        <f>일위대가목록표!F689</f>
        <v>1117922</v>
      </c>
      <c r="H205" s="80">
        <f>IF(C205=0,0,ROUNDDOWN(G205*C205,1))</f>
        <v>1117922</v>
      </c>
      <c r="I205" s="78">
        <f>일위대가목록표!G689</f>
        <v>0</v>
      </c>
      <c r="J205" s="80">
        <f>IF(C205=0,0,ROUNDDOWN(I205*C205,1))</f>
        <v>0</v>
      </c>
      <c r="K205" s="78">
        <f>일위대가목록표!H689</f>
        <v>33537</v>
      </c>
      <c r="L205" s="80">
        <f>IF(C205=0,0,ROUNDDOWN(K205*C205,1))</f>
        <v>33537</v>
      </c>
      <c r="M205" s="22" t="s">
        <v>6592</v>
      </c>
      <c r="N205" s="17" t="s">
        <v>6590</v>
      </c>
      <c r="O205" s="7" t="s">
        <v>6591</v>
      </c>
      <c r="P205" s="7" t="s">
        <v>6406</v>
      </c>
      <c r="Z205" s="3" t="str">
        <f ca="1">HYPERLINK("#"&amp;일위대가목록표!J2&amp;"!A"&amp;ROW(일위대가목록표!A689),"대가686 →")</f>
        <v>대가686 →</v>
      </c>
    </row>
    <row r="206" spans="1:26" ht="28.7" customHeight="1" x14ac:dyDescent="0.3">
      <c r="A206" s="22" t="s">
        <v>6</v>
      </c>
      <c r="B206" s="74"/>
      <c r="C206" s="74"/>
      <c r="D206" s="74"/>
      <c r="E206" s="74"/>
      <c r="F206" s="48">
        <f>J206+H206+L206</f>
        <v>1151459</v>
      </c>
      <c r="G206" s="74"/>
      <c r="H206" s="48">
        <f>ROUNDDOWN(SUMIF(P205:P205,O206,H205:H205),0)</f>
        <v>1117922</v>
      </c>
      <c r="I206" s="74"/>
      <c r="J206" s="48">
        <f>ROUNDDOWN(SUMIF(P205:P205,O206,J205:J205),0)</f>
        <v>0</v>
      </c>
      <c r="K206" s="74"/>
      <c r="L206" s="48">
        <f>ROUNDDOWN(SUMIF(P205:P205,O206,L205:L205),0)</f>
        <v>33537</v>
      </c>
      <c r="M206" s="74"/>
      <c r="O206" s="7" t="s">
        <v>6406</v>
      </c>
    </row>
    <row r="207" spans="1:26" ht="28.7" customHeight="1" x14ac:dyDescent="0.3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</row>
    <row r="208" spans="1:26" ht="28.7" customHeight="1" x14ac:dyDescent="0.3">
      <c r="A208" s="136" t="s">
        <v>121</v>
      </c>
      <c r="B208" s="127"/>
      <c r="C208" s="127"/>
      <c r="D208" s="127"/>
      <c r="E208" s="127"/>
      <c r="F208" s="127"/>
      <c r="G208" s="127"/>
      <c r="H208" s="127"/>
      <c r="I208" s="127"/>
      <c r="J208" s="127"/>
      <c r="K208" s="127"/>
      <c r="L208" s="144"/>
      <c r="M208" s="22" t="s">
        <v>6593</v>
      </c>
      <c r="N208" s="84" t="str">
        <f>HYPERLINK("#N"&amp;ROW(N210),"_x0005_`BDCOD|B04908_x0007_`POSS|"&amp;ROW(N209)&amp;"_x0007_`POSE|"&amp;ROW(N210)&amp;"_x0007_`")</f>
        <v>_x0005_`BDCOD|B04908_x0007_`POSS|209_x0007_`POSE|210_x0007_`</v>
      </c>
      <c r="O208" s="7" t="s">
        <v>6594</v>
      </c>
    </row>
    <row r="209" spans="1:26" ht="28.7" customHeight="1" x14ac:dyDescent="0.3">
      <c r="A209" s="10" t="s">
        <v>1682</v>
      </c>
      <c r="B209" s="10" t="s">
        <v>1683</v>
      </c>
      <c r="C209" s="75">
        <v>1</v>
      </c>
      <c r="D209" s="31" t="s">
        <v>14</v>
      </c>
      <c r="E209" s="55">
        <f>I209+G209+K209</f>
        <v>365273</v>
      </c>
      <c r="F209" s="76">
        <f>J209+H209+L209</f>
        <v>365273</v>
      </c>
      <c r="G209" s="78">
        <f>일위대가목록표!F658</f>
        <v>354635</v>
      </c>
      <c r="H209" s="80">
        <f>IF(C209=0,0,ROUNDDOWN(G209*C209,1))</f>
        <v>354635</v>
      </c>
      <c r="I209" s="78">
        <f>일위대가목록표!G658</f>
        <v>0</v>
      </c>
      <c r="J209" s="80">
        <f>IF(C209=0,0,ROUNDDOWN(I209*C209,1))</f>
        <v>0</v>
      </c>
      <c r="K209" s="78">
        <f>일위대가목록표!H658</f>
        <v>10638</v>
      </c>
      <c r="L209" s="80">
        <f>IF(C209=0,0,ROUNDDOWN(K209*C209,1))</f>
        <v>10638</v>
      </c>
      <c r="M209" s="22" t="s">
        <v>6403</v>
      </c>
      <c r="N209" s="17" t="s">
        <v>6400</v>
      </c>
      <c r="O209" s="7" t="s">
        <v>6401</v>
      </c>
      <c r="P209" s="7" t="s">
        <v>6406</v>
      </c>
      <c r="Z209" s="3" t="str">
        <f ca="1">HYPERLINK("#"&amp;일위대가목록표!J2&amp;"!A"&amp;ROW(일위대가목록표!A658),"대가655 →")</f>
        <v>대가655 →</v>
      </c>
    </row>
    <row r="210" spans="1:26" ht="28.7" customHeight="1" x14ac:dyDescent="0.3">
      <c r="A210" s="10" t="s">
        <v>123</v>
      </c>
      <c r="B210" s="10" t="s">
        <v>2161</v>
      </c>
      <c r="C210" s="75">
        <v>1</v>
      </c>
      <c r="D210" s="31" t="s">
        <v>14</v>
      </c>
      <c r="E210" s="55">
        <f>I210+G210+K210</f>
        <v>1900000</v>
      </c>
      <c r="F210" s="77">
        <f>J210+H210+L210</f>
        <v>1900000</v>
      </c>
      <c r="G210" s="51">
        <v>0</v>
      </c>
      <c r="H210" s="76">
        <f>IF(C210=0,0,ROUNDDOWN(G210*C210,1))</f>
        <v>0</v>
      </c>
      <c r="I210" s="78">
        <f>재료비목록표!E56</f>
        <v>1900000</v>
      </c>
      <c r="J210" s="81">
        <f>IF(C210=0,0,ROUNDDOWN(I210*C210,1))</f>
        <v>1900000</v>
      </c>
      <c r="K210" s="51">
        <v>0</v>
      </c>
      <c r="L210" s="76">
        <f>IF(C210=0,0,ROUNDDOWN(K210*C210,1))</f>
        <v>0</v>
      </c>
      <c r="M210" s="22" t="s">
        <v>6596</v>
      </c>
      <c r="N210" s="17" t="s">
        <v>6595</v>
      </c>
      <c r="O210" s="7" t="s">
        <v>5355</v>
      </c>
      <c r="P210" s="7" t="s">
        <v>6406</v>
      </c>
      <c r="Z210" s="3" t="str">
        <f ca="1">HYPERLINK("#"&amp;재료비목록표!G2&amp;"!A"&amp;ROW(재료비목록표!A56),"자재53 →")</f>
        <v>자재53 →</v>
      </c>
    </row>
    <row r="211" spans="1:26" ht="28.7" customHeight="1" x14ac:dyDescent="0.3">
      <c r="A211" s="22" t="s">
        <v>6</v>
      </c>
      <c r="B211" s="74"/>
      <c r="C211" s="74"/>
      <c r="D211" s="74"/>
      <c r="E211" s="74"/>
      <c r="F211" s="48">
        <f>J211+H211+L211</f>
        <v>2265273</v>
      </c>
      <c r="G211" s="74"/>
      <c r="H211" s="48">
        <f>ROUNDDOWN(SUMIF(P209:P210,O211,H209:H210),0)</f>
        <v>354635</v>
      </c>
      <c r="I211" s="74"/>
      <c r="J211" s="48">
        <f>ROUNDDOWN(SUMIF(P209:P210,O211,J209:J210),0)</f>
        <v>1900000</v>
      </c>
      <c r="K211" s="74"/>
      <c r="L211" s="48">
        <f>ROUNDDOWN(SUMIF(P209:P210,O211,L209:L210),0)</f>
        <v>10638</v>
      </c>
      <c r="M211" s="74"/>
      <c r="O211" s="7" t="s">
        <v>6406</v>
      </c>
    </row>
    <row r="212" spans="1:26" ht="28.7" customHeight="1" x14ac:dyDescent="0.3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</row>
    <row r="213" spans="1:26" ht="28.7" customHeight="1" x14ac:dyDescent="0.3">
      <c r="A213" s="136" t="s">
        <v>124</v>
      </c>
      <c r="B213" s="127"/>
      <c r="C213" s="127"/>
      <c r="D213" s="127"/>
      <c r="E213" s="127"/>
      <c r="F213" s="127"/>
      <c r="G213" s="127"/>
      <c r="H213" s="127"/>
      <c r="I213" s="127"/>
      <c r="J213" s="127"/>
      <c r="K213" s="127"/>
      <c r="L213" s="144"/>
      <c r="M213" s="22" t="s">
        <v>6597</v>
      </c>
      <c r="N213" s="84" t="str">
        <f>HYPERLINK("#N"&amp;ROW(N215),"_x0005_`BDCOD|B04909_x0007_`POSS|"&amp;ROW(N214)&amp;"_x0007_`POSE|"&amp;ROW(N215)&amp;"_x0007_`")</f>
        <v>_x0005_`BDCOD|B04909_x0007_`POSS|214_x0007_`POSE|215_x0007_`</v>
      </c>
      <c r="O213" s="7" t="s">
        <v>6598</v>
      </c>
    </row>
    <row r="214" spans="1:26" ht="28.7" customHeight="1" x14ac:dyDescent="0.3">
      <c r="A214" s="10" t="s">
        <v>1682</v>
      </c>
      <c r="B214" s="10" t="s">
        <v>1694</v>
      </c>
      <c r="C214" s="75">
        <v>1</v>
      </c>
      <c r="D214" s="31" t="s">
        <v>14</v>
      </c>
      <c r="E214" s="55">
        <f>I214+G214+K214</f>
        <v>420901</v>
      </c>
      <c r="F214" s="76">
        <f>J214+H214+L214</f>
        <v>420901</v>
      </c>
      <c r="G214" s="78">
        <f>일위대가목록표!F661</f>
        <v>408643</v>
      </c>
      <c r="H214" s="80">
        <f>IF(C214=0,0,ROUNDDOWN(G214*C214,1))</f>
        <v>408643</v>
      </c>
      <c r="I214" s="78">
        <f>일위대가목록표!G661</f>
        <v>0</v>
      </c>
      <c r="J214" s="80">
        <f>IF(C214=0,0,ROUNDDOWN(I214*C214,1))</f>
        <v>0</v>
      </c>
      <c r="K214" s="78">
        <f>일위대가목록표!H661</f>
        <v>12258</v>
      </c>
      <c r="L214" s="80">
        <f>IF(C214=0,0,ROUNDDOWN(K214*C214,1))</f>
        <v>12258</v>
      </c>
      <c r="M214" s="22" t="s">
        <v>6411</v>
      </c>
      <c r="N214" s="17" t="s">
        <v>6408</v>
      </c>
      <c r="O214" s="7" t="s">
        <v>6409</v>
      </c>
      <c r="P214" s="7" t="s">
        <v>6406</v>
      </c>
      <c r="Z214" s="3" t="str">
        <f ca="1">HYPERLINK("#"&amp;일위대가목록표!J2&amp;"!A"&amp;ROW(일위대가목록표!A661),"대가658 →")</f>
        <v>대가658 →</v>
      </c>
    </row>
    <row r="215" spans="1:26" ht="28.7" customHeight="1" x14ac:dyDescent="0.3">
      <c r="A215" s="10" t="s">
        <v>123</v>
      </c>
      <c r="B215" s="10" t="s">
        <v>17</v>
      </c>
      <c r="C215" s="75">
        <v>1</v>
      </c>
      <c r="D215" s="31" t="s">
        <v>14</v>
      </c>
      <c r="E215" s="55">
        <f>I215+G215+K215</f>
        <v>2800000</v>
      </c>
      <c r="F215" s="77">
        <f>J215+H215+L215</f>
        <v>2800000</v>
      </c>
      <c r="G215" s="51">
        <v>0</v>
      </c>
      <c r="H215" s="76">
        <f>IF(C215=0,0,ROUNDDOWN(G215*C215,1))</f>
        <v>0</v>
      </c>
      <c r="I215" s="78">
        <f>재료비목록표!E58</f>
        <v>2800000</v>
      </c>
      <c r="J215" s="81">
        <f>IF(C215=0,0,ROUNDDOWN(I215*C215,1))</f>
        <v>2800000</v>
      </c>
      <c r="K215" s="51">
        <v>0</v>
      </c>
      <c r="L215" s="76">
        <f>IF(C215=0,0,ROUNDDOWN(K215*C215,1))</f>
        <v>0</v>
      </c>
      <c r="M215" s="22" t="s">
        <v>6600</v>
      </c>
      <c r="N215" s="17" t="s">
        <v>6599</v>
      </c>
      <c r="O215" s="7" t="s">
        <v>5358</v>
      </c>
      <c r="P215" s="7" t="s">
        <v>6406</v>
      </c>
      <c r="Z215" s="3" t="str">
        <f ca="1">HYPERLINK("#"&amp;재료비목록표!G2&amp;"!A"&amp;ROW(재료비목록표!A58),"자재55 →")</f>
        <v>자재55 →</v>
      </c>
    </row>
    <row r="216" spans="1:26" ht="28.7" customHeight="1" x14ac:dyDescent="0.3">
      <c r="A216" s="22" t="s">
        <v>6</v>
      </c>
      <c r="B216" s="74"/>
      <c r="C216" s="74"/>
      <c r="D216" s="74"/>
      <c r="E216" s="74"/>
      <c r="F216" s="48">
        <f>J216+H216+L216</f>
        <v>3220901</v>
      </c>
      <c r="G216" s="74"/>
      <c r="H216" s="48">
        <f>ROUNDDOWN(SUMIF(P214:P215,O216,H214:H215),0)</f>
        <v>408643</v>
      </c>
      <c r="I216" s="74"/>
      <c r="J216" s="48">
        <f>ROUNDDOWN(SUMIF(P214:P215,O216,J214:J215),0)</f>
        <v>2800000</v>
      </c>
      <c r="K216" s="74"/>
      <c r="L216" s="48">
        <f>ROUNDDOWN(SUMIF(P214:P215,O216,L214:L215),0)</f>
        <v>12258</v>
      </c>
      <c r="M216" s="74"/>
      <c r="O216" s="7" t="s">
        <v>6406</v>
      </c>
    </row>
    <row r="217" spans="1:26" ht="28.7" customHeight="1" x14ac:dyDescent="0.3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</row>
    <row r="218" spans="1:26" ht="28.7" customHeight="1" x14ac:dyDescent="0.3">
      <c r="A218" s="136" t="s">
        <v>126</v>
      </c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44"/>
      <c r="M218" s="22" t="s">
        <v>6601</v>
      </c>
      <c r="N218" s="84" t="str">
        <f>HYPERLINK("#N"&amp;ROW(N220),"_x0005_`BDCOD|B04910_x0007_`POSS|"&amp;ROW(N219)&amp;"_x0007_`POSE|"&amp;ROW(N220)&amp;"_x0007_`")</f>
        <v>_x0005_`BDCOD|B04910_x0007_`POSS|219_x0007_`POSE|220_x0007_`</v>
      </c>
      <c r="O218" s="7" t="s">
        <v>6602</v>
      </c>
    </row>
    <row r="219" spans="1:26" ht="28.7" customHeight="1" x14ac:dyDescent="0.3">
      <c r="A219" s="10" t="s">
        <v>1682</v>
      </c>
      <c r="B219" s="10" t="s">
        <v>1703</v>
      </c>
      <c r="C219" s="75">
        <v>1</v>
      </c>
      <c r="D219" s="31" t="s">
        <v>14</v>
      </c>
      <c r="E219" s="55">
        <f>I219+G219+K219</f>
        <v>483348</v>
      </c>
      <c r="F219" s="76">
        <f>J219+H219+L219</f>
        <v>483348</v>
      </c>
      <c r="G219" s="78">
        <f>일위대가목록표!F664</f>
        <v>469271</v>
      </c>
      <c r="H219" s="80">
        <f>IF(C219=0,0,ROUNDDOWN(G219*C219,1))</f>
        <v>469271</v>
      </c>
      <c r="I219" s="78">
        <f>일위대가목록표!G664</f>
        <v>0</v>
      </c>
      <c r="J219" s="80">
        <f>IF(C219=0,0,ROUNDDOWN(I219*C219,1))</f>
        <v>0</v>
      </c>
      <c r="K219" s="78">
        <f>일위대가목록표!H664</f>
        <v>14077</v>
      </c>
      <c r="L219" s="80">
        <f>IF(C219=0,0,ROUNDDOWN(K219*C219,1))</f>
        <v>14077</v>
      </c>
      <c r="M219" s="22" t="s">
        <v>6418</v>
      </c>
      <c r="N219" s="17" t="s">
        <v>6415</v>
      </c>
      <c r="O219" s="7" t="s">
        <v>6416</v>
      </c>
      <c r="P219" s="7" t="s">
        <v>6406</v>
      </c>
      <c r="Z219" s="3" t="str">
        <f ca="1">HYPERLINK("#"&amp;일위대가목록표!J2&amp;"!A"&amp;ROW(일위대가목록표!A664),"대가661 →")</f>
        <v>대가661 →</v>
      </c>
    </row>
    <row r="220" spans="1:26" ht="28.7" customHeight="1" x14ac:dyDescent="0.3">
      <c r="A220" s="10" t="s">
        <v>123</v>
      </c>
      <c r="B220" s="10" t="s">
        <v>2204</v>
      </c>
      <c r="C220" s="75">
        <v>1</v>
      </c>
      <c r="D220" s="31" t="s">
        <v>14</v>
      </c>
      <c r="E220" s="55">
        <f>I220+G220+K220</f>
        <v>4700000</v>
      </c>
      <c r="F220" s="77">
        <f>J220+H220+L220</f>
        <v>4700000</v>
      </c>
      <c r="G220" s="51">
        <v>0</v>
      </c>
      <c r="H220" s="76">
        <f>IF(C220=0,0,ROUNDDOWN(G220*C220,1))</f>
        <v>0</v>
      </c>
      <c r="I220" s="78">
        <f>재료비목록표!E61</f>
        <v>4700000</v>
      </c>
      <c r="J220" s="81">
        <f>IF(C220=0,0,ROUNDDOWN(I220*C220,1))</f>
        <v>4700000</v>
      </c>
      <c r="K220" s="51">
        <v>0</v>
      </c>
      <c r="L220" s="76">
        <f>IF(C220=0,0,ROUNDDOWN(K220*C220,1))</f>
        <v>0</v>
      </c>
      <c r="M220" s="22" t="s">
        <v>6604</v>
      </c>
      <c r="N220" s="17" t="s">
        <v>6603</v>
      </c>
      <c r="O220" s="7" t="s">
        <v>5361</v>
      </c>
      <c r="P220" s="7" t="s">
        <v>6406</v>
      </c>
      <c r="Z220" s="3" t="str">
        <f ca="1">HYPERLINK("#"&amp;재료비목록표!G2&amp;"!A"&amp;ROW(재료비목록표!A61),"자재58 →")</f>
        <v>자재58 →</v>
      </c>
    </row>
    <row r="221" spans="1:26" ht="28.7" customHeight="1" x14ac:dyDescent="0.3">
      <c r="A221" s="22" t="s">
        <v>6</v>
      </c>
      <c r="B221" s="74"/>
      <c r="C221" s="74"/>
      <c r="D221" s="74"/>
      <c r="E221" s="74"/>
      <c r="F221" s="48">
        <f>J221+H221+L221</f>
        <v>5183348</v>
      </c>
      <c r="G221" s="74"/>
      <c r="H221" s="48">
        <f>ROUNDDOWN(SUMIF(P219:P220,O221,H219:H220),0)</f>
        <v>469271</v>
      </c>
      <c r="I221" s="74"/>
      <c r="J221" s="48">
        <f>ROUNDDOWN(SUMIF(P219:P220,O221,J219:J220),0)</f>
        <v>4700000</v>
      </c>
      <c r="K221" s="74"/>
      <c r="L221" s="48">
        <f>ROUNDDOWN(SUMIF(P219:P220,O221,L219:L220),0)</f>
        <v>14077</v>
      </c>
      <c r="M221" s="74"/>
      <c r="O221" s="7" t="s">
        <v>6406</v>
      </c>
    </row>
    <row r="222" spans="1:26" ht="28.7" customHeight="1" x14ac:dyDescent="0.3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</row>
    <row r="223" spans="1:26" ht="28.7" customHeight="1" x14ac:dyDescent="0.3">
      <c r="A223" s="136" t="s">
        <v>128</v>
      </c>
      <c r="B223" s="127"/>
      <c r="C223" s="127"/>
      <c r="D223" s="127"/>
      <c r="E223" s="127"/>
      <c r="F223" s="127"/>
      <c r="G223" s="127"/>
      <c r="H223" s="127"/>
      <c r="I223" s="127"/>
      <c r="J223" s="127"/>
      <c r="K223" s="127"/>
      <c r="L223" s="144"/>
      <c r="M223" s="22" t="s">
        <v>6605</v>
      </c>
      <c r="N223" s="84" t="str">
        <f>HYPERLINK("#N"&amp;ROW(N225),"_x0005_`BDCOD|B04911_x0007_`POSS|"&amp;ROW(N224)&amp;"_x0007_`POSE|"&amp;ROW(N225)&amp;"_x0007_`")</f>
        <v>_x0005_`BDCOD|B04911_x0007_`POSS|224_x0007_`POSE|225_x0007_`</v>
      </c>
      <c r="O223" s="7" t="s">
        <v>6606</v>
      </c>
    </row>
    <row r="224" spans="1:26" ht="28.7" customHeight="1" x14ac:dyDescent="0.3">
      <c r="A224" s="10" t="s">
        <v>1682</v>
      </c>
      <c r="B224" s="10" t="s">
        <v>1712</v>
      </c>
      <c r="C224" s="75">
        <v>1</v>
      </c>
      <c r="D224" s="31" t="s">
        <v>14</v>
      </c>
      <c r="E224" s="55">
        <f>I224+G224+K224</f>
        <v>582367</v>
      </c>
      <c r="F224" s="76">
        <f>J224+H224+L224</f>
        <v>582367</v>
      </c>
      <c r="G224" s="78">
        <f>일위대가목록표!F667</f>
        <v>565406</v>
      </c>
      <c r="H224" s="80">
        <f>IF(C224=0,0,ROUNDDOWN(G224*C224,1))</f>
        <v>565406</v>
      </c>
      <c r="I224" s="78">
        <f>일위대가목록표!G667</f>
        <v>0</v>
      </c>
      <c r="J224" s="80">
        <f>IF(C224=0,0,ROUNDDOWN(I224*C224,1))</f>
        <v>0</v>
      </c>
      <c r="K224" s="78">
        <f>일위대가목록표!H667</f>
        <v>16961</v>
      </c>
      <c r="L224" s="80">
        <f>IF(C224=0,0,ROUNDDOWN(K224*C224,1))</f>
        <v>16961</v>
      </c>
      <c r="M224" s="22" t="s">
        <v>6425</v>
      </c>
      <c r="N224" s="17" t="s">
        <v>6422</v>
      </c>
      <c r="O224" s="7" t="s">
        <v>6423</v>
      </c>
      <c r="P224" s="7" t="s">
        <v>6406</v>
      </c>
      <c r="Z224" s="3" t="str">
        <f ca="1">HYPERLINK("#"&amp;일위대가목록표!J2&amp;"!A"&amp;ROW(일위대가목록표!A667),"대가664 →")</f>
        <v>대가664 →</v>
      </c>
    </row>
    <row r="225" spans="1:26" ht="28.7" customHeight="1" x14ac:dyDescent="0.3">
      <c r="A225" s="10" t="s">
        <v>123</v>
      </c>
      <c r="B225" s="10" t="s">
        <v>2181</v>
      </c>
      <c r="C225" s="75">
        <v>1</v>
      </c>
      <c r="D225" s="31" t="s">
        <v>14</v>
      </c>
      <c r="E225" s="55">
        <f>I225+G225+K225</f>
        <v>6700000</v>
      </c>
      <c r="F225" s="77">
        <f>J225+H225+L225</f>
        <v>6700000</v>
      </c>
      <c r="G225" s="51">
        <v>0</v>
      </c>
      <c r="H225" s="76">
        <f>IF(C225=0,0,ROUNDDOWN(G225*C225,1))</f>
        <v>0</v>
      </c>
      <c r="I225" s="78">
        <f>재료비목록표!E63</f>
        <v>6700000</v>
      </c>
      <c r="J225" s="81">
        <f>IF(C225=0,0,ROUNDDOWN(I225*C225,1))</f>
        <v>6700000</v>
      </c>
      <c r="K225" s="51">
        <v>0</v>
      </c>
      <c r="L225" s="76">
        <f>IF(C225=0,0,ROUNDDOWN(K225*C225,1))</f>
        <v>0</v>
      </c>
      <c r="M225" s="22" t="s">
        <v>6608</v>
      </c>
      <c r="N225" s="17" t="s">
        <v>6607</v>
      </c>
      <c r="O225" s="7" t="s">
        <v>5364</v>
      </c>
      <c r="P225" s="7" t="s">
        <v>6406</v>
      </c>
      <c r="Z225" s="3" t="str">
        <f ca="1">HYPERLINK("#"&amp;재료비목록표!G2&amp;"!A"&amp;ROW(재료비목록표!A63),"자재60 →")</f>
        <v>자재60 →</v>
      </c>
    </row>
    <row r="226" spans="1:26" ht="28.7" customHeight="1" x14ac:dyDescent="0.3">
      <c r="A226" s="22" t="s">
        <v>6</v>
      </c>
      <c r="B226" s="74"/>
      <c r="C226" s="74"/>
      <c r="D226" s="74"/>
      <c r="E226" s="74"/>
      <c r="F226" s="48">
        <f>J226+H226+L226</f>
        <v>7282367</v>
      </c>
      <c r="G226" s="74"/>
      <c r="H226" s="48">
        <f>ROUNDDOWN(SUMIF(P224:P225,O226,H224:H225),0)</f>
        <v>565406</v>
      </c>
      <c r="I226" s="74"/>
      <c r="J226" s="48">
        <f>ROUNDDOWN(SUMIF(P224:P225,O226,J224:J225),0)</f>
        <v>6700000</v>
      </c>
      <c r="K226" s="74"/>
      <c r="L226" s="48">
        <f>ROUNDDOWN(SUMIF(P224:P225,O226,L224:L225),0)</f>
        <v>16961</v>
      </c>
      <c r="M226" s="74"/>
      <c r="O226" s="7" t="s">
        <v>6406</v>
      </c>
    </row>
    <row r="227" spans="1:26" ht="28.7" customHeight="1" x14ac:dyDescent="0.3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</row>
    <row r="228" spans="1:26" ht="28.7" customHeight="1" x14ac:dyDescent="0.3">
      <c r="A228" s="136" t="s">
        <v>130</v>
      </c>
      <c r="B228" s="127"/>
      <c r="C228" s="127"/>
      <c r="D228" s="127"/>
      <c r="E228" s="127"/>
      <c r="F228" s="127"/>
      <c r="G228" s="127"/>
      <c r="H228" s="127"/>
      <c r="I228" s="127"/>
      <c r="J228" s="127"/>
      <c r="K228" s="127"/>
      <c r="L228" s="144"/>
      <c r="M228" s="22" t="s">
        <v>6609</v>
      </c>
      <c r="N228" s="84" t="str">
        <f>HYPERLINK("#N"&amp;ROW(N230),"_x0005_`BDCOD|B04912_x0007_`POSS|"&amp;ROW(N229)&amp;"_x0007_`POSE|"&amp;ROW(N230)&amp;"_x0007_`")</f>
        <v>_x0005_`BDCOD|B04912_x0007_`POSS|229_x0007_`POSE|230_x0007_`</v>
      </c>
      <c r="O228" s="7" t="s">
        <v>6610</v>
      </c>
    </row>
    <row r="229" spans="1:26" ht="28.7" customHeight="1" x14ac:dyDescent="0.3">
      <c r="A229" s="10" t="s">
        <v>1682</v>
      </c>
      <c r="B229" s="10" t="s">
        <v>1721</v>
      </c>
      <c r="C229" s="75">
        <v>1</v>
      </c>
      <c r="D229" s="31" t="s">
        <v>14</v>
      </c>
      <c r="E229" s="55">
        <f>I229+G229+K229</f>
        <v>734777</v>
      </c>
      <c r="F229" s="76">
        <f>J229+H229+L229</f>
        <v>734777</v>
      </c>
      <c r="G229" s="78">
        <f>일위대가목록표!F670</f>
        <v>713377</v>
      </c>
      <c r="H229" s="80">
        <f>IF(C229=0,0,ROUNDDOWN(G229*C229,1))</f>
        <v>713377</v>
      </c>
      <c r="I229" s="78">
        <f>일위대가목록표!G670</f>
        <v>0</v>
      </c>
      <c r="J229" s="80">
        <f>IF(C229=0,0,ROUNDDOWN(I229*C229,1))</f>
        <v>0</v>
      </c>
      <c r="K229" s="78">
        <f>일위대가목록표!H670</f>
        <v>21400</v>
      </c>
      <c r="L229" s="80">
        <f>IF(C229=0,0,ROUNDDOWN(K229*C229,1))</f>
        <v>21400</v>
      </c>
      <c r="M229" s="22" t="s">
        <v>6432</v>
      </c>
      <c r="N229" s="17" t="s">
        <v>6429</v>
      </c>
      <c r="O229" s="7" t="s">
        <v>6430</v>
      </c>
      <c r="P229" s="7" t="s">
        <v>6406</v>
      </c>
      <c r="Z229" s="3" t="str">
        <f ca="1">HYPERLINK("#"&amp;일위대가목록표!J2&amp;"!A"&amp;ROW(일위대가목록표!A670),"대가667 →")</f>
        <v>대가667 →</v>
      </c>
    </row>
    <row r="230" spans="1:26" ht="28.7" customHeight="1" x14ac:dyDescent="0.3">
      <c r="A230" s="10" t="s">
        <v>123</v>
      </c>
      <c r="B230" s="10" t="s">
        <v>2147</v>
      </c>
      <c r="C230" s="75">
        <v>1</v>
      </c>
      <c r="D230" s="31" t="s">
        <v>14</v>
      </c>
      <c r="E230" s="55">
        <f>I230+G230+K230</f>
        <v>7500000</v>
      </c>
      <c r="F230" s="77">
        <f>J230+H230+L230</f>
        <v>7500000</v>
      </c>
      <c r="G230" s="51">
        <v>0</v>
      </c>
      <c r="H230" s="76">
        <f>IF(C230=0,0,ROUNDDOWN(G230*C230,1))</f>
        <v>0</v>
      </c>
      <c r="I230" s="78">
        <f>재료비목록표!E51</f>
        <v>7500000</v>
      </c>
      <c r="J230" s="81">
        <f>IF(C230=0,0,ROUNDDOWN(I230*C230,1))</f>
        <v>7500000</v>
      </c>
      <c r="K230" s="51">
        <v>0</v>
      </c>
      <c r="L230" s="76">
        <f>IF(C230=0,0,ROUNDDOWN(K230*C230,1))</f>
        <v>0</v>
      </c>
      <c r="M230" s="22" t="s">
        <v>6612</v>
      </c>
      <c r="N230" s="17" t="s">
        <v>6611</v>
      </c>
      <c r="O230" s="7" t="s">
        <v>5367</v>
      </c>
      <c r="P230" s="7" t="s">
        <v>6406</v>
      </c>
      <c r="Z230" s="3" t="str">
        <f ca="1">HYPERLINK("#"&amp;재료비목록표!G2&amp;"!A"&amp;ROW(재료비목록표!A51),"자재48 →")</f>
        <v>자재48 →</v>
      </c>
    </row>
    <row r="231" spans="1:26" ht="28.7" customHeight="1" x14ac:dyDescent="0.3">
      <c r="A231" s="22" t="s">
        <v>6</v>
      </c>
      <c r="B231" s="74"/>
      <c r="C231" s="74"/>
      <c r="D231" s="74"/>
      <c r="E231" s="74"/>
      <c r="F231" s="48">
        <f>J231+H231+L231</f>
        <v>8234777</v>
      </c>
      <c r="G231" s="74"/>
      <c r="H231" s="48">
        <f>ROUNDDOWN(SUMIF(P229:P230,O231,H229:H230),0)</f>
        <v>713377</v>
      </c>
      <c r="I231" s="74"/>
      <c r="J231" s="48">
        <f>ROUNDDOWN(SUMIF(P229:P230,O231,J229:J230),0)</f>
        <v>7500000</v>
      </c>
      <c r="K231" s="74"/>
      <c r="L231" s="48">
        <f>ROUNDDOWN(SUMIF(P229:P230,O231,L229:L230),0)</f>
        <v>21400</v>
      </c>
      <c r="M231" s="74"/>
      <c r="O231" s="7" t="s">
        <v>6406</v>
      </c>
    </row>
    <row r="232" spans="1:26" ht="28.7" customHeight="1" x14ac:dyDescent="0.3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</row>
    <row r="233" spans="1:26" ht="28.7" customHeight="1" x14ac:dyDescent="0.3">
      <c r="A233" s="136" t="s">
        <v>132</v>
      </c>
      <c r="B233" s="127"/>
      <c r="C233" s="127"/>
      <c r="D233" s="127"/>
      <c r="E233" s="127"/>
      <c r="F233" s="127"/>
      <c r="G233" s="127"/>
      <c r="H233" s="127"/>
      <c r="I233" s="127"/>
      <c r="J233" s="127"/>
      <c r="K233" s="127"/>
      <c r="L233" s="144"/>
      <c r="M233" s="22" t="s">
        <v>6613</v>
      </c>
      <c r="N233" s="84" t="str">
        <f>HYPERLINK("#N"&amp;ROW(N235),"_x0005_`BDCOD|B04913_x0007_`POSS|"&amp;ROW(N234)&amp;"_x0007_`POSE|"&amp;ROW(N235)&amp;"_x0007_`")</f>
        <v>_x0005_`BDCOD|B04913_x0007_`POSS|234_x0007_`POSE|235_x0007_`</v>
      </c>
      <c r="O233" s="7" t="s">
        <v>6614</v>
      </c>
    </row>
    <row r="234" spans="1:26" ht="28.7" customHeight="1" x14ac:dyDescent="0.3">
      <c r="A234" s="10" t="s">
        <v>1682</v>
      </c>
      <c r="B234" s="10" t="s">
        <v>1730</v>
      </c>
      <c r="C234" s="75">
        <v>1</v>
      </c>
      <c r="D234" s="31" t="s">
        <v>14</v>
      </c>
      <c r="E234" s="55">
        <f>I234+G234+K234</f>
        <v>923410</v>
      </c>
      <c r="F234" s="76">
        <f>J234+H234+L234</f>
        <v>923410</v>
      </c>
      <c r="G234" s="78">
        <f>일위대가목록표!F673</f>
        <v>896515</v>
      </c>
      <c r="H234" s="80">
        <f>IF(C234=0,0,ROUNDDOWN(G234*C234,1))</f>
        <v>896515</v>
      </c>
      <c r="I234" s="78">
        <f>일위대가목록표!G673</f>
        <v>0</v>
      </c>
      <c r="J234" s="80">
        <f>IF(C234=0,0,ROUNDDOWN(I234*C234,1))</f>
        <v>0</v>
      </c>
      <c r="K234" s="78">
        <f>일위대가목록표!H673</f>
        <v>26895</v>
      </c>
      <c r="L234" s="80">
        <f>IF(C234=0,0,ROUNDDOWN(K234*C234,1))</f>
        <v>26895</v>
      </c>
      <c r="M234" s="22" t="s">
        <v>6439</v>
      </c>
      <c r="N234" s="17" t="s">
        <v>6436</v>
      </c>
      <c r="O234" s="7" t="s">
        <v>6437</v>
      </c>
      <c r="P234" s="7" t="s">
        <v>6406</v>
      </c>
      <c r="Z234" s="3" t="str">
        <f ca="1">HYPERLINK("#"&amp;일위대가목록표!J2&amp;"!A"&amp;ROW(일위대가목록표!A673),"대가670 →")</f>
        <v>대가670 →</v>
      </c>
    </row>
    <row r="235" spans="1:26" ht="28.7" customHeight="1" x14ac:dyDescent="0.3">
      <c r="A235" s="10" t="s">
        <v>123</v>
      </c>
      <c r="B235" s="10" t="s">
        <v>2152</v>
      </c>
      <c r="C235" s="75">
        <v>1</v>
      </c>
      <c r="D235" s="31" t="s">
        <v>14</v>
      </c>
      <c r="E235" s="55">
        <f>I235+G235+K235</f>
        <v>9600000</v>
      </c>
      <c r="F235" s="77">
        <f>J235+H235+L235</f>
        <v>9600000</v>
      </c>
      <c r="G235" s="51">
        <v>0</v>
      </c>
      <c r="H235" s="76">
        <f>IF(C235=0,0,ROUNDDOWN(G235*C235,1))</f>
        <v>0</v>
      </c>
      <c r="I235" s="78">
        <f>재료비목록표!E53</f>
        <v>9600000</v>
      </c>
      <c r="J235" s="81">
        <f>IF(C235=0,0,ROUNDDOWN(I235*C235,1))</f>
        <v>9600000</v>
      </c>
      <c r="K235" s="51">
        <v>0</v>
      </c>
      <c r="L235" s="76">
        <f>IF(C235=0,0,ROUNDDOWN(K235*C235,1))</f>
        <v>0</v>
      </c>
      <c r="M235" s="22" t="s">
        <v>6616</v>
      </c>
      <c r="N235" s="17" t="s">
        <v>6615</v>
      </c>
      <c r="O235" s="7" t="s">
        <v>5370</v>
      </c>
      <c r="P235" s="7" t="s">
        <v>6406</v>
      </c>
      <c r="Z235" s="3" t="str">
        <f ca="1">HYPERLINK("#"&amp;재료비목록표!G2&amp;"!A"&amp;ROW(재료비목록표!A53),"자재50 →")</f>
        <v>자재50 →</v>
      </c>
    </row>
    <row r="236" spans="1:26" ht="28.7" customHeight="1" x14ac:dyDescent="0.3">
      <c r="A236" s="22" t="s">
        <v>6</v>
      </c>
      <c r="B236" s="74"/>
      <c r="C236" s="74"/>
      <c r="D236" s="74"/>
      <c r="E236" s="74"/>
      <c r="F236" s="48">
        <f>J236+H236+L236</f>
        <v>10523410</v>
      </c>
      <c r="G236" s="74"/>
      <c r="H236" s="48">
        <f>ROUNDDOWN(SUMIF(P234:P235,O236,H234:H235),0)</f>
        <v>896515</v>
      </c>
      <c r="I236" s="74"/>
      <c r="J236" s="48">
        <f>ROUNDDOWN(SUMIF(P234:P235,O236,J234:J235),0)</f>
        <v>9600000</v>
      </c>
      <c r="K236" s="74"/>
      <c r="L236" s="48">
        <f>ROUNDDOWN(SUMIF(P234:P235,O236,L234:L235),0)</f>
        <v>26895</v>
      </c>
      <c r="M236" s="74"/>
      <c r="O236" s="7" t="s">
        <v>6406</v>
      </c>
    </row>
    <row r="237" spans="1:26" ht="28.7" customHeight="1" x14ac:dyDescent="0.3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</row>
    <row r="238" spans="1:26" ht="28.7" customHeight="1" x14ac:dyDescent="0.3">
      <c r="A238" s="136" t="s">
        <v>134</v>
      </c>
      <c r="B238" s="127"/>
      <c r="C238" s="127"/>
      <c r="D238" s="127"/>
      <c r="E238" s="127"/>
      <c r="F238" s="127"/>
      <c r="G238" s="127"/>
      <c r="H238" s="127"/>
      <c r="I238" s="127"/>
      <c r="J238" s="127"/>
      <c r="K238" s="127"/>
      <c r="L238" s="144"/>
      <c r="M238" s="22" t="s">
        <v>6617</v>
      </c>
      <c r="N238" s="84" t="str">
        <f>HYPERLINK("#N"&amp;ROW(N240),"_x0005_`BDCOD|B04914_x0007_`POSS|"&amp;ROW(N239)&amp;"_x0007_`POSE|"&amp;ROW(N240)&amp;"_x0007_`")</f>
        <v>_x0005_`BDCOD|B04914_x0007_`POSS|239_x0007_`POSE|240_x0007_`</v>
      </c>
      <c r="O238" s="7" t="s">
        <v>6618</v>
      </c>
    </row>
    <row r="239" spans="1:26" ht="28.7" customHeight="1" x14ac:dyDescent="0.3">
      <c r="A239" s="10" t="s">
        <v>1682</v>
      </c>
      <c r="B239" s="10" t="s">
        <v>1739</v>
      </c>
      <c r="C239" s="75">
        <v>1</v>
      </c>
      <c r="D239" s="31" t="s">
        <v>14</v>
      </c>
      <c r="E239" s="55">
        <f>I239+G239+K239</f>
        <v>980333</v>
      </c>
      <c r="F239" s="76">
        <f>J239+H239+L239</f>
        <v>980333</v>
      </c>
      <c r="G239" s="78">
        <f>일위대가목록표!F676</f>
        <v>951780</v>
      </c>
      <c r="H239" s="80">
        <f>IF(C239=0,0,ROUNDDOWN(G239*C239,1))</f>
        <v>951780</v>
      </c>
      <c r="I239" s="78">
        <f>일위대가목록표!G676</f>
        <v>0</v>
      </c>
      <c r="J239" s="80">
        <f>IF(C239=0,0,ROUNDDOWN(I239*C239,1))</f>
        <v>0</v>
      </c>
      <c r="K239" s="78">
        <f>일위대가목록표!H676</f>
        <v>28553</v>
      </c>
      <c r="L239" s="80">
        <f>IF(C239=0,0,ROUNDDOWN(K239*C239,1))</f>
        <v>28553</v>
      </c>
      <c r="M239" s="22" t="s">
        <v>6446</v>
      </c>
      <c r="N239" s="17" t="s">
        <v>6443</v>
      </c>
      <c r="O239" s="7" t="s">
        <v>6444</v>
      </c>
      <c r="P239" s="7" t="s">
        <v>6406</v>
      </c>
      <c r="Z239" s="3" t="str">
        <f ca="1">HYPERLINK("#"&amp;일위대가목록표!J2&amp;"!A"&amp;ROW(일위대가목록표!A676),"대가673 →")</f>
        <v>대가673 →</v>
      </c>
    </row>
    <row r="240" spans="1:26" ht="28.7" customHeight="1" x14ac:dyDescent="0.3">
      <c r="A240" s="10" t="s">
        <v>123</v>
      </c>
      <c r="B240" s="10" t="s">
        <v>2155</v>
      </c>
      <c r="C240" s="75">
        <v>1</v>
      </c>
      <c r="D240" s="31" t="s">
        <v>14</v>
      </c>
      <c r="E240" s="55">
        <f>I240+G240+K240</f>
        <v>12000000</v>
      </c>
      <c r="F240" s="77">
        <f>J240+H240+L240</f>
        <v>12000000</v>
      </c>
      <c r="G240" s="51">
        <v>0</v>
      </c>
      <c r="H240" s="76">
        <f>IF(C240=0,0,ROUNDDOWN(G240*C240,1))</f>
        <v>0</v>
      </c>
      <c r="I240" s="78">
        <f>재료비목록표!E54</f>
        <v>12000000</v>
      </c>
      <c r="J240" s="81">
        <f>IF(C240=0,0,ROUNDDOWN(I240*C240,1))</f>
        <v>12000000</v>
      </c>
      <c r="K240" s="51">
        <v>0</v>
      </c>
      <c r="L240" s="76">
        <f>IF(C240=0,0,ROUNDDOWN(K240*C240,1))</f>
        <v>0</v>
      </c>
      <c r="M240" s="22" t="s">
        <v>6620</v>
      </c>
      <c r="N240" s="17" t="s">
        <v>6619</v>
      </c>
      <c r="O240" s="7" t="s">
        <v>5373</v>
      </c>
      <c r="P240" s="7" t="s">
        <v>6406</v>
      </c>
      <c r="Z240" s="3" t="str">
        <f ca="1">HYPERLINK("#"&amp;재료비목록표!G2&amp;"!A"&amp;ROW(재료비목록표!A54),"자재51 →")</f>
        <v>자재51 →</v>
      </c>
    </row>
    <row r="241" spans="1:26" ht="28.7" customHeight="1" x14ac:dyDescent="0.3">
      <c r="A241" s="22" t="s">
        <v>6</v>
      </c>
      <c r="B241" s="74"/>
      <c r="C241" s="74"/>
      <c r="D241" s="74"/>
      <c r="E241" s="74"/>
      <c r="F241" s="48">
        <f>J241+H241+L241</f>
        <v>12980333</v>
      </c>
      <c r="G241" s="74"/>
      <c r="H241" s="48">
        <f>ROUNDDOWN(SUMIF(P239:P240,O241,H239:H240),0)</f>
        <v>951780</v>
      </c>
      <c r="I241" s="74"/>
      <c r="J241" s="48">
        <f>ROUNDDOWN(SUMIF(P239:P240,O241,J239:J240),0)</f>
        <v>12000000</v>
      </c>
      <c r="K241" s="74"/>
      <c r="L241" s="48">
        <f>ROUNDDOWN(SUMIF(P239:P240,O241,L239:L240),0)</f>
        <v>28553</v>
      </c>
      <c r="M241" s="74"/>
      <c r="O241" s="7" t="s">
        <v>6406</v>
      </c>
    </row>
    <row r="242" spans="1:26" ht="28.7" customHeight="1" x14ac:dyDescent="0.3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</row>
    <row r="243" spans="1:26" ht="28.7" customHeight="1" x14ac:dyDescent="0.3">
      <c r="A243" s="136" t="s">
        <v>136</v>
      </c>
      <c r="B243" s="127"/>
      <c r="C243" s="127"/>
      <c r="D243" s="127"/>
      <c r="E243" s="127"/>
      <c r="F243" s="127"/>
      <c r="G243" s="127"/>
      <c r="H243" s="127"/>
      <c r="I243" s="127"/>
      <c r="J243" s="127"/>
      <c r="K243" s="127"/>
      <c r="L243" s="144"/>
      <c r="M243" s="22" t="s">
        <v>6621</v>
      </c>
      <c r="N243" s="84" t="str">
        <f>HYPERLINK("#N"&amp;ROW(N245),"_x0005_`BDCOD|B04915_x0007_`POSS|"&amp;ROW(N244)&amp;"_x0007_`POSE|"&amp;ROW(N245)&amp;"_x0007_`")</f>
        <v>_x0005_`BDCOD|B04915_x0007_`POSS|244_x0007_`POSE|245_x0007_`</v>
      </c>
      <c r="O243" s="7" t="s">
        <v>6622</v>
      </c>
    </row>
    <row r="244" spans="1:26" ht="28.7" customHeight="1" x14ac:dyDescent="0.3">
      <c r="A244" s="10" t="s">
        <v>1682</v>
      </c>
      <c r="B244" s="10" t="s">
        <v>1748</v>
      </c>
      <c r="C244" s="75">
        <v>1</v>
      </c>
      <c r="D244" s="31" t="s">
        <v>14</v>
      </c>
      <c r="E244" s="55">
        <f>I244+G244+K244</f>
        <v>1583750</v>
      </c>
      <c r="F244" s="76">
        <f>J244+H244+L244</f>
        <v>1583750</v>
      </c>
      <c r="G244" s="78">
        <f>일위대가목록표!F679</f>
        <v>1537622</v>
      </c>
      <c r="H244" s="80">
        <f>IF(C244=0,0,ROUNDDOWN(G244*C244,1))</f>
        <v>1537622</v>
      </c>
      <c r="I244" s="78">
        <f>일위대가목록표!G679</f>
        <v>0</v>
      </c>
      <c r="J244" s="80">
        <f>IF(C244=0,0,ROUNDDOWN(I244*C244,1))</f>
        <v>0</v>
      </c>
      <c r="K244" s="78">
        <f>일위대가목록표!H679</f>
        <v>46128</v>
      </c>
      <c r="L244" s="80">
        <f>IF(C244=0,0,ROUNDDOWN(K244*C244,1))</f>
        <v>46128</v>
      </c>
      <c r="M244" s="22" t="s">
        <v>6453</v>
      </c>
      <c r="N244" s="17" t="s">
        <v>6450</v>
      </c>
      <c r="O244" s="7" t="s">
        <v>6451</v>
      </c>
      <c r="P244" s="7" t="s">
        <v>6406</v>
      </c>
      <c r="Z244" s="3" t="str">
        <f ca="1">HYPERLINK("#"&amp;일위대가목록표!J2&amp;"!A"&amp;ROW(일위대가목록표!A679),"대가676 →")</f>
        <v>대가676 →</v>
      </c>
    </row>
    <row r="245" spans="1:26" ht="28.7" customHeight="1" x14ac:dyDescent="0.3">
      <c r="A245" s="10" t="s">
        <v>123</v>
      </c>
      <c r="B245" s="10" t="s">
        <v>2164</v>
      </c>
      <c r="C245" s="75">
        <v>1</v>
      </c>
      <c r="D245" s="31" t="s">
        <v>14</v>
      </c>
      <c r="E245" s="55">
        <f>I245+G245+K245</f>
        <v>13500000</v>
      </c>
      <c r="F245" s="77">
        <f>J245+H245+L245</f>
        <v>13500000</v>
      </c>
      <c r="G245" s="51">
        <v>0</v>
      </c>
      <c r="H245" s="76">
        <f>IF(C245=0,0,ROUNDDOWN(G245*C245,1))</f>
        <v>0</v>
      </c>
      <c r="I245" s="78">
        <f>재료비목록표!E57</f>
        <v>13500000</v>
      </c>
      <c r="J245" s="81">
        <f>IF(C245=0,0,ROUNDDOWN(I245*C245,1))</f>
        <v>13500000</v>
      </c>
      <c r="K245" s="51">
        <v>0</v>
      </c>
      <c r="L245" s="76">
        <f>IF(C245=0,0,ROUNDDOWN(K245*C245,1))</f>
        <v>0</v>
      </c>
      <c r="M245" s="22" t="s">
        <v>6624</v>
      </c>
      <c r="N245" s="17" t="s">
        <v>6623</v>
      </c>
      <c r="O245" s="7" t="s">
        <v>5379</v>
      </c>
      <c r="P245" s="7" t="s">
        <v>6406</v>
      </c>
      <c r="Z245" s="3" t="str">
        <f ca="1">HYPERLINK("#"&amp;재료비목록표!G2&amp;"!A"&amp;ROW(재료비목록표!A57),"자재54 →")</f>
        <v>자재54 →</v>
      </c>
    </row>
    <row r="246" spans="1:26" ht="28.7" customHeight="1" x14ac:dyDescent="0.3">
      <c r="A246" s="22" t="s">
        <v>6</v>
      </c>
      <c r="B246" s="74"/>
      <c r="C246" s="74"/>
      <c r="D246" s="74"/>
      <c r="E246" s="74"/>
      <c r="F246" s="48">
        <f>J246+H246+L246</f>
        <v>15083750</v>
      </c>
      <c r="G246" s="74"/>
      <c r="H246" s="48">
        <f>ROUNDDOWN(SUMIF(P244:P245,O246,H244:H245),0)</f>
        <v>1537622</v>
      </c>
      <c r="I246" s="74"/>
      <c r="J246" s="48">
        <f>ROUNDDOWN(SUMIF(P244:P245,O246,J244:J245),0)</f>
        <v>13500000</v>
      </c>
      <c r="K246" s="74"/>
      <c r="L246" s="48">
        <f>ROUNDDOWN(SUMIF(P244:P245,O246,L244:L245),0)</f>
        <v>46128</v>
      </c>
      <c r="M246" s="74"/>
      <c r="O246" s="7" t="s">
        <v>6406</v>
      </c>
    </row>
    <row r="247" spans="1:26" ht="28.7" customHeight="1" x14ac:dyDescent="0.3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</row>
    <row r="248" spans="1:26" ht="28.7" customHeight="1" x14ac:dyDescent="0.3">
      <c r="A248" s="136" t="s">
        <v>138</v>
      </c>
      <c r="B248" s="127"/>
      <c r="C248" s="127"/>
      <c r="D248" s="127"/>
      <c r="E248" s="127"/>
      <c r="F248" s="127"/>
      <c r="G248" s="127"/>
      <c r="H248" s="127"/>
      <c r="I248" s="127"/>
      <c r="J248" s="127"/>
      <c r="K248" s="127"/>
      <c r="L248" s="144"/>
      <c r="M248" s="22" t="s">
        <v>6625</v>
      </c>
      <c r="N248" s="84" t="str">
        <f>HYPERLINK("#N"&amp;ROW(N250),"_x0005_`BDCOD|B04916_x0007_`POSS|"&amp;ROW(N249)&amp;"_x0007_`POSE|"&amp;ROW(N250)&amp;"_x0007_`")</f>
        <v>_x0005_`BDCOD|B04916_x0007_`POSS|249_x0007_`POSE|250_x0007_`</v>
      </c>
      <c r="O248" s="7" t="s">
        <v>6626</v>
      </c>
    </row>
    <row r="249" spans="1:26" ht="28.7" customHeight="1" x14ac:dyDescent="0.3">
      <c r="A249" s="10" t="s">
        <v>1682</v>
      </c>
      <c r="B249" s="10" t="s">
        <v>1757</v>
      </c>
      <c r="C249" s="75">
        <v>1</v>
      </c>
      <c r="D249" s="31" t="s">
        <v>14</v>
      </c>
      <c r="E249" s="55">
        <f>I249+G249+K249</f>
        <v>2044858</v>
      </c>
      <c r="F249" s="76">
        <f>J249+H249+L249</f>
        <v>2044858</v>
      </c>
      <c r="G249" s="78">
        <f>일위대가목록표!F682</f>
        <v>1985300</v>
      </c>
      <c r="H249" s="80">
        <f>IF(C249=0,0,ROUNDDOWN(G249*C249,1))</f>
        <v>1985300</v>
      </c>
      <c r="I249" s="78">
        <f>일위대가목록표!G682</f>
        <v>0</v>
      </c>
      <c r="J249" s="80">
        <f>IF(C249=0,0,ROUNDDOWN(I249*C249,1))</f>
        <v>0</v>
      </c>
      <c r="K249" s="78">
        <f>일위대가목록표!H682</f>
        <v>59558</v>
      </c>
      <c r="L249" s="80">
        <f>IF(C249=0,0,ROUNDDOWN(K249*C249,1))</f>
        <v>59558</v>
      </c>
      <c r="M249" s="22" t="s">
        <v>6460</v>
      </c>
      <c r="N249" s="17" t="s">
        <v>6457</v>
      </c>
      <c r="O249" s="7" t="s">
        <v>6458</v>
      </c>
      <c r="P249" s="7" t="s">
        <v>6406</v>
      </c>
      <c r="Z249" s="3" t="str">
        <f ca="1">HYPERLINK("#"&amp;일위대가목록표!J2&amp;"!A"&amp;ROW(일위대가목록표!A682),"대가679 →")</f>
        <v>대가679 →</v>
      </c>
    </row>
    <row r="250" spans="1:26" ht="28.7" customHeight="1" x14ac:dyDescent="0.3">
      <c r="A250" s="10" t="s">
        <v>123</v>
      </c>
      <c r="B250" s="10" t="s">
        <v>2169</v>
      </c>
      <c r="C250" s="75">
        <v>1</v>
      </c>
      <c r="D250" s="31" t="s">
        <v>14</v>
      </c>
      <c r="E250" s="55">
        <f>I250+G250+K250</f>
        <v>15000000</v>
      </c>
      <c r="F250" s="77">
        <f>J250+H250+L250</f>
        <v>15000000</v>
      </c>
      <c r="G250" s="51">
        <v>0</v>
      </c>
      <c r="H250" s="76">
        <f>IF(C250=0,0,ROUNDDOWN(G250*C250,1))</f>
        <v>0</v>
      </c>
      <c r="I250" s="78">
        <f>재료비목록표!E59</f>
        <v>15000000</v>
      </c>
      <c r="J250" s="81">
        <f>IF(C250=0,0,ROUNDDOWN(I250*C250,1))</f>
        <v>15000000</v>
      </c>
      <c r="K250" s="51">
        <v>0</v>
      </c>
      <c r="L250" s="76">
        <f>IF(C250=0,0,ROUNDDOWN(K250*C250,1))</f>
        <v>0</v>
      </c>
      <c r="M250" s="22" t="s">
        <v>6628</v>
      </c>
      <c r="N250" s="17" t="s">
        <v>6627</v>
      </c>
      <c r="O250" s="7" t="s">
        <v>5382</v>
      </c>
      <c r="P250" s="7" t="s">
        <v>6406</v>
      </c>
      <c r="Z250" s="3" t="str">
        <f ca="1">HYPERLINK("#"&amp;재료비목록표!G2&amp;"!A"&amp;ROW(재료비목록표!A59),"자재56 →")</f>
        <v>자재56 →</v>
      </c>
    </row>
    <row r="251" spans="1:26" ht="28.7" customHeight="1" x14ac:dyDescent="0.3">
      <c r="A251" s="22" t="s">
        <v>6</v>
      </c>
      <c r="B251" s="74"/>
      <c r="C251" s="74"/>
      <c r="D251" s="74"/>
      <c r="E251" s="74"/>
      <c r="F251" s="48">
        <f>J251+H251+L251</f>
        <v>17044858</v>
      </c>
      <c r="G251" s="74"/>
      <c r="H251" s="48">
        <f>ROUNDDOWN(SUMIF(P249:P250,O251,H249:H250),0)</f>
        <v>1985300</v>
      </c>
      <c r="I251" s="74"/>
      <c r="J251" s="48">
        <f>ROUNDDOWN(SUMIF(P249:P250,O251,J249:J250),0)</f>
        <v>15000000</v>
      </c>
      <c r="K251" s="74"/>
      <c r="L251" s="48">
        <f>ROUNDDOWN(SUMIF(P249:P250,O251,L249:L250),0)</f>
        <v>59558</v>
      </c>
      <c r="M251" s="74"/>
      <c r="O251" s="7" t="s">
        <v>6406</v>
      </c>
    </row>
    <row r="252" spans="1:26" ht="28.7" customHeight="1" x14ac:dyDescent="0.3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</row>
    <row r="253" spans="1:26" ht="28.7" customHeight="1" x14ac:dyDescent="0.3">
      <c r="A253" s="136" t="s">
        <v>140</v>
      </c>
      <c r="B253" s="127"/>
      <c r="C253" s="127"/>
      <c r="D253" s="127"/>
      <c r="E253" s="127"/>
      <c r="F253" s="127"/>
      <c r="G253" s="127"/>
      <c r="H253" s="127"/>
      <c r="I253" s="127"/>
      <c r="J253" s="127"/>
      <c r="K253" s="127"/>
      <c r="L253" s="144"/>
      <c r="M253" s="22" t="s">
        <v>6629</v>
      </c>
      <c r="N253" s="84" t="str">
        <f>HYPERLINK("#N"&amp;ROW(N255),"_x0005_`BDCOD|B04917_x0007_`POSS|"&amp;ROW(N254)&amp;"_x0007_`POSE|"&amp;ROW(N255)&amp;"_x0007_`")</f>
        <v>_x0005_`BDCOD|B04917_x0007_`POSS|254_x0007_`POSE|255_x0007_`</v>
      </c>
      <c r="O253" s="7" t="s">
        <v>6630</v>
      </c>
    </row>
    <row r="254" spans="1:26" ht="28.7" customHeight="1" x14ac:dyDescent="0.3">
      <c r="A254" s="10" t="s">
        <v>1682</v>
      </c>
      <c r="B254" s="10" t="s">
        <v>1766</v>
      </c>
      <c r="C254" s="75">
        <v>1</v>
      </c>
      <c r="D254" s="31" t="s">
        <v>14</v>
      </c>
      <c r="E254" s="55">
        <f>I254+G254+K254</f>
        <v>3289807</v>
      </c>
      <c r="F254" s="76">
        <f>J254+H254+L254</f>
        <v>3289807</v>
      </c>
      <c r="G254" s="78">
        <f>일위대가목록표!F685</f>
        <v>3193989</v>
      </c>
      <c r="H254" s="80">
        <f>IF(C254=0,0,ROUNDDOWN(G254*C254,1))</f>
        <v>3193989</v>
      </c>
      <c r="I254" s="78">
        <f>일위대가목록표!G685</f>
        <v>0</v>
      </c>
      <c r="J254" s="80">
        <f>IF(C254=0,0,ROUNDDOWN(I254*C254,1))</f>
        <v>0</v>
      </c>
      <c r="K254" s="78">
        <f>일위대가목록표!H685</f>
        <v>95818</v>
      </c>
      <c r="L254" s="80">
        <f>IF(C254=0,0,ROUNDDOWN(K254*C254,1))</f>
        <v>95818</v>
      </c>
      <c r="M254" s="22" t="s">
        <v>6467</v>
      </c>
      <c r="N254" s="17" t="s">
        <v>6464</v>
      </c>
      <c r="O254" s="7" t="s">
        <v>6465</v>
      </c>
      <c r="P254" s="7" t="s">
        <v>6406</v>
      </c>
      <c r="Z254" s="3" t="str">
        <f ca="1">HYPERLINK("#"&amp;일위대가목록표!J2&amp;"!A"&amp;ROW(일위대가목록표!A685),"대가682 →")</f>
        <v>대가682 →</v>
      </c>
    </row>
    <row r="255" spans="1:26" ht="28.7" customHeight="1" x14ac:dyDescent="0.3">
      <c r="A255" s="10" t="s">
        <v>123</v>
      </c>
      <c r="B255" s="10" t="s">
        <v>2172</v>
      </c>
      <c r="C255" s="75">
        <v>1</v>
      </c>
      <c r="D255" s="31" t="s">
        <v>14</v>
      </c>
      <c r="E255" s="55">
        <f>I255+G255+K255</f>
        <v>17000000</v>
      </c>
      <c r="F255" s="77">
        <f>J255+H255+L255</f>
        <v>17000000</v>
      </c>
      <c r="G255" s="51">
        <v>0</v>
      </c>
      <c r="H255" s="76">
        <f>IF(C255=0,0,ROUNDDOWN(G255*C255,1))</f>
        <v>0</v>
      </c>
      <c r="I255" s="78">
        <f>재료비목록표!E60</f>
        <v>17000000</v>
      </c>
      <c r="J255" s="81">
        <f>IF(C255=0,0,ROUNDDOWN(I255*C255,1))</f>
        <v>17000000</v>
      </c>
      <c r="K255" s="51">
        <v>0</v>
      </c>
      <c r="L255" s="76">
        <f>IF(C255=0,0,ROUNDDOWN(K255*C255,1))</f>
        <v>0</v>
      </c>
      <c r="M255" s="22" t="s">
        <v>6632</v>
      </c>
      <c r="N255" s="17" t="s">
        <v>6631</v>
      </c>
      <c r="O255" s="7" t="s">
        <v>5385</v>
      </c>
      <c r="P255" s="7" t="s">
        <v>6406</v>
      </c>
      <c r="Z255" s="3" t="str">
        <f ca="1">HYPERLINK("#"&amp;재료비목록표!G2&amp;"!A"&amp;ROW(재료비목록표!A60),"자재57 →")</f>
        <v>자재57 →</v>
      </c>
    </row>
    <row r="256" spans="1:26" ht="28.7" customHeight="1" x14ac:dyDescent="0.3">
      <c r="A256" s="22" t="s">
        <v>6</v>
      </c>
      <c r="B256" s="74"/>
      <c r="C256" s="74"/>
      <c r="D256" s="74"/>
      <c r="E256" s="74"/>
      <c r="F256" s="48">
        <f>J256+H256+L256</f>
        <v>20289807</v>
      </c>
      <c r="G256" s="74"/>
      <c r="H256" s="48">
        <f>ROUNDDOWN(SUMIF(P254:P255,O256,H254:H255),0)</f>
        <v>3193989</v>
      </c>
      <c r="I256" s="74"/>
      <c r="J256" s="48">
        <f>ROUNDDOWN(SUMIF(P254:P255,O256,J254:J255),0)</f>
        <v>17000000</v>
      </c>
      <c r="K256" s="74"/>
      <c r="L256" s="48">
        <f>ROUNDDOWN(SUMIF(P254:P255,O256,L254:L255),0)</f>
        <v>95818</v>
      </c>
      <c r="M256" s="74"/>
      <c r="O256" s="7" t="s">
        <v>6406</v>
      </c>
    </row>
    <row r="257" spans="1:26" ht="28.7" customHeight="1" x14ac:dyDescent="0.3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</row>
    <row r="258" spans="1:26" ht="28.7" customHeight="1" x14ac:dyDescent="0.3">
      <c r="A258" s="136" t="s">
        <v>142</v>
      </c>
      <c r="B258" s="127"/>
      <c r="C258" s="127"/>
      <c r="D258" s="127"/>
      <c r="E258" s="127"/>
      <c r="F258" s="127"/>
      <c r="G258" s="127"/>
      <c r="H258" s="127"/>
      <c r="I258" s="127"/>
      <c r="J258" s="127"/>
      <c r="K258" s="127"/>
      <c r="L258" s="144"/>
      <c r="M258" s="22" t="s">
        <v>6633</v>
      </c>
      <c r="N258" s="84" t="str">
        <f>HYPERLINK("#N"&amp;ROW(N260),"_x0005_`BDCOD|B04918_x0007_`POSS|"&amp;ROW(N259)&amp;"_x0007_`POSE|"&amp;ROW(N260)&amp;"_x0007_`")</f>
        <v>_x0005_`BDCOD|B04918_x0007_`POSS|259_x0007_`POSE|260_x0007_`</v>
      </c>
      <c r="O258" s="7" t="s">
        <v>6634</v>
      </c>
    </row>
    <row r="259" spans="1:26" ht="28.7" customHeight="1" x14ac:dyDescent="0.3">
      <c r="A259" s="10" t="s">
        <v>1682</v>
      </c>
      <c r="B259" s="10" t="s">
        <v>1766</v>
      </c>
      <c r="C259" s="75">
        <v>1</v>
      </c>
      <c r="D259" s="31" t="s">
        <v>14</v>
      </c>
      <c r="E259" s="55">
        <f>I259+G259+K259</f>
        <v>3289807</v>
      </c>
      <c r="F259" s="76">
        <f>J259+H259+L259</f>
        <v>3289807</v>
      </c>
      <c r="G259" s="78">
        <f>일위대가목록표!F685</f>
        <v>3193989</v>
      </c>
      <c r="H259" s="80">
        <f>IF(C259=0,0,ROUNDDOWN(G259*C259,1))</f>
        <v>3193989</v>
      </c>
      <c r="I259" s="78">
        <f>일위대가목록표!G685</f>
        <v>0</v>
      </c>
      <c r="J259" s="80">
        <f>IF(C259=0,0,ROUNDDOWN(I259*C259,1))</f>
        <v>0</v>
      </c>
      <c r="K259" s="78">
        <f>일위대가목록표!H685</f>
        <v>95818</v>
      </c>
      <c r="L259" s="80">
        <f>IF(C259=0,0,ROUNDDOWN(K259*C259,1))</f>
        <v>95818</v>
      </c>
      <c r="M259" s="22" t="s">
        <v>6467</v>
      </c>
      <c r="N259" s="17" t="s">
        <v>6464</v>
      </c>
      <c r="O259" s="7" t="s">
        <v>6465</v>
      </c>
      <c r="P259" s="7" t="s">
        <v>6406</v>
      </c>
      <c r="Z259" s="3" t="str">
        <f ca="1">HYPERLINK("#"&amp;일위대가목록표!J2&amp;"!A"&amp;ROW(일위대가목록표!A685),"대가682 →")</f>
        <v>대가682 →</v>
      </c>
    </row>
    <row r="260" spans="1:26" ht="28.7" customHeight="1" x14ac:dyDescent="0.3">
      <c r="A260" s="10" t="s">
        <v>123</v>
      </c>
      <c r="B260" s="10" t="s">
        <v>2178</v>
      </c>
      <c r="C260" s="75">
        <v>1</v>
      </c>
      <c r="D260" s="31" t="s">
        <v>14</v>
      </c>
      <c r="E260" s="55">
        <f>I260+G260+K260</f>
        <v>17700000</v>
      </c>
      <c r="F260" s="77">
        <f>J260+H260+L260</f>
        <v>17700000</v>
      </c>
      <c r="G260" s="51">
        <v>0</v>
      </c>
      <c r="H260" s="76">
        <f>IF(C260=0,0,ROUNDDOWN(G260*C260,1))</f>
        <v>0</v>
      </c>
      <c r="I260" s="78">
        <f>재료비목록표!E62</f>
        <v>17700000</v>
      </c>
      <c r="J260" s="81">
        <f>IF(C260=0,0,ROUNDDOWN(I260*C260,1))</f>
        <v>17700000</v>
      </c>
      <c r="K260" s="51">
        <v>0</v>
      </c>
      <c r="L260" s="76">
        <f>IF(C260=0,0,ROUNDDOWN(K260*C260,1))</f>
        <v>0</v>
      </c>
      <c r="M260" s="22" t="s">
        <v>6636</v>
      </c>
      <c r="N260" s="17" t="s">
        <v>6635</v>
      </c>
      <c r="O260" s="7" t="s">
        <v>5388</v>
      </c>
      <c r="P260" s="7" t="s">
        <v>6406</v>
      </c>
      <c r="Z260" s="3" t="str">
        <f ca="1">HYPERLINK("#"&amp;재료비목록표!G2&amp;"!A"&amp;ROW(재료비목록표!A62),"자재59 →")</f>
        <v>자재59 →</v>
      </c>
    </row>
    <row r="261" spans="1:26" ht="28.7" customHeight="1" x14ac:dyDescent="0.3">
      <c r="A261" s="22" t="s">
        <v>6</v>
      </c>
      <c r="B261" s="74"/>
      <c r="C261" s="74"/>
      <c r="D261" s="74"/>
      <c r="E261" s="74"/>
      <c r="F261" s="48">
        <f>J261+H261+L261</f>
        <v>20989807</v>
      </c>
      <c r="G261" s="74"/>
      <c r="H261" s="48">
        <f>ROUNDDOWN(SUMIF(P259:P260,O261,H259:H260),0)</f>
        <v>3193989</v>
      </c>
      <c r="I261" s="74"/>
      <c r="J261" s="48">
        <f>ROUNDDOWN(SUMIF(P259:P260,O261,J259:J260),0)</f>
        <v>17700000</v>
      </c>
      <c r="K261" s="74"/>
      <c r="L261" s="48">
        <f>ROUNDDOWN(SUMIF(P259:P260,O261,L259:L260),0)</f>
        <v>95818</v>
      </c>
      <c r="M261" s="74"/>
      <c r="O261" s="7" t="s">
        <v>6406</v>
      </c>
    </row>
    <row r="262" spans="1:26" ht="28.7" customHeight="1" x14ac:dyDescent="0.3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</row>
    <row r="263" spans="1:26" ht="28.7" customHeight="1" x14ac:dyDescent="0.3">
      <c r="A263" s="136" t="s">
        <v>144</v>
      </c>
      <c r="B263" s="127"/>
      <c r="C263" s="127"/>
      <c r="D263" s="127"/>
      <c r="E263" s="127"/>
      <c r="F263" s="127"/>
      <c r="G263" s="127"/>
      <c r="H263" s="127"/>
      <c r="I263" s="127"/>
      <c r="J263" s="127"/>
      <c r="K263" s="127"/>
      <c r="L263" s="144"/>
      <c r="M263" s="22" t="s">
        <v>6637</v>
      </c>
      <c r="N263" s="84" t="str">
        <f>HYPERLINK("#N"&amp;ROW(N265),"_x0005_`BDCOD|B04919_x0007_`POSS|"&amp;ROW(N264)&amp;"_x0007_`POSE|"&amp;ROW(N265)&amp;"_x0007_`")</f>
        <v>_x0005_`BDCOD|B04919_x0007_`POSS|264_x0007_`POSE|265_x0007_`</v>
      </c>
      <c r="O263" s="7" t="s">
        <v>6638</v>
      </c>
    </row>
    <row r="264" spans="1:26" ht="28.7" customHeight="1" x14ac:dyDescent="0.3">
      <c r="A264" s="10" t="s">
        <v>1682</v>
      </c>
      <c r="B264" s="10" t="s">
        <v>1775</v>
      </c>
      <c r="C264" s="75">
        <v>1</v>
      </c>
      <c r="D264" s="31" t="s">
        <v>14</v>
      </c>
      <c r="E264" s="55">
        <f>I264+G264+K264</f>
        <v>4030109</v>
      </c>
      <c r="F264" s="76">
        <f>J264+H264+L264</f>
        <v>4030109</v>
      </c>
      <c r="G264" s="78">
        <f>일위대가목록표!F688</f>
        <v>3912728</v>
      </c>
      <c r="H264" s="80">
        <f>IF(C264=0,0,ROUNDDOWN(G264*C264,1))</f>
        <v>3912728</v>
      </c>
      <c r="I264" s="78">
        <f>일위대가목록표!G688</f>
        <v>0</v>
      </c>
      <c r="J264" s="80">
        <f>IF(C264=0,0,ROUNDDOWN(I264*C264,1))</f>
        <v>0</v>
      </c>
      <c r="K264" s="78">
        <f>일위대가목록표!H688</f>
        <v>117381</v>
      </c>
      <c r="L264" s="80">
        <f>IF(C264=0,0,ROUNDDOWN(K264*C264,1))</f>
        <v>117381</v>
      </c>
      <c r="M264" s="22" t="s">
        <v>6478</v>
      </c>
      <c r="N264" s="17" t="s">
        <v>6475</v>
      </c>
      <c r="O264" s="7" t="s">
        <v>6476</v>
      </c>
      <c r="P264" s="7" t="s">
        <v>6406</v>
      </c>
      <c r="Z264" s="3" t="str">
        <f ca="1">HYPERLINK("#"&amp;일위대가목록표!J2&amp;"!A"&amp;ROW(일위대가목록표!A688),"대가685 →")</f>
        <v>대가685 →</v>
      </c>
    </row>
    <row r="265" spans="1:26" ht="28.7" customHeight="1" x14ac:dyDescent="0.3">
      <c r="A265" s="10" t="s">
        <v>123</v>
      </c>
      <c r="B265" s="10" t="s">
        <v>47</v>
      </c>
      <c r="C265" s="75">
        <v>1</v>
      </c>
      <c r="D265" s="31" t="s">
        <v>14</v>
      </c>
      <c r="E265" s="55">
        <f>I265+G265+K265</f>
        <v>62000000</v>
      </c>
      <c r="F265" s="77">
        <f>J265+H265+L265</f>
        <v>62000000</v>
      </c>
      <c r="G265" s="51">
        <v>0</v>
      </c>
      <c r="H265" s="76">
        <f>IF(C265=0,0,ROUNDDOWN(G265*C265,1))</f>
        <v>0</v>
      </c>
      <c r="I265" s="78">
        <f>재료비목록표!E52</f>
        <v>62000000</v>
      </c>
      <c r="J265" s="81">
        <f>IF(C265=0,0,ROUNDDOWN(I265*C265,1))</f>
        <v>62000000</v>
      </c>
      <c r="K265" s="51">
        <v>0</v>
      </c>
      <c r="L265" s="76">
        <f>IF(C265=0,0,ROUNDDOWN(K265*C265,1))</f>
        <v>0</v>
      </c>
      <c r="M265" s="22" t="s">
        <v>6640</v>
      </c>
      <c r="N265" s="17" t="s">
        <v>6639</v>
      </c>
      <c r="O265" s="7" t="s">
        <v>5391</v>
      </c>
      <c r="P265" s="7" t="s">
        <v>6406</v>
      </c>
      <c r="Z265" s="3" t="str">
        <f ca="1">HYPERLINK("#"&amp;재료비목록표!G2&amp;"!A"&amp;ROW(재료비목록표!A52),"자재49 →")</f>
        <v>자재49 →</v>
      </c>
    </row>
    <row r="266" spans="1:26" ht="28.7" customHeight="1" x14ac:dyDescent="0.3">
      <c r="A266" s="22" t="s">
        <v>6</v>
      </c>
      <c r="B266" s="74"/>
      <c r="C266" s="74"/>
      <c r="D266" s="74"/>
      <c r="E266" s="74"/>
      <c r="F266" s="48">
        <f>J266+H266+L266</f>
        <v>66030109</v>
      </c>
      <c r="G266" s="74"/>
      <c r="H266" s="48">
        <f>ROUNDDOWN(SUMIF(P264:P265,O266,H264:H265),0)</f>
        <v>3912728</v>
      </c>
      <c r="I266" s="74"/>
      <c r="J266" s="48">
        <f>ROUNDDOWN(SUMIF(P264:P265,O266,J264:J265),0)</f>
        <v>62000000</v>
      </c>
      <c r="K266" s="74"/>
      <c r="L266" s="48">
        <f>ROUNDDOWN(SUMIF(P264:P265,O266,L264:L265),0)</f>
        <v>117381</v>
      </c>
      <c r="M266" s="74"/>
      <c r="O266" s="7" t="s">
        <v>6406</v>
      </c>
    </row>
    <row r="267" spans="1:26" ht="28.7" customHeight="1" x14ac:dyDescent="0.3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</row>
    <row r="268" spans="1:26" ht="28.7" customHeight="1" x14ac:dyDescent="0.3">
      <c r="A268" s="136" t="s">
        <v>146</v>
      </c>
      <c r="B268" s="127"/>
      <c r="C268" s="127"/>
      <c r="D268" s="127"/>
      <c r="E268" s="127"/>
      <c r="F268" s="127"/>
      <c r="G268" s="127"/>
      <c r="H268" s="127"/>
      <c r="I268" s="127"/>
      <c r="J268" s="127"/>
      <c r="K268" s="127"/>
      <c r="L268" s="144"/>
      <c r="M268" s="22" t="s">
        <v>6641</v>
      </c>
      <c r="N268" s="84" t="str">
        <f>HYPERLINK("#N"&amp;ROW(N269),"_x0005_`BDCOD|B05117_x0007_`POSS|"&amp;ROW(N269)&amp;"_x0007_`POSE|"&amp;ROW(N269)&amp;"_x0007_`")</f>
        <v>_x0005_`BDCOD|B05117_x0007_`POSS|269_x0007_`POSE|269_x0007_`</v>
      </c>
      <c r="O268" s="7" t="s">
        <v>6642</v>
      </c>
    </row>
    <row r="269" spans="1:26" ht="28.7" customHeight="1" x14ac:dyDescent="0.3">
      <c r="A269" s="10" t="s">
        <v>1682</v>
      </c>
      <c r="B269" s="10" t="s">
        <v>1683</v>
      </c>
      <c r="C269" s="75">
        <v>1</v>
      </c>
      <c r="D269" s="31" t="s">
        <v>14</v>
      </c>
      <c r="E269" s="55">
        <f>I269+G269+K269</f>
        <v>365273</v>
      </c>
      <c r="F269" s="76">
        <f>J269+H269+L269</f>
        <v>365273</v>
      </c>
      <c r="G269" s="78">
        <f>일위대가목록표!F658</f>
        <v>354635</v>
      </c>
      <c r="H269" s="80">
        <f>IF(C269=0,0,ROUNDDOWN(G269*C269,1))</f>
        <v>354635</v>
      </c>
      <c r="I269" s="78">
        <f>일위대가목록표!G658</f>
        <v>0</v>
      </c>
      <c r="J269" s="80">
        <f>IF(C269=0,0,ROUNDDOWN(I269*C269,1))</f>
        <v>0</v>
      </c>
      <c r="K269" s="78">
        <f>일위대가목록표!H658</f>
        <v>10638</v>
      </c>
      <c r="L269" s="80">
        <f>IF(C269=0,0,ROUNDDOWN(K269*C269,1))</f>
        <v>10638</v>
      </c>
      <c r="M269" s="22" t="s">
        <v>6403</v>
      </c>
      <c r="N269" s="17" t="s">
        <v>6400</v>
      </c>
      <c r="O269" s="7" t="s">
        <v>6401</v>
      </c>
      <c r="P269" s="7" t="s">
        <v>6406</v>
      </c>
      <c r="Z269" s="3" t="str">
        <f ca="1">HYPERLINK("#"&amp;일위대가목록표!J2&amp;"!A"&amp;ROW(일위대가목록표!A658),"대가655 →")</f>
        <v>대가655 →</v>
      </c>
    </row>
    <row r="270" spans="1:26" ht="28.7" customHeight="1" x14ac:dyDescent="0.3">
      <c r="A270" s="22" t="s">
        <v>6</v>
      </c>
      <c r="B270" s="74"/>
      <c r="C270" s="74"/>
      <c r="D270" s="74"/>
      <c r="E270" s="74"/>
      <c r="F270" s="48">
        <f>J270+H270+L270</f>
        <v>365273</v>
      </c>
      <c r="G270" s="74"/>
      <c r="H270" s="48">
        <f>ROUNDDOWN(SUMIF(P269:P269,O270,H269:H269),0)</f>
        <v>354635</v>
      </c>
      <c r="I270" s="74"/>
      <c r="J270" s="48">
        <f>ROUNDDOWN(SUMIF(P269:P269,O270,J269:J269),0)</f>
        <v>0</v>
      </c>
      <c r="K270" s="74"/>
      <c r="L270" s="48">
        <f>ROUNDDOWN(SUMIF(P269:P269,O270,L269:L269),0)</f>
        <v>10638</v>
      </c>
      <c r="M270" s="74"/>
      <c r="O270" s="7" t="s">
        <v>6406</v>
      </c>
    </row>
    <row r="271" spans="1:26" ht="28.7" customHeight="1" x14ac:dyDescent="0.3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</row>
    <row r="272" spans="1:26" ht="28.7" customHeight="1" x14ac:dyDescent="0.3">
      <c r="A272" s="136" t="s">
        <v>149</v>
      </c>
      <c r="B272" s="127"/>
      <c r="C272" s="127"/>
      <c r="D272" s="127"/>
      <c r="E272" s="127"/>
      <c r="F272" s="127"/>
      <c r="G272" s="127"/>
      <c r="H272" s="127"/>
      <c r="I272" s="127"/>
      <c r="J272" s="127"/>
      <c r="K272" s="127"/>
      <c r="L272" s="144"/>
      <c r="M272" s="22" t="s">
        <v>6643</v>
      </c>
      <c r="N272" s="84" t="str">
        <f>HYPERLINK("#N"&amp;ROW(N273),"_x0005_`BDCOD|B05118_x0007_`POSS|"&amp;ROW(N273)&amp;"_x0007_`POSE|"&amp;ROW(N273)&amp;"_x0007_`")</f>
        <v>_x0005_`BDCOD|B05118_x0007_`POSS|273_x0007_`POSE|273_x0007_`</v>
      </c>
      <c r="O272" s="7" t="s">
        <v>6644</v>
      </c>
    </row>
    <row r="273" spans="1:26" ht="28.7" customHeight="1" x14ac:dyDescent="0.3">
      <c r="A273" s="10" t="s">
        <v>1682</v>
      </c>
      <c r="B273" s="10" t="s">
        <v>1694</v>
      </c>
      <c r="C273" s="75">
        <v>1</v>
      </c>
      <c r="D273" s="31" t="s">
        <v>14</v>
      </c>
      <c r="E273" s="55">
        <f>I273+G273+K273</f>
        <v>420901</v>
      </c>
      <c r="F273" s="76">
        <f>J273+H273+L273</f>
        <v>420901</v>
      </c>
      <c r="G273" s="78">
        <f>일위대가목록표!F661</f>
        <v>408643</v>
      </c>
      <c r="H273" s="80">
        <f>IF(C273=0,0,ROUNDDOWN(G273*C273,1))</f>
        <v>408643</v>
      </c>
      <c r="I273" s="78">
        <f>일위대가목록표!G661</f>
        <v>0</v>
      </c>
      <c r="J273" s="80">
        <f>IF(C273=0,0,ROUNDDOWN(I273*C273,1))</f>
        <v>0</v>
      </c>
      <c r="K273" s="78">
        <f>일위대가목록표!H661</f>
        <v>12258</v>
      </c>
      <c r="L273" s="80">
        <f>IF(C273=0,0,ROUNDDOWN(K273*C273,1))</f>
        <v>12258</v>
      </c>
      <c r="M273" s="22" t="s">
        <v>6411</v>
      </c>
      <c r="N273" s="17" t="s">
        <v>6408</v>
      </c>
      <c r="O273" s="7" t="s">
        <v>6409</v>
      </c>
      <c r="P273" s="7" t="s">
        <v>6406</v>
      </c>
      <c r="Z273" s="3" t="str">
        <f ca="1">HYPERLINK("#"&amp;일위대가목록표!J2&amp;"!A"&amp;ROW(일위대가목록표!A661),"대가658 →")</f>
        <v>대가658 →</v>
      </c>
    </row>
    <row r="274" spans="1:26" ht="28.7" customHeight="1" x14ac:dyDescent="0.3">
      <c r="A274" s="22" t="s">
        <v>6</v>
      </c>
      <c r="B274" s="74"/>
      <c r="C274" s="74"/>
      <c r="D274" s="74"/>
      <c r="E274" s="74"/>
      <c r="F274" s="48">
        <f>J274+H274+L274</f>
        <v>420901</v>
      </c>
      <c r="G274" s="74"/>
      <c r="H274" s="48">
        <f>ROUNDDOWN(SUMIF(P273:P273,O274,H273:H273),0)</f>
        <v>408643</v>
      </c>
      <c r="I274" s="74"/>
      <c r="J274" s="48">
        <f>ROUNDDOWN(SUMIF(P273:P273,O274,J273:J273),0)</f>
        <v>0</v>
      </c>
      <c r="K274" s="74"/>
      <c r="L274" s="48">
        <f>ROUNDDOWN(SUMIF(P273:P273,O274,L273:L273),0)</f>
        <v>12258</v>
      </c>
      <c r="M274" s="74"/>
      <c r="O274" s="7" t="s">
        <v>6406</v>
      </c>
    </row>
    <row r="275" spans="1:26" ht="28.7" customHeight="1" x14ac:dyDescent="0.3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</row>
    <row r="276" spans="1:26" ht="28.7" customHeight="1" x14ac:dyDescent="0.3">
      <c r="A276" s="136" t="s">
        <v>151</v>
      </c>
      <c r="B276" s="127"/>
      <c r="C276" s="127"/>
      <c r="D276" s="127"/>
      <c r="E276" s="127"/>
      <c r="F276" s="127"/>
      <c r="G276" s="127"/>
      <c r="H276" s="127"/>
      <c r="I276" s="127"/>
      <c r="J276" s="127"/>
      <c r="K276" s="127"/>
      <c r="L276" s="144"/>
      <c r="M276" s="22" t="s">
        <v>6645</v>
      </c>
      <c r="N276" s="84" t="str">
        <f>HYPERLINK("#N"&amp;ROW(N277),"_x0005_`BDCOD|B05119_x0007_`POSS|"&amp;ROW(N277)&amp;"_x0007_`POSE|"&amp;ROW(N277)&amp;"_x0007_`")</f>
        <v>_x0005_`BDCOD|B05119_x0007_`POSS|277_x0007_`POSE|277_x0007_`</v>
      </c>
      <c r="O276" s="7" t="s">
        <v>6646</v>
      </c>
    </row>
    <row r="277" spans="1:26" ht="28.7" customHeight="1" x14ac:dyDescent="0.3">
      <c r="A277" s="10" t="s">
        <v>1682</v>
      </c>
      <c r="B277" s="10" t="s">
        <v>1703</v>
      </c>
      <c r="C277" s="75">
        <v>1</v>
      </c>
      <c r="D277" s="31" t="s">
        <v>14</v>
      </c>
      <c r="E277" s="55">
        <f>I277+G277+K277</f>
        <v>483348</v>
      </c>
      <c r="F277" s="76">
        <f>J277+H277+L277</f>
        <v>483348</v>
      </c>
      <c r="G277" s="78">
        <f>일위대가목록표!F664</f>
        <v>469271</v>
      </c>
      <c r="H277" s="80">
        <f>IF(C277=0,0,ROUNDDOWN(G277*C277,1))</f>
        <v>469271</v>
      </c>
      <c r="I277" s="78">
        <f>일위대가목록표!G664</f>
        <v>0</v>
      </c>
      <c r="J277" s="80">
        <f>IF(C277=0,0,ROUNDDOWN(I277*C277,1))</f>
        <v>0</v>
      </c>
      <c r="K277" s="78">
        <f>일위대가목록표!H664</f>
        <v>14077</v>
      </c>
      <c r="L277" s="80">
        <f>IF(C277=0,0,ROUNDDOWN(K277*C277,1))</f>
        <v>14077</v>
      </c>
      <c r="M277" s="22" t="s">
        <v>6418</v>
      </c>
      <c r="N277" s="17" t="s">
        <v>6415</v>
      </c>
      <c r="O277" s="7" t="s">
        <v>6416</v>
      </c>
      <c r="P277" s="7" t="s">
        <v>6406</v>
      </c>
      <c r="Z277" s="3" t="str">
        <f ca="1">HYPERLINK("#"&amp;일위대가목록표!J2&amp;"!A"&amp;ROW(일위대가목록표!A664),"대가661 →")</f>
        <v>대가661 →</v>
      </c>
    </row>
    <row r="278" spans="1:26" ht="28.7" customHeight="1" x14ac:dyDescent="0.3">
      <c r="A278" s="22" t="s">
        <v>6</v>
      </c>
      <c r="B278" s="74"/>
      <c r="C278" s="74"/>
      <c r="D278" s="74"/>
      <c r="E278" s="74"/>
      <c r="F278" s="48">
        <f>J278+H278+L278</f>
        <v>483348</v>
      </c>
      <c r="G278" s="74"/>
      <c r="H278" s="48">
        <f>ROUNDDOWN(SUMIF(P277:P277,O278,H277:H277),0)</f>
        <v>469271</v>
      </c>
      <c r="I278" s="74"/>
      <c r="J278" s="48">
        <f>ROUNDDOWN(SUMIF(P277:P277,O278,J277:J277),0)</f>
        <v>0</v>
      </c>
      <c r="K278" s="74"/>
      <c r="L278" s="48">
        <f>ROUNDDOWN(SUMIF(P277:P277,O278,L277:L277),0)</f>
        <v>14077</v>
      </c>
      <c r="M278" s="74"/>
      <c r="O278" s="7" t="s">
        <v>6406</v>
      </c>
    </row>
    <row r="279" spans="1:26" ht="28.7" customHeight="1" x14ac:dyDescent="0.3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</row>
    <row r="280" spans="1:26" ht="28.7" customHeight="1" x14ac:dyDescent="0.3">
      <c r="A280" s="136" t="s">
        <v>153</v>
      </c>
      <c r="B280" s="127"/>
      <c r="C280" s="127"/>
      <c r="D280" s="127"/>
      <c r="E280" s="127"/>
      <c r="F280" s="127"/>
      <c r="G280" s="127"/>
      <c r="H280" s="127"/>
      <c r="I280" s="127"/>
      <c r="J280" s="127"/>
      <c r="K280" s="127"/>
      <c r="L280" s="144"/>
      <c r="M280" s="22" t="s">
        <v>6647</v>
      </c>
      <c r="N280" s="84" t="str">
        <f>HYPERLINK("#N"&amp;ROW(N281),"_x0005_`BDCOD|B05120_x0007_`POSS|"&amp;ROW(N281)&amp;"_x0007_`POSE|"&amp;ROW(N281)&amp;"_x0007_`")</f>
        <v>_x0005_`BDCOD|B05120_x0007_`POSS|281_x0007_`POSE|281_x0007_`</v>
      </c>
      <c r="O280" s="7" t="s">
        <v>6648</v>
      </c>
    </row>
    <row r="281" spans="1:26" ht="28.7" customHeight="1" x14ac:dyDescent="0.3">
      <c r="A281" s="10" t="s">
        <v>1682</v>
      </c>
      <c r="B281" s="10" t="s">
        <v>1712</v>
      </c>
      <c r="C281" s="75">
        <v>1</v>
      </c>
      <c r="D281" s="31" t="s">
        <v>14</v>
      </c>
      <c r="E281" s="55">
        <f>I281+G281+K281</f>
        <v>582367</v>
      </c>
      <c r="F281" s="76">
        <f>J281+H281+L281</f>
        <v>582367</v>
      </c>
      <c r="G281" s="78">
        <f>일위대가목록표!F667</f>
        <v>565406</v>
      </c>
      <c r="H281" s="80">
        <f>IF(C281=0,0,ROUNDDOWN(G281*C281,1))</f>
        <v>565406</v>
      </c>
      <c r="I281" s="78">
        <f>일위대가목록표!G667</f>
        <v>0</v>
      </c>
      <c r="J281" s="80">
        <f>IF(C281=0,0,ROUNDDOWN(I281*C281,1))</f>
        <v>0</v>
      </c>
      <c r="K281" s="78">
        <f>일위대가목록표!H667</f>
        <v>16961</v>
      </c>
      <c r="L281" s="80">
        <f>IF(C281=0,0,ROUNDDOWN(K281*C281,1))</f>
        <v>16961</v>
      </c>
      <c r="M281" s="22" t="s">
        <v>6425</v>
      </c>
      <c r="N281" s="17" t="s">
        <v>6422</v>
      </c>
      <c r="O281" s="7" t="s">
        <v>6423</v>
      </c>
      <c r="P281" s="7" t="s">
        <v>6406</v>
      </c>
      <c r="Z281" s="3" t="str">
        <f ca="1">HYPERLINK("#"&amp;일위대가목록표!J2&amp;"!A"&amp;ROW(일위대가목록표!A667),"대가664 →")</f>
        <v>대가664 →</v>
      </c>
    </row>
    <row r="282" spans="1:26" ht="28.7" customHeight="1" x14ac:dyDescent="0.3">
      <c r="A282" s="22" t="s">
        <v>6</v>
      </c>
      <c r="B282" s="74"/>
      <c r="C282" s="74"/>
      <c r="D282" s="74"/>
      <c r="E282" s="74"/>
      <c r="F282" s="48">
        <f>J282+H282+L282</f>
        <v>582367</v>
      </c>
      <c r="G282" s="74"/>
      <c r="H282" s="48">
        <f>ROUNDDOWN(SUMIF(P281:P281,O282,H281:H281),0)</f>
        <v>565406</v>
      </c>
      <c r="I282" s="74"/>
      <c r="J282" s="48">
        <f>ROUNDDOWN(SUMIF(P281:P281,O282,J281:J281),0)</f>
        <v>0</v>
      </c>
      <c r="K282" s="74"/>
      <c r="L282" s="48">
        <f>ROUNDDOWN(SUMIF(P281:P281,O282,L281:L281),0)</f>
        <v>16961</v>
      </c>
      <c r="M282" s="74"/>
      <c r="O282" s="7" t="s">
        <v>6406</v>
      </c>
    </row>
    <row r="283" spans="1:26" ht="28.7" customHeight="1" x14ac:dyDescent="0.3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</row>
    <row r="284" spans="1:26" ht="28.7" customHeight="1" x14ac:dyDescent="0.3">
      <c r="A284" s="136" t="s">
        <v>155</v>
      </c>
      <c r="B284" s="127"/>
      <c r="C284" s="127"/>
      <c r="D284" s="127"/>
      <c r="E284" s="127"/>
      <c r="F284" s="127"/>
      <c r="G284" s="127"/>
      <c r="H284" s="127"/>
      <c r="I284" s="127"/>
      <c r="J284" s="127"/>
      <c r="K284" s="127"/>
      <c r="L284" s="144"/>
      <c r="M284" s="22" t="s">
        <v>6649</v>
      </c>
      <c r="N284" s="84" t="str">
        <f>HYPERLINK("#N"&amp;ROW(N285),"_x0005_`BDCOD|B05121_x0007_`POSS|"&amp;ROW(N285)&amp;"_x0007_`POSE|"&amp;ROW(N285)&amp;"_x0007_`")</f>
        <v>_x0005_`BDCOD|B05121_x0007_`POSS|285_x0007_`POSE|285_x0007_`</v>
      </c>
      <c r="O284" s="7" t="s">
        <v>6650</v>
      </c>
    </row>
    <row r="285" spans="1:26" ht="28.7" customHeight="1" x14ac:dyDescent="0.3">
      <c r="A285" s="10" t="s">
        <v>1682</v>
      </c>
      <c r="B285" s="10" t="s">
        <v>1721</v>
      </c>
      <c r="C285" s="75">
        <v>1</v>
      </c>
      <c r="D285" s="31" t="s">
        <v>14</v>
      </c>
      <c r="E285" s="55">
        <f>I285+G285+K285</f>
        <v>734777</v>
      </c>
      <c r="F285" s="76">
        <f>J285+H285+L285</f>
        <v>734777</v>
      </c>
      <c r="G285" s="78">
        <f>일위대가목록표!F670</f>
        <v>713377</v>
      </c>
      <c r="H285" s="80">
        <f>IF(C285=0,0,ROUNDDOWN(G285*C285,1))</f>
        <v>713377</v>
      </c>
      <c r="I285" s="78">
        <f>일위대가목록표!G670</f>
        <v>0</v>
      </c>
      <c r="J285" s="80">
        <f>IF(C285=0,0,ROUNDDOWN(I285*C285,1))</f>
        <v>0</v>
      </c>
      <c r="K285" s="78">
        <f>일위대가목록표!H670</f>
        <v>21400</v>
      </c>
      <c r="L285" s="80">
        <f>IF(C285=0,0,ROUNDDOWN(K285*C285,1))</f>
        <v>21400</v>
      </c>
      <c r="M285" s="22" t="s">
        <v>6432</v>
      </c>
      <c r="N285" s="17" t="s">
        <v>6429</v>
      </c>
      <c r="O285" s="7" t="s">
        <v>6430</v>
      </c>
      <c r="P285" s="7" t="s">
        <v>6406</v>
      </c>
      <c r="Z285" s="3" t="str">
        <f ca="1">HYPERLINK("#"&amp;일위대가목록표!J2&amp;"!A"&amp;ROW(일위대가목록표!A670),"대가667 →")</f>
        <v>대가667 →</v>
      </c>
    </row>
    <row r="286" spans="1:26" ht="28.7" customHeight="1" x14ac:dyDescent="0.3">
      <c r="A286" s="22" t="s">
        <v>6</v>
      </c>
      <c r="B286" s="74"/>
      <c r="C286" s="74"/>
      <c r="D286" s="74"/>
      <c r="E286" s="74"/>
      <c r="F286" s="48">
        <f>J286+H286+L286</f>
        <v>734777</v>
      </c>
      <c r="G286" s="74"/>
      <c r="H286" s="48">
        <f>ROUNDDOWN(SUMIF(P285:P285,O286,H285:H285),0)</f>
        <v>713377</v>
      </c>
      <c r="I286" s="74"/>
      <c r="J286" s="48">
        <f>ROUNDDOWN(SUMIF(P285:P285,O286,J285:J285),0)</f>
        <v>0</v>
      </c>
      <c r="K286" s="74"/>
      <c r="L286" s="48">
        <f>ROUNDDOWN(SUMIF(P285:P285,O286,L285:L285),0)</f>
        <v>21400</v>
      </c>
      <c r="M286" s="74"/>
      <c r="O286" s="7" t="s">
        <v>6406</v>
      </c>
    </row>
    <row r="287" spans="1:26" ht="28.7" customHeight="1" x14ac:dyDescent="0.3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</row>
    <row r="288" spans="1:26" ht="28.7" customHeight="1" x14ac:dyDescent="0.3">
      <c r="A288" s="136" t="s">
        <v>157</v>
      </c>
      <c r="B288" s="127"/>
      <c r="C288" s="127"/>
      <c r="D288" s="127"/>
      <c r="E288" s="127"/>
      <c r="F288" s="127"/>
      <c r="G288" s="127"/>
      <c r="H288" s="127"/>
      <c r="I288" s="127"/>
      <c r="J288" s="127"/>
      <c r="K288" s="127"/>
      <c r="L288" s="144"/>
      <c r="M288" s="22" t="s">
        <v>6651</v>
      </c>
      <c r="N288" s="84" t="str">
        <f>HYPERLINK("#N"&amp;ROW(N289),"_x0005_`BDCOD|B05122_x0007_`POSS|"&amp;ROW(N289)&amp;"_x0007_`POSE|"&amp;ROW(N289)&amp;"_x0007_`")</f>
        <v>_x0005_`BDCOD|B05122_x0007_`POSS|289_x0007_`POSE|289_x0007_`</v>
      </c>
      <c r="O288" s="7" t="s">
        <v>6652</v>
      </c>
    </row>
    <row r="289" spans="1:26" ht="28.7" customHeight="1" x14ac:dyDescent="0.3">
      <c r="A289" s="10" t="s">
        <v>1682</v>
      </c>
      <c r="B289" s="10" t="s">
        <v>1730</v>
      </c>
      <c r="C289" s="75">
        <v>1</v>
      </c>
      <c r="D289" s="31" t="s">
        <v>14</v>
      </c>
      <c r="E289" s="55">
        <f>I289+G289+K289</f>
        <v>923410</v>
      </c>
      <c r="F289" s="76">
        <f>J289+H289+L289</f>
        <v>923410</v>
      </c>
      <c r="G289" s="78">
        <f>일위대가목록표!F673</f>
        <v>896515</v>
      </c>
      <c r="H289" s="80">
        <f>IF(C289=0,0,ROUNDDOWN(G289*C289,1))</f>
        <v>896515</v>
      </c>
      <c r="I289" s="78">
        <f>일위대가목록표!G673</f>
        <v>0</v>
      </c>
      <c r="J289" s="80">
        <f>IF(C289=0,0,ROUNDDOWN(I289*C289,1))</f>
        <v>0</v>
      </c>
      <c r="K289" s="78">
        <f>일위대가목록표!H673</f>
        <v>26895</v>
      </c>
      <c r="L289" s="80">
        <f>IF(C289=0,0,ROUNDDOWN(K289*C289,1))</f>
        <v>26895</v>
      </c>
      <c r="M289" s="22" t="s">
        <v>6439</v>
      </c>
      <c r="N289" s="17" t="s">
        <v>6436</v>
      </c>
      <c r="O289" s="7" t="s">
        <v>6437</v>
      </c>
      <c r="P289" s="7" t="s">
        <v>6406</v>
      </c>
      <c r="Z289" s="3" t="str">
        <f ca="1">HYPERLINK("#"&amp;일위대가목록표!J2&amp;"!A"&amp;ROW(일위대가목록표!A673),"대가670 →")</f>
        <v>대가670 →</v>
      </c>
    </row>
    <row r="290" spans="1:26" ht="28.7" customHeight="1" x14ac:dyDescent="0.3">
      <c r="A290" s="22" t="s">
        <v>6</v>
      </c>
      <c r="B290" s="74"/>
      <c r="C290" s="74"/>
      <c r="D290" s="74"/>
      <c r="E290" s="74"/>
      <c r="F290" s="48">
        <f>J290+H290+L290</f>
        <v>923410</v>
      </c>
      <c r="G290" s="74"/>
      <c r="H290" s="48">
        <f>ROUNDDOWN(SUMIF(P289:P289,O290,H289:H289),0)</f>
        <v>896515</v>
      </c>
      <c r="I290" s="74"/>
      <c r="J290" s="48">
        <f>ROUNDDOWN(SUMIF(P289:P289,O290,J289:J289),0)</f>
        <v>0</v>
      </c>
      <c r="K290" s="74"/>
      <c r="L290" s="48">
        <f>ROUNDDOWN(SUMIF(P289:P289,O290,L289:L289),0)</f>
        <v>26895</v>
      </c>
      <c r="M290" s="74"/>
      <c r="O290" s="7" t="s">
        <v>6406</v>
      </c>
    </row>
    <row r="291" spans="1:26" ht="28.7" customHeight="1" x14ac:dyDescent="0.3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</row>
    <row r="292" spans="1:26" ht="28.7" customHeight="1" x14ac:dyDescent="0.3">
      <c r="A292" s="136" t="s">
        <v>159</v>
      </c>
      <c r="B292" s="127"/>
      <c r="C292" s="127"/>
      <c r="D292" s="127"/>
      <c r="E292" s="127"/>
      <c r="F292" s="127"/>
      <c r="G292" s="127"/>
      <c r="H292" s="127"/>
      <c r="I292" s="127"/>
      <c r="J292" s="127"/>
      <c r="K292" s="127"/>
      <c r="L292" s="144"/>
      <c r="M292" s="22" t="s">
        <v>6653</v>
      </c>
      <c r="N292" s="84" t="str">
        <f>HYPERLINK("#N"&amp;ROW(N293),"_x0005_`BDCOD|B05123_x0007_`POSS|"&amp;ROW(N293)&amp;"_x0007_`POSE|"&amp;ROW(N293)&amp;"_x0007_`")</f>
        <v>_x0005_`BDCOD|B05123_x0007_`POSS|293_x0007_`POSE|293_x0007_`</v>
      </c>
      <c r="O292" s="7" t="s">
        <v>6654</v>
      </c>
    </row>
    <row r="293" spans="1:26" ht="28.7" customHeight="1" x14ac:dyDescent="0.3">
      <c r="A293" s="10" t="s">
        <v>1682</v>
      </c>
      <c r="B293" s="10" t="s">
        <v>1739</v>
      </c>
      <c r="C293" s="75">
        <v>1</v>
      </c>
      <c r="D293" s="31" t="s">
        <v>14</v>
      </c>
      <c r="E293" s="55">
        <f>I293+G293+K293</f>
        <v>980333</v>
      </c>
      <c r="F293" s="76">
        <f>J293+H293+L293</f>
        <v>980333</v>
      </c>
      <c r="G293" s="78">
        <f>일위대가목록표!F676</f>
        <v>951780</v>
      </c>
      <c r="H293" s="80">
        <f>IF(C293=0,0,ROUNDDOWN(G293*C293,1))</f>
        <v>951780</v>
      </c>
      <c r="I293" s="78">
        <f>일위대가목록표!G676</f>
        <v>0</v>
      </c>
      <c r="J293" s="80">
        <f>IF(C293=0,0,ROUNDDOWN(I293*C293,1))</f>
        <v>0</v>
      </c>
      <c r="K293" s="78">
        <f>일위대가목록표!H676</f>
        <v>28553</v>
      </c>
      <c r="L293" s="80">
        <f>IF(C293=0,0,ROUNDDOWN(K293*C293,1))</f>
        <v>28553</v>
      </c>
      <c r="M293" s="22" t="s">
        <v>6446</v>
      </c>
      <c r="N293" s="17" t="s">
        <v>6443</v>
      </c>
      <c r="O293" s="7" t="s">
        <v>6444</v>
      </c>
      <c r="P293" s="7" t="s">
        <v>6406</v>
      </c>
      <c r="Z293" s="3" t="str">
        <f ca="1">HYPERLINK("#"&amp;일위대가목록표!J2&amp;"!A"&amp;ROW(일위대가목록표!A676),"대가673 →")</f>
        <v>대가673 →</v>
      </c>
    </row>
    <row r="294" spans="1:26" ht="28.7" customHeight="1" x14ac:dyDescent="0.3">
      <c r="A294" s="22" t="s">
        <v>6</v>
      </c>
      <c r="B294" s="74"/>
      <c r="C294" s="74"/>
      <c r="D294" s="74"/>
      <c r="E294" s="74"/>
      <c r="F294" s="48">
        <f>J294+H294+L294</f>
        <v>980333</v>
      </c>
      <c r="G294" s="74"/>
      <c r="H294" s="48">
        <f>ROUNDDOWN(SUMIF(P293:P293,O294,H293:H293),0)</f>
        <v>951780</v>
      </c>
      <c r="I294" s="74"/>
      <c r="J294" s="48">
        <f>ROUNDDOWN(SUMIF(P293:P293,O294,J293:J293),0)</f>
        <v>0</v>
      </c>
      <c r="K294" s="74"/>
      <c r="L294" s="48">
        <f>ROUNDDOWN(SUMIF(P293:P293,O294,L293:L293),0)</f>
        <v>28553</v>
      </c>
      <c r="M294" s="74"/>
      <c r="O294" s="7" t="s">
        <v>6406</v>
      </c>
    </row>
    <row r="295" spans="1:26" ht="28.7" customHeight="1" x14ac:dyDescent="0.3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</row>
    <row r="296" spans="1:26" ht="28.7" customHeight="1" x14ac:dyDescent="0.3">
      <c r="A296" s="136" t="s">
        <v>161</v>
      </c>
      <c r="B296" s="127"/>
      <c r="C296" s="127"/>
      <c r="D296" s="127"/>
      <c r="E296" s="127"/>
      <c r="F296" s="127"/>
      <c r="G296" s="127"/>
      <c r="H296" s="127"/>
      <c r="I296" s="127"/>
      <c r="J296" s="127"/>
      <c r="K296" s="127"/>
      <c r="L296" s="144"/>
      <c r="M296" s="22" t="s">
        <v>6655</v>
      </c>
      <c r="N296" s="84" t="str">
        <f>HYPERLINK("#N"&amp;ROW(N297),"_x0005_`BDCOD|B05124_x0007_`POSS|"&amp;ROW(N297)&amp;"_x0007_`POSE|"&amp;ROW(N297)&amp;"_x0007_`")</f>
        <v>_x0005_`BDCOD|B05124_x0007_`POSS|297_x0007_`POSE|297_x0007_`</v>
      </c>
      <c r="O296" s="7" t="s">
        <v>6656</v>
      </c>
    </row>
    <row r="297" spans="1:26" ht="28.7" customHeight="1" x14ac:dyDescent="0.3">
      <c r="A297" s="10" t="s">
        <v>1682</v>
      </c>
      <c r="B297" s="10" t="s">
        <v>1748</v>
      </c>
      <c r="C297" s="75">
        <v>1</v>
      </c>
      <c r="D297" s="31" t="s">
        <v>14</v>
      </c>
      <c r="E297" s="55">
        <f>I297+G297+K297</f>
        <v>1583750</v>
      </c>
      <c r="F297" s="76">
        <f>J297+H297+L297</f>
        <v>1583750</v>
      </c>
      <c r="G297" s="78">
        <f>일위대가목록표!F679</f>
        <v>1537622</v>
      </c>
      <c r="H297" s="80">
        <f>IF(C297=0,0,ROUNDDOWN(G297*C297,1))</f>
        <v>1537622</v>
      </c>
      <c r="I297" s="78">
        <f>일위대가목록표!G679</f>
        <v>0</v>
      </c>
      <c r="J297" s="80">
        <f>IF(C297=0,0,ROUNDDOWN(I297*C297,1))</f>
        <v>0</v>
      </c>
      <c r="K297" s="78">
        <f>일위대가목록표!H679</f>
        <v>46128</v>
      </c>
      <c r="L297" s="80">
        <f>IF(C297=0,0,ROUNDDOWN(K297*C297,1))</f>
        <v>46128</v>
      </c>
      <c r="M297" s="22" t="s">
        <v>6453</v>
      </c>
      <c r="N297" s="17" t="s">
        <v>6450</v>
      </c>
      <c r="O297" s="7" t="s">
        <v>6451</v>
      </c>
      <c r="P297" s="7" t="s">
        <v>6406</v>
      </c>
      <c r="Z297" s="3" t="str">
        <f ca="1">HYPERLINK("#"&amp;일위대가목록표!J2&amp;"!A"&amp;ROW(일위대가목록표!A679),"대가676 →")</f>
        <v>대가676 →</v>
      </c>
    </row>
    <row r="298" spans="1:26" ht="28.7" customHeight="1" x14ac:dyDescent="0.3">
      <c r="A298" s="22" t="s">
        <v>6</v>
      </c>
      <c r="B298" s="74"/>
      <c r="C298" s="74"/>
      <c r="D298" s="74"/>
      <c r="E298" s="74"/>
      <c r="F298" s="48">
        <f>J298+H298+L298</f>
        <v>1583750</v>
      </c>
      <c r="G298" s="74"/>
      <c r="H298" s="48">
        <f>ROUNDDOWN(SUMIF(P297:P297,O298,H297:H297),0)</f>
        <v>1537622</v>
      </c>
      <c r="I298" s="74"/>
      <c r="J298" s="48">
        <f>ROUNDDOWN(SUMIF(P297:P297,O298,J297:J297),0)</f>
        <v>0</v>
      </c>
      <c r="K298" s="74"/>
      <c r="L298" s="48">
        <f>ROUNDDOWN(SUMIF(P297:P297,O298,L297:L297),0)</f>
        <v>46128</v>
      </c>
      <c r="M298" s="74"/>
      <c r="O298" s="7" t="s">
        <v>6406</v>
      </c>
    </row>
    <row r="299" spans="1:26" ht="28.7" customHeight="1" x14ac:dyDescent="0.3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</row>
    <row r="300" spans="1:26" ht="28.7" customHeight="1" x14ac:dyDescent="0.3">
      <c r="A300" s="136" t="s">
        <v>163</v>
      </c>
      <c r="B300" s="127"/>
      <c r="C300" s="127"/>
      <c r="D300" s="127"/>
      <c r="E300" s="127"/>
      <c r="F300" s="127"/>
      <c r="G300" s="127"/>
      <c r="H300" s="127"/>
      <c r="I300" s="127"/>
      <c r="J300" s="127"/>
      <c r="K300" s="127"/>
      <c r="L300" s="144"/>
      <c r="M300" s="22" t="s">
        <v>6657</v>
      </c>
      <c r="N300" s="84" t="str">
        <f>HYPERLINK("#N"&amp;ROW(N301),"_x0005_`BDCOD|B05125_x0007_`POSS|"&amp;ROW(N301)&amp;"_x0007_`POSE|"&amp;ROW(N301)&amp;"_x0007_`")</f>
        <v>_x0005_`BDCOD|B05125_x0007_`POSS|301_x0007_`POSE|301_x0007_`</v>
      </c>
      <c r="O300" s="7" t="s">
        <v>6658</v>
      </c>
    </row>
    <row r="301" spans="1:26" ht="28.7" customHeight="1" x14ac:dyDescent="0.3">
      <c r="A301" s="10" t="s">
        <v>1682</v>
      </c>
      <c r="B301" s="10" t="s">
        <v>1757</v>
      </c>
      <c r="C301" s="75">
        <v>1</v>
      </c>
      <c r="D301" s="31" t="s">
        <v>14</v>
      </c>
      <c r="E301" s="55">
        <f>I301+G301+K301</f>
        <v>2044858</v>
      </c>
      <c r="F301" s="76">
        <f>J301+H301+L301</f>
        <v>2044858</v>
      </c>
      <c r="G301" s="78">
        <f>일위대가목록표!F682</f>
        <v>1985300</v>
      </c>
      <c r="H301" s="80">
        <f>IF(C301=0,0,ROUNDDOWN(G301*C301,1))</f>
        <v>1985300</v>
      </c>
      <c r="I301" s="78">
        <f>일위대가목록표!G682</f>
        <v>0</v>
      </c>
      <c r="J301" s="80">
        <f>IF(C301=0,0,ROUNDDOWN(I301*C301,1))</f>
        <v>0</v>
      </c>
      <c r="K301" s="78">
        <f>일위대가목록표!H682</f>
        <v>59558</v>
      </c>
      <c r="L301" s="80">
        <f>IF(C301=0,0,ROUNDDOWN(K301*C301,1))</f>
        <v>59558</v>
      </c>
      <c r="M301" s="22" t="s">
        <v>6460</v>
      </c>
      <c r="N301" s="17" t="s">
        <v>6457</v>
      </c>
      <c r="O301" s="7" t="s">
        <v>6458</v>
      </c>
      <c r="P301" s="7" t="s">
        <v>6406</v>
      </c>
      <c r="Z301" s="3" t="str">
        <f ca="1">HYPERLINK("#"&amp;일위대가목록표!J2&amp;"!A"&amp;ROW(일위대가목록표!A682),"대가679 →")</f>
        <v>대가679 →</v>
      </c>
    </row>
    <row r="302" spans="1:26" ht="28.7" customHeight="1" x14ac:dyDescent="0.3">
      <c r="A302" s="22" t="s">
        <v>6</v>
      </c>
      <c r="B302" s="74"/>
      <c r="C302" s="74"/>
      <c r="D302" s="74"/>
      <c r="E302" s="74"/>
      <c r="F302" s="48">
        <f>J302+H302+L302</f>
        <v>2044858</v>
      </c>
      <c r="G302" s="74"/>
      <c r="H302" s="48">
        <f>ROUNDDOWN(SUMIF(P301:P301,O302,H301:H301),0)</f>
        <v>1985300</v>
      </c>
      <c r="I302" s="74"/>
      <c r="J302" s="48">
        <f>ROUNDDOWN(SUMIF(P301:P301,O302,J301:J301),0)</f>
        <v>0</v>
      </c>
      <c r="K302" s="74"/>
      <c r="L302" s="48">
        <f>ROUNDDOWN(SUMIF(P301:P301,O302,L301:L301),0)</f>
        <v>59558</v>
      </c>
      <c r="M302" s="74"/>
      <c r="O302" s="7" t="s">
        <v>6406</v>
      </c>
    </row>
    <row r="303" spans="1:26" ht="28.7" customHeight="1" x14ac:dyDescent="0.3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</row>
    <row r="304" spans="1:26" ht="28.7" customHeight="1" x14ac:dyDescent="0.3">
      <c r="A304" s="136" t="s">
        <v>165</v>
      </c>
      <c r="B304" s="127"/>
      <c r="C304" s="127"/>
      <c r="D304" s="127"/>
      <c r="E304" s="127"/>
      <c r="F304" s="127"/>
      <c r="G304" s="127"/>
      <c r="H304" s="127"/>
      <c r="I304" s="127"/>
      <c r="J304" s="127"/>
      <c r="K304" s="127"/>
      <c r="L304" s="144"/>
      <c r="M304" s="22" t="s">
        <v>6659</v>
      </c>
      <c r="N304" s="84" t="str">
        <f>HYPERLINK("#N"&amp;ROW(N305),"_x0005_`BDCOD|B05126_x0007_`POSS|"&amp;ROW(N305)&amp;"_x0007_`POSE|"&amp;ROW(N305)&amp;"_x0007_`")</f>
        <v>_x0005_`BDCOD|B05126_x0007_`POSS|305_x0007_`POSE|305_x0007_`</v>
      </c>
      <c r="O304" s="7" t="s">
        <v>6660</v>
      </c>
    </row>
    <row r="305" spans="1:26" ht="28.7" customHeight="1" x14ac:dyDescent="0.3">
      <c r="A305" s="10" t="s">
        <v>1682</v>
      </c>
      <c r="B305" s="10" t="s">
        <v>1766</v>
      </c>
      <c r="C305" s="75">
        <v>1</v>
      </c>
      <c r="D305" s="31" t="s">
        <v>14</v>
      </c>
      <c r="E305" s="55">
        <f>I305+G305+K305</f>
        <v>3289807</v>
      </c>
      <c r="F305" s="76">
        <f>J305+H305+L305</f>
        <v>3289807</v>
      </c>
      <c r="G305" s="78">
        <f>일위대가목록표!F685</f>
        <v>3193989</v>
      </c>
      <c r="H305" s="80">
        <f>IF(C305=0,0,ROUNDDOWN(G305*C305,1))</f>
        <v>3193989</v>
      </c>
      <c r="I305" s="78">
        <f>일위대가목록표!G685</f>
        <v>0</v>
      </c>
      <c r="J305" s="80">
        <f>IF(C305=0,0,ROUNDDOWN(I305*C305,1))</f>
        <v>0</v>
      </c>
      <c r="K305" s="78">
        <f>일위대가목록표!H685</f>
        <v>95818</v>
      </c>
      <c r="L305" s="80">
        <f>IF(C305=0,0,ROUNDDOWN(K305*C305,1))</f>
        <v>95818</v>
      </c>
      <c r="M305" s="22" t="s">
        <v>6467</v>
      </c>
      <c r="N305" s="17" t="s">
        <v>6464</v>
      </c>
      <c r="O305" s="7" t="s">
        <v>6465</v>
      </c>
      <c r="P305" s="7" t="s">
        <v>6406</v>
      </c>
      <c r="Z305" s="3" t="str">
        <f ca="1">HYPERLINK("#"&amp;일위대가목록표!J2&amp;"!A"&amp;ROW(일위대가목록표!A685),"대가682 →")</f>
        <v>대가682 →</v>
      </c>
    </row>
    <row r="306" spans="1:26" ht="28.7" customHeight="1" x14ac:dyDescent="0.3">
      <c r="A306" s="22" t="s">
        <v>6</v>
      </c>
      <c r="B306" s="74"/>
      <c r="C306" s="74"/>
      <c r="D306" s="74"/>
      <c r="E306" s="74"/>
      <c r="F306" s="48">
        <f>J306+H306+L306</f>
        <v>3289807</v>
      </c>
      <c r="G306" s="74"/>
      <c r="H306" s="48">
        <f>ROUNDDOWN(SUMIF(P305:P305,O306,H305:H305),0)</f>
        <v>3193989</v>
      </c>
      <c r="I306" s="74"/>
      <c r="J306" s="48">
        <f>ROUNDDOWN(SUMIF(P305:P305,O306,J305:J305),0)</f>
        <v>0</v>
      </c>
      <c r="K306" s="74"/>
      <c r="L306" s="48">
        <f>ROUNDDOWN(SUMIF(P305:P305,O306,L305:L305),0)</f>
        <v>95818</v>
      </c>
      <c r="M306" s="74"/>
      <c r="O306" s="7" t="s">
        <v>6406</v>
      </c>
    </row>
    <row r="307" spans="1:26" ht="28.7" customHeight="1" x14ac:dyDescent="0.3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</row>
    <row r="308" spans="1:26" ht="28.7" customHeight="1" x14ac:dyDescent="0.3">
      <c r="A308" s="136" t="s">
        <v>167</v>
      </c>
      <c r="B308" s="127"/>
      <c r="C308" s="127"/>
      <c r="D308" s="127"/>
      <c r="E308" s="127"/>
      <c r="F308" s="127"/>
      <c r="G308" s="127"/>
      <c r="H308" s="127"/>
      <c r="I308" s="127"/>
      <c r="J308" s="127"/>
      <c r="K308" s="127"/>
      <c r="L308" s="144"/>
      <c r="M308" s="22" t="s">
        <v>6661</v>
      </c>
      <c r="N308" s="84" t="str">
        <f>HYPERLINK("#N"&amp;ROW(N309),"_x0005_`BDCOD|B05127_x0007_`POSS|"&amp;ROW(N309)&amp;"_x0007_`POSE|"&amp;ROW(N309)&amp;"_x0007_`")</f>
        <v>_x0005_`BDCOD|B05127_x0007_`POSS|309_x0007_`POSE|309_x0007_`</v>
      </c>
      <c r="O308" s="7" t="s">
        <v>6662</v>
      </c>
    </row>
    <row r="309" spans="1:26" ht="28.7" customHeight="1" x14ac:dyDescent="0.3">
      <c r="A309" s="10" t="s">
        <v>1682</v>
      </c>
      <c r="B309" s="10" t="s">
        <v>1766</v>
      </c>
      <c r="C309" s="75">
        <v>1</v>
      </c>
      <c r="D309" s="31" t="s">
        <v>14</v>
      </c>
      <c r="E309" s="55">
        <f>I309+G309+K309</f>
        <v>3289807</v>
      </c>
      <c r="F309" s="76">
        <f>J309+H309+L309</f>
        <v>3289807</v>
      </c>
      <c r="G309" s="78">
        <f>일위대가목록표!F685</f>
        <v>3193989</v>
      </c>
      <c r="H309" s="80">
        <f>IF(C309=0,0,ROUNDDOWN(G309*C309,1))</f>
        <v>3193989</v>
      </c>
      <c r="I309" s="78">
        <f>일위대가목록표!G685</f>
        <v>0</v>
      </c>
      <c r="J309" s="80">
        <f>IF(C309=0,0,ROUNDDOWN(I309*C309,1))</f>
        <v>0</v>
      </c>
      <c r="K309" s="78">
        <f>일위대가목록표!H685</f>
        <v>95818</v>
      </c>
      <c r="L309" s="80">
        <f>IF(C309=0,0,ROUNDDOWN(K309*C309,1))</f>
        <v>95818</v>
      </c>
      <c r="M309" s="22" t="s">
        <v>6467</v>
      </c>
      <c r="N309" s="17" t="s">
        <v>6464</v>
      </c>
      <c r="O309" s="7" t="s">
        <v>6465</v>
      </c>
      <c r="P309" s="7" t="s">
        <v>6406</v>
      </c>
      <c r="Z309" s="3" t="str">
        <f ca="1">HYPERLINK("#"&amp;일위대가목록표!J2&amp;"!A"&amp;ROW(일위대가목록표!A685),"대가682 →")</f>
        <v>대가682 →</v>
      </c>
    </row>
    <row r="310" spans="1:26" ht="28.7" customHeight="1" x14ac:dyDescent="0.3">
      <c r="A310" s="22" t="s">
        <v>6</v>
      </c>
      <c r="B310" s="74"/>
      <c r="C310" s="74"/>
      <c r="D310" s="74"/>
      <c r="E310" s="74"/>
      <c r="F310" s="48">
        <f>J310+H310+L310</f>
        <v>3289807</v>
      </c>
      <c r="G310" s="74"/>
      <c r="H310" s="48">
        <f>ROUNDDOWN(SUMIF(P309:P309,O310,H309:H309),0)</f>
        <v>3193989</v>
      </c>
      <c r="I310" s="74"/>
      <c r="J310" s="48">
        <f>ROUNDDOWN(SUMIF(P309:P309,O310,J309:J309),0)</f>
        <v>0</v>
      </c>
      <c r="K310" s="74"/>
      <c r="L310" s="48">
        <f>ROUNDDOWN(SUMIF(P309:P309,O310,L309:L309),0)</f>
        <v>95818</v>
      </c>
      <c r="M310" s="74"/>
      <c r="O310" s="7" t="s">
        <v>6406</v>
      </c>
    </row>
    <row r="311" spans="1:26" ht="28.7" customHeight="1" x14ac:dyDescent="0.3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</row>
    <row r="312" spans="1:26" ht="28.7" customHeight="1" x14ac:dyDescent="0.3">
      <c r="A312" s="136" t="s">
        <v>169</v>
      </c>
      <c r="B312" s="127"/>
      <c r="C312" s="127"/>
      <c r="D312" s="127"/>
      <c r="E312" s="127"/>
      <c r="F312" s="127"/>
      <c r="G312" s="127"/>
      <c r="H312" s="127"/>
      <c r="I312" s="127"/>
      <c r="J312" s="127"/>
      <c r="K312" s="127"/>
      <c r="L312" s="144"/>
      <c r="M312" s="22" t="s">
        <v>6663</v>
      </c>
      <c r="N312" s="84" t="str">
        <f>HYPERLINK("#N"&amp;ROW(N313),"_x0005_`BDCOD|B05128_x0007_`POSS|"&amp;ROW(N313)&amp;"_x0007_`POSE|"&amp;ROW(N313)&amp;"_x0007_`")</f>
        <v>_x0005_`BDCOD|B05128_x0007_`POSS|313_x0007_`POSE|313_x0007_`</v>
      </c>
      <c r="O312" s="7" t="s">
        <v>6664</v>
      </c>
    </row>
    <row r="313" spans="1:26" ht="28.7" customHeight="1" x14ac:dyDescent="0.3">
      <c r="A313" s="10" t="s">
        <v>1682</v>
      </c>
      <c r="B313" s="10" t="s">
        <v>1775</v>
      </c>
      <c r="C313" s="75">
        <v>1</v>
      </c>
      <c r="D313" s="31" t="s">
        <v>14</v>
      </c>
      <c r="E313" s="55">
        <f>I313+G313+K313</f>
        <v>4030109</v>
      </c>
      <c r="F313" s="76">
        <f>J313+H313+L313</f>
        <v>4030109</v>
      </c>
      <c r="G313" s="78">
        <f>일위대가목록표!F688</f>
        <v>3912728</v>
      </c>
      <c r="H313" s="80">
        <f>IF(C313=0,0,ROUNDDOWN(G313*C313,1))</f>
        <v>3912728</v>
      </c>
      <c r="I313" s="78">
        <f>일위대가목록표!G688</f>
        <v>0</v>
      </c>
      <c r="J313" s="80">
        <f>IF(C313=0,0,ROUNDDOWN(I313*C313,1))</f>
        <v>0</v>
      </c>
      <c r="K313" s="78">
        <f>일위대가목록표!H688</f>
        <v>117381</v>
      </c>
      <c r="L313" s="80">
        <f>IF(C313=0,0,ROUNDDOWN(K313*C313,1))</f>
        <v>117381</v>
      </c>
      <c r="M313" s="22" t="s">
        <v>6478</v>
      </c>
      <c r="N313" s="17" t="s">
        <v>6475</v>
      </c>
      <c r="O313" s="7" t="s">
        <v>6476</v>
      </c>
      <c r="P313" s="7" t="s">
        <v>6406</v>
      </c>
      <c r="Z313" s="3" t="str">
        <f ca="1">HYPERLINK("#"&amp;일위대가목록표!J2&amp;"!A"&amp;ROW(일위대가목록표!A688),"대가685 →")</f>
        <v>대가685 →</v>
      </c>
    </row>
    <row r="314" spans="1:26" ht="28.7" customHeight="1" x14ac:dyDescent="0.3">
      <c r="A314" s="22" t="s">
        <v>6</v>
      </c>
      <c r="B314" s="74"/>
      <c r="C314" s="74"/>
      <c r="D314" s="74"/>
      <c r="E314" s="74"/>
      <c r="F314" s="48">
        <f>J314+H314+L314</f>
        <v>4030109</v>
      </c>
      <c r="G314" s="74"/>
      <c r="H314" s="48">
        <f>ROUNDDOWN(SUMIF(P313:P313,O314,H313:H313),0)</f>
        <v>3912728</v>
      </c>
      <c r="I314" s="74"/>
      <c r="J314" s="48">
        <f>ROUNDDOWN(SUMIF(P313:P313,O314,J313:J313),0)</f>
        <v>0</v>
      </c>
      <c r="K314" s="74"/>
      <c r="L314" s="48">
        <f>ROUNDDOWN(SUMIF(P313:P313,O314,L313:L313),0)</f>
        <v>117381</v>
      </c>
      <c r="M314" s="74"/>
      <c r="O314" s="7" t="s">
        <v>6406</v>
      </c>
    </row>
    <row r="315" spans="1:26" ht="28.7" customHeight="1" x14ac:dyDescent="0.3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</row>
    <row r="316" spans="1:26" ht="28.7" customHeight="1" x14ac:dyDescent="0.3">
      <c r="A316" s="136" t="s">
        <v>171</v>
      </c>
      <c r="B316" s="127"/>
      <c r="C316" s="127"/>
      <c r="D316" s="127"/>
      <c r="E316" s="127"/>
      <c r="F316" s="127"/>
      <c r="G316" s="127"/>
      <c r="H316" s="127"/>
      <c r="I316" s="127"/>
      <c r="J316" s="127"/>
      <c r="K316" s="127"/>
      <c r="L316" s="144"/>
      <c r="M316" s="22" t="s">
        <v>6665</v>
      </c>
      <c r="N316" s="84" t="str">
        <f>HYPERLINK("#N"&amp;ROW(N317),"_x0005_`BDCOD|B05153_x0007_`POSS|"&amp;ROW(N317)&amp;"_x0007_`POSE|"&amp;ROW(N317)&amp;"_x0007_`")</f>
        <v>_x0005_`BDCOD|B05153_x0007_`POSS|317_x0007_`POSE|317_x0007_`</v>
      </c>
      <c r="O316" s="7" t="s">
        <v>6666</v>
      </c>
    </row>
    <row r="317" spans="1:26" ht="28.7" customHeight="1" x14ac:dyDescent="0.3">
      <c r="A317" s="10" t="s">
        <v>1690</v>
      </c>
      <c r="B317" s="10" t="s">
        <v>1691</v>
      </c>
      <c r="C317" s="75">
        <v>1</v>
      </c>
      <c r="D317" s="31" t="s">
        <v>14</v>
      </c>
      <c r="E317" s="55">
        <f>I317+G317+K317</f>
        <v>260910</v>
      </c>
      <c r="F317" s="76">
        <f>J317+H317+L317</f>
        <v>260910</v>
      </c>
      <c r="G317" s="78">
        <f>일위대가목록표!F660</f>
        <v>253311</v>
      </c>
      <c r="H317" s="80">
        <f>IF(C317=0,0,ROUNDDOWN(G317*C317,1))</f>
        <v>253311</v>
      </c>
      <c r="I317" s="78">
        <f>일위대가목록표!G660</f>
        <v>0</v>
      </c>
      <c r="J317" s="80">
        <f>IF(C317=0,0,ROUNDDOWN(I317*C317,1))</f>
        <v>0</v>
      </c>
      <c r="K317" s="78">
        <f>일위대가목록표!H660</f>
        <v>7599</v>
      </c>
      <c r="L317" s="80">
        <f>IF(C317=0,0,ROUNDDOWN(K317*C317,1))</f>
        <v>7599</v>
      </c>
      <c r="M317" s="22" t="s">
        <v>6512</v>
      </c>
      <c r="N317" s="17" t="s">
        <v>6510</v>
      </c>
      <c r="O317" s="7" t="s">
        <v>6511</v>
      </c>
      <c r="P317" s="7" t="s">
        <v>6406</v>
      </c>
      <c r="Z317" s="3" t="str">
        <f ca="1">HYPERLINK("#"&amp;일위대가목록표!J2&amp;"!A"&amp;ROW(일위대가목록표!A660),"대가657 →")</f>
        <v>대가657 →</v>
      </c>
    </row>
    <row r="318" spans="1:26" ht="28.7" customHeight="1" x14ac:dyDescent="0.3">
      <c r="A318" s="22" t="s">
        <v>6</v>
      </c>
      <c r="B318" s="74"/>
      <c r="C318" s="74"/>
      <c r="D318" s="74"/>
      <c r="E318" s="74"/>
      <c r="F318" s="48">
        <f>J318+H318+L318</f>
        <v>260910</v>
      </c>
      <c r="G318" s="74"/>
      <c r="H318" s="48">
        <f>ROUNDDOWN(SUMIF(P317:P317,O318,H317:H317),0)</f>
        <v>253311</v>
      </c>
      <c r="I318" s="74"/>
      <c r="J318" s="48">
        <f>ROUNDDOWN(SUMIF(P317:P317,O318,J317:J317),0)</f>
        <v>0</v>
      </c>
      <c r="K318" s="74"/>
      <c r="L318" s="48">
        <f>ROUNDDOWN(SUMIF(P317:P317,O318,L317:L317),0)</f>
        <v>7599</v>
      </c>
      <c r="M318" s="74"/>
      <c r="O318" s="7" t="s">
        <v>6406</v>
      </c>
    </row>
    <row r="319" spans="1:26" ht="28.7" customHeight="1" x14ac:dyDescent="0.3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</row>
    <row r="320" spans="1:26" ht="28.7" customHeight="1" x14ac:dyDescent="0.3">
      <c r="A320" s="136" t="s">
        <v>174</v>
      </c>
      <c r="B320" s="127"/>
      <c r="C320" s="127"/>
      <c r="D320" s="127"/>
      <c r="E320" s="127"/>
      <c r="F320" s="127"/>
      <c r="G320" s="127"/>
      <c r="H320" s="127"/>
      <c r="I320" s="127"/>
      <c r="J320" s="127"/>
      <c r="K320" s="127"/>
      <c r="L320" s="144"/>
      <c r="M320" s="22" t="s">
        <v>6667</v>
      </c>
      <c r="N320" s="84" t="str">
        <f>HYPERLINK("#N"&amp;ROW(N321),"_x0005_`BDCOD|B05154_x0007_`POSS|"&amp;ROW(N321)&amp;"_x0007_`POSE|"&amp;ROW(N321)&amp;"_x0007_`")</f>
        <v>_x0005_`BDCOD|B05154_x0007_`POSS|321_x0007_`POSE|321_x0007_`</v>
      </c>
      <c r="O320" s="7" t="s">
        <v>6668</v>
      </c>
    </row>
    <row r="321" spans="1:26" ht="28.7" customHeight="1" x14ac:dyDescent="0.3">
      <c r="A321" s="10" t="s">
        <v>1690</v>
      </c>
      <c r="B321" s="10" t="s">
        <v>1700</v>
      </c>
      <c r="C321" s="75">
        <v>1</v>
      </c>
      <c r="D321" s="31" t="s">
        <v>14</v>
      </c>
      <c r="E321" s="55">
        <f>I321+G321+K321</f>
        <v>300644</v>
      </c>
      <c r="F321" s="76">
        <f>J321+H321+L321</f>
        <v>300644</v>
      </c>
      <c r="G321" s="78">
        <f>일위대가목록표!F663</f>
        <v>291888</v>
      </c>
      <c r="H321" s="80">
        <f>IF(C321=0,0,ROUNDDOWN(G321*C321,1))</f>
        <v>291888</v>
      </c>
      <c r="I321" s="78">
        <f>일위대가목록표!G663</f>
        <v>0</v>
      </c>
      <c r="J321" s="80">
        <f>IF(C321=0,0,ROUNDDOWN(I321*C321,1))</f>
        <v>0</v>
      </c>
      <c r="K321" s="78">
        <f>일위대가목록표!H663</f>
        <v>8756</v>
      </c>
      <c r="L321" s="80">
        <f>IF(C321=0,0,ROUNDDOWN(K321*C321,1))</f>
        <v>8756</v>
      </c>
      <c r="M321" s="22" t="s">
        <v>6517</v>
      </c>
      <c r="N321" s="17" t="s">
        <v>6515</v>
      </c>
      <c r="O321" s="7" t="s">
        <v>6516</v>
      </c>
      <c r="P321" s="7" t="s">
        <v>6406</v>
      </c>
      <c r="Z321" s="3" t="str">
        <f ca="1">HYPERLINK("#"&amp;일위대가목록표!J2&amp;"!A"&amp;ROW(일위대가목록표!A663),"대가660 →")</f>
        <v>대가660 →</v>
      </c>
    </row>
    <row r="322" spans="1:26" ht="28.7" customHeight="1" x14ac:dyDescent="0.3">
      <c r="A322" s="22" t="s">
        <v>6</v>
      </c>
      <c r="B322" s="74"/>
      <c r="C322" s="74"/>
      <c r="D322" s="74"/>
      <c r="E322" s="74"/>
      <c r="F322" s="48">
        <f>J322+H322+L322</f>
        <v>300644</v>
      </c>
      <c r="G322" s="74"/>
      <c r="H322" s="48">
        <f>ROUNDDOWN(SUMIF(P321:P321,O322,H321:H321),0)</f>
        <v>291888</v>
      </c>
      <c r="I322" s="74"/>
      <c r="J322" s="48">
        <f>ROUNDDOWN(SUMIF(P321:P321,O322,J321:J321),0)</f>
        <v>0</v>
      </c>
      <c r="K322" s="74"/>
      <c r="L322" s="48">
        <f>ROUNDDOWN(SUMIF(P321:P321,O322,L321:L321),0)</f>
        <v>8756</v>
      </c>
      <c r="M322" s="74"/>
      <c r="O322" s="7" t="s">
        <v>6406</v>
      </c>
    </row>
    <row r="323" spans="1:26" ht="28.7" customHeight="1" x14ac:dyDescent="0.3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</row>
    <row r="324" spans="1:26" ht="28.7" customHeight="1" x14ac:dyDescent="0.3">
      <c r="A324" s="136" t="s">
        <v>176</v>
      </c>
      <c r="B324" s="127"/>
      <c r="C324" s="127"/>
      <c r="D324" s="127"/>
      <c r="E324" s="127"/>
      <c r="F324" s="127"/>
      <c r="G324" s="127"/>
      <c r="H324" s="127"/>
      <c r="I324" s="127"/>
      <c r="J324" s="127"/>
      <c r="K324" s="127"/>
      <c r="L324" s="144"/>
      <c r="M324" s="22" t="s">
        <v>6669</v>
      </c>
      <c r="N324" s="84" t="str">
        <f>HYPERLINK("#N"&amp;ROW(N325),"_x0005_`BDCOD|B05155_x0007_`POSS|"&amp;ROW(N325)&amp;"_x0007_`POSE|"&amp;ROW(N325)&amp;"_x0007_`")</f>
        <v>_x0005_`BDCOD|B05155_x0007_`POSS|325_x0007_`POSE|325_x0007_`</v>
      </c>
      <c r="O324" s="7" t="s">
        <v>6670</v>
      </c>
    </row>
    <row r="325" spans="1:26" ht="28.7" customHeight="1" x14ac:dyDescent="0.3">
      <c r="A325" s="10" t="s">
        <v>1690</v>
      </c>
      <c r="B325" s="10" t="s">
        <v>1709</v>
      </c>
      <c r="C325" s="75">
        <v>1</v>
      </c>
      <c r="D325" s="31" t="s">
        <v>14</v>
      </c>
      <c r="E325" s="55">
        <f>I325+G325+K325</f>
        <v>345249</v>
      </c>
      <c r="F325" s="76">
        <f>J325+H325+L325</f>
        <v>345249</v>
      </c>
      <c r="G325" s="78">
        <f>일위대가목록표!F666</f>
        <v>335194</v>
      </c>
      <c r="H325" s="80">
        <f>IF(C325=0,0,ROUNDDOWN(G325*C325,1))</f>
        <v>335194</v>
      </c>
      <c r="I325" s="78">
        <f>일위대가목록표!G666</f>
        <v>0</v>
      </c>
      <c r="J325" s="80">
        <f>IF(C325=0,0,ROUNDDOWN(I325*C325,1))</f>
        <v>0</v>
      </c>
      <c r="K325" s="78">
        <f>일위대가목록표!H666</f>
        <v>10055</v>
      </c>
      <c r="L325" s="80">
        <f>IF(C325=0,0,ROUNDDOWN(K325*C325,1))</f>
        <v>10055</v>
      </c>
      <c r="M325" s="22" t="s">
        <v>6673</v>
      </c>
      <c r="N325" s="17" t="s">
        <v>6671</v>
      </c>
      <c r="O325" s="7" t="s">
        <v>6672</v>
      </c>
      <c r="P325" s="7" t="s">
        <v>6406</v>
      </c>
      <c r="Z325" s="3" t="str">
        <f ca="1">HYPERLINK("#"&amp;일위대가목록표!J2&amp;"!A"&amp;ROW(일위대가목록표!A666),"대가663 →")</f>
        <v>대가663 →</v>
      </c>
    </row>
    <row r="326" spans="1:26" ht="28.7" customHeight="1" x14ac:dyDescent="0.3">
      <c r="A326" s="22" t="s">
        <v>6</v>
      </c>
      <c r="B326" s="74"/>
      <c r="C326" s="74"/>
      <c r="D326" s="74"/>
      <c r="E326" s="74"/>
      <c r="F326" s="48">
        <f>J326+H326+L326</f>
        <v>345249</v>
      </c>
      <c r="G326" s="74"/>
      <c r="H326" s="48">
        <f>ROUNDDOWN(SUMIF(P325:P325,O326,H325:H325),0)</f>
        <v>335194</v>
      </c>
      <c r="I326" s="74"/>
      <c r="J326" s="48">
        <f>ROUNDDOWN(SUMIF(P325:P325,O326,J325:J325),0)</f>
        <v>0</v>
      </c>
      <c r="K326" s="74"/>
      <c r="L326" s="48">
        <f>ROUNDDOWN(SUMIF(P325:P325,O326,L325:L325),0)</f>
        <v>10055</v>
      </c>
      <c r="M326" s="74"/>
      <c r="O326" s="7" t="s">
        <v>6406</v>
      </c>
    </row>
    <row r="327" spans="1:26" ht="28.7" customHeight="1" x14ac:dyDescent="0.3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</row>
    <row r="328" spans="1:26" ht="28.7" customHeight="1" x14ac:dyDescent="0.3">
      <c r="A328" s="136" t="s">
        <v>178</v>
      </c>
      <c r="B328" s="127"/>
      <c r="C328" s="127"/>
      <c r="D328" s="127"/>
      <c r="E328" s="127"/>
      <c r="F328" s="127"/>
      <c r="G328" s="127"/>
      <c r="H328" s="127"/>
      <c r="I328" s="127"/>
      <c r="J328" s="127"/>
      <c r="K328" s="127"/>
      <c r="L328" s="144"/>
      <c r="M328" s="22" t="s">
        <v>6674</v>
      </c>
      <c r="N328" s="84" t="str">
        <f>HYPERLINK("#N"&amp;ROW(N329),"_x0005_`BDCOD|B05156_x0007_`POSS|"&amp;ROW(N329)&amp;"_x0007_`POSE|"&amp;ROW(N329)&amp;"_x0007_`")</f>
        <v>_x0005_`BDCOD|B05156_x0007_`POSS|329_x0007_`POSE|329_x0007_`</v>
      </c>
      <c r="O328" s="7" t="s">
        <v>6675</v>
      </c>
    </row>
    <row r="329" spans="1:26" ht="28.7" customHeight="1" x14ac:dyDescent="0.3">
      <c r="A329" s="10" t="s">
        <v>1690</v>
      </c>
      <c r="B329" s="10" t="s">
        <v>1718</v>
      </c>
      <c r="C329" s="75">
        <v>1</v>
      </c>
      <c r="D329" s="31" t="s">
        <v>14</v>
      </c>
      <c r="E329" s="55">
        <f>I329+G329+K329</f>
        <v>415977</v>
      </c>
      <c r="F329" s="76">
        <f>J329+H329+L329</f>
        <v>415977</v>
      </c>
      <c r="G329" s="78">
        <f>일위대가목록표!F669</f>
        <v>403862</v>
      </c>
      <c r="H329" s="80">
        <f>IF(C329=0,0,ROUNDDOWN(G329*C329,1))</f>
        <v>403862</v>
      </c>
      <c r="I329" s="78">
        <f>일위대가목록표!G669</f>
        <v>0</v>
      </c>
      <c r="J329" s="80">
        <f>IF(C329=0,0,ROUNDDOWN(I329*C329,1))</f>
        <v>0</v>
      </c>
      <c r="K329" s="78">
        <f>일위대가목록표!H669</f>
        <v>12115</v>
      </c>
      <c r="L329" s="80">
        <f>IF(C329=0,0,ROUNDDOWN(K329*C329,1))</f>
        <v>12115</v>
      </c>
      <c r="M329" s="22" t="s">
        <v>6678</v>
      </c>
      <c r="N329" s="17" t="s">
        <v>6676</v>
      </c>
      <c r="O329" s="7" t="s">
        <v>6677</v>
      </c>
      <c r="P329" s="7" t="s">
        <v>6406</v>
      </c>
      <c r="Z329" s="3" t="str">
        <f ca="1">HYPERLINK("#"&amp;일위대가목록표!J2&amp;"!A"&amp;ROW(일위대가목록표!A669),"대가666 →")</f>
        <v>대가666 →</v>
      </c>
    </row>
    <row r="330" spans="1:26" ht="28.7" customHeight="1" x14ac:dyDescent="0.3">
      <c r="A330" s="22" t="s">
        <v>6</v>
      </c>
      <c r="B330" s="74"/>
      <c r="C330" s="74"/>
      <c r="D330" s="74"/>
      <c r="E330" s="74"/>
      <c r="F330" s="48">
        <f>J330+H330+L330</f>
        <v>415977</v>
      </c>
      <c r="G330" s="74"/>
      <c r="H330" s="48">
        <f>ROUNDDOWN(SUMIF(P329:P329,O330,H329:H329),0)</f>
        <v>403862</v>
      </c>
      <c r="I330" s="74"/>
      <c r="J330" s="48">
        <f>ROUNDDOWN(SUMIF(P329:P329,O330,J329:J329),0)</f>
        <v>0</v>
      </c>
      <c r="K330" s="74"/>
      <c r="L330" s="48">
        <f>ROUNDDOWN(SUMIF(P329:P329,O330,L329:L329),0)</f>
        <v>12115</v>
      </c>
      <c r="M330" s="74"/>
      <c r="O330" s="7" t="s">
        <v>6406</v>
      </c>
    </row>
    <row r="331" spans="1:26" ht="28.7" customHeight="1" x14ac:dyDescent="0.3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</row>
    <row r="332" spans="1:26" ht="28.7" customHeight="1" x14ac:dyDescent="0.3">
      <c r="A332" s="136" t="s">
        <v>180</v>
      </c>
      <c r="B332" s="127"/>
      <c r="C332" s="127"/>
      <c r="D332" s="127"/>
      <c r="E332" s="127"/>
      <c r="F332" s="127"/>
      <c r="G332" s="127"/>
      <c r="H332" s="127"/>
      <c r="I332" s="127"/>
      <c r="J332" s="127"/>
      <c r="K332" s="127"/>
      <c r="L332" s="144"/>
      <c r="M332" s="22" t="s">
        <v>6679</v>
      </c>
      <c r="N332" s="84" t="str">
        <f>HYPERLINK("#N"&amp;ROW(N333),"_x0005_`BDCOD|B05157_x0007_`POSS|"&amp;ROW(N333)&amp;"_x0007_`POSE|"&amp;ROW(N333)&amp;"_x0007_`")</f>
        <v>_x0005_`BDCOD|B05157_x0007_`POSS|333_x0007_`POSE|333_x0007_`</v>
      </c>
      <c r="O332" s="7" t="s">
        <v>6680</v>
      </c>
    </row>
    <row r="333" spans="1:26" ht="28.7" customHeight="1" x14ac:dyDescent="0.3">
      <c r="A333" s="10" t="s">
        <v>1690</v>
      </c>
      <c r="B333" s="10" t="s">
        <v>1727</v>
      </c>
      <c r="C333" s="75">
        <v>1</v>
      </c>
      <c r="D333" s="31" t="s">
        <v>14</v>
      </c>
      <c r="E333" s="55">
        <f>I333+G333+K333</f>
        <v>524841</v>
      </c>
      <c r="F333" s="76">
        <f>J333+H333+L333</f>
        <v>524841</v>
      </c>
      <c r="G333" s="78">
        <f>일위대가목록표!F672</f>
        <v>509555</v>
      </c>
      <c r="H333" s="80">
        <f>IF(C333=0,0,ROUNDDOWN(G333*C333,1))</f>
        <v>509555</v>
      </c>
      <c r="I333" s="78">
        <f>일위대가목록표!G672</f>
        <v>0</v>
      </c>
      <c r="J333" s="80">
        <f>IF(C333=0,0,ROUNDDOWN(I333*C333,1))</f>
        <v>0</v>
      </c>
      <c r="K333" s="78">
        <f>일위대가목록표!H672</f>
        <v>15286</v>
      </c>
      <c r="L333" s="80">
        <f>IF(C333=0,0,ROUNDDOWN(K333*C333,1))</f>
        <v>15286</v>
      </c>
      <c r="M333" s="22" t="s">
        <v>6683</v>
      </c>
      <c r="N333" s="17" t="s">
        <v>6681</v>
      </c>
      <c r="O333" s="7" t="s">
        <v>6682</v>
      </c>
      <c r="P333" s="7" t="s">
        <v>6406</v>
      </c>
      <c r="Z333" s="3" t="str">
        <f ca="1">HYPERLINK("#"&amp;일위대가목록표!J2&amp;"!A"&amp;ROW(일위대가목록표!A672),"대가669 →")</f>
        <v>대가669 →</v>
      </c>
    </row>
    <row r="334" spans="1:26" ht="28.7" customHeight="1" x14ac:dyDescent="0.3">
      <c r="A334" s="22" t="s">
        <v>6</v>
      </c>
      <c r="B334" s="74"/>
      <c r="C334" s="74"/>
      <c r="D334" s="74"/>
      <c r="E334" s="74"/>
      <c r="F334" s="48">
        <f>J334+H334+L334</f>
        <v>524841</v>
      </c>
      <c r="G334" s="74"/>
      <c r="H334" s="48">
        <f>ROUNDDOWN(SUMIF(P333:P333,O334,H333:H333),0)</f>
        <v>509555</v>
      </c>
      <c r="I334" s="74"/>
      <c r="J334" s="48">
        <f>ROUNDDOWN(SUMIF(P333:P333,O334,J333:J333),0)</f>
        <v>0</v>
      </c>
      <c r="K334" s="74"/>
      <c r="L334" s="48">
        <f>ROUNDDOWN(SUMIF(P333:P333,O334,L333:L333),0)</f>
        <v>15286</v>
      </c>
      <c r="M334" s="74"/>
      <c r="O334" s="7" t="s">
        <v>6406</v>
      </c>
    </row>
    <row r="335" spans="1:26" ht="28.7" customHeight="1" x14ac:dyDescent="0.3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</row>
    <row r="336" spans="1:26" ht="28.7" customHeight="1" x14ac:dyDescent="0.3">
      <c r="A336" s="136" t="s">
        <v>182</v>
      </c>
      <c r="B336" s="127"/>
      <c r="C336" s="127"/>
      <c r="D336" s="127"/>
      <c r="E336" s="127"/>
      <c r="F336" s="127"/>
      <c r="G336" s="127"/>
      <c r="H336" s="127"/>
      <c r="I336" s="127"/>
      <c r="J336" s="127"/>
      <c r="K336" s="127"/>
      <c r="L336" s="144"/>
      <c r="M336" s="22" t="s">
        <v>6684</v>
      </c>
      <c r="N336" s="84" t="str">
        <f>HYPERLINK("#N"&amp;ROW(N337),"_x0005_`BDCOD|B05158_x0007_`POSS|"&amp;ROW(N337)&amp;"_x0007_`POSE|"&amp;ROW(N337)&amp;"_x0007_`")</f>
        <v>_x0005_`BDCOD|B05158_x0007_`POSS|337_x0007_`POSE|337_x0007_`</v>
      </c>
      <c r="O336" s="7" t="s">
        <v>6685</v>
      </c>
    </row>
    <row r="337" spans="1:26" ht="28.7" customHeight="1" x14ac:dyDescent="0.3">
      <c r="A337" s="10" t="s">
        <v>1690</v>
      </c>
      <c r="B337" s="10" t="s">
        <v>1736</v>
      </c>
      <c r="C337" s="75">
        <v>1</v>
      </c>
      <c r="D337" s="31" t="s">
        <v>14</v>
      </c>
      <c r="E337" s="55">
        <f>I337+G337+K337</f>
        <v>659579</v>
      </c>
      <c r="F337" s="76">
        <f>J337+H337+L337</f>
        <v>659579</v>
      </c>
      <c r="G337" s="78">
        <f>일위대가목록표!F675</f>
        <v>640368</v>
      </c>
      <c r="H337" s="80">
        <f>IF(C337=0,0,ROUNDDOWN(G337*C337,1))</f>
        <v>640368</v>
      </c>
      <c r="I337" s="78">
        <f>일위대가목록표!G675</f>
        <v>0</v>
      </c>
      <c r="J337" s="80">
        <f>IF(C337=0,0,ROUNDDOWN(I337*C337,1))</f>
        <v>0</v>
      </c>
      <c r="K337" s="78">
        <f>일위대가목록표!H675</f>
        <v>19211</v>
      </c>
      <c r="L337" s="80">
        <f>IF(C337=0,0,ROUNDDOWN(K337*C337,1))</f>
        <v>19211</v>
      </c>
      <c r="M337" s="22" t="s">
        <v>6688</v>
      </c>
      <c r="N337" s="17" t="s">
        <v>6686</v>
      </c>
      <c r="O337" s="7" t="s">
        <v>6687</v>
      </c>
      <c r="P337" s="7" t="s">
        <v>6406</v>
      </c>
      <c r="Z337" s="3" t="str">
        <f ca="1">HYPERLINK("#"&amp;일위대가목록표!J2&amp;"!A"&amp;ROW(일위대가목록표!A675),"대가672 →")</f>
        <v>대가672 →</v>
      </c>
    </row>
    <row r="338" spans="1:26" ht="28.7" customHeight="1" x14ac:dyDescent="0.3">
      <c r="A338" s="22" t="s">
        <v>6</v>
      </c>
      <c r="B338" s="74"/>
      <c r="C338" s="74"/>
      <c r="D338" s="74"/>
      <c r="E338" s="74"/>
      <c r="F338" s="48">
        <f>J338+H338+L338</f>
        <v>659579</v>
      </c>
      <c r="G338" s="74"/>
      <c r="H338" s="48">
        <f>ROUNDDOWN(SUMIF(P337:P337,O338,H337:H337),0)</f>
        <v>640368</v>
      </c>
      <c r="I338" s="74"/>
      <c r="J338" s="48">
        <f>ROUNDDOWN(SUMIF(P337:P337,O338,J337:J337),0)</f>
        <v>0</v>
      </c>
      <c r="K338" s="74"/>
      <c r="L338" s="48">
        <f>ROUNDDOWN(SUMIF(P337:P337,O338,L337:L337),0)</f>
        <v>19211</v>
      </c>
      <c r="M338" s="74"/>
      <c r="O338" s="7" t="s">
        <v>6406</v>
      </c>
    </row>
    <row r="339" spans="1:26" ht="28.7" customHeight="1" x14ac:dyDescent="0.3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</row>
    <row r="340" spans="1:26" ht="28.7" customHeight="1" x14ac:dyDescent="0.3">
      <c r="A340" s="136" t="s">
        <v>184</v>
      </c>
      <c r="B340" s="127"/>
      <c r="C340" s="127"/>
      <c r="D340" s="127"/>
      <c r="E340" s="127"/>
      <c r="F340" s="127"/>
      <c r="G340" s="127"/>
      <c r="H340" s="127"/>
      <c r="I340" s="127"/>
      <c r="J340" s="127"/>
      <c r="K340" s="127"/>
      <c r="L340" s="144"/>
      <c r="M340" s="22" t="s">
        <v>6689</v>
      </c>
      <c r="N340" s="84" t="str">
        <f>HYPERLINK("#N"&amp;ROW(N341),"_x0005_`BDCOD|B05159_x0007_`POSS|"&amp;ROW(N341)&amp;"_x0007_`POSE|"&amp;ROW(N341)&amp;"_x0007_`")</f>
        <v>_x0005_`BDCOD|B05159_x0007_`POSS|341_x0007_`POSE|341_x0007_`</v>
      </c>
      <c r="O340" s="7" t="s">
        <v>6690</v>
      </c>
    </row>
    <row r="341" spans="1:26" ht="28.7" customHeight="1" x14ac:dyDescent="0.3">
      <c r="A341" s="10" t="s">
        <v>1690</v>
      </c>
      <c r="B341" s="10" t="s">
        <v>1745</v>
      </c>
      <c r="C341" s="75">
        <v>1</v>
      </c>
      <c r="D341" s="31" t="s">
        <v>14</v>
      </c>
      <c r="E341" s="55">
        <f>I341+G341+K341</f>
        <v>700238</v>
      </c>
      <c r="F341" s="76">
        <f>J341+H341+L341</f>
        <v>700238</v>
      </c>
      <c r="G341" s="78">
        <f>일위대가목록표!F678</f>
        <v>679843</v>
      </c>
      <c r="H341" s="80">
        <f>IF(C341=0,0,ROUNDDOWN(G341*C341,1))</f>
        <v>679843</v>
      </c>
      <c r="I341" s="78">
        <f>일위대가목록표!G678</f>
        <v>0</v>
      </c>
      <c r="J341" s="80">
        <f>IF(C341=0,0,ROUNDDOWN(I341*C341,1))</f>
        <v>0</v>
      </c>
      <c r="K341" s="78">
        <f>일위대가목록표!H678</f>
        <v>20395</v>
      </c>
      <c r="L341" s="80">
        <f>IF(C341=0,0,ROUNDDOWN(K341*C341,1))</f>
        <v>20395</v>
      </c>
      <c r="M341" s="22" t="s">
        <v>6693</v>
      </c>
      <c r="N341" s="17" t="s">
        <v>6691</v>
      </c>
      <c r="O341" s="7" t="s">
        <v>6692</v>
      </c>
      <c r="P341" s="7" t="s">
        <v>6406</v>
      </c>
      <c r="Z341" s="3" t="str">
        <f ca="1">HYPERLINK("#"&amp;일위대가목록표!J2&amp;"!A"&amp;ROW(일위대가목록표!A678),"대가675 →")</f>
        <v>대가675 →</v>
      </c>
    </row>
    <row r="342" spans="1:26" ht="28.7" customHeight="1" x14ac:dyDescent="0.3">
      <c r="A342" s="22" t="s">
        <v>6</v>
      </c>
      <c r="B342" s="74"/>
      <c r="C342" s="74"/>
      <c r="D342" s="74"/>
      <c r="E342" s="74"/>
      <c r="F342" s="48">
        <f>J342+H342+L342</f>
        <v>700238</v>
      </c>
      <c r="G342" s="74"/>
      <c r="H342" s="48">
        <f>ROUNDDOWN(SUMIF(P341:P341,O342,H341:H341),0)</f>
        <v>679843</v>
      </c>
      <c r="I342" s="74"/>
      <c r="J342" s="48">
        <f>ROUNDDOWN(SUMIF(P341:P341,O342,J341:J341),0)</f>
        <v>0</v>
      </c>
      <c r="K342" s="74"/>
      <c r="L342" s="48">
        <f>ROUNDDOWN(SUMIF(P341:P341,O342,L341:L341),0)</f>
        <v>20395</v>
      </c>
      <c r="M342" s="74"/>
      <c r="O342" s="7" t="s">
        <v>6406</v>
      </c>
    </row>
    <row r="343" spans="1:26" ht="28.7" customHeight="1" x14ac:dyDescent="0.3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</row>
    <row r="344" spans="1:26" ht="28.7" customHeight="1" x14ac:dyDescent="0.3">
      <c r="A344" s="136" t="s">
        <v>186</v>
      </c>
      <c r="B344" s="127"/>
      <c r="C344" s="127"/>
      <c r="D344" s="127"/>
      <c r="E344" s="127"/>
      <c r="F344" s="127"/>
      <c r="G344" s="127"/>
      <c r="H344" s="127"/>
      <c r="I344" s="127"/>
      <c r="J344" s="127"/>
      <c r="K344" s="127"/>
      <c r="L344" s="144"/>
      <c r="M344" s="22" t="s">
        <v>6694</v>
      </c>
      <c r="N344" s="84" t="str">
        <f>HYPERLINK("#N"&amp;ROW(N345),"_x0005_`BDCOD|B05160_x0007_`POSS|"&amp;ROW(N345)&amp;"_x0007_`POSE|"&amp;ROW(N345)&amp;"_x0007_`")</f>
        <v>_x0005_`BDCOD|B05160_x0007_`POSS|345_x0007_`POSE|345_x0007_`</v>
      </c>
      <c r="O344" s="7" t="s">
        <v>6695</v>
      </c>
    </row>
    <row r="345" spans="1:26" ht="28.7" customHeight="1" x14ac:dyDescent="0.3">
      <c r="A345" s="10" t="s">
        <v>1690</v>
      </c>
      <c r="B345" s="10" t="s">
        <v>1754</v>
      </c>
      <c r="C345" s="75">
        <v>1</v>
      </c>
      <c r="D345" s="31" t="s">
        <v>14</v>
      </c>
      <c r="E345" s="55">
        <f>I345+G345+K345</f>
        <v>1131251</v>
      </c>
      <c r="F345" s="76">
        <f>J345+H345+L345</f>
        <v>1131251</v>
      </c>
      <c r="G345" s="78">
        <f>일위대가목록표!F681</f>
        <v>1098302</v>
      </c>
      <c r="H345" s="80">
        <f>IF(C345=0,0,ROUNDDOWN(G345*C345,1))</f>
        <v>1098302</v>
      </c>
      <c r="I345" s="78">
        <f>일위대가목록표!G681</f>
        <v>0</v>
      </c>
      <c r="J345" s="80">
        <f>IF(C345=0,0,ROUNDDOWN(I345*C345,1))</f>
        <v>0</v>
      </c>
      <c r="K345" s="78">
        <f>일위대가목록표!H681</f>
        <v>32949</v>
      </c>
      <c r="L345" s="80">
        <f>IF(C345=0,0,ROUNDDOWN(K345*C345,1))</f>
        <v>32949</v>
      </c>
      <c r="M345" s="22" t="s">
        <v>6698</v>
      </c>
      <c r="N345" s="17" t="s">
        <v>6696</v>
      </c>
      <c r="O345" s="7" t="s">
        <v>6697</v>
      </c>
      <c r="P345" s="7" t="s">
        <v>6406</v>
      </c>
      <c r="Z345" s="3" t="str">
        <f ca="1">HYPERLINK("#"&amp;일위대가목록표!J2&amp;"!A"&amp;ROW(일위대가목록표!A681),"대가678 →")</f>
        <v>대가678 →</v>
      </c>
    </row>
    <row r="346" spans="1:26" ht="28.7" customHeight="1" x14ac:dyDescent="0.3">
      <c r="A346" s="22" t="s">
        <v>6</v>
      </c>
      <c r="B346" s="74"/>
      <c r="C346" s="74"/>
      <c r="D346" s="74"/>
      <c r="E346" s="74"/>
      <c r="F346" s="48">
        <f>J346+H346+L346</f>
        <v>1131251</v>
      </c>
      <c r="G346" s="74"/>
      <c r="H346" s="48">
        <f>ROUNDDOWN(SUMIF(P345:P345,O346,H345:H345),0)</f>
        <v>1098302</v>
      </c>
      <c r="I346" s="74"/>
      <c r="J346" s="48">
        <f>ROUNDDOWN(SUMIF(P345:P345,O346,J345:J345),0)</f>
        <v>0</v>
      </c>
      <c r="K346" s="74"/>
      <c r="L346" s="48">
        <f>ROUNDDOWN(SUMIF(P345:P345,O346,L345:L345),0)</f>
        <v>32949</v>
      </c>
      <c r="M346" s="74"/>
      <c r="O346" s="7" t="s">
        <v>6406</v>
      </c>
    </row>
    <row r="347" spans="1:26" ht="28.7" customHeight="1" x14ac:dyDescent="0.3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</row>
    <row r="348" spans="1:26" ht="28.7" customHeight="1" x14ac:dyDescent="0.3">
      <c r="A348" s="136" t="s">
        <v>188</v>
      </c>
      <c r="B348" s="127"/>
      <c r="C348" s="127"/>
      <c r="D348" s="127"/>
      <c r="E348" s="127"/>
      <c r="F348" s="127"/>
      <c r="G348" s="127"/>
      <c r="H348" s="127"/>
      <c r="I348" s="127"/>
      <c r="J348" s="127"/>
      <c r="K348" s="127"/>
      <c r="L348" s="144"/>
      <c r="M348" s="22" t="s">
        <v>6699</v>
      </c>
      <c r="N348" s="84" t="str">
        <f>HYPERLINK("#N"&amp;ROW(N349),"_x0005_`BDCOD|B05161_x0007_`POSS|"&amp;ROW(N349)&amp;"_x0007_`POSE|"&amp;ROW(N349)&amp;"_x0007_`")</f>
        <v>_x0005_`BDCOD|B05161_x0007_`POSS|349_x0007_`POSE|349_x0007_`</v>
      </c>
      <c r="O348" s="7" t="s">
        <v>6700</v>
      </c>
    </row>
    <row r="349" spans="1:26" ht="28.7" customHeight="1" x14ac:dyDescent="0.3">
      <c r="A349" s="10" t="s">
        <v>1690</v>
      </c>
      <c r="B349" s="10" t="s">
        <v>1763</v>
      </c>
      <c r="C349" s="75">
        <v>1</v>
      </c>
      <c r="D349" s="31" t="s">
        <v>14</v>
      </c>
      <c r="E349" s="55">
        <f>I349+G349+K349</f>
        <v>1460614</v>
      </c>
      <c r="F349" s="76">
        <f>J349+H349+L349</f>
        <v>1460614</v>
      </c>
      <c r="G349" s="78">
        <f>일위대가목록표!F684</f>
        <v>1418072</v>
      </c>
      <c r="H349" s="80">
        <f>IF(C349=0,0,ROUNDDOWN(G349*C349,1))</f>
        <v>1418072</v>
      </c>
      <c r="I349" s="78">
        <f>일위대가목록표!G684</f>
        <v>0</v>
      </c>
      <c r="J349" s="80">
        <f>IF(C349=0,0,ROUNDDOWN(I349*C349,1))</f>
        <v>0</v>
      </c>
      <c r="K349" s="78">
        <f>일위대가목록표!H684</f>
        <v>42542</v>
      </c>
      <c r="L349" s="80">
        <f>IF(C349=0,0,ROUNDDOWN(K349*C349,1))</f>
        <v>42542</v>
      </c>
      <c r="M349" s="22" t="s">
        <v>6703</v>
      </c>
      <c r="N349" s="17" t="s">
        <v>6701</v>
      </c>
      <c r="O349" s="7" t="s">
        <v>6702</v>
      </c>
      <c r="P349" s="7" t="s">
        <v>6406</v>
      </c>
      <c r="Z349" s="3" t="str">
        <f ca="1">HYPERLINK("#"&amp;일위대가목록표!J2&amp;"!A"&amp;ROW(일위대가목록표!A684),"대가681 →")</f>
        <v>대가681 →</v>
      </c>
    </row>
    <row r="350" spans="1:26" ht="28.7" customHeight="1" x14ac:dyDescent="0.3">
      <c r="A350" s="22" t="s">
        <v>6</v>
      </c>
      <c r="B350" s="74"/>
      <c r="C350" s="74"/>
      <c r="D350" s="74"/>
      <c r="E350" s="74"/>
      <c r="F350" s="48">
        <f>J350+H350+L350</f>
        <v>1460614</v>
      </c>
      <c r="G350" s="74"/>
      <c r="H350" s="48">
        <f>ROUNDDOWN(SUMIF(P349:P349,O350,H349:H349),0)</f>
        <v>1418072</v>
      </c>
      <c r="I350" s="74"/>
      <c r="J350" s="48">
        <f>ROUNDDOWN(SUMIF(P349:P349,O350,J349:J349),0)</f>
        <v>0</v>
      </c>
      <c r="K350" s="74"/>
      <c r="L350" s="48">
        <f>ROUNDDOWN(SUMIF(P349:P349,O350,L349:L349),0)</f>
        <v>42542</v>
      </c>
      <c r="M350" s="74"/>
      <c r="O350" s="7" t="s">
        <v>6406</v>
      </c>
    </row>
    <row r="351" spans="1:26" ht="28.7" customHeight="1" x14ac:dyDescent="0.3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</row>
    <row r="352" spans="1:26" ht="28.7" customHeight="1" x14ac:dyDescent="0.3">
      <c r="A352" s="136" t="s">
        <v>190</v>
      </c>
      <c r="B352" s="127"/>
      <c r="C352" s="127"/>
      <c r="D352" s="127"/>
      <c r="E352" s="127"/>
      <c r="F352" s="127"/>
      <c r="G352" s="127"/>
      <c r="H352" s="127"/>
      <c r="I352" s="127"/>
      <c r="J352" s="127"/>
      <c r="K352" s="127"/>
      <c r="L352" s="144"/>
      <c r="M352" s="22" t="s">
        <v>6704</v>
      </c>
      <c r="N352" s="84" t="str">
        <f>HYPERLINK("#N"&amp;ROW(N353),"_x0005_`BDCOD|B05162_x0007_`POSS|"&amp;ROW(N353)&amp;"_x0007_`POSE|"&amp;ROW(N353)&amp;"_x0007_`")</f>
        <v>_x0005_`BDCOD|B05162_x0007_`POSS|353_x0007_`POSE|353_x0007_`</v>
      </c>
      <c r="O352" s="7" t="s">
        <v>6705</v>
      </c>
    </row>
    <row r="353" spans="1:26" ht="28.7" customHeight="1" x14ac:dyDescent="0.3">
      <c r="A353" s="10" t="s">
        <v>1690</v>
      </c>
      <c r="B353" s="10" t="s">
        <v>1772</v>
      </c>
      <c r="C353" s="75">
        <v>1</v>
      </c>
      <c r="D353" s="31" t="s">
        <v>14</v>
      </c>
      <c r="E353" s="55">
        <f>I353+G353+K353</f>
        <v>2349863</v>
      </c>
      <c r="F353" s="76">
        <f>J353+H353+L353</f>
        <v>2349863</v>
      </c>
      <c r="G353" s="78">
        <f>일위대가목록표!F687</f>
        <v>2281421</v>
      </c>
      <c r="H353" s="80">
        <f>IF(C353=0,0,ROUNDDOWN(G353*C353,1))</f>
        <v>2281421</v>
      </c>
      <c r="I353" s="78">
        <f>일위대가목록표!G687</f>
        <v>0</v>
      </c>
      <c r="J353" s="80">
        <f>IF(C353=0,0,ROUNDDOWN(I353*C353,1))</f>
        <v>0</v>
      </c>
      <c r="K353" s="78">
        <f>일위대가목록표!H687</f>
        <v>68442</v>
      </c>
      <c r="L353" s="80">
        <f>IF(C353=0,0,ROUNDDOWN(K353*C353,1))</f>
        <v>68442</v>
      </c>
      <c r="M353" s="22" t="s">
        <v>6708</v>
      </c>
      <c r="N353" s="17" t="s">
        <v>6706</v>
      </c>
      <c r="O353" s="7" t="s">
        <v>6707</v>
      </c>
      <c r="P353" s="7" t="s">
        <v>6406</v>
      </c>
      <c r="Z353" s="3" t="str">
        <f ca="1">HYPERLINK("#"&amp;일위대가목록표!J2&amp;"!A"&amp;ROW(일위대가목록표!A687),"대가684 →")</f>
        <v>대가684 →</v>
      </c>
    </row>
    <row r="354" spans="1:26" ht="28.7" customHeight="1" x14ac:dyDescent="0.3">
      <c r="A354" s="22" t="s">
        <v>6</v>
      </c>
      <c r="B354" s="74"/>
      <c r="C354" s="74"/>
      <c r="D354" s="74"/>
      <c r="E354" s="74"/>
      <c r="F354" s="48">
        <f>J354+H354+L354</f>
        <v>2349863</v>
      </c>
      <c r="G354" s="74"/>
      <c r="H354" s="48">
        <f>ROUNDDOWN(SUMIF(P353:P353,O354,H353:H353),0)</f>
        <v>2281421</v>
      </c>
      <c r="I354" s="74"/>
      <c r="J354" s="48">
        <f>ROUNDDOWN(SUMIF(P353:P353,O354,J353:J353),0)</f>
        <v>0</v>
      </c>
      <c r="K354" s="74"/>
      <c r="L354" s="48">
        <f>ROUNDDOWN(SUMIF(P353:P353,O354,L353:L353),0)</f>
        <v>68442</v>
      </c>
      <c r="M354" s="74"/>
      <c r="O354" s="7" t="s">
        <v>6406</v>
      </c>
    </row>
    <row r="355" spans="1:26" ht="28.7" customHeight="1" x14ac:dyDescent="0.3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</row>
    <row r="356" spans="1:26" ht="28.7" customHeight="1" x14ac:dyDescent="0.3">
      <c r="A356" s="136" t="s">
        <v>192</v>
      </c>
      <c r="B356" s="127"/>
      <c r="C356" s="127"/>
      <c r="D356" s="127"/>
      <c r="E356" s="127"/>
      <c r="F356" s="127"/>
      <c r="G356" s="127"/>
      <c r="H356" s="127"/>
      <c r="I356" s="127"/>
      <c r="J356" s="127"/>
      <c r="K356" s="127"/>
      <c r="L356" s="144"/>
      <c r="M356" s="22" t="s">
        <v>6709</v>
      </c>
      <c r="N356" s="84" t="str">
        <f>HYPERLINK("#N"&amp;ROW(N357),"_x0005_`BDCOD|B05163_x0007_`POSS|"&amp;ROW(N357)&amp;"_x0007_`POSE|"&amp;ROW(N357)&amp;"_x0007_`")</f>
        <v>_x0005_`BDCOD|B05163_x0007_`POSS|357_x0007_`POSE|357_x0007_`</v>
      </c>
      <c r="O356" s="7" t="s">
        <v>6710</v>
      </c>
    </row>
    <row r="357" spans="1:26" ht="28.7" customHeight="1" x14ac:dyDescent="0.3">
      <c r="A357" s="10" t="s">
        <v>1690</v>
      </c>
      <c r="B357" s="10" t="s">
        <v>1772</v>
      </c>
      <c r="C357" s="75">
        <v>1</v>
      </c>
      <c r="D357" s="31" t="s">
        <v>14</v>
      </c>
      <c r="E357" s="55">
        <f>I357+G357+K357</f>
        <v>2349863</v>
      </c>
      <c r="F357" s="76">
        <f>J357+H357+L357</f>
        <v>2349863</v>
      </c>
      <c r="G357" s="78">
        <f>일위대가목록표!F687</f>
        <v>2281421</v>
      </c>
      <c r="H357" s="80">
        <f>IF(C357=0,0,ROUNDDOWN(G357*C357,1))</f>
        <v>2281421</v>
      </c>
      <c r="I357" s="78">
        <f>일위대가목록표!G687</f>
        <v>0</v>
      </c>
      <c r="J357" s="80">
        <f>IF(C357=0,0,ROUNDDOWN(I357*C357,1))</f>
        <v>0</v>
      </c>
      <c r="K357" s="78">
        <f>일위대가목록표!H687</f>
        <v>68442</v>
      </c>
      <c r="L357" s="80">
        <f>IF(C357=0,0,ROUNDDOWN(K357*C357,1))</f>
        <v>68442</v>
      </c>
      <c r="M357" s="22" t="s">
        <v>6708</v>
      </c>
      <c r="N357" s="17" t="s">
        <v>6706</v>
      </c>
      <c r="O357" s="7" t="s">
        <v>6707</v>
      </c>
      <c r="P357" s="7" t="s">
        <v>6406</v>
      </c>
      <c r="Z357" s="3" t="str">
        <f ca="1">HYPERLINK("#"&amp;일위대가목록표!J2&amp;"!A"&amp;ROW(일위대가목록표!A687),"대가684 →")</f>
        <v>대가684 →</v>
      </c>
    </row>
    <row r="358" spans="1:26" ht="28.7" customHeight="1" x14ac:dyDescent="0.3">
      <c r="A358" s="22" t="s">
        <v>6</v>
      </c>
      <c r="B358" s="74"/>
      <c r="C358" s="74"/>
      <c r="D358" s="74"/>
      <c r="E358" s="74"/>
      <c r="F358" s="48">
        <f>J358+H358+L358</f>
        <v>2349863</v>
      </c>
      <c r="G358" s="74"/>
      <c r="H358" s="48">
        <f>ROUNDDOWN(SUMIF(P357:P357,O358,H357:H357),0)</f>
        <v>2281421</v>
      </c>
      <c r="I358" s="74"/>
      <c r="J358" s="48">
        <f>ROUNDDOWN(SUMIF(P357:P357,O358,J357:J357),0)</f>
        <v>0</v>
      </c>
      <c r="K358" s="74"/>
      <c r="L358" s="48">
        <f>ROUNDDOWN(SUMIF(P357:P357,O358,L357:L357),0)</f>
        <v>68442</v>
      </c>
      <c r="M358" s="74"/>
      <c r="O358" s="7" t="s">
        <v>6406</v>
      </c>
    </row>
    <row r="359" spans="1:26" ht="28.7" customHeight="1" x14ac:dyDescent="0.3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</row>
    <row r="360" spans="1:26" ht="28.7" customHeight="1" x14ac:dyDescent="0.3">
      <c r="A360" s="136" t="s">
        <v>194</v>
      </c>
      <c r="B360" s="127"/>
      <c r="C360" s="127"/>
      <c r="D360" s="127"/>
      <c r="E360" s="127"/>
      <c r="F360" s="127"/>
      <c r="G360" s="127"/>
      <c r="H360" s="127"/>
      <c r="I360" s="127"/>
      <c r="J360" s="127"/>
      <c r="K360" s="127"/>
      <c r="L360" s="144"/>
      <c r="M360" s="22" t="s">
        <v>6711</v>
      </c>
      <c r="N360" s="84" t="str">
        <f>HYPERLINK("#N"&amp;ROW(N361),"_x0005_`BDCOD|B05164_x0007_`POSS|"&amp;ROW(N361)&amp;"_x0007_`POSE|"&amp;ROW(N361)&amp;"_x0007_`")</f>
        <v>_x0005_`BDCOD|B05164_x0007_`POSS|361_x0007_`POSE|361_x0007_`</v>
      </c>
      <c r="O360" s="7" t="s">
        <v>6712</v>
      </c>
    </row>
    <row r="361" spans="1:26" ht="28.7" customHeight="1" x14ac:dyDescent="0.3">
      <c r="A361" s="10" t="s">
        <v>1690</v>
      </c>
      <c r="B361" s="10" t="s">
        <v>1781</v>
      </c>
      <c r="C361" s="75">
        <v>1</v>
      </c>
      <c r="D361" s="31" t="s">
        <v>14</v>
      </c>
      <c r="E361" s="55">
        <f>I361+G361+K361</f>
        <v>2878650</v>
      </c>
      <c r="F361" s="76">
        <f>J361+H361+L361</f>
        <v>2878650</v>
      </c>
      <c r="G361" s="78">
        <f>일위대가목록표!F690</f>
        <v>2794806</v>
      </c>
      <c r="H361" s="80">
        <f>IF(C361=0,0,ROUNDDOWN(G361*C361,1))</f>
        <v>2794806</v>
      </c>
      <c r="I361" s="78">
        <f>일위대가목록표!G690</f>
        <v>0</v>
      </c>
      <c r="J361" s="80">
        <f>IF(C361=0,0,ROUNDDOWN(I361*C361,1))</f>
        <v>0</v>
      </c>
      <c r="K361" s="78">
        <f>일위대가목록표!H690</f>
        <v>83844</v>
      </c>
      <c r="L361" s="80">
        <f>IF(C361=0,0,ROUNDDOWN(K361*C361,1))</f>
        <v>83844</v>
      </c>
      <c r="M361" s="22" t="s">
        <v>6715</v>
      </c>
      <c r="N361" s="17" t="s">
        <v>6713</v>
      </c>
      <c r="O361" s="7" t="s">
        <v>6714</v>
      </c>
      <c r="P361" s="7" t="s">
        <v>6406</v>
      </c>
      <c r="Z361" s="3" t="str">
        <f ca="1">HYPERLINK("#"&amp;일위대가목록표!J2&amp;"!A"&amp;ROW(일위대가목록표!A690),"대가687 →")</f>
        <v>대가687 →</v>
      </c>
    </row>
    <row r="362" spans="1:26" ht="28.7" customHeight="1" x14ac:dyDescent="0.3">
      <c r="A362" s="22" t="s">
        <v>6</v>
      </c>
      <c r="B362" s="74"/>
      <c r="C362" s="74"/>
      <c r="D362" s="74"/>
      <c r="E362" s="74"/>
      <c r="F362" s="48">
        <f>J362+H362+L362</f>
        <v>2878650</v>
      </c>
      <c r="G362" s="74"/>
      <c r="H362" s="48">
        <f>ROUNDDOWN(SUMIF(P361:P361,O362,H361:H361),0)</f>
        <v>2794806</v>
      </c>
      <c r="I362" s="74"/>
      <c r="J362" s="48">
        <f>ROUNDDOWN(SUMIF(P361:P361,O362,J361:J361),0)</f>
        <v>0</v>
      </c>
      <c r="K362" s="74"/>
      <c r="L362" s="48">
        <f>ROUNDDOWN(SUMIF(P361:P361,O362,L361:L361),0)</f>
        <v>83844</v>
      </c>
      <c r="M362" s="74"/>
      <c r="O362" s="7" t="s">
        <v>6406</v>
      </c>
    </row>
    <row r="363" spans="1:26" ht="28.7" customHeight="1" x14ac:dyDescent="0.3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</row>
    <row r="364" spans="1:26" ht="28.7" customHeight="1" x14ac:dyDescent="0.3">
      <c r="A364" s="136" t="s">
        <v>196</v>
      </c>
      <c r="B364" s="127"/>
      <c r="C364" s="127"/>
      <c r="D364" s="127"/>
      <c r="E364" s="127"/>
      <c r="F364" s="127"/>
      <c r="G364" s="127"/>
      <c r="H364" s="127"/>
      <c r="I364" s="127"/>
      <c r="J364" s="127"/>
      <c r="K364" s="127"/>
      <c r="L364" s="144"/>
      <c r="M364" s="22" t="s">
        <v>6716</v>
      </c>
      <c r="N364" s="84" t="str">
        <f>HYPERLINK("#N"&amp;ROW(N365),"_x0005_`BDCOD|B05165_x0007_`POSS|"&amp;ROW(N365)&amp;"_x0007_`POSE|"&amp;ROW(N365)&amp;"_x0007_`")</f>
        <v>_x0005_`BDCOD|B05165_x0007_`POSS|365_x0007_`POSE|365_x0007_`</v>
      </c>
      <c r="O364" s="7" t="s">
        <v>6717</v>
      </c>
    </row>
    <row r="365" spans="1:26" ht="28.7" customHeight="1" x14ac:dyDescent="0.3">
      <c r="A365" s="10" t="s">
        <v>1686</v>
      </c>
      <c r="B365" s="10" t="s">
        <v>1687</v>
      </c>
      <c r="C365" s="75">
        <v>1</v>
      </c>
      <c r="D365" s="31" t="s">
        <v>14</v>
      </c>
      <c r="E365" s="55">
        <f>I365+G365+K365</f>
        <v>104363</v>
      </c>
      <c r="F365" s="76">
        <f>J365+H365+L365</f>
        <v>104363</v>
      </c>
      <c r="G365" s="78">
        <f>일위대가목록표!F659</f>
        <v>101324</v>
      </c>
      <c r="H365" s="80">
        <f>IF(C365=0,0,ROUNDDOWN(G365*C365,1))</f>
        <v>101324</v>
      </c>
      <c r="I365" s="78">
        <f>일위대가목록표!G659</f>
        <v>0</v>
      </c>
      <c r="J365" s="80">
        <f>IF(C365=0,0,ROUNDDOWN(I365*C365,1))</f>
        <v>0</v>
      </c>
      <c r="K365" s="78">
        <f>일위대가목록표!H659</f>
        <v>3039</v>
      </c>
      <c r="L365" s="80">
        <f>IF(C365=0,0,ROUNDDOWN(K365*C365,1))</f>
        <v>3039</v>
      </c>
      <c r="M365" s="22" t="s">
        <v>6540</v>
      </c>
      <c r="N365" s="17" t="s">
        <v>6538</v>
      </c>
      <c r="O365" s="7" t="s">
        <v>6539</v>
      </c>
      <c r="P365" s="7" t="s">
        <v>6406</v>
      </c>
      <c r="Z365" s="3" t="str">
        <f ca="1">HYPERLINK("#"&amp;일위대가목록표!J2&amp;"!A"&amp;ROW(일위대가목록표!A659),"대가656 →")</f>
        <v>대가656 →</v>
      </c>
    </row>
    <row r="366" spans="1:26" ht="28.7" customHeight="1" x14ac:dyDescent="0.3">
      <c r="A366" s="22" t="s">
        <v>6</v>
      </c>
      <c r="B366" s="74"/>
      <c r="C366" s="74"/>
      <c r="D366" s="74"/>
      <c r="E366" s="74"/>
      <c r="F366" s="48">
        <f>J366+H366+L366</f>
        <v>104363</v>
      </c>
      <c r="G366" s="74"/>
      <c r="H366" s="48">
        <f>ROUNDDOWN(SUMIF(P365:P365,O366,H365:H365),0)</f>
        <v>101324</v>
      </c>
      <c r="I366" s="74"/>
      <c r="J366" s="48">
        <f>ROUNDDOWN(SUMIF(P365:P365,O366,J365:J365),0)</f>
        <v>0</v>
      </c>
      <c r="K366" s="74"/>
      <c r="L366" s="48">
        <f>ROUNDDOWN(SUMIF(P365:P365,O366,L365:L365),0)</f>
        <v>3039</v>
      </c>
      <c r="M366" s="74"/>
      <c r="O366" s="7" t="s">
        <v>6406</v>
      </c>
    </row>
    <row r="367" spans="1:26" ht="28.7" customHeight="1" x14ac:dyDescent="0.3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</row>
    <row r="368" spans="1:26" ht="28.7" customHeight="1" x14ac:dyDescent="0.3">
      <c r="A368" s="136" t="s">
        <v>199</v>
      </c>
      <c r="B368" s="127"/>
      <c r="C368" s="127"/>
      <c r="D368" s="127"/>
      <c r="E368" s="127"/>
      <c r="F368" s="127"/>
      <c r="G368" s="127"/>
      <c r="H368" s="127"/>
      <c r="I368" s="127"/>
      <c r="J368" s="127"/>
      <c r="K368" s="127"/>
      <c r="L368" s="144"/>
      <c r="M368" s="22" t="s">
        <v>6718</v>
      </c>
      <c r="N368" s="84" t="str">
        <f>HYPERLINK("#N"&amp;ROW(N369),"_x0005_`BDCOD|B05166_x0007_`POSS|"&amp;ROW(N369)&amp;"_x0007_`POSE|"&amp;ROW(N369)&amp;"_x0007_`")</f>
        <v>_x0005_`BDCOD|B05166_x0007_`POSS|369_x0007_`POSE|369_x0007_`</v>
      </c>
      <c r="O368" s="7" t="s">
        <v>6719</v>
      </c>
    </row>
    <row r="369" spans="1:26" ht="28.7" customHeight="1" x14ac:dyDescent="0.3">
      <c r="A369" s="10" t="s">
        <v>1686</v>
      </c>
      <c r="B369" s="10" t="s">
        <v>1697</v>
      </c>
      <c r="C369" s="75">
        <v>1</v>
      </c>
      <c r="D369" s="31" t="s">
        <v>14</v>
      </c>
      <c r="E369" s="55">
        <f>I369+G369+K369</f>
        <v>120257</v>
      </c>
      <c r="F369" s="76">
        <f>J369+H369+L369</f>
        <v>120257</v>
      </c>
      <c r="G369" s="78">
        <f>일위대가목록표!F662</f>
        <v>116755</v>
      </c>
      <c r="H369" s="80">
        <f>IF(C369=0,0,ROUNDDOWN(G369*C369,1))</f>
        <v>116755</v>
      </c>
      <c r="I369" s="78">
        <f>일위대가목록표!G662</f>
        <v>0</v>
      </c>
      <c r="J369" s="80">
        <f>IF(C369=0,0,ROUNDDOWN(I369*C369,1))</f>
        <v>0</v>
      </c>
      <c r="K369" s="78">
        <f>일위대가목록표!H662</f>
        <v>3502</v>
      </c>
      <c r="L369" s="80">
        <f>IF(C369=0,0,ROUNDDOWN(K369*C369,1))</f>
        <v>3502</v>
      </c>
      <c r="M369" s="22" t="s">
        <v>6545</v>
      </c>
      <c r="N369" s="17" t="s">
        <v>6543</v>
      </c>
      <c r="O369" s="7" t="s">
        <v>6544</v>
      </c>
      <c r="P369" s="7" t="s">
        <v>6406</v>
      </c>
      <c r="Z369" s="3" t="str">
        <f ca="1">HYPERLINK("#"&amp;일위대가목록표!J2&amp;"!A"&amp;ROW(일위대가목록표!A662),"대가659 →")</f>
        <v>대가659 →</v>
      </c>
    </row>
    <row r="370" spans="1:26" ht="28.7" customHeight="1" x14ac:dyDescent="0.3">
      <c r="A370" s="22" t="s">
        <v>6</v>
      </c>
      <c r="B370" s="74"/>
      <c r="C370" s="74"/>
      <c r="D370" s="74"/>
      <c r="E370" s="74"/>
      <c r="F370" s="48">
        <f>J370+H370+L370</f>
        <v>120257</v>
      </c>
      <c r="G370" s="74"/>
      <c r="H370" s="48">
        <f>ROUNDDOWN(SUMIF(P369:P369,O370,H369:H369),0)</f>
        <v>116755</v>
      </c>
      <c r="I370" s="74"/>
      <c r="J370" s="48">
        <f>ROUNDDOWN(SUMIF(P369:P369,O370,J369:J369),0)</f>
        <v>0</v>
      </c>
      <c r="K370" s="74"/>
      <c r="L370" s="48">
        <f>ROUNDDOWN(SUMIF(P369:P369,O370,L369:L369),0)</f>
        <v>3502</v>
      </c>
      <c r="M370" s="74"/>
      <c r="O370" s="7" t="s">
        <v>6406</v>
      </c>
    </row>
    <row r="371" spans="1:26" ht="28.7" customHeight="1" x14ac:dyDescent="0.3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</row>
    <row r="372" spans="1:26" ht="28.7" customHeight="1" x14ac:dyDescent="0.3">
      <c r="A372" s="136" t="s">
        <v>201</v>
      </c>
      <c r="B372" s="127"/>
      <c r="C372" s="127"/>
      <c r="D372" s="127"/>
      <c r="E372" s="127"/>
      <c r="F372" s="127"/>
      <c r="G372" s="127"/>
      <c r="H372" s="127"/>
      <c r="I372" s="127"/>
      <c r="J372" s="127"/>
      <c r="K372" s="127"/>
      <c r="L372" s="144"/>
      <c r="M372" s="22" t="s">
        <v>6720</v>
      </c>
      <c r="N372" s="84" t="str">
        <f>HYPERLINK("#N"&amp;ROW(N373),"_x0005_`BDCOD|B05167_x0007_`POSS|"&amp;ROW(N373)&amp;"_x0007_`POSE|"&amp;ROW(N373)&amp;"_x0007_`")</f>
        <v>_x0005_`BDCOD|B05167_x0007_`POSS|373_x0007_`POSE|373_x0007_`</v>
      </c>
      <c r="O372" s="7" t="s">
        <v>6721</v>
      </c>
    </row>
    <row r="373" spans="1:26" ht="28.7" customHeight="1" x14ac:dyDescent="0.3">
      <c r="A373" s="10" t="s">
        <v>1686</v>
      </c>
      <c r="B373" s="10" t="s">
        <v>1706</v>
      </c>
      <c r="C373" s="75">
        <v>1</v>
      </c>
      <c r="D373" s="31" t="s">
        <v>14</v>
      </c>
      <c r="E373" s="55">
        <f>I373+G373+K373</f>
        <v>138099</v>
      </c>
      <c r="F373" s="76">
        <f>J373+H373+L373</f>
        <v>138099</v>
      </c>
      <c r="G373" s="78">
        <f>일위대가목록표!F665</f>
        <v>134077</v>
      </c>
      <c r="H373" s="80">
        <f>IF(C373=0,0,ROUNDDOWN(G373*C373,1))</f>
        <v>134077</v>
      </c>
      <c r="I373" s="78">
        <f>일위대가목록표!G665</f>
        <v>0</v>
      </c>
      <c r="J373" s="80">
        <f>IF(C373=0,0,ROUNDDOWN(I373*C373,1))</f>
        <v>0</v>
      </c>
      <c r="K373" s="78">
        <f>일위대가목록표!H665</f>
        <v>4022</v>
      </c>
      <c r="L373" s="80">
        <f>IF(C373=0,0,ROUNDDOWN(K373*C373,1))</f>
        <v>4022</v>
      </c>
      <c r="M373" s="22" t="s">
        <v>6550</v>
      </c>
      <c r="N373" s="17" t="s">
        <v>6548</v>
      </c>
      <c r="O373" s="7" t="s">
        <v>6549</v>
      </c>
      <c r="P373" s="7" t="s">
        <v>6406</v>
      </c>
      <c r="Z373" s="3" t="str">
        <f ca="1">HYPERLINK("#"&amp;일위대가목록표!J2&amp;"!A"&amp;ROW(일위대가목록표!A665),"대가662 →")</f>
        <v>대가662 →</v>
      </c>
    </row>
    <row r="374" spans="1:26" ht="28.7" customHeight="1" x14ac:dyDescent="0.3">
      <c r="A374" s="22" t="s">
        <v>6</v>
      </c>
      <c r="B374" s="74"/>
      <c r="C374" s="74"/>
      <c r="D374" s="74"/>
      <c r="E374" s="74"/>
      <c r="F374" s="48">
        <f>J374+H374+L374</f>
        <v>138099</v>
      </c>
      <c r="G374" s="74"/>
      <c r="H374" s="48">
        <f>ROUNDDOWN(SUMIF(P373:P373,O374,H373:H373),0)</f>
        <v>134077</v>
      </c>
      <c r="I374" s="74"/>
      <c r="J374" s="48">
        <f>ROUNDDOWN(SUMIF(P373:P373,O374,J373:J373),0)</f>
        <v>0</v>
      </c>
      <c r="K374" s="74"/>
      <c r="L374" s="48">
        <f>ROUNDDOWN(SUMIF(P373:P373,O374,L373:L373),0)</f>
        <v>4022</v>
      </c>
      <c r="M374" s="74"/>
      <c r="O374" s="7" t="s">
        <v>6406</v>
      </c>
    </row>
    <row r="375" spans="1:26" ht="28.7" customHeight="1" x14ac:dyDescent="0.3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</row>
    <row r="376" spans="1:26" ht="28.7" customHeight="1" x14ac:dyDescent="0.3">
      <c r="A376" s="136" t="s">
        <v>203</v>
      </c>
      <c r="B376" s="127"/>
      <c r="C376" s="127"/>
      <c r="D376" s="127"/>
      <c r="E376" s="127"/>
      <c r="F376" s="127"/>
      <c r="G376" s="127"/>
      <c r="H376" s="127"/>
      <c r="I376" s="127"/>
      <c r="J376" s="127"/>
      <c r="K376" s="127"/>
      <c r="L376" s="144"/>
      <c r="M376" s="22" t="s">
        <v>6722</v>
      </c>
      <c r="N376" s="84" t="str">
        <f>HYPERLINK("#N"&amp;ROW(N377),"_x0005_`BDCOD|B05168_x0007_`POSS|"&amp;ROW(N377)&amp;"_x0007_`POSE|"&amp;ROW(N377)&amp;"_x0007_`")</f>
        <v>_x0005_`BDCOD|B05168_x0007_`POSS|377_x0007_`POSE|377_x0007_`</v>
      </c>
      <c r="O376" s="7" t="s">
        <v>6723</v>
      </c>
    </row>
    <row r="377" spans="1:26" ht="28.7" customHeight="1" x14ac:dyDescent="0.3">
      <c r="A377" s="10" t="s">
        <v>1686</v>
      </c>
      <c r="B377" s="10" t="s">
        <v>1715</v>
      </c>
      <c r="C377" s="75">
        <v>1</v>
      </c>
      <c r="D377" s="31" t="s">
        <v>14</v>
      </c>
      <c r="E377" s="55">
        <f>I377+G377+K377</f>
        <v>166390</v>
      </c>
      <c r="F377" s="76">
        <f>J377+H377+L377</f>
        <v>166390</v>
      </c>
      <c r="G377" s="78">
        <f>일위대가목록표!F668</f>
        <v>161544</v>
      </c>
      <c r="H377" s="80">
        <f>IF(C377=0,0,ROUNDDOWN(G377*C377,1))</f>
        <v>161544</v>
      </c>
      <c r="I377" s="78">
        <f>일위대가목록표!G668</f>
        <v>0</v>
      </c>
      <c r="J377" s="80">
        <f>IF(C377=0,0,ROUNDDOWN(I377*C377,1))</f>
        <v>0</v>
      </c>
      <c r="K377" s="78">
        <f>일위대가목록표!H668</f>
        <v>4846</v>
      </c>
      <c r="L377" s="80">
        <f>IF(C377=0,0,ROUNDDOWN(K377*C377,1))</f>
        <v>4846</v>
      </c>
      <c r="M377" s="22" t="s">
        <v>6555</v>
      </c>
      <c r="N377" s="17" t="s">
        <v>6553</v>
      </c>
      <c r="O377" s="7" t="s">
        <v>6554</v>
      </c>
      <c r="P377" s="7" t="s">
        <v>6406</v>
      </c>
      <c r="Z377" s="3" t="str">
        <f ca="1">HYPERLINK("#"&amp;일위대가목록표!J2&amp;"!A"&amp;ROW(일위대가목록표!A668),"대가665 →")</f>
        <v>대가665 →</v>
      </c>
    </row>
    <row r="378" spans="1:26" ht="28.7" customHeight="1" x14ac:dyDescent="0.3">
      <c r="A378" s="22" t="s">
        <v>6</v>
      </c>
      <c r="B378" s="74"/>
      <c r="C378" s="74"/>
      <c r="D378" s="74"/>
      <c r="E378" s="74"/>
      <c r="F378" s="48">
        <f>J378+H378+L378</f>
        <v>166390</v>
      </c>
      <c r="G378" s="74"/>
      <c r="H378" s="48">
        <f>ROUNDDOWN(SUMIF(P377:P377,O378,H377:H377),0)</f>
        <v>161544</v>
      </c>
      <c r="I378" s="74"/>
      <c r="J378" s="48">
        <f>ROUNDDOWN(SUMIF(P377:P377,O378,J377:J377),0)</f>
        <v>0</v>
      </c>
      <c r="K378" s="74"/>
      <c r="L378" s="48">
        <f>ROUNDDOWN(SUMIF(P377:P377,O378,L377:L377),0)</f>
        <v>4846</v>
      </c>
      <c r="M378" s="74"/>
      <c r="O378" s="7" t="s">
        <v>6406</v>
      </c>
    </row>
    <row r="379" spans="1:26" ht="28.7" customHeight="1" x14ac:dyDescent="0.3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</row>
    <row r="380" spans="1:26" ht="28.7" customHeight="1" x14ac:dyDescent="0.3">
      <c r="A380" s="136" t="s">
        <v>205</v>
      </c>
      <c r="B380" s="127"/>
      <c r="C380" s="127"/>
      <c r="D380" s="127"/>
      <c r="E380" s="127"/>
      <c r="F380" s="127"/>
      <c r="G380" s="127"/>
      <c r="H380" s="127"/>
      <c r="I380" s="127"/>
      <c r="J380" s="127"/>
      <c r="K380" s="127"/>
      <c r="L380" s="144"/>
      <c r="M380" s="22" t="s">
        <v>6724</v>
      </c>
      <c r="N380" s="84" t="str">
        <f>HYPERLINK("#N"&amp;ROW(N381),"_x0005_`BDCOD|B05169_x0007_`POSS|"&amp;ROW(N381)&amp;"_x0007_`POSE|"&amp;ROW(N381)&amp;"_x0007_`")</f>
        <v>_x0005_`BDCOD|B05169_x0007_`POSS|381_x0007_`POSE|381_x0007_`</v>
      </c>
      <c r="O380" s="7" t="s">
        <v>6725</v>
      </c>
    </row>
    <row r="381" spans="1:26" ht="28.7" customHeight="1" x14ac:dyDescent="0.3">
      <c r="A381" s="10" t="s">
        <v>1686</v>
      </c>
      <c r="B381" s="10" t="s">
        <v>1724</v>
      </c>
      <c r="C381" s="75">
        <v>1</v>
      </c>
      <c r="D381" s="31" t="s">
        <v>14</v>
      </c>
      <c r="E381" s="55">
        <f>I381+G381+K381</f>
        <v>209936</v>
      </c>
      <c r="F381" s="76">
        <f>J381+H381+L381</f>
        <v>209936</v>
      </c>
      <c r="G381" s="78">
        <f>일위대가목록표!F671</f>
        <v>203822</v>
      </c>
      <c r="H381" s="80">
        <f>IF(C381=0,0,ROUNDDOWN(G381*C381,1))</f>
        <v>203822</v>
      </c>
      <c r="I381" s="78">
        <f>일위대가목록표!G671</f>
        <v>0</v>
      </c>
      <c r="J381" s="80">
        <f>IF(C381=0,0,ROUNDDOWN(I381*C381,1))</f>
        <v>0</v>
      </c>
      <c r="K381" s="78">
        <f>일위대가목록표!H671</f>
        <v>6114</v>
      </c>
      <c r="L381" s="80">
        <f>IF(C381=0,0,ROUNDDOWN(K381*C381,1))</f>
        <v>6114</v>
      </c>
      <c r="M381" s="22" t="s">
        <v>6560</v>
      </c>
      <c r="N381" s="17" t="s">
        <v>6558</v>
      </c>
      <c r="O381" s="7" t="s">
        <v>6559</v>
      </c>
      <c r="P381" s="7" t="s">
        <v>6406</v>
      </c>
      <c r="Z381" s="3" t="str">
        <f ca="1">HYPERLINK("#"&amp;일위대가목록표!J2&amp;"!A"&amp;ROW(일위대가목록표!A671),"대가668 →")</f>
        <v>대가668 →</v>
      </c>
    </row>
    <row r="382" spans="1:26" ht="28.7" customHeight="1" x14ac:dyDescent="0.3">
      <c r="A382" s="22" t="s">
        <v>6</v>
      </c>
      <c r="B382" s="74"/>
      <c r="C382" s="74"/>
      <c r="D382" s="74"/>
      <c r="E382" s="74"/>
      <c r="F382" s="48">
        <f>J382+H382+L382</f>
        <v>209936</v>
      </c>
      <c r="G382" s="74"/>
      <c r="H382" s="48">
        <f>ROUNDDOWN(SUMIF(P381:P381,O382,H381:H381),0)</f>
        <v>203822</v>
      </c>
      <c r="I382" s="74"/>
      <c r="J382" s="48">
        <f>ROUNDDOWN(SUMIF(P381:P381,O382,J381:J381),0)</f>
        <v>0</v>
      </c>
      <c r="K382" s="74"/>
      <c r="L382" s="48">
        <f>ROUNDDOWN(SUMIF(P381:P381,O382,L381:L381),0)</f>
        <v>6114</v>
      </c>
      <c r="M382" s="74"/>
      <c r="O382" s="7" t="s">
        <v>6406</v>
      </c>
    </row>
    <row r="383" spans="1:26" ht="28.7" customHeight="1" x14ac:dyDescent="0.3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</row>
    <row r="384" spans="1:26" ht="28.7" customHeight="1" x14ac:dyDescent="0.3">
      <c r="A384" s="136" t="s">
        <v>207</v>
      </c>
      <c r="B384" s="127"/>
      <c r="C384" s="127"/>
      <c r="D384" s="127"/>
      <c r="E384" s="127"/>
      <c r="F384" s="127"/>
      <c r="G384" s="127"/>
      <c r="H384" s="127"/>
      <c r="I384" s="127"/>
      <c r="J384" s="127"/>
      <c r="K384" s="127"/>
      <c r="L384" s="144"/>
      <c r="M384" s="22" t="s">
        <v>6726</v>
      </c>
      <c r="N384" s="84" t="str">
        <f>HYPERLINK("#N"&amp;ROW(N385),"_x0005_`BDCOD|B05170_x0007_`POSS|"&amp;ROW(N385)&amp;"_x0007_`POSE|"&amp;ROW(N385)&amp;"_x0007_`")</f>
        <v>_x0005_`BDCOD|B05170_x0007_`POSS|385_x0007_`POSE|385_x0007_`</v>
      </c>
      <c r="O384" s="7" t="s">
        <v>6727</v>
      </c>
    </row>
    <row r="385" spans="1:26" ht="28.7" customHeight="1" x14ac:dyDescent="0.3">
      <c r="A385" s="10" t="s">
        <v>1686</v>
      </c>
      <c r="B385" s="10" t="s">
        <v>1733</v>
      </c>
      <c r="C385" s="75">
        <v>1</v>
      </c>
      <c r="D385" s="31" t="s">
        <v>14</v>
      </c>
      <c r="E385" s="55">
        <f>I385+G385+K385</f>
        <v>263831</v>
      </c>
      <c r="F385" s="76">
        <f>J385+H385+L385</f>
        <v>263831</v>
      </c>
      <c r="G385" s="78">
        <f>일위대가목록표!F674</f>
        <v>256147</v>
      </c>
      <c r="H385" s="80">
        <f>IF(C385=0,0,ROUNDDOWN(G385*C385,1))</f>
        <v>256147</v>
      </c>
      <c r="I385" s="78">
        <f>일위대가목록표!G674</f>
        <v>0</v>
      </c>
      <c r="J385" s="80">
        <f>IF(C385=0,0,ROUNDDOWN(I385*C385,1))</f>
        <v>0</v>
      </c>
      <c r="K385" s="78">
        <f>일위대가목록표!H674</f>
        <v>7684</v>
      </c>
      <c r="L385" s="80">
        <f>IF(C385=0,0,ROUNDDOWN(K385*C385,1))</f>
        <v>7684</v>
      </c>
      <c r="M385" s="22" t="s">
        <v>6565</v>
      </c>
      <c r="N385" s="17" t="s">
        <v>6563</v>
      </c>
      <c r="O385" s="7" t="s">
        <v>6564</v>
      </c>
      <c r="P385" s="7" t="s">
        <v>6406</v>
      </c>
      <c r="Z385" s="3" t="str">
        <f ca="1">HYPERLINK("#"&amp;일위대가목록표!J2&amp;"!A"&amp;ROW(일위대가목록표!A674),"대가671 →")</f>
        <v>대가671 →</v>
      </c>
    </row>
    <row r="386" spans="1:26" ht="28.7" customHeight="1" x14ac:dyDescent="0.3">
      <c r="A386" s="22" t="s">
        <v>6</v>
      </c>
      <c r="B386" s="74"/>
      <c r="C386" s="74"/>
      <c r="D386" s="74"/>
      <c r="E386" s="74"/>
      <c r="F386" s="48">
        <f>J386+H386+L386</f>
        <v>263831</v>
      </c>
      <c r="G386" s="74"/>
      <c r="H386" s="48">
        <f>ROUNDDOWN(SUMIF(P385:P385,O386,H385:H385),0)</f>
        <v>256147</v>
      </c>
      <c r="I386" s="74"/>
      <c r="J386" s="48">
        <f>ROUNDDOWN(SUMIF(P385:P385,O386,J385:J385),0)</f>
        <v>0</v>
      </c>
      <c r="K386" s="74"/>
      <c r="L386" s="48">
        <f>ROUNDDOWN(SUMIF(P385:P385,O386,L385:L385),0)</f>
        <v>7684</v>
      </c>
      <c r="M386" s="74"/>
      <c r="O386" s="7" t="s">
        <v>6406</v>
      </c>
    </row>
    <row r="387" spans="1:26" ht="28.7" customHeight="1" x14ac:dyDescent="0.3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</row>
    <row r="388" spans="1:26" ht="28.7" customHeight="1" x14ac:dyDescent="0.3">
      <c r="A388" s="136" t="s">
        <v>209</v>
      </c>
      <c r="B388" s="127"/>
      <c r="C388" s="127"/>
      <c r="D388" s="127"/>
      <c r="E388" s="127"/>
      <c r="F388" s="127"/>
      <c r="G388" s="127"/>
      <c r="H388" s="127"/>
      <c r="I388" s="127"/>
      <c r="J388" s="127"/>
      <c r="K388" s="127"/>
      <c r="L388" s="144"/>
      <c r="M388" s="22" t="s">
        <v>6728</v>
      </c>
      <c r="N388" s="84" t="str">
        <f>HYPERLINK("#N"&amp;ROW(N389),"_x0005_`BDCOD|B05171_x0007_`POSS|"&amp;ROW(N389)&amp;"_x0007_`POSE|"&amp;ROW(N389)&amp;"_x0007_`")</f>
        <v>_x0005_`BDCOD|B05171_x0007_`POSS|389_x0007_`POSE|389_x0007_`</v>
      </c>
      <c r="O388" s="7" t="s">
        <v>6729</v>
      </c>
    </row>
    <row r="389" spans="1:26" ht="28.7" customHeight="1" x14ac:dyDescent="0.3">
      <c r="A389" s="10" t="s">
        <v>1686</v>
      </c>
      <c r="B389" s="10" t="s">
        <v>1742</v>
      </c>
      <c r="C389" s="75">
        <v>1</v>
      </c>
      <c r="D389" s="31" t="s">
        <v>14</v>
      </c>
      <c r="E389" s="55">
        <f>I389+G389+K389</f>
        <v>280095</v>
      </c>
      <c r="F389" s="76">
        <f>J389+H389+L389</f>
        <v>280095</v>
      </c>
      <c r="G389" s="78">
        <f>일위대가목록표!F677</f>
        <v>271937</v>
      </c>
      <c r="H389" s="80">
        <f>IF(C389=0,0,ROUNDDOWN(G389*C389,1))</f>
        <v>271937</v>
      </c>
      <c r="I389" s="78">
        <f>일위대가목록표!G677</f>
        <v>0</v>
      </c>
      <c r="J389" s="80">
        <f>IF(C389=0,0,ROUNDDOWN(I389*C389,1))</f>
        <v>0</v>
      </c>
      <c r="K389" s="78">
        <f>일위대가목록표!H677</f>
        <v>8158</v>
      </c>
      <c r="L389" s="80">
        <f>IF(C389=0,0,ROUNDDOWN(K389*C389,1))</f>
        <v>8158</v>
      </c>
      <c r="M389" s="22" t="s">
        <v>6570</v>
      </c>
      <c r="N389" s="17" t="s">
        <v>6568</v>
      </c>
      <c r="O389" s="7" t="s">
        <v>6569</v>
      </c>
      <c r="P389" s="7" t="s">
        <v>6406</v>
      </c>
      <c r="Z389" s="3" t="str">
        <f ca="1">HYPERLINK("#"&amp;일위대가목록표!J2&amp;"!A"&amp;ROW(일위대가목록표!A677),"대가674 →")</f>
        <v>대가674 →</v>
      </c>
    </row>
    <row r="390" spans="1:26" ht="28.7" customHeight="1" x14ac:dyDescent="0.3">
      <c r="A390" s="22" t="s">
        <v>6</v>
      </c>
      <c r="B390" s="74"/>
      <c r="C390" s="74"/>
      <c r="D390" s="74"/>
      <c r="E390" s="74"/>
      <c r="F390" s="48">
        <f>J390+H390+L390</f>
        <v>280095</v>
      </c>
      <c r="G390" s="74"/>
      <c r="H390" s="48">
        <f>ROUNDDOWN(SUMIF(P389:P389,O390,H389:H389),0)</f>
        <v>271937</v>
      </c>
      <c r="I390" s="74"/>
      <c r="J390" s="48">
        <f>ROUNDDOWN(SUMIF(P389:P389,O390,J389:J389),0)</f>
        <v>0</v>
      </c>
      <c r="K390" s="74"/>
      <c r="L390" s="48">
        <f>ROUNDDOWN(SUMIF(P389:P389,O390,L389:L389),0)</f>
        <v>8158</v>
      </c>
      <c r="M390" s="74"/>
      <c r="O390" s="7" t="s">
        <v>6406</v>
      </c>
    </row>
    <row r="391" spans="1:26" ht="28.7" customHeight="1" x14ac:dyDescent="0.3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</row>
    <row r="392" spans="1:26" ht="28.7" customHeight="1" x14ac:dyDescent="0.3">
      <c r="A392" s="136" t="s">
        <v>211</v>
      </c>
      <c r="B392" s="127"/>
      <c r="C392" s="127"/>
      <c r="D392" s="127"/>
      <c r="E392" s="127"/>
      <c r="F392" s="127"/>
      <c r="G392" s="127"/>
      <c r="H392" s="127"/>
      <c r="I392" s="127"/>
      <c r="J392" s="127"/>
      <c r="K392" s="127"/>
      <c r="L392" s="144"/>
      <c r="M392" s="22" t="s">
        <v>6730</v>
      </c>
      <c r="N392" s="84" t="str">
        <f>HYPERLINK("#N"&amp;ROW(N393),"_x0005_`BDCOD|B05172_x0007_`POSS|"&amp;ROW(N393)&amp;"_x0007_`POSE|"&amp;ROW(N393)&amp;"_x0007_`")</f>
        <v>_x0005_`BDCOD|B05172_x0007_`POSS|393_x0007_`POSE|393_x0007_`</v>
      </c>
      <c r="O392" s="7" t="s">
        <v>6731</v>
      </c>
    </row>
    <row r="393" spans="1:26" ht="28.7" customHeight="1" x14ac:dyDescent="0.3">
      <c r="A393" s="10" t="s">
        <v>1686</v>
      </c>
      <c r="B393" s="10" t="s">
        <v>1751</v>
      </c>
      <c r="C393" s="75">
        <v>1</v>
      </c>
      <c r="D393" s="31" t="s">
        <v>14</v>
      </c>
      <c r="E393" s="55">
        <f>I393+G393+K393</f>
        <v>452499</v>
      </c>
      <c r="F393" s="76">
        <f>J393+H393+L393</f>
        <v>452499</v>
      </c>
      <c r="G393" s="78">
        <f>일위대가목록표!F680</f>
        <v>439320</v>
      </c>
      <c r="H393" s="80">
        <f>IF(C393=0,0,ROUNDDOWN(G393*C393,1))</f>
        <v>439320</v>
      </c>
      <c r="I393" s="78">
        <f>일위대가목록표!G680</f>
        <v>0</v>
      </c>
      <c r="J393" s="80">
        <f>IF(C393=0,0,ROUNDDOWN(I393*C393,1))</f>
        <v>0</v>
      </c>
      <c r="K393" s="78">
        <f>일위대가목록표!H680</f>
        <v>13179</v>
      </c>
      <c r="L393" s="80">
        <f>IF(C393=0,0,ROUNDDOWN(K393*C393,1))</f>
        <v>13179</v>
      </c>
      <c r="M393" s="22" t="s">
        <v>6575</v>
      </c>
      <c r="N393" s="17" t="s">
        <v>6573</v>
      </c>
      <c r="O393" s="7" t="s">
        <v>6574</v>
      </c>
      <c r="P393" s="7" t="s">
        <v>6406</v>
      </c>
      <c r="Z393" s="3" t="str">
        <f ca="1">HYPERLINK("#"&amp;일위대가목록표!J2&amp;"!A"&amp;ROW(일위대가목록표!A680),"대가677 →")</f>
        <v>대가677 →</v>
      </c>
    </row>
    <row r="394" spans="1:26" ht="28.7" customHeight="1" x14ac:dyDescent="0.3">
      <c r="A394" s="22" t="s">
        <v>6</v>
      </c>
      <c r="B394" s="74"/>
      <c r="C394" s="74"/>
      <c r="D394" s="74"/>
      <c r="E394" s="74"/>
      <c r="F394" s="48">
        <f>J394+H394+L394</f>
        <v>452499</v>
      </c>
      <c r="G394" s="74"/>
      <c r="H394" s="48">
        <f>ROUNDDOWN(SUMIF(P393:P393,O394,H393:H393),0)</f>
        <v>439320</v>
      </c>
      <c r="I394" s="74"/>
      <c r="J394" s="48">
        <f>ROUNDDOWN(SUMIF(P393:P393,O394,J393:J393),0)</f>
        <v>0</v>
      </c>
      <c r="K394" s="74"/>
      <c r="L394" s="48">
        <f>ROUNDDOWN(SUMIF(P393:P393,O394,L393:L393),0)</f>
        <v>13179</v>
      </c>
      <c r="M394" s="74"/>
      <c r="O394" s="7" t="s">
        <v>6406</v>
      </c>
    </row>
    <row r="395" spans="1:26" ht="28.7" customHeight="1" x14ac:dyDescent="0.3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</row>
    <row r="396" spans="1:26" ht="28.7" customHeight="1" x14ac:dyDescent="0.3">
      <c r="A396" s="136" t="s">
        <v>213</v>
      </c>
      <c r="B396" s="127"/>
      <c r="C396" s="127"/>
      <c r="D396" s="127"/>
      <c r="E396" s="127"/>
      <c r="F396" s="127"/>
      <c r="G396" s="127"/>
      <c r="H396" s="127"/>
      <c r="I396" s="127"/>
      <c r="J396" s="127"/>
      <c r="K396" s="127"/>
      <c r="L396" s="144"/>
      <c r="M396" s="22" t="s">
        <v>6732</v>
      </c>
      <c r="N396" s="84" t="str">
        <f>HYPERLINK("#N"&amp;ROW(N397),"_x0005_`BDCOD|B05173_x0007_`POSS|"&amp;ROW(N397)&amp;"_x0007_`POSE|"&amp;ROW(N397)&amp;"_x0007_`")</f>
        <v>_x0005_`BDCOD|B05173_x0007_`POSS|397_x0007_`POSE|397_x0007_`</v>
      </c>
      <c r="O396" s="7" t="s">
        <v>6733</v>
      </c>
    </row>
    <row r="397" spans="1:26" ht="28.7" customHeight="1" x14ac:dyDescent="0.3">
      <c r="A397" s="10" t="s">
        <v>1686</v>
      </c>
      <c r="B397" s="10" t="s">
        <v>1760</v>
      </c>
      <c r="C397" s="75">
        <v>1</v>
      </c>
      <c r="D397" s="31" t="s">
        <v>14</v>
      </c>
      <c r="E397" s="55">
        <f>I397+G397+K397</f>
        <v>584244</v>
      </c>
      <c r="F397" s="76">
        <f>J397+H397+L397</f>
        <v>584244</v>
      </c>
      <c r="G397" s="78">
        <f>일위대가목록표!F683</f>
        <v>567228</v>
      </c>
      <c r="H397" s="80">
        <f>IF(C397=0,0,ROUNDDOWN(G397*C397,1))</f>
        <v>567228</v>
      </c>
      <c r="I397" s="78">
        <f>일위대가목록표!G683</f>
        <v>0</v>
      </c>
      <c r="J397" s="80">
        <f>IF(C397=0,0,ROUNDDOWN(I397*C397,1))</f>
        <v>0</v>
      </c>
      <c r="K397" s="78">
        <f>일위대가목록표!H683</f>
        <v>17016</v>
      </c>
      <c r="L397" s="80">
        <f>IF(C397=0,0,ROUNDDOWN(K397*C397,1))</f>
        <v>17016</v>
      </c>
      <c r="M397" s="22" t="s">
        <v>6580</v>
      </c>
      <c r="N397" s="17" t="s">
        <v>6578</v>
      </c>
      <c r="O397" s="7" t="s">
        <v>6579</v>
      </c>
      <c r="P397" s="7" t="s">
        <v>6406</v>
      </c>
      <c r="Z397" s="3" t="str">
        <f ca="1">HYPERLINK("#"&amp;일위대가목록표!J2&amp;"!A"&amp;ROW(일위대가목록표!A683),"대가680 →")</f>
        <v>대가680 →</v>
      </c>
    </row>
    <row r="398" spans="1:26" ht="28.7" customHeight="1" x14ac:dyDescent="0.3">
      <c r="A398" s="22" t="s">
        <v>6</v>
      </c>
      <c r="B398" s="74"/>
      <c r="C398" s="74"/>
      <c r="D398" s="74"/>
      <c r="E398" s="74"/>
      <c r="F398" s="48">
        <f>J398+H398+L398</f>
        <v>584244</v>
      </c>
      <c r="G398" s="74"/>
      <c r="H398" s="48">
        <f>ROUNDDOWN(SUMIF(P397:P397,O398,H397:H397),0)</f>
        <v>567228</v>
      </c>
      <c r="I398" s="74"/>
      <c r="J398" s="48">
        <f>ROUNDDOWN(SUMIF(P397:P397,O398,J397:J397),0)</f>
        <v>0</v>
      </c>
      <c r="K398" s="74"/>
      <c r="L398" s="48">
        <f>ROUNDDOWN(SUMIF(P397:P397,O398,L397:L397),0)</f>
        <v>17016</v>
      </c>
      <c r="M398" s="74"/>
      <c r="O398" s="7" t="s">
        <v>6406</v>
      </c>
    </row>
    <row r="399" spans="1:26" ht="28.7" customHeight="1" x14ac:dyDescent="0.3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</row>
    <row r="400" spans="1:26" ht="28.7" customHeight="1" x14ac:dyDescent="0.3">
      <c r="A400" s="136" t="s">
        <v>215</v>
      </c>
      <c r="B400" s="127"/>
      <c r="C400" s="127"/>
      <c r="D400" s="127"/>
      <c r="E400" s="127"/>
      <c r="F400" s="127"/>
      <c r="G400" s="127"/>
      <c r="H400" s="127"/>
      <c r="I400" s="127"/>
      <c r="J400" s="127"/>
      <c r="K400" s="127"/>
      <c r="L400" s="144"/>
      <c r="M400" s="22" t="s">
        <v>6734</v>
      </c>
      <c r="N400" s="84" t="str">
        <f>HYPERLINK("#N"&amp;ROW(N401),"_x0005_`BDCOD|B05174_x0007_`POSS|"&amp;ROW(N401)&amp;"_x0007_`POSE|"&amp;ROW(N401)&amp;"_x0007_`")</f>
        <v>_x0005_`BDCOD|B05174_x0007_`POSS|401_x0007_`POSE|401_x0007_`</v>
      </c>
      <c r="O400" s="7" t="s">
        <v>6735</v>
      </c>
    </row>
    <row r="401" spans="1:26" ht="28.7" customHeight="1" x14ac:dyDescent="0.3">
      <c r="A401" s="10" t="s">
        <v>1686</v>
      </c>
      <c r="B401" s="10" t="s">
        <v>1769</v>
      </c>
      <c r="C401" s="75">
        <v>1</v>
      </c>
      <c r="D401" s="31" t="s">
        <v>14</v>
      </c>
      <c r="E401" s="55">
        <f>I401+G401+K401</f>
        <v>939944</v>
      </c>
      <c r="F401" s="76">
        <f>J401+H401+L401</f>
        <v>939944</v>
      </c>
      <c r="G401" s="78">
        <f>일위대가목록표!F686</f>
        <v>912568</v>
      </c>
      <c r="H401" s="80">
        <f>IF(C401=0,0,ROUNDDOWN(G401*C401,1))</f>
        <v>912568</v>
      </c>
      <c r="I401" s="78">
        <f>일위대가목록표!G686</f>
        <v>0</v>
      </c>
      <c r="J401" s="80">
        <f>IF(C401=0,0,ROUNDDOWN(I401*C401,1))</f>
        <v>0</v>
      </c>
      <c r="K401" s="78">
        <f>일위대가목록표!H686</f>
        <v>27376</v>
      </c>
      <c r="L401" s="80">
        <f>IF(C401=0,0,ROUNDDOWN(K401*C401,1))</f>
        <v>27376</v>
      </c>
      <c r="M401" s="22" t="s">
        <v>6585</v>
      </c>
      <c r="N401" s="17" t="s">
        <v>6583</v>
      </c>
      <c r="O401" s="7" t="s">
        <v>6584</v>
      </c>
      <c r="P401" s="7" t="s">
        <v>6406</v>
      </c>
      <c r="Z401" s="3" t="str">
        <f ca="1">HYPERLINK("#"&amp;일위대가목록표!J2&amp;"!A"&amp;ROW(일위대가목록표!A686),"대가683 →")</f>
        <v>대가683 →</v>
      </c>
    </row>
    <row r="402" spans="1:26" ht="28.7" customHeight="1" x14ac:dyDescent="0.3">
      <c r="A402" s="22" t="s">
        <v>6</v>
      </c>
      <c r="B402" s="74"/>
      <c r="C402" s="74"/>
      <c r="D402" s="74"/>
      <c r="E402" s="74"/>
      <c r="F402" s="48">
        <f>J402+H402+L402</f>
        <v>939944</v>
      </c>
      <c r="G402" s="74"/>
      <c r="H402" s="48">
        <f>ROUNDDOWN(SUMIF(P401:P401,O402,H401:H401),0)</f>
        <v>912568</v>
      </c>
      <c r="I402" s="74"/>
      <c r="J402" s="48">
        <f>ROUNDDOWN(SUMIF(P401:P401,O402,J401:J401),0)</f>
        <v>0</v>
      </c>
      <c r="K402" s="74"/>
      <c r="L402" s="48">
        <f>ROUNDDOWN(SUMIF(P401:P401,O402,L401:L401),0)</f>
        <v>27376</v>
      </c>
      <c r="M402" s="74"/>
      <c r="O402" s="7" t="s">
        <v>6406</v>
      </c>
    </row>
    <row r="403" spans="1:26" ht="28.7" customHeight="1" x14ac:dyDescent="0.3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</row>
    <row r="404" spans="1:26" ht="28.7" customHeight="1" x14ac:dyDescent="0.3">
      <c r="A404" s="136" t="s">
        <v>217</v>
      </c>
      <c r="B404" s="127"/>
      <c r="C404" s="127"/>
      <c r="D404" s="127"/>
      <c r="E404" s="127"/>
      <c r="F404" s="127"/>
      <c r="G404" s="127"/>
      <c r="H404" s="127"/>
      <c r="I404" s="127"/>
      <c r="J404" s="127"/>
      <c r="K404" s="127"/>
      <c r="L404" s="144"/>
      <c r="M404" s="22" t="s">
        <v>6736</v>
      </c>
      <c r="N404" s="84" t="str">
        <f>HYPERLINK("#N"&amp;ROW(N405),"_x0005_`BDCOD|B05175_x0007_`POSS|"&amp;ROW(N405)&amp;"_x0007_`POSE|"&amp;ROW(N405)&amp;"_x0007_`")</f>
        <v>_x0005_`BDCOD|B05175_x0007_`POSS|405_x0007_`POSE|405_x0007_`</v>
      </c>
      <c r="O404" s="7" t="s">
        <v>6737</v>
      </c>
    </row>
    <row r="405" spans="1:26" ht="28.7" customHeight="1" x14ac:dyDescent="0.3">
      <c r="A405" s="10" t="s">
        <v>1686</v>
      </c>
      <c r="B405" s="10" t="s">
        <v>1769</v>
      </c>
      <c r="C405" s="75">
        <v>1</v>
      </c>
      <c r="D405" s="31" t="s">
        <v>14</v>
      </c>
      <c r="E405" s="55">
        <f>I405+G405+K405</f>
        <v>939944</v>
      </c>
      <c r="F405" s="76">
        <f>J405+H405+L405</f>
        <v>939944</v>
      </c>
      <c r="G405" s="78">
        <f>일위대가목록표!F686</f>
        <v>912568</v>
      </c>
      <c r="H405" s="80">
        <f>IF(C405=0,0,ROUNDDOWN(G405*C405,1))</f>
        <v>912568</v>
      </c>
      <c r="I405" s="78">
        <f>일위대가목록표!G686</f>
        <v>0</v>
      </c>
      <c r="J405" s="80">
        <f>IF(C405=0,0,ROUNDDOWN(I405*C405,1))</f>
        <v>0</v>
      </c>
      <c r="K405" s="78">
        <f>일위대가목록표!H686</f>
        <v>27376</v>
      </c>
      <c r="L405" s="80">
        <f>IF(C405=0,0,ROUNDDOWN(K405*C405,1))</f>
        <v>27376</v>
      </c>
      <c r="M405" s="22" t="s">
        <v>6585</v>
      </c>
      <c r="N405" s="17" t="s">
        <v>6583</v>
      </c>
      <c r="O405" s="7" t="s">
        <v>6584</v>
      </c>
      <c r="P405" s="7" t="s">
        <v>6406</v>
      </c>
      <c r="Z405" s="3" t="str">
        <f ca="1">HYPERLINK("#"&amp;일위대가목록표!J2&amp;"!A"&amp;ROW(일위대가목록표!A686),"대가683 →")</f>
        <v>대가683 →</v>
      </c>
    </row>
    <row r="406" spans="1:26" ht="28.7" customHeight="1" x14ac:dyDescent="0.3">
      <c r="A406" s="22" t="s">
        <v>6</v>
      </c>
      <c r="B406" s="74"/>
      <c r="C406" s="74"/>
      <c r="D406" s="74"/>
      <c r="E406" s="74"/>
      <c r="F406" s="48">
        <f>J406+H406+L406</f>
        <v>939944</v>
      </c>
      <c r="G406" s="74"/>
      <c r="H406" s="48">
        <f>ROUNDDOWN(SUMIF(P405:P405,O406,H405:H405),0)</f>
        <v>912568</v>
      </c>
      <c r="I406" s="74"/>
      <c r="J406" s="48">
        <f>ROUNDDOWN(SUMIF(P405:P405,O406,J405:J405),0)</f>
        <v>0</v>
      </c>
      <c r="K406" s="74"/>
      <c r="L406" s="48">
        <f>ROUNDDOWN(SUMIF(P405:P405,O406,L405:L405),0)</f>
        <v>27376</v>
      </c>
      <c r="M406" s="74"/>
      <c r="O406" s="7" t="s">
        <v>6406</v>
      </c>
    </row>
    <row r="407" spans="1:26" ht="28.7" customHeight="1" x14ac:dyDescent="0.3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</row>
    <row r="408" spans="1:26" ht="28.7" customHeight="1" x14ac:dyDescent="0.3">
      <c r="A408" s="136" t="s">
        <v>219</v>
      </c>
      <c r="B408" s="127"/>
      <c r="C408" s="127"/>
      <c r="D408" s="127"/>
      <c r="E408" s="127"/>
      <c r="F408" s="127"/>
      <c r="G408" s="127"/>
      <c r="H408" s="127"/>
      <c r="I408" s="127"/>
      <c r="J408" s="127"/>
      <c r="K408" s="127"/>
      <c r="L408" s="144"/>
      <c r="M408" s="22" t="s">
        <v>6738</v>
      </c>
      <c r="N408" s="84" t="str">
        <f>HYPERLINK("#N"&amp;ROW(N409),"_x0005_`BDCOD|B05176_x0007_`POSS|"&amp;ROW(N409)&amp;"_x0007_`POSE|"&amp;ROW(N409)&amp;"_x0007_`")</f>
        <v>_x0005_`BDCOD|B05176_x0007_`POSS|409_x0007_`POSE|409_x0007_`</v>
      </c>
      <c r="O408" s="7" t="s">
        <v>6739</v>
      </c>
    </row>
    <row r="409" spans="1:26" ht="28.7" customHeight="1" x14ac:dyDescent="0.3">
      <c r="A409" s="10" t="s">
        <v>1686</v>
      </c>
      <c r="B409" s="10" t="s">
        <v>1778</v>
      </c>
      <c r="C409" s="75">
        <v>1</v>
      </c>
      <c r="D409" s="31" t="s">
        <v>14</v>
      </c>
      <c r="E409" s="55">
        <f>I409+G409+K409</f>
        <v>1151459</v>
      </c>
      <c r="F409" s="76">
        <f>J409+H409+L409</f>
        <v>1151459</v>
      </c>
      <c r="G409" s="78">
        <f>일위대가목록표!F689</f>
        <v>1117922</v>
      </c>
      <c r="H409" s="80">
        <f>IF(C409=0,0,ROUNDDOWN(G409*C409,1))</f>
        <v>1117922</v>
      </c>
      <c r="I409" s="78">
        <f>일위대가목록표!G689</f>
        <v>0</v>
      </c>
      <c r="J409" s="80">
        <f>IF(C409=0,0,ROUNDDOWN(I409*C409,1))</f>
        <v>0</v>
      </c>
      <c r="K409" s="78">
        <f>일위대가목록표!H689</f>
        <v>33537</v>
      </c>
      <c r="L409" s="80">
        <f>IF(C409=0,0,ROUNDDOWN(K409*C409,1))</f>
        <v>33537</v>
      </c>
      <c r="M409" s="22" t="s">
        <v>6592</v>
      </c>
      <c r="N409" s="17" t="s">
        <v>6590</v>
      </c>
      <c r="O409" s="7" t="s">
        <v>6591</v>
      </c>
      <c r="P409" s="7" t="s">
        <v>6406</v>
      </c>
      <c r="Z409" s="3" t="str">
        <f ca="1">HYPERLINK("#"&amp;일위대가목록표!J2&amp;"!A"&amp;ROW(일위대가목록표!A689),"대가686 →")</f>
        <v>대가686 →</v>
      </c>
    </row>
    <row r="410" spans="1:26" ht="28.7" customHeight="1" x14ac:dyDescent="0.3">
      <c r="A410" s="22" t="s">
        <v>6</v>
      </c>
      <c r="B410" s="74"/>
      <c r="C410" s="74"/>
      <c r="D410" s="74"/>
      <c r="E410" s="74"/>
      <c r="F410" s="48">
        <f>J410+H410+L410</f>
        <v>1151459</v>
      </c>
      <c r="G410" s="74"/>
      <c r="H410" s="48">
        <f>ROUNDDOWN(SUMIF(P409:P409,O410,H409:H409),0)</f>
        <v>1117922</v>
      </c>
      <c r="I410" s="74"/>
      <c r="J410" s="48">
        <f>ROUNDDOWN(SUMIF(P409:P409,O410,J409:J409),0)</f>
        <v>0</v>
      </c>
      <c r="K410" s="74"/>
      <c r="L410" s="48">
        <f>ROUNDDOWN(SUMIF(P409:P409,O410,L409:L409),0)</f>
        <v>33537</v>
      </c>
      <c r="M410" s="74"/>
      <c r="O410" s="7" t="s">
        <v>6406</v>
      </c>
    </row>
    <row r="411" spans="1:26" ht="28.7" customHeight="1" x14ac:dyDescent="0.3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</row>
    <row r="412" spans="1:26" ht="28.7" customHeight="1" x14ac:dyDescent="0.3">
      <c r="A412" s="136" t="s">
        <v>221</v>
      </c>
      <c r="B412" s="127"/>
      <c r="C412" s="127"/>
      <c r="D412" s="127"/>
      <c r="E412" s="127"/>
      <c r="F412" s="127"/>
      <c r="G412" s="127"/>
      <c r="H412" s="127"/>
      <c r="I412" s="127"/>
      <c r="J412" s="127"/>
      <c r="K412" s="127"/>
      <c r="L412" s="144"/>
      <c r="M412" s="22" t="s">
        <v>6740</v>
      </c>
      <c r="N412" s="84" t="str">
        <f>HYPERLINK("#N"&amp;ROW(N414),"_x0005_`BDCOD|B04920_x0007_`POSS|"&amp;ROW(N413)&amp;"_x0007_`POSE|"&amp;ROW(N414)&amp;"_x0007_`")</f>
        <v>_x0005_`BDCOD|B04920_x0007_`POSS|413_x0007_`POSE|414_x0007_`</v>
      </c>
      <c r="O412" s="7" t="s">
        <v>6741</v>
      </c>
    </row>
    <row r="413" spans="1:26" ht="28.7" customHeight="1" x14ac:dyDescent="0.3">
      <c r="A413" s="10" t="s">
        <v>840</v>
      </c>
      <c r="B413" s="10" t="s">
        <v>841</v>
      </c>
      <c r="C413" s="75">
        <v>1</v>
      </c>
      <c r="D413" s="31" t="s">
        <v>14</v>
      </c>
      <c r="E413" s="55">
        <f>I413+G413+K413</f>
        <v>207713</v>
      </c>
      <c r="F413" s="76">
        <f>J413+H413+L413</f>
        <v>207713</v>
      </c>
      <c r="G413" s="78">
        <f>일위대가목록표!F347</f>
        <v>207713</v>
      </c>
      <c r="H413" s="80">
        <f>IF(C413=0,0,ROUNDDOWN(G413*C413,1))</f>
        <v>207713</v>
      </c>
      <c r="I413" s="78">
        <f>일위대가목록표!G347</f>
        <v>0</v>
      </c>
      <c r="J413" s="80">
        <f>IF(C413=0,0,ROUNDDOWN(I413*C413,1))</f>
        <v>0</v>
      </c>
      <c r="K413" s="78">
        <f>일위대가목록표!H347</f>
        <v>0</v>
      </c>
      <c r="L413" s="80">
        <f>IF(C413=0,0,ROUNDDOWN(K413*C413,1))</f>
        <v>0</v>
      </c>
      <c r="M413" s="22" t="s">
        <v>4375</v>
      </c>
      <c r="N413" s="17" t="s">
        <v>6742</v>
      </c>
      <c r="O413" s="7" t="s">
        <v>4373</v>
      </c>
      <c r="P413" s="7" t="s">
        <v>6406</v>
      </c>
      <c r="Z413" s="3" t="str">
        <f ca="1">HYPERLINK("#"&amp;일위대가목록표!J2&amp;"!A"&amp;ROW(일위대가목록표!A347),"대가344 →")</f>
        <v>대가344 →</v>
      </c>
    </row>
    <row r="414" spans="1:26" ht="28.7" customHeight="1" x14ac:dyDescent="0.3">
      <c r="A414" s="10" t="s">
        <v>223</v>
      </c>
      <c r="B414" s="10" t="s">
        <v>2485</v>
      </c>
      <c r="C414" s="75">
        <v>1</v>
      </c>
      <c r="D414" s="31" t="s">
        <v>14</v>
      </c>
      <c r="E414" s="55">
        <f>I414+G414+K414</f>
        <v>1554000</v>
      </c>
      <c r="F414" s="77">
        <f>J414+H414+L414</f>
        <v>1554000</v>
      </c>
      <c r="G414" s="51">
        <v>0</v>
      </c>
      <c r="H414" s="76">
        <f>IF(C414=0,0,ROUNDDOWN(G414*C414,1))</f>
        <v>0</v>
      </c>
      <c r="I414" s="78">
        <f>재료비목록표!E151</f>
        <v>1554000</v>
      </c>
      <c r="J414" s="81">
        <f>IF(C414=0,0,ROUNDDOWN(I414*C414,1))</f>
        <v>1554000</v>
      </c>
      <c r="K414" s="51">
        <v>0</v>
      </c>
      <c r="L414" s="76">
        <f>IF(C414=0,0,ROUNDDOWN(K414*C414,1))</f>
        <v>0</v>
      </c>
      <c r="M414" s="22" t="s">
        <v>6745</v>
      </c>
      <c r="N414" s="17" t="s">
        <v>6743</v>
      </c>
      <c r="O414" s="7" t="s">
        <v>6744</v>
      </c>
      <c r="P414" s="7" t="s">
        <v>6406</v>
      </c>
      <c r="Z414" s="3" t="str">
        <f ca="1">HYPERLINK("#"&amp;재료비목록표!G2&amp;"!A"&amp;ROW(재료비목록표!A151),"자재148 →")</f>
        <v>자재148 →</v>
      </c>
    </row>
    <row r="415" spans="1:26" ht="28.7" customHeight="1" x14ac:dyDescent="0.3">
      <c r="A415" s="22" t="s">
        <v>6</v>
      </c>
      <c r="B415" s="74"/>
      <c r="C415" s="74"/>
      <c r="D415" s="74"/>
      <c r="E415" s="74"/>
      <c r="F415" s="48">
        <f>J415+H415+L415</f>
        <v>1761713</v>
      </c>
      <c r="G415" s="74"/>
      <c r="H415" s="48">
        <f>ROUNDDOWN(SUMIF(P413:P414,O415,H413:H414),0)</f>
        <v>207713</v>
      </c>
      <c r="I415" s="74"/>
      <c r="J415" s="48">
        <f>ROUNDDOWN(SUMIF(P413:P414,O415,J413:J414),0)</f>
        <v>1554000</v>
      </c>
      <c r="K415" s="74"/>
      <c r="L415" s="48">
        <f>ROUNDDOWN(SUMIF(P413:P414,O415,L413:L414),0)</f>
        <v>0</v>
      </c>
      <c r="M415" s="74"/>
      <c r="O415" s="7" t="s">
        <v>6406</v>
      </c>
    </row>
    <row r="416" spans="1:26" ht="28.7" customHeight="1" x14ac:dyDescent="0.3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</row>
    <row r="417" spans="1:26" ht="28.7" customHeight="1" x14ac:dyDescent="0.3">
      <c r="A417" s="136" t="s">
        <v>225</v>
      </c>
      <c r="B417" s="127"/>
      <c r="C417" s="127"/>
      <c r="D417" s="127"/>
      <c r="E417" s="127"/>
      <c r="F417" s="127"/>
      <c r="G417" s="127"/>
      <c r="H417" s="127"/>
      <c r="I417" s="127"/>
      <c r="J417" s="127"/>
      <c r="K417" s="127"/>
      <c r="L417" s="144"/>
      <c r="M417" s="22" t="s">
        <v>6746</v>
      </c>
      <c r="N417" s="84" t="str">
        <f>HYPERLINK("#N"&amp;ROW(N419),"_x0005_`BDCOD|B04922_x0007_`POSS|"&amp;ROW(N418)&amp;"_x0007_`POSE|"&amp;ROW(N419)&amp;"_x0007_`")</f>
        <v>_x0005_`BDCOD|B04922_x0007_`POSS|418_x0007_`POSE|419_x0007_`</v>
      </c>
      <c r="O417" s="7" t="s">
        <v>6747</v>
      </c>
    </row>
    <row r="418" spans="1:26" ht="28.7" customHeight="1" x14ac:dyDescent="0.3">
      <c r="A418" s="10" t="s">
        <v>840</v>
      </c>
      <c r="B418" s="10" t="s">
        <v>841</v>
      </c>
      <c r="C418" s="75">
        <v>1</v>
      </c>
      <c r="D418" s="31" t="s">
        <v>14</v>
      </c>
      <c r="E418" s="55">
        <f>I418+G418+K418</f>
        <v>207713</v>
      </c>
      <c r="F418" s="76">
        <f>J418+H418+L418</f>
        <v>207713</v>
      </c>
      <c r="G418" s="78">
        <f>일위대가목록표!F347</f>
        <v>207713</v>
      </c>
      <c r="H418" s="80">
        <f>IF(C418=0,0,ROUNDDOWN(G418*C418,1))</f>
        <v>207713</v>
      </c>
      <c r="I418" s="78">
        <f>일위대가목록표!G347</f>
        <v>0</v>
      </c>
      <c r="J418" s="80">
        <f>IF(C418=0,0,ROUNDDOWN(I418*C418,1))</f>
        <v>0</v>
      </c>
      <c r="K418" s="78">
        <f>일위대가목록표!H347</f>
        <v>0</v>
      </c>
      <c r="L418" s="80">
        <f>IF(C418=0,0,ROUNDDOWN(K418*C418,1))</f>
        <v>0</v>
      </c>
      <c r="M418" s="22" t="s">
        <v>4375</v>
      </c>
      <c r="N418" s="17" t="s">
        <v>6742</v>
      </c>
      <c r="O418" s="7" t="s">
        <v>4373</v>
      </c>
      <c r="P418" s="7" t="s">
        <v>6406</v>
      </c>
      <c r="Z418" s="3" t="str">
        <f ca="1">HYPERLINK("#"&amp;일위대가목록표!J2&amp;"!A"&amp;ROW(일위대가목록표!A347),"대가344 →")</f>
        <v>대가344 →</v>
      </c>
    </row>
    <row r="419" spans="1:26" ht="28.7" customHeight="1" x14ac:dyDescent="0.3">
      <c r="A419" s="10" t="s">
        <v>223</v>
      </c>
      <c r="B419" s="10" t="s">
        <v>2491</v>
      </c>
      <c r="C419" s="75">
        <v>1</v>
      </c>
      <c r="D419" s="31" t="s">
        <v>14</v>
      </c>
      <c r="E419" s="55">
        <f>I419+G419+K419</f>
        <v>2618000</v>
      </c>
      <c r="F419" s="77">
        <f>J419+H419+L419</f>
        <v>2618000</v>
      </c>
      <c r="G419" s="51">
        <v>0</v>
      </c>
      <c r="H419" s="76">
        <f>IF(C419=0,0,ROUNDDOWN(G419*C419,1))</f>
        <v>0</v>
      </c>
      <c r="I419" s="78">
        <f>재료비목록표!E153</f>
        <v>2618000</v>
      </c>
      <c r="J419" s="81">
        <f>IF(C419=0,0,ROUNDDOWN(I419*C419,1))</f>
        <v>2618000</v>
      </c>
      <c r="K419" s="51">
        <v>0</v>
      </c>
      <c r="L419" s="76">
        <f>IF(C419=0,0,ROUNDDOWN(K419*C419,1))</f>
        <v>0</v>
      </c>
      <c r="M419" s="22" t="s">
        <v>6749</v>
      </c>
      <c r="N419" s="17" t="s">
        <v>6748</v>
      </c>
      <c r="O419" s="7" t="s">
        <v>5394</v>
      </c>
      <c r="P419" s="7" t="s">
        <v>6406</v>
      </c>
      <c r="Z419" s="3" t="str">
        <f ca="1">HYPERLINK("#"&amp;재료비목록표!G2&amp;"!A"&amp;ROW(재료비목록표!A153),"자재150 →")</f>
        <v>자재150 →</v>
      </c>
    </row>
    <row r="420" spans="1:26" ht="28.7" customHeight="1" x14ac:dyDescent="0.3">
      <c r="A420" s="22" t="s">
        <v>6</v>
      </c>
      <c r="B420" s="74"/>
      <c r="C420" s="74"/>
      <c r="D420" s="74"/>
      <c r="E420" s="74"/>
      <c r="F420" s="48">
        <f>J420+H420+L420</f>
        <v>2825713</v>
      </c>
      <c r="G420" s="74"/>
      <c r="H420" s="48">
        <f>ROUNDDOWN(SUMIF(P418:P419,O420,H418:H419),0)</f>
        <v>207713</v>
      </c>
      <c r="I420" s="74"/>
      <c r="J420" s="48">
        <f>ROUNDDOWN(SUMIF(P418:P419,O420,J418:J419),0)</f>
        <v>2618000</v>
      </c>
      <c r="K420" s="74"/>
      <c r="L420" s="48">
        <f>ROUNDDOWN(SUMIF(P418:P419,O420,L418:L419),0)</f>
        <v>0</v>
      </c>
      <c r="M420" s="74"/>
      <c r="O420" s="7" t="s">
        <v>6406</v>
      </c>
    </row>
    <row r="421" spans="1:26" ht="28.7" customHeight="1" x14ac:dyDescent="0.3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</row>
    <row r="422" spans="1:26" ht="28.7" customHeight="1" x14ac:dyDescent="0.3">
      <c r="A422" s="136" t="s">
        <v>228</v>
      </c>
      <c r="B422" s="127"/>
      <c r="C422" s="127"/>
      <c r="D422" s="127"/>
      <c r="E422" s="127"/>
      <c r="F422" s="127"/>
      <c r="G422" s="127"/>
      <c r="H422" s="127"/>
      <c r="I422" s="127"/>
      <c r="J422" s="127"/>
      <c r="K422" s="127"/>
      <c r="L422" s="144"/>
      <c r="M422" s="22" t="s">
        <v>6750</v>
      </c>
      <c r="N422" s="84" t="str">
        <f>HYPERLINK("#N"&amp;ROW(N424),"_x0005_`BDCOD|B04923_x0007_`POSS|"&amp;ROW(N423)&amp;"_x0007_`POSE|"&amp;ROW(N424)&amp;"_x0007_`")</f>
        <v>_x0005_`BDCOD|B04923_x0007_`POSS|423_x0007_`POSE|424_x0007_`</v>
      </c>
      <c r="O422" s="7" t="s">
        <v>6751</v>
      </c>
    </row>
    <row r="423" spans="1:26" ht="28.7" customHeight="1" x14ac:dyDescent="0.3">
      <c r="A423" s="10" t="s">
        <v>840</v>
      </c>
      <c r="B423" s="10" t="s">
        <v>844</v>
      </c>
      <c r="C423" s="75">
        <v>1</v>
      </c>
      <c r="D423" s="31" t="s">
        <v>14</v>
      </c>
      <c r="E423" s="55">
        <f>I423+G423+K423</f>
        <v>249256</v>
      </c>
      <c r="F423" s="76">
        <f>J423+H423+L423</f>
        <v>249256</v>
      </c>
      <c r="G423" s="78">
        <f>일위대가목록표!F348</f>
        <v>249256</v>
      </c>
      <c r="H423" s="80">
        <f>IF(C423=0,0,ROUNDDOWN(G423*C423,1))</f>
        <v>249256</v>
      </c>
      <c r="I423" s="78">
        <f>일위대가목록표!G348</f>
        <v>0</v>
      </c>
      <c r="J423" s="80">
        <f>IF(C423=0,0,ROUNDDOWN(I423*C423,1))</f>
        <v>0</v>
      </c>
      <c r="K423" s="78">
        <f>일위대가목록표!H348</f>
        <v>0</v>
      </c>
      <c r="L423" s="80">
        <f>IF(C423=0,0,ROUNDDOWN(K423*C423,1))</f>
        <v>0</v>
      </c>
      <c r="M423" s="22" t="s">
        <v>4378</v>
      </c>
      <c r="N423" s="17" t="s">
        <v>6752</v>
      </c>
      <c r="O423" s="7" t="s">
        <v>4376</v>
      </c>
      <c r="P423" s="7" t="s">
        <v>6406</v>
      </c>
      <c r="Z423" s="3" t="str">
        <f ca="1">HYPERLINK("#"&amp;일위대가목록표!J2&amp;"!A"&amp;ROW(일위대가목록표!A348),"대가345 →")</f>
        <v>대가345 →</v>
      </c>
    </row>
    <row r="424" spans="1:26" ht="28.7" customHeight="1" x14ac:dyDescent="0.3">
      <c r="A424" s="10" t="s">
        <v>223</v>
      </c>
      <c r="B424" s="10" t="s">
        <v>2500</v>
      </c>
      <c r="C424" s="75">
        <v>1</v>
      </c>
      <c r="D424" s="31" t="s">
        <v>14</v>
      </c>
      <c r="E424" s="55">
        <f>I424+G424+K424</f>
        <v>4558000</v>
      </c>
      <c r="F424" s="77">
        <f>J424+H424+L424</f>
        <v>4558000</v>
      </c>
      <c r="G424" s="51">
        <v>0</v>
      </c>
      <c r="H424" s="76">
        <f>IF(C424=0,0,ROUNDDOWN(G424*C424,1))</f>
        <v>0</v>
      </c>
      <c r="I424" s="78">
        <f>재료비목록표!E156</f>
        <v>4558000</v>
      </c>
      <c r="J424" s="81">
        <f>IF(C424=0,0,ROUNDDOWN(I424*C424,1))</f>
        <v>4558000</v>
      </c>
      <c r="K424" s="51">
        <v>0</v>
      </c>
      <c r="L424" s="76">
        <f>IF(C424=0,0,ROUNDDOWN(K424*C424,1))</f>
        <v>0</v>
      </c>
      <c r="M424" s="22" t="s">
        <v>6754</v>
      </c>
      <c r="N424" s="17" t="s">
        <v>6753</v>
      </c>
      <c r="O424" s="7" t="s">
        <v>5397</v>
      </c>
      <c r="P424" s="7" t="s">
        <v>6406</v>
      </c>
      <c r="Z424" s="3" t="str">
        <f ca="1">HYPERLINK("#"&amp;재료비목록표!G2&amp;"!A"&amp;ROW(재료비목록표!A156),"자재153 →")</f>
        <v>자재153 →</v>
      </c>
    </row>
    <row r="425" spans="1:26" ht="28.7" customHeight="1" x14ac:dyDescent="0.3">
      <c r="A425" s="22" t="s">
        <v>6</v>
      </c>
      <c r="B425" s="74"/>
      <c r="C425" s="74"/>
      <c r="D425" s="74"/>
      <c r="E425" s="74"/>
      <c r="F425" s="48">
        <f>J425+H425+L425</f>
        <v>4807256</v>
      </c>
      <c r="G425" s="74"/>
      <c r="H425" s="48">
        <f>ROUNDDOWN(SUMIF(P423:P424,O425,H423:H424),0)</f>
        <v>249256</v>
      </c>
      <c r="I425" s="74"/>
      <c r="J425" s="48">
        <f>ROUNDDOWN(SUMIF(P423:P424,O425,J423:J424),0)</f>
        <v>4558000</v>
      </c>
      <c r="K425" s="74"/>
      <c r="L425" s="48">
        <f>ROUNDDOWN(SUMIF(P423:P424,O425,L423:L424),0)</f>
        <v>0</v>
      </c>
      <c r="M425" s="74"/>
      <c r="O425" s="7" t="s">
        <v>6406</v>
      </c>
    </row>
    <row r="426" spans="1:26" ht="28.7" customHeight="1" x14ac:dyDescent="0.3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</row>
    <row r="427" spans="1:26" ht="28.7" customHeight="1" x14ac:dyDescent="0.3">
      <c r="A427" s="136" t="s">
        <v>231</v>
      </c>
      <c r="B427" s="127"/>
      <c r="C427" s="127"/>
      <c r="D427" s="127"/>
      <c r="E427" s="127"/>
      <c r="F427" s="127"/>
      <c r="G427" s="127"/>
      <c r="H427" s="127"/>
      <c r="I427" s="127"/>
      <c r="J427" s="127"/>
      <c r="K427" s="127"/>
      <c r="L427" s="144"/>
      <c r="M427" s="22" t="s">
        <v>6755</v>
      </c>
      <c r="N427" s="84" t="str">
        <f>HYPERLINK("#N"&amp;ROW(N429),"_x0005_`BDCOD|B04924_x0007_`POSS|"&amp;ROW(N428)&amp;"_x0007_`POSE|"&amp;ROW(N429)&amp;"_x0007_`")</f>
        <v>_x0005_`BDCOD|B04924_x0007_`POSS|428_x0007_`POSE|429_x0007_`</v>
      </c>
      <c r="O427" s="7" t="s">
        <v>6756</v>
      </c>
    </row>
    <row r="428" spans="1:26" ht="28.7" customHeight="1" x14ac:dyDescent="0.3">
      <c r="A428" s="10" t="s">
        <v>840</v>
      </c>
      <c r="B428" s="10" t="s">
        <v>847</v>
      </c>
      <c r="C428" s="75">
        <v>1</v>
      </c>
      <c r="D428" s="31" t="s">
        <v>14</v>
      </c>
      <c r="E428" s="55">
        <f>I428+G428+K428</f>
        <v>290799</v>
      </c>
      <c r="F428" s="76">
        <f>J428+H428+L428</f>
        <v>290799</v>
      </c>
      <c r="G428" s="78">
        <f>일위대가목록표!F349</f>
        <v>290799</v>
      </c>
      <c r="H428" s="80">
        <f>IF(C428=0,0,ROUNDDOWN(G428*C428,1))</f>
        <v>290799</v>
      </c>
      <c r="I428" s="78">
        <f>일위대가목록표!G349</f>
        <v>0</v>
      </c>
      <c r="J428" s="80">
        <f>IF(C428=0,0,ROUNDDOWN(I428*C428,1))</f>
        <v>0</v>
      </c>
      <c r="K428" s="78">
        <f>일위대가목록표!H349</f>
        <v>0</v>
      </c>
      <c r="L428" s="80">
        <f>IF(C428=0,0,ROUNDDOWN(K428*C428,1))</f>
        <v>0</v>
      </c>
      <c r="M428" s="22" t="s">
        <v>4381</v>
      </c>
      <c r="N428" s="17" t="s">
        <v>6757</v>
      </c>
      <c r="O428" s="7" t="s">
        <v>4379</v>
      </c>
      <c r="P428" s="7" t="s">
        <v>6406</v>
      </c>
      <c r="Z428" s="3" t="str">
        <f ca="1">HYPERLINK("#"&amp;일위대가목록표!J2&amp;"!A"&amp;ROW(일위대가목록표!A349),"대가346 →")</f>
        <v>대가346 →</v>
      </c>
    </row>
    <row r="429" spans="1:26" ht="28.7" customHeight="1" x14ac:dyDescent="0.3">
      <c r="A429" s="10" t="s">
        <v>223</v>
      </c>
      <c r="B429" s="10" t="s">
        <v>2506</v>
      </c>
      <c r="C429" s="75">
        <v>1</v>
      </c>
      <c r="D429" s="31" t="s">
        <v>14</v>
      </c>
      <c r="E429" s="55">
        <f>I429+G429+K429</f>
        <v>4761000</v>
      </c>
      <c r="F429" s="77">
        <f>J429+H429+L429</f>
        <v>4761000</v>
      </c>
      <c r="G429" s="51">
        <v>0</v>
      </c>
      <c r="H429" s="76">
        <f>IF(C429=0,0,ROUNDDOWN(G429*C429,1))</f>
        <v>0</v>
      </c>
      <c r="I429" s="78">
        <f>재료비목록표!E158</f>
        <v>4761000</v>
      </c>
      <c r="J429" s="81">
        <f>IF(C429=0,0,ROUNDDOWN(I429*C429,1))</f>
        <v>4761000</v>
      </c>
      <c r="K429" s="51">
        <v>0</v>
      </c>
      <c r="L429" s="76">
        <f>IF(C429=0,0,ROUNDDOWN(K429*C429,1))</f>
        <v>0</v>
      </c>
      <c r="M429" s="22" t="s">
        <v>6759</v>
      </c>
      <c r="N429" s="17" t="s">
        <v>6758</v>
      </c>
      <c r="O429" s="7" t="s">
        <v>5400</v>
      </c>
      <c r="P429" s="7" t="s">
        <v>6406</v>
      </c>
      <c r="Z429" s="3" t="str">
        <f ca="1">HYPERLINK("#"&amp;재료비목록표!G2&amp;"!A"&amp;ROW(재료비목록표!A158),"자재155 →")</f>
        <v>자재155 →</v>
      </c>
    </row>
    <row r="430" spans="1:26" ht="28.7" customHeight="1" x14ac:dyDescent="0.3">
      <c r="A430" s="22" t="s">
        <v>6</v>
      </c>
      <c r="B430" s="74"/>
      <c r="C430" s="74"/>
      <c r="D430" s="74"/>
      <c r="E430" s="74"/>
      <c r="F430" s="48">
        <f>J430+H430+L430</f>
        <v>5051799</v>
      </c>
      <c r="G430" s="74"/>
      <c r="H430" s="48">
        <f>ROUNDDOWN(SUMIF(P428:P429,O430,H428:H429),0)</f>
        <v>290799</v>
      </c>
      <c r="I430" s="74"/>
      <c r="J430" s="48">
        <f>ROUNDDOWN(SUMIF(P428:P429,O430,J428:J429),0)</f>
        <v>4761000</v>
      </c>
      <c r="K430" s="74"/>
      <c r="L430" s="48">
        <f>ROUNDDOWN(SUMIF(P428:P429,O430,L428:L429),0)</f>
        <v>0</v>
      </c>
      <c r="M430" s="74"/>
      <c r="O430" s="7" t="s">
        <v>6406</v>
      </c>
    </row>
    <row r="431" spans="1:26" ht="28.7" customHeight="1" x14ac:dyDescent="0.3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</row>
    <row r="432" spans="1:26" ht="28.7" customHeight="1" x14ac:dyDescent="0.3">
      <c r="A432" s="136" t="s">
        <v>234</v>
      </c>
      <c r="B432" s="127"/>
      <c r="C432" s="127"/>
      <c r="D432" s="127"/>
      <c r="E432" s="127"/>
      <c r="F432" s="127"/>
      <c r="G432" s="127"/>
      <c r="H432" s="127"/>
      <c r="I432" s="127"/>
      <c r="J432" s="127"/>
      <c r="K432" s="127"/>
      <c r="L432" s="144"/>
      <c r="M432" s="22" t="s">
        <v>6760</v>
      </c>
      <c r="N432" s="84" t="str">
        <f>HYPERLINK("#N"&amp;ROW(N434),"_x0005_`BDCOD|B04925_x0007_`POSS|"&amp;ROW(N433)&amp;"_x0007_`POSE|"&amp;ROW(N434)&amp;"_x0007_`")</f>
        <v>_x0005_`BDCOD|B04925_x0007_`POSS|433_x0007_`POSE|434_x0007_`</v>
      </c>
      <c r="O432" s="7" t="s">
        <v>6761</v>
      </c>
    </row>
    <row r="433" spans="1:26" ht="28.7" customHeight="1" x14ac:dyDescent="0.3">
      <c r="A433" s="10" t="s">
        <v>840</v>
      </c>
      <c r="B433" s="10" t="s">
        <v>850</v>
      </c>
      <c r="C433" s="75">
        <v>1</v>
      </c>
      <c r="D433" s="31" t="s">
        <v>14</v>
      </c>
      <c r="E433" s="55">
        <f>I433+G433+K433</f>
        <v>373885</v>
      </c>
      <c r="F433" s="76">
        <f>J433+H433+L433</f>
        <v>373885</v>
      </c>
      <c r="G433" s="78">
        <f>일위대가목록표!F350</f>
        <v>373885</v>
      </c>
      <c r="H433" s="80">
        <f>IF(C433=0,0,ROUNDDOWN(G433*C433,1))</f>
        <v>373885</v>
      </c>
      <c r="I433" s="78">
        <f>일위대가목록표!G350</f>
        <v>0</v>
      </c>
      <c r="J433" s="80">
        <f>IF(C433=0,0,ROUNDDOWN(I433*C433,1))</f>
        <v>0</v>
      </c>
      <c r="K433" s="78">
        <f>일위대가목록표!H350</f>
        <v>0</v>
      </c>
      <c r="L433" s="80">
        <f>IF(C433=0,0,ROUNDDOWN(K433*C433,1))</f>
        <v>0</v>
      </c>
      <c r="M433" s="22" t="s">
        <v>4384</v>
      </c>
      <c r="N433" s="17" t="s">
        <v>6762</v>
      </c>
      <c r="O433" s="7" t="s">
        <v>4382</v>
      </c>
      <c r="P433" s="7" t="s">
        <v>6406</v>
      </c>
      <c r="Z433" s="3" t="str">
        <f ca="1">HYPERLINK("#"&amp;일위대가목록표!J2&amp;"!A"&amp;ROW(일위대가목록표!A350),"대가347 →")</f>
        <v>대가347 →</v>
      </c>
    </row>
    <row r="434" spans="1:26" ht="28.7" customHeight="1" x14ac:dyDescent="0.3">
      <c r="A434" s="10" t="s">
        <v>223</v>
      </c>
      <c r="B434" s="10" t="s">
        <v>2470</v>
      </c>
      <c r="C434" s="75">
        <v>1</v>
      </c>
      <c r="D434" s="31" t="s">
        <v>14</v>
      </c>
      <c r="E434" s="55">
        <f>I434+G434+K434</f>
        <v>6043000</v>
      </c>
      <c r="F434" s="77">
        <f>J434+H434+L434</f>
        <v>6043000</v>
      </c>
      <c r="G434" s="51">
        <v>0</v>
      </c>
      <c r="H434" s="76">
        <f>IF(C434=0,0,ROUNDDOWN(G434*C434,1))</f>
        <v>0</v>
      </c>
      <c r="I434" s="78">
        <f>재료비목록표!E146</f>
        <v>6043000</v>
      </c>
      <c r="J434" s="81">
        <f>IF(C434=0,0,ROUNDDOWN(I434*C434,1))</f>
        <v>6043000</v>
      </c>
      <c r="K434" s="51">
        <v>0</v>
      </c>
      <c r="L434" s="76">
        <f>IF(C434=0,0,ROUNDDOWN(K434*C434,1))</f>
        <v>0</v>
      </c>
      <c r="M434" s="22" t="s">
        <v>6764</v>
      </c>
      <c r="N434" s="17" t="s">
        <v>6763</v>
      </c>
      <c r="O434" s="7" t="s">
        <v>5403</v>
      </c>
      <c r="P434" s="7" t="s">
        <v>6406</v>
      </c>
      <c r="Z434" s="3" t="str">
        <f ca="1">HYPERLINK("#"&amp;재료비목록표!G2&amp;"!A"&amp;ROW(재료비목록표!A146),"자재143 →")</f>
        <v>자재143 →</v>
      </c>
    </row>
    <row r="435" spans="1:26" ht="28.7" customHeight="1" x14ac:dyDescent="0.3">
      <c r="A435" s="22" t="s">
        <v>6</v>
      </c>
      <c r="B435" s="74"/>
      <c r="C435" s="74"/>
      <c r="D435" s="74"/>
      <c r="E435" s="74"/>
      <c r="F435" s="48">
        <f>J435+H435+L435</f>
        <v>6416885</v>
      </c>
      <c r="G435" s="74"/>
      <c r="H435" s="48">
        <f>ROUNDDOWN(SUMIF(P433:P434,O435,H433:H434),0)</f>
        <v>373885</v>
      </c>
      <c r="I435" s="74"/>
      <c r="J435" s="48">
        <f>ROUNDDOWN(SUMIF(P433:P434,O435,J433:J434),0)</f>
        <v>6043000</v>
      </c>
      <c r="K435" s="74"/>
      <c r="L435" s="48">
        <f>ROUNDDOWN(SUMIF(P433:P434,O435,L433:L434),0)</f>
        <v>0</v>
      </c>
      <c r="M435" s="74"/>
      <c r="O435" s="7" t="s">
        <v>6406</v>
      </c>
    </row>
    <row r="436" spans="1:26" ht="28.7" customHeight="1" x14ac:dyDescent="0.3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</row>
    <row r="437" spans="1:26" ht="28.7" customHeight="1" x14ac:dyDescent="0.3">
      <c r="A437" s="136" t="s">
        <v>237</v>
      </c>
      <c r="B437" s="127"/>
      <c r="C437" s="127"/>
      <c r="D437" s="127"/>
      <c r="E437" s="127"/>
      <c r="F437" s="127"/>
      <c r="G437" s="127"/>
      <c r="H437" s="127"/>
      <c r="I437" s="127"/>
      <c r="J437" s="127"/>
      <c r="K437" s="127"/>
      <c r="L437" s="144"/>
      <c r="M437" s="22" t="s">
        <v>6765</v>
      </c>
      <c r="N437" s="84" t="str">
        <f>HYPERLINK("#N"&amp;ROW(N439),"_x0005_`BDCOD|B04927_x0007_`POSS|"&amp;ROW(N438)&amp;"_x0007_`POSE|"&amp;ROW(N439)&amp;"_x0007_`")</f>
        <v>_x0005_`BDCOD|B04927_x0007_`POSS|438_x0007_`POSE|439_x0007_`</v>
      </c>
      <c r="O437" s="7" t="s">
        <v>6766</v>
      </c>
    </row>
    <row r="438" spans="1:26" ht="28.7" customHeight="1" x14ac:dyDescent="0.3">
      <c r="A438" s="10" t="s">
        <v>840</v>
      </c>
      <c r="B438" s="10" t="s">
        <v>856</v>
      </c>
      <c r="C438" s="75">
        <v>1</v>
      </c>
      <c r="D438" s="31" t="s">
        <v>14</v>
      </c>
      <c r="E438" s="55">
        <f>I438+G438+K438</f>
        <v>581599</v>
      </c>
      <c r="F438" s="76">
        <f>J438+H438+L438</f>
        <v>581599</v>
      </c>
      <c r="G438" s="78">
        <f>일위대가목록표!F352</f>
        <v>581599</v>
      </c>
      <c r="H438" s="80">
        <f>IF(C438=0,0,ROUNDDOWN(G438*C438,1))</f>
        <v>581599</v>
      </c>
      <c r="I438" s="78">
        <f>일위대가목록표!G352</f>
        <v>0</v>
      </c>
      <c r="J438" s="80">
        <f>IF(C438=0,0,ROUNDDOWN(I438*C438,1))</f>
        <v>0</v>
      </c>
      <c r="K438" s="78">
        <f>일위대가목록표!H352</f>
        <v>0</v>
      </c>
      <c r="L438" s="80">
        <f>IF(C438=0,0,ROUNDDOWN(K438*C438,1))</f>
        <v>0</v>
      </c>
      <c r="M438" s="22" t="s">
        <v>4390</v>
      </c>
      <c r="N438" s="17" t="s">
        <v>6767</v>
      </c>
      <c r="O438" s="7" t="s">
        <v>4388</v>
      </c>
      <c r="P438" s="7" t="s">
        <v>6406</v>
      </c>
      <c r="Z438" s="3" t="str">
        <f ca="1">HYPERLINK("#"&amp;일위대가목록표!J2&amp;"!A"&amp;ROW(일위대가목록표!A352),"대가349 →")</f>
        <v>대가349 →</v>
      </c>
    </row>
    <row r="439" spans="1:26" ht="28.7" customHeight="1" x14ac:dyDescent="0.3">
      <c r="A439" s="10" t="s">
        <v>223</v>
      </c>
      <c r="B439" s="10" t="s">
        <v>2479</v>
      </c>
      <c r="C439" s="75">
        <v>1</v>
      </c>
      <c r="D439" s="31" t="s">
        <v>14</v>
      </c>
      <c r="E439" s="55">
        <f>I439+G439+K439</f>
        <v>7976000</v>
      </c>
      <c r="F439" s="77">
        <f>J439+H439+L439</f>
        <v>7976000</v>
      </c>
      <c r="G439" s="51">
        <v>0</v>
      </c>
      <c r="H439" s="76">
        <f>IF(C439=0,0,ROUNDDOWN(G439*C439,1))</f>
        <v>0</v>
      </c>
      <c r="I439" s="78">
        <f>재료비목록표!E149</f>
        <v>7976000</v>
      </c>
      <c r="J439" s="81">
        <f>IF(C439=0,0,ROUNDDOWN(I439*C439,1))</f>
        <v>7976000</v>
      </c>
      <c r="K439" s="51">
        <v>0</v>
      </c>
      <c r="L439" s="76">
        <f>IF(C439=0,0,ROUNDDOWN(K439*C439,1))</f>
        <v>0</v>
      </c>
      <c r="M439" s="22" t="s">
        <v>6769</v>
      </c>
      <c r="N439" s="17" t="s">
        <v>6768</v>
      </c>
      <c r="O439" s="7" t="s">
        <v>5409</v>
      </c>
      <c r="P439" s="7" t="s">
        <v>6406</v>
      </c>
      <c r="Z439" s="3" t="str">
        <f ca="1">HYPERLINK("#"&amp;재료비목록표!G2&amp;"!A"&amp;ROW(재료비목록표!A149),"자재146 →")</f>
        <v>자재146 →</v>
      </c>
    </row>
    <row r="440" spans="1:26" ht="28.7" customHeight="1" x14ac:dyDescent="0.3">
      <c r="A440" s="22" t="s">
        <v>6</v>
      </c>
      <c r="B440" s="74"/>
      <c r="C440" s="74"/>
      <c r="D440" s="74"/>
      <c r="E440" s="74"/>
      <c r="F440" s="48">
        <f>J440+H440+L440</f>
        <v>8557599</v>
      </c>
      <c r="G440" s="74"/>
      <c r="H440" s="48">
        <f>ROUNDDOWN(SUMIF(P438:P439,O440,H438:H439),0)</f>
        <v>581599</v>
      </c>
      <c r="I440" s="74"/>
      <c r="J440" s="48">
        <f>ROUNDDOWN(SUMIF(P438:P439,O440,J438:J439),0)</f>
        <v>7976000</v>
      </c>
      <c r="K440" s="74"/>
      <c r="L440" s="48">
        <f>ROUNDDOWN(SUMIF(P438:P439,O440,L438:L439),0)</f>
        <v>0</v>
      </c>
      <c r="M440" s="74"/>
      <c r="O440" s="7" t="s">
        <v>6406</v>
      </c>
    </row>
    <row r="441" spans="1:26" ht="28.7" customHeight="1" x14ac:dyDescent="0.3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</row>
    <row r="442" spans="1:26" ht="28.7" customHeight="1" x14ac:dyDescent="0.3">
      <c r="A442" s="136" t="s">
        <v>240</v>
      </c>
      <c r="B442" s="127"/>
      <c r="C442" s="127"/>
      <c r="D442" s="127"/>
      <c r="E442" s="127"/>
      <c r="F442" s="127"/>
      <c r="G442" s="127"/>
      <c r="H442" s="127"/>
      <c r="I442" s="127"/>
      <c r="J442" s="127"/>
      <c r="K442" s="127"/>
      <c r="L442" s="144"/>
      <c r="M442" s="22" t="s">
        <v>6770</v>
      </c>
      <c r="N442" s="84" t="str">
        <f>HYPERLINK("#N"&amp;ROW(N444),"_x0005_`BDCOD|B04928_x0007_`POSS|"&amp;ROW(N443)&amp;"_x0007_`POSE|"&amp;ROW(N444)&amp;"_x0007_`")</f>
        <v>_x0005_`BDCOD|B04928_x0007_`POSS|443_x0007_`POSE|444_x0007_`</v>
      </c>
      <c r="O442" s="7" t="s">
        <v>6771</v>
      </c>
    </row>
    <row r="443" spans="1:26" ht="28.7" customHeight="1" x14ac:dyDescent="0.3">
      <c r="A443" s="10" t="s">
        <v>840</v>
      </c>
      <c r="B443" s="10" t="s">
        <v>856</v>
      </c>
      <c r="C443" s="75">
        <v>1</v>
      </c>
      <c r="D443" s="31" t="s">
        <v>14</v>
      </c>
      <c r="E443" s="55">
        <f>I443+G443+K443</f>
        <v>581599</v>
      </c>
      <c r="F443" s="76">
        <f>J443+H443+L443</f>
        <v>581599</v>
      </c>
      <c r="G443" s="78">
        <f>일위대가목록표!F352</f>
        <v>581599</v>
      </c>
      <c r="H443" s="80">
        <f>IF(C443=0,0,ROUNDDOWN(G443*C443,1))</f>
        <v>581599</v>
      </c>
      <c r="I443" s="78">
        <f>일위대가목록표!G352</f>
        <v>0</v>
      </c>
      <c r="J443" s="80">
        <f>IF(C443=0,0,ROUNDDOWN(I443*C443,1))</f>
        <v>0</v>
      </c>
      <c r="K443" s="78">
        <f>일위대가목록표!H352</f>
        <v>0</v>
      </c>
      <c r="L443" s="80">
        <f>IF(C443=0,0,ROUNDDOWN(K443*C443,1))</f>
        <v>0</v>
      </c>
      <c r="M443" s="22" t="s">
        <v>4390</v>
      </c>
      <c r="N443" s="17" t="s">
        <v>6767</v>
      </c>
      <c r="O443" s="7" t="s">
        <v>4388</v>
      </c>
      <c r="P443" s="7" t="s">
        <v>6406</v>
      </c>
      <c r="Z443" s="3" t="str">
        <f ca="1">HYPERLINK("#"&amp;일위대가목록표!J2&amp;"!A"&amp;ROW(일위대가목록표!A352),"대가349 →")</f>
        <v>대가349 →</v>
      </c>
    </row>
    <row r="444" spans="1:26" ht="28.7" customHeight="1" x14ac:dyDescent="0.3">
      <c r="A444" s="10" t="s">
        <v>223</v>
      </c>
      <c r="B444" s="10" t="s">
        <v>2482</v>
      </c>
      <c r="C444" s="75">
        <v>1</v>
      </c>
      <c r="D444" s="31" t="s">
        <v>14</v>
      </c>
      <c r="E444" s="55">
        <f>I444+G444+K444</f>
        <v>8129000</v>
      </c>
      <c r="F444" s="77">
        <f>J444+H444+L444</f>
        <v>8129000</v>
      </c>
      <c r="G444" s="51">
        <v>0</v>
      </c>
      <c r="H444" s="76">
        <f>IF(C444=0,0,ROUNDDOWN(G444*C444,1))</f>
        <v>0</v>
      </c>
      <c r="I444" s="78">
        <f>재료비목록표!E150</f>
        <v>8129000</v>
      </c>
      <c r="J444" s="81">
        <f>IF(C444=0,0,ROUNDDOWN(I444*C444,1))</f>
        <v>8129000</v>
      </c>
      <c r="K444" s="51">
        <v>0</v>
      </c>
      <c r="L444" s="76">
        <f>IF(C444=0,0,ROUNDDOWN(K444*C444,1))</f>
        <v>0</v>
      </c>
      <c r="M444" s="22" t="s">
        <v>6773</v>
      </c>
      <c r="N444" s="17" t="s">
        <v>6772</v>
      </c>
      <c r="O444" s="7" t="s">
        <v>5412</v>
      </c>
      <c r="P444" s="7" t="s">
        <v>6406</v>
      </c>
      <c r="Z444" s="3" t="str">
        <f ca="1">HYPERLINK("#"&amp;재료비목록표!G2&amp;"!A"&amp;ROW(재료비목록표!A150),"자재147 →")</f>
        <v>자재147 →</v>
      </c>
    </row>
    <row r="445" spans="1:26" ht="28.7" customHeight="1" x14ac:dyDescent="0.3">
      <c r="A445" s="22" t="s">
        <v>6</v>
      </c>
      <c r="B445" s="74"/>
      <c r="C445" s="74"/>
      <c r="D445" s="74"/>
      <c r="E445" s="74"/>
      <c r="F445" s="48">
        <f>J445+H445+L445</f>
        <v>8710599</v>
      </c>
      <c r="G445" s="74"/>
      <c r="H445" s="48">
        <f>ROUNDDOWN(SUMIF(P443:P444,O445,H443:H444),0)</f>
        <v>581599</v>
      </c>
      <c r="I445" s="74"/>
      <c r="J445" s="48">
        <f>ROUNDDOWN(SUMIF(P443:P444,O445,J443:J444),0)</f>
        <v>8129000</v>
      </c>
      <c r="K445" s="74"/>
      <c r="L445" s="48">
        <f>ROUNDDOWN(SUMIF(P443:P444,O445,L443:L444),0)</f>
        <v>0</v>
      </c>
      <c r="M445" s="74"/>
      <c r="O445" s="7" t="s">
        <v>6406</v>
      </c>
    </row>
    <row r="446" spans="1:26" ht="28.7" customHeight="1" x14ac:dyDescent="0.3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</row>
    <row r="447" spans="1:26" ht="28.7" customHeight="1" x14ac:dyDescent="0.3">
      <c r="A447" s="136" t="s">
        <v>243</v>
      </c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44"/>
      <c r="M447" s="22" t="s">
        <v>6774</v>
      </c>
      <c r="N447" s="84" t="str">
        <f>HYPERLINK("#N"&amp;ROW(N449),"_x0005_`BDCOD|B04929_x0007_`POSS|"&amp;ROW(N448)&amp;"_x0007_`POSE|"&amp;ROW(N449)&amp;"_x0007_`")</f>
        <v>_x0005_`BDCOD|B04929_x0007_`POSS|448_x0007_`POSE|449_x0007_`</v>
      </c>
      <c r="O447" s="7" t="s">
        <v>6775</v>
      </c>
    </row>
    <row r="448" spans="1:26" ht="28.7" customHeight="1" x14ac:dyDescent="0.3">
      <c r="A448" s="10" t="s">
        <v>840</v>
      </c>
      <c r="B448" s="10" t="s">
        <v>859</v>
      </c>
      <c r="C448" s="75">
        <v>1</v>
      </c>
      <c r="D448" s="31" t="s">
        <v>14</v>
      </c>
      <c r="E448" s="55">
        <f>I448+G448+K448</f>
        <v>827080</v>
      </c>
      <c r="F448" s="76">
        <f>J448+H448+L448</f>
        <v>827080</v>
      </c>
      <c r="G448" s="78">
        <f>일위대가목록표!F353</f>
        <v>827080</v>
      </c>
      <c r="H448" s="80">
        <f>IF(C448=0,0,ROUNDDOWN(G448*C448,1))</f>
        <v>827080</v>
      </c>
      <c r="I448" s="78">
        <f>일위대가목록표!G353</f>
        <v>0</v>
      </c>
      <c r="J448" s="80">
        <f>IF(C448=0,0,ROUNDDOWN(I448*C448,1))</f>
        <v>0</v>
      </c>
      <c r="K448" s="78">
        <f>일위대가목록표!H353</f>
        <v>0</v>
      </c>
      <c r="L448" s="80">
        <f>IF(C448=0,0,ROUNDDOWN(K448*C448,1))</f>
        <v>0</v>
      </c>
      <c r="M448" s="22" t="s">
        <v>4393</v>
      </c>
      <c r="N448" s="17" t="s">
        <v>6776</v>
      </c>
      <c r="O448" s="7" t="s">
        <v>4391</v>
      </c>
      <c r="P448" s="7" t="s">
        <v>6406</v>
      </c>
      <c r="Z448" s="3" t="str">
        <f ca="1">HYPERLINK("#"&amp;일위대가목록표!J2&amp;"!A"&amp;ROW(일위대가목록표!A353),"대가350 →")</f>
        <v>대가350 →</v>
      </c>
    </row>
    <row r="449" spans="1:26" ht="28.7" customHeight="1" x14ac:dyDescent="0.3">
      <c r="A449" s="10" t="s">
        <v>223</v>
      </c>
      <c r="B449" s="10" t="s">
        <v>2488</v>
      </c>
      <c r="C449" s="75">
        <v>1</v>
      </c>
      <c r="D449" s="31" t="s">
        <v>14</v>
      </c>
      <c r="E449" s="55">
        <f>I449+G449+K449</f>
        <v>8367000</v>
      </c>
      <c r="F449" s="77">
        <f>J449+H449+L449</f>
        <v>8367000</v>
      </c>
      <c r="G449" s="51">
        <v>0</v>
      </c>
      <c r="H449" s="76">
        <f>IF(C449=0,0,ROUNDDOWN(G449*C449,1))</f>
        <v>0</v>
      </c>
      <c r="I449" s="78">
        <f>재료비목록표!E152</f>
        <v>8367000</v>
      </c>
      <c r="J449" s="81">
        <f>IF(C449=0,0,ROUNDDOWN(I449*C449,1))</f>
        <v>8367000</v>
      </c>
      <c r="K449" s="51">
        <v>0</v>
      </c>
      <c r="L449" s="76">
        <f>IF(C449=0,0,ROUNDDOWN(K449*C449,1))</f>
        <v>0</v>
      </c>
      <c r="M449" s="22" t="s">
        <v>6778</v>
      </c>
      <c r="N449" s="17" t="s">
        <v>6777</v>
      </c>
      <c r="O449" s="7" t="s">
        <v>5415</v>
      </c>
      <c r="P449" s="7" t="s">
        <v>6406</v>
      </c>
      <c r="Z449" s="3" t="str">
        <f ca="1">HYPERLINK("#"&amp;재료비목록표!G2&amp;"!A"&amp;ROW(재료비목록표!A152),"자재149 →")</f>
        <v>자재149 →</v>
      </c>
    </row>
    <row r="450" spans="1:26" ht="28.7" customHeight="1" x14ac:dyDescent="0.3">
      <c r="A450" s="22" t="s">
        <v>6</v>
      </c>
      <c r="B450" s="74"/>
      <c r="C450" s="74"/>
      <c r="D450" s="74"/>
      <c r="E450" s="74"/>
      <c r="F450" s="48">
        <f>J450+H450+L450</f>
        <v>9194080</v>
      </c>
      <c r="G450" s="74"/>
      <c r="H450" s="48">
        <f>ROUNDDOWN(SUMIF(P448:P449,O450,H448:H449),0)</f>
        <v>827080</v>
      </c>
      <c r="I450" s="74"/>
      <c r="J450" s="48">
        <f>ROUNDDOWN(SUMIF(P448:P449,O450,J448:J449),0)</f>
        <v>8367000</v>
      </c>
      <c r="K450" s="74"/>
      <c r="L450" s="48">
        <f>ROUNDDOWN(SUMIF(P448:P449,O450,L448:L449),0)</f>
        <v>0</v>
      </c>
      <c r="M450" s="74"/>
      <c r="O450" s="7" t="s">
        <v>6406</v>
      </c>
    </row>
    <row r="451" spans="1:26" ht="28.7" customHeight="1" x14ac:dyDescent="0.3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</row>
    <row r="452" spans="1:26" ht="28.7" customHeight="1" x14ac:dyDescent="0.3">
      <c r="A452" s="136" t="s">
        <v>246</v>
      </c>
      <c r="B452" s="127"/>
      <c r="C452" s="127"/>
      <c r="D452" s="127"/>
      <c r="E452" s="127"/>
      <c r="F452" s="127"/>
      <c r="G452" s="127"/>
      <c r="H452" s="127"/>
      <c r="I452" s="127"/>
      <c r="J452" s="127"/>
      <c r="K452" s="127"/>
      <c r="L452" s="144"/>
      <c r="M452" s="22" t="s">
        <v>6779</v>
      </c>
      <c r="N452" s="84" t="str">
        <f>HYPERLINK("#N"&amp;ROW(N454),"_x0005_`BDCOD|B04930_x0007_`POSS|"&amp;ROW(N453)&amp;"_x0007_`POSE|"&amp;ROW(N454)&amp;"_x0007_`")</f>
        <v>_x0005_`BDCOD|B04930_x0007_`POSS|453_x0007_`POSE|454_x0007_`</v>
      </c>
      <c r="O452" s="7" t="s">
        <v>6780</v>
      </c>
    </row>
    <row r="453" spans="1:26" ht="28.7" customHeight="1" x14ac:dyDescent="0.3">
      <c r="A453" s="10" t="s">
        <v>840</v>
      </c>
      <c r="B453" s="10" t="s">
        <v>862</v>
      </c>
      <c r="C453" s="75">
        <v>1</v>
      </c>
      <c r="D453" s="31" t="s">
        <v>14</v>
      </c>
      <c r="E453" s="55">
        <f>I453+G453+K453</f>
        <v>1076338</v>
      </c>
      <c r="F453" s="76">
        <f>J453+H453+L453</f>
        <v>1076338</v>
      </c>
      <c r="G453" s="78">
        <f>일위대가목록표!F354</f>
        <v>1076338</v>
      </c>
      <c r="H453" s="80">
        <f>IF(C453=0,0,ROUNDDOWN(G453*C453,1))</f>
        <v>1076338</v>
      </c>
      <c r="I453" s="78">
        <f>일위대가목록표!G354</f>
        <v>0</v>
      </c>
      <c r="J453" s="80">
        <f>IF(C453=0,0,ROUNDDOWN(I453*C453,1))</f>
        <v>0</v>
      </c>
      <c r="K453" s="78">
        <f>일위대가목록표!H354</f>
        <v>0</v>
      </c>
      <c r="L453" s="80">
        <f>IF(C453=0,0,ROUNDDOWN(K453*C453,1))</f>
        <v>0</v>
      </c>
      <c r="M453" s="22" t="s">
        <v>4396</v>
      </c>
      <c r="N453" s="17" t="s">
        <v>6781</v>
      </c>
      <c r="O453" s="7" t="s">
        <v>4394</v>
      </c>
      <c r="P453" s="7" t="s">
        <v>6406</v>
      </c>
      <c r="Z453" s="3" t="str">
        <f ca="1">HYPERLINK("#"&amp;일위대가목록표!J2&amp;"!A"&amp;ROW(일위대가목록표!A354),"대가351 →")</f>
        <v>대가351 →</v>
      </c>
    </row>
    <row r="454" spans="1:26" ht="28.7" customHeight="1" x14ac:dyDescent="0.3">
      <c r="A454" s="10" t="s">
        <v>223</v>
      </c>
      <c r="B454" s="10" t="s">
        <v>2494</v>
      </c>
      <c r="C454" s="75">
        <v>1</v>
      </c>
      <c r="D454" s="31" t="s">
        <v>14</v>
      </c>
      <c r="E454" s="55">
        <f>I454+G454+K454</f>
        <v>8605000</v>
      </c>
      <c r="F454" s="77">
        <f>J454+H454+L454</f>
        <v>8605000</v>
      </c>
      <c r="G454" s="51">
        <v>0</v>
      </c>
      <c r="H454" s="76">
        <f>IF(C454=0,0,ROUNDDOWN(G454*C454,1))</f>
        <v>0</v>
      </c>
      <c r="I454" s="78">
        <f>재료비목록표!E154</f>
        <v>8605000</v>
      </c>
      <c r="J454" s="81">
        <f>IF(C454=0,0,ROUNDDOWN(I454*C454,1))</f>
        <v>8605000</v>
      </c>
      <c r="K454" s="51">
        <v>0</v>
      </c>
      <c r="L454" s="76">
        <f>IF(C454=0,0,ROUNDDOWN(K454*C454,1))</f>
        <v>0</v>
      </c>
      <c r="M454" s="22" t="s">
        <v>6783</v>
      </c>
      <c r="N454" s="17" t="s">
        <v>6782</v>
      </c>
      <c r="O454" s="7" t="s">
        <v>5418</v>
      </c>
      <c r="P454" s="7" t="s">
        <v>6406</v>
      </c>
      <c r="Z454" s="3" t="str">
        <f ca="1">HYPERLINK("#"&amp;재료비목록표!G2&amp;"!A"&amp;ROW(재료비목록표!A154),"자재151 →")</f>
        <v>자재151 →</v>
      </c>
    </row>
    <row r="455" spans="1:26" ht="28.7" customHeight="1" x14ac:dyDescent="0.3">
      <c r="A455" s="22" t="s">
        <v>6</v>
      </c>
      <c r="B455" s="74"/>
      <c r="C455" s="74"/>
      <c r="D455" s="74"/>
      <c r="E455" s="74"/>
      <c r="F455" s="48">
        <f>J455+H455+L455</f>
        <v>9681338</v>
      </c>
      <c r="G455" s="74"/>
      <c r="H455" s="48">
        <f>ROUNDDOWN(SUMIF(P453:P454,O455,H453:H454),0)</f>
        <v>1076338</v>
      </c>
      <c r="I455" s="74"/>
      <c r="J455" s="48">
        <f>ROUNDDOWN(SUMIF(P453:P454,O455,J453:J454),0)</f>
        <v>8605000</v>
      </c>
      <c r="K455" s="74"/>
      <c r="L455" s="48">
        <f>ROUNDDOWN(SUMIF(P453:P454,O455,L453:L454),0)</f>
        <v>0</v>
      </c>
      <c r="M455" s="74"/>
      <c r="O455" s="7" t="s">
        <v>6406</v>
      </c>
    </row>
    <row r="456" spans="1:26" ht="28.7" customHeight="1" x14ac:dyDescent="0.3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</row>
    <row r="457" spans="1:26" ht="28.7" customHeight="1" x14ac:dyDescent="0.3">
      <c r="A457" s="136" t="s">
        <v>249</v>
      </c>
      <c r="B457" s="127"/>
      <c r="C457" s="127"/>
      <c r="D457" s="127"/>
      <c r="E457" s="127"/>
      <c r="F457" s="127"/>
      <c r="G457" s="127"/>
      <c r="H457" s="127"/>
      <c r="I457" s="127"/>
      <c r="J457" s="127"/>
      <c r="K457" s="127"/>
      <c r="L457" s="144"/>
      <c r="M457" s="22" t="s">
        <v>6784</v>
      </c>
      <c r="N457" s="84" t="str">
        <f>HYPERLINK("#N"&amp;ROW(N459),"_x0005_`BDCOD|B04931_x0007_`POSS|"&amp;ROW(N458)&amp;"_x0007_`POSE|"&amp;ROW(N459)&amp;"_x0007_`")</f>
        <v>_x0005_`BDCOD|B04931_x0007_`POSS|458_x0007_`POSE|459_x0007_`</v>
      </c>
      <c r="O457" s="7" t="s">
        <v>6785</v>
      </c>
    </row>
    <row r="458" spans="1:26" ht="28.7" customHeight="1" x14ac:dyDescent="0.3">
      <c r="A458" s="10" t="s">
        <v>840</v>
      </c>
      <c r="B458" s="10" t="s">
        <v>865</v>
      </c>
      <c r="C458" s="75">
        <v>1</v>
      </c>
      <c r="D458" s="31" t="s">
        <v>14</v>
      </c>
      <c r="E458" s="55">
        <f>I458+G458+K458</f>
        <v>1242509</v>
      </c>
      <c r="F458" s="76">
        <f>J458+H458+L458</f>
        <v>1242509</v>
      </c>
      <c r="G458" s="78">
        <f>일위대가목록표!F355</f>
        <v>1242509</v>
      </c>
      <c r="H458" s="80">
        <f>IF(C458=0,0,ROUNDDOWN(G458*C458,1))</f>
        <v>1242509</v>
      </c>
      <c r="I458" s="78">
        <f>일위대가목록표!G355</f>
        <v>0</v>
      </c>
      <c r="J458" s="80">
        <f>IF(C458=0,0,ROUNDDOWN(I458*C458,1))</f>
        <v>0</v>
      </c>
      <c r="K458" s="78">
        <f>일위대가목록표!H355</f>
        <v>0</v>
      </c>
      <c r="L458" s="80">
        <f>IF(C458=0,0,ROUNDDOWN(K458*C458,1))</f>
        <v>0</v>
      </c>
      <c r="M458" s="22" t="s">
        <v>4399</v>
      </c>
      <c r="N458" s="17" t="s">
        <v>6786</v>
      </c>
      <c r="O458" s="7" t="s">
        <v>4397</v>
      </c>
      <c r="P458" s="7" t="s">
        <v>6406</v>
      </c>
      <c r="Z458" s="3" t="str">
        <f ca="1">HYPERLINK("#"&amp;일위대가목록표!J2&amp;"!A"&amp;ROW(일위대가목록표!A355),"대가352 →")</f>
        <v>대가352 →</v>
      </c>
    </row>
    <row r="459" spans="1:26" ht="28.7" customHeight="1" x14ac:dyDescent="0.3">
      <c r="A459" s="10" t="s">
        <v>223</v>
      </c>
      <c r="B459" s="10" t="s">
        <v>2497</v>
      </c>
      <c r="C459" s="75">
        <v>1</v>
      </c>
      <c r="D459" s="31" t="s">
        <v>14</v>
      </c>
      <c r="E459" s="55">
        <f>I459+G459+K459</f>
        <v>11997000</v>
      </c>
      <c r="F459" s="77">
        <f>J459+H459+L459</f>
        <v>11997000</v>
      </c>
      <c r="G459" s="51">
        <v>0</v>
      </c>
      <c r="H459" s="76">
        <f>IF(C459=0,0,ROUNDDOWN(G459*C459,1))</f>
        <v>0</v>
      </c>
      <c r="I459" s="78">
        <f>재료비목록표!E155</f>
        <v>11997000</v>
      </c>
      <c r="J459" s="81">
        <f>IF(C459=0,0,ROUNDDOWN(I459*C459,1))</f>
        <v>11997000</v>
      </c>
      <c r="K459" s="51">
        <v>0</v>
      </c>
      <c r="L459" s="76">
        <f>IF(C459=0,0,ROUNDDOWN(K459*C459,1))</f>
        <v>0</v>
      </c>
      <c r="M459" s="22" t="s">
        <v>6788</v>
      </c>
      <c r="N459" s="17" t="s">
        <v>6787</v>
      </c>
      <c r="O459" s="7" t="s">
        <v>5421</v>
      </c>
      <c r="P459" s="7" t="s">
        <v>6406</v>
      </c>
      <c r="Z459" s="3" t="str">
        <f ca="1">HYPERLINK("#"&amp;재료비목록표!G2&amp;"!A"&amp;ROW(재료비목록표!A155),"자재152 →")</f>
        <v>자재152 →</v>
      </c>
    </row>
    <row r="460" spans="1:26" ht="28.7" customHeight="1" x14ac:dyDescent="0.3">
      <c r="A460" s="22" t="s">
        <v>6</v>
      </c>
      <c r="B460" s="74"/>
      <c r="C460" s="74"/>
      <c r="D460" s="74"/>
      <c r="E460" s="74"/>
      <c r="F460" s="48">
        <f>J460+H460+L460</f>
        <v>13239509</v>
      </c>
      <c r="G460" s="74"/>
      <c r="H460" s="48">
        <f>ROUNDDOWN(SUMIF(P458:P459,O460,H458:H459),0)</f>
        <v>1242509</v>
      </c>
      <c r="I460" s="74"/>
      <c r="J460" s="48">
        <f>ROUNDDOWN(SUMIF(P458:P459,O460,J458:J459),0)</f>
        <v>11997000</v>
      </c>
      <c r="K460" s="74"/>
      <c r="L460" s="48">
        <f>ROUNDDOWN(SUMIF(P458:P459,O460,L458:L459),0)</f>
        <v>0</v>
      </c>
      <c r="M460" s="74"/>
      <c r="O460" s="7" t="s">
        <v>6406</v>
      </c>
    </row>
    <row r="461" spans="1:26" ht="28.7" customHeight="1" x14ac:dyDescent="0.3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</row>
    <row r="462" spans="1:26" ht="28.7" customHeight="1" x14ac:dyDescent="0.3">
      <c r="A462" s="136" t="s">
        <v>252</v>
      </c>
      <c r="B462" s="127"/>
      <c r="C462" s="127"/>
      <c r="D462" s="127"/>
      <c r="E462" s="127"/>
      <c r="F462" s="127"/>
      <c r="G462" s="127"/>
      <c r="H462" s="127"/>
      <c r="I462" s="127"/>
      <c r="J462" s="127"/>
      <c r="K462" s="127"/>
      <c r="L462" s="144"/>
      <c r="M462" s="22" t="s">
        <v>6789</v>
      </c>
      <c r="N462" s="84" t="str">
        <f>HYPERLINK("#N"&amp;ROW(N464),"_x0005_`BDCOD|B04932_x0007_`POSS|"&amp;ROW(N463)&amp;"_x0007_`POSE|"&amp;ROW(N464)&amp;"_x0007_`")</f>
        <v>_x0005_`BDCOD|B04932_x0007_`POSS|463_x0007_`POSE|464_x0007_`</v>
      </c>
      <c r="O462" s="7" t="s">
        <v>6790</v>
      </c>
    </row>
    <row r="463" spans="1:26" ht="28.7" customHeight="1" x14ac:dyDescent="0.3">
      <c r="A463" s="10" t="s">
        <v>840</v>
      </c>
      <c r="B463" s="10" t="s">
        <v>868</v>
      </c>
      <c r="C463" s="75">
        <v>1</v>
      </c>
      <c r="D463" s="31" t="s">
        <v>14</v>
      </c>
      <c r="E463" s="55">
        <f>I463+G463+K463</f>
        <v>1408681</v>
      </c>
      <c r="F463" s="76">
        <f>J463+H463+L463</f>
        <v>1408681</v>
      </c>
      <c r="G463" s="78">
        <f>일위대가목록표!F356</f>
        <v>1408681</v>
      </c>
      <c r="H463" s="80">
        <f>IF(C463=0,0,ROUNDDOWN(G463*C463,1))</f>
        <v>1408681</v>
      </c>
      <c r="I463" s="78">
        <f>일위대가목록표!G356</f>
        <v>0</v>
      </c>
      <c r="J463" s="80">
        <f>IF(C463=0,0,ROUNDDOWN(I463*C463,1))</f>
        <v>0</v>
      </c>
      <c r="K463" s="78">
        <f>일위대가목록표!H356</f>
        <v>0</v>
      </c>
      <c r="L463" s="80">
        <f>IF(C463=0,0,ROUNDDOWN(K463*C463,1))</f>
        <v>0</v>
      </c>
      <c r="M463" s="22" t="s">
        <v>4402</v>
      </c>
      <c r="N463" s="17" t="s">
        <v>6791</v>
      </c>
      <c r="O463" s="7" t="s">
        <v>4400</v>
      </c>
      <c r="P463" s="7" t="s">
        <v>6406</v>
      </c>
      <c r="Z463" s="3" t="str">
        <f ca="1">HYPERLINK("#"&amp;일위대가목록표!J2&amp;"!A"&amp;ROW(일위대가목록표!A356),"대가353 →")</f>
        <v>대가353 →</v>
      </c>
    </row>
    <row r="464" spans="1:26" ht="28.7" customHeight="1" x14ac:dyDescent="0.3">
      <c r="A464" s="10" t="s">
        <v>223</v>
      </c>
      <c r="B464" s="10" t="s">
        <v>2503</v>
      </c>
      <c r="C464" s="75">
        <v>1</v>
      </c>
      <c r="D464" s="31" t="s">
        <v>14</v>
      </c>
      <c r="E464" s="55">
        <f>I464+G464+K464</f>
        <v>13437000</v>
      </c>
      <c r="F464" s="77">
        <f>J464+H464+L464</f>
        <v>13437000</v>
      </c>
      <c r="G464" s="51">
        <v>0</v>
      </c>
      <c r="H464" s="76">
        <f>IF(C464=0,0,ROUNDDOWN(G464*C464,1))</f>
        <v>0</v>
      </c>
      <c r="I464" s="78">
        <f>재료비목록표!E157</f>
        <v>13437000</v>
      </c>
      <c r="J464" s="81">
        <f>IF(C464=0,0,ROUNDDOWN(I464*C464,1))</f>
        <v>13437000</v>
      </c>
      <c r="K464" s="51">
        <v>0</v>
      </c>
      <c r="L464" s="76">
        <f>IF(C464=0,0,ROUNDDOWN(K464*C464,1))</f>
        <v>0</v>
      </c>
      <c r="M464" s="22" t="s">
        <v>6793</v>
      </c>
      <c r="N464" s="17" t="s">
        <v>6792</v>
      </c>
      <c r="O464" s="7" t="s">
        <v>5424</v>
      </c>
      <c r="P464" s="7" t="s">
        <v>6406</v>
      </c>
      <c r="Z464" s="3" t="str">
        <f ca="1">HYPERLINK("#"&amp;재료비목록표!G2&amp;"!A"&amp;ROW(재료비목록표!A157),"자재154 →")</f>
        <v>자재154 →</v>
      </c>
    </row>
    <row r="465" spans="1:26" ht="28.7" customHeight="1" x14ac:dyDescent="0.3">
      <c r="A465" s="22" t="s">
        <v>6</v>
      </c>
      <c r="B465" s="74"/>
      <c r="C465" s="74"/>
      <c r="D465" s="74"/>
      <c r="E465" s="74"/>
      <c r="F465" s="48">
        <f>J465+H465+L465</f>
        <v>14845681</v>
      </c>
      <c r="G465" s="74"/>
      <c r="H465" s="48">
        <f>ROUNDDOWN(SUMIF(P463:P464,O465,H463:H464),0)</f>
        <v>1408681</v>
      </c>
      <c r="I465" s="74"/>
      <c r="J465" s="48">
        <f>ROUNDDOWN(SUMIF(P463:P464,O465,J463:J464),0)</f>
        <v>13437000</v>
      </c>
      <c r="K465" s="74"/>
      <c r="L465" s="48">
        <f>ROUNDDOWN(SUMIF(P463:P464,O465,L463:L464),0)</f>
        <v>0</v>
      </c>
      <c r="M465" s="74"/>
      <c r="O465" s="7" t="s">
        <v>6406</v>
      </c>
    </row>
    <row r="466" spans="1:26" ht="28.7" customHeight="1" x14ac:dyDescent="0.3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</row>
    <row r="467" spans="1:26" ht="28.7" customHeight="1" x14ac:dyDescent="0.3">
      <c r="A467" s="136" t="s">
        <v>255</v>
      </c>
      <c r="B467" s="127"/>
      <c r="C467" s="127"/>
      <c r="D467" s="127"/>
      <c r="E467" s="127"/>
      <c r="F467" s="127"/>
      <c r="G467" s="127"/>
      <c r="H467" s="127"/>
      <c r="I467" s="127"/>
      <c r="J467" s="127"/>
      <c r="K467" s="127"/>
      <c r="L467" s="144"/>
      <c r="M467" s="22" t="s">
        <v>6794</v>
      </c>
      <c r="N467" s="84" t="str">
        <f>HYPERLINK("#N"&amp;ROW(N469),"_x0005_`BDCOD|B04933_x0007_`POSS|"&amp;ROW(N468)&amp;"_x0007_`POSE|"&amp;ROW(N469)&amp;"_x0007_`")</f>
        <v>_x0005_`BDCOD|B04933_x0007_`POSS|468_x0007_`POSE|469_x0007_`</v>
      </c>
      <c r="O467" s="7" t="s">
        <v>6795</v>
      </c>
    </row>
    <row r="468" spans="1:26" ht="28.7" customHeight="1" x14ac:dyDescent="0.3">
      <c r="A468" s="10" t="s">
        <v>840</v>
      </c>
      <c r="B468" s="10" t="s">
        <v>874</v>
      </c>
      <c r="C468" s="75">
        <v>1</v>
      </c>
      <c r="D468" s="31" t="s">
        <v>14</v>
      </c>
      <c r="E468" s="55">
        <f>I468+G468+K468</f>
        <v>2613964</v>
      </c>
      <c r="F468" s="76">
        <f>J468+H468+L468</f>
        <v>2613964</v>
      </c>
      <c r="G468" s="78">
        <f>일위대가목록표!F358</f>
        <v>2613964</v>
      </c>
      <c r="H468" s="80">
        <f>IF(C468=0,0,ROUNDDOWN(G468*C468,1))</f>
        <v>2613964</v>
      </c>
      <c r="I468" s="78">
        <f>일위대가목록표!G358</f>
        <v>0</v>
      </c>
      <c r="J468" s="80">
        <f>IF(C468=0,0,ROUNDDOWN(I468*C468,1))</f>
        <v>0</v>
      </c>
      <c r="K468" s="78">
        <f>일위대가목록표!H358</f>
        <v>0</v>
      </c>
      <c r="L468" s="80">
        <f>IF(C468=0,0,ROUNDDOWN(K468*C468,1))</f>
        <v>0</v>
      </c>
      <c r="M468" s="22" t="s">
        <v>4408</v>
      </c>
      <c r="N468" s="17" t="s">
        <v>6796</v>
      </c>
      <c r="O468" s="7" t="s">
        <v>4406</v>
      </c>
      <c r="P468" s="7" t="s">
        <v>6406</v>
      </c>
      <c r="Z468" s="3" t="str">
        <f ca="1">HYPERLINK("#"&amp;일위대가목록표!J2&amp;"!A"&amp;ROW(일위대가목록표!A358),"대가355 →")</f>
        <v>대가355 →</v>
      </c>
    </row>
    <row r="469" spans="1:26" ht="28.7" customHeight="1" x14ac:dyDescent="0.3">
      <c r="A469" s="10" t="s">
        <v>223</v>
      </c>
      <c r="B469" s="10" t="s">
        <v>2473</v>
      </c>
      <c r="C469" s="75">
        <v>1</v>
      </c>
      <c r="D469" s="31" t="s">
        <v>14</v>
      </c>
      <c r="E469" s="55">
        <f>I469+G469+K469</f>
        <v>31423000</v>
      </c>
      <c r="F469" s="77">
        <f>J469+H469+L469</f>
        <v>31423000</v>
      </c>
      <c r="G469" s="51">
        <v>0</v>
      </c>
      <c r="H469" s="76">
        <f>IF(C469=0,0,ROUNDDOWN(G469*C469,1))</f>
        <v>0</v>
      </c>
      <c r="I469" s="78">
        <f>재료비목록표!E147</f>
        <v>31423000</v>
      </c>
      <c r="J469" s="81">
        <f>IF(C469=0,0,ROUNDDOWN(I469*C469,1))</f>
        <v>31423000</v>
      </c>
      <c r="K469" s="51">
        <v>0</v>
      </c>
      <c r="L469" s="76">
        <f>IF(C469=0,0,ROUNDDOWN(K469*C469,1))</f>
        <v>0</v>
      </c>
      <c r="M469" s="22" t="s">
        <v>6798</v>
      </c>
      <c r="N469" s="17" t="s">
        <v>6797</v>
      </c>
      <c r="O469" s="7" t="s">
        <v>5427</v>
      </c>
      <c r="P469" s="7" t="s">
        <v>6406</v>
      </c>
      <c r="Z469" s="3" t="str">
        <f ca="1">HYPERLINK("#"&amp;재료비목록표!G2&amp;"!A"&amp;ROW(재료비목록표!A147),"자재144 →")</f>
        <v>자재144 →</v>
      </c>
    </row>
    <row r="470" spans="1:26" ht="28.7" customHeight="1" x14ac:dyDescent="0.3">
      <c r="A470" s="22" t="s">
        <v>6</v>
      </c>
      <c r="B470" s="74"/>
      <c r="C470" s="74"/>
      <c r="D470" s="74"/>
      <c r="E470" s="74"/>
      <c r="F470" s="48">
        <f>J470+H470+L470</f>
        <v>34036964</v>
      </c>
      <c r="G470" s="74"/>
      <c r="H470" s="48">
        <f>ROUNDDOWN(SUMIF(P468:P469,O470,H468:H469),0)</f>
        <v>2613964</v>
      </c>
      <c r="I470" s="74"/>
      <c r="J470" s="48">
        <f>ROUNDDOWN(SUMIF(P468:P469,O470,J468:J469),0)</f>
        <v>31423000</v>
      </c>
      <c r="K470" s="74"/>
      <c r="L470" s="48">
        <f>ROUNDDOWN(SUMIF(P468:P469,O470,L468:L469),0)</f>
        <v>0</v>
      </c>
      <c r="M470" s="74"/>
      <c r="O470" s="7" t="s">
        <v>6406</v>
      </c>
    </row>
    <row r="471" spans="1:26" ht="28.7" customHeight="1" x14ac:dyDescent="0.3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</row>
    <row r="472" spans="1:26" ht="28.7" customHeight="1" x14ac:dyDescent="0.3">
      <c r="A472" s="136" t="s">
        <v>258</v>
      </c>
      <c r="B472" s="127"/>
      <c r="C472" s="127"/>
      <c r="D472" s="127"/>
      <c r="E472" s="127"/>
      <c r="F472" s="127"/>
      <c r="G472" s="127"/>
      <c r="H472" s="127"/>
      <c r="I472" s="127"/>
      <c r="J472" s="127"/>
      <c r="K472" s="127"/>
      <c r="L472" s="144"/>
      <c r="M472" s="22" t="s">
        <v>6799</v>
      </c>
      <c r="N472" s="84" t="str">
        <f>HYPERLINK("#N"&amp;ROW(N473),"_x0005_`BDCOD|B05177_x0007_`POSS|"&amp;ROW(N473)&amp;"_x0007_`POSE|"&amp;ROW(N473)&amp;"_x0007_`")</f>
        <v>_x0005_`BDCOD|B05177_x0007_`POSS|473_x0007_`POSE|473_x0007_`</v>
      </c>
      <c r="O472" s="7" t="s">
        <v>6800</v>
      </c>
    </row>
    <row r="473" spans="1:26" ht="28.7" customHeight="1" x14ac:dyDescent="0.3">
      <c r="A473" s="10" t="s">
        <v>840</v>
      </c>
      <c r="B473" s="10" t="s">
        <v>841</v>
      </c>
      <c r="C473" s="75">
        <v>1</v>
      </c>
      <c r="D473" s="31" t="s">
        <v>14</v>
      </c>
      <c r="E473" s="55">
        <f>I473+G473+K473</f>
        <v>207713</v>
      </c>
      <c r="F473" s="76">
        <f>J473+H473+L473</f>
        <v>207713</v>
      </c>
      <c r="G473" s="78">
        <f>일위대가목록표!F347</f>
        <v>207713</v>
      </c>
      <c r="H473" s="80">
        <f>IF(C473=0,0,ROUNDDOWN(G473*C473,1))</f>
        <v>207713</v>
      </c>
      <c r="I473" s="78">
        <f>일위대가목록표!G347</f>
        <v>0</v>
      </c>
      <c r="J473" s="80">
        <f>IF(C473=0,0,ROUNDDOWN(I473*C473,1))</f>
        <v>0</v>
      </c>
      <c r="K473" s="78">
        <f>일위대가목록표!H347</f>
        <v>0</v>
      </c>
      <c r="L473" s="80">
        <f>IF(C473=0,0,ROUNDDOWN(K473*C473,1))</f>
        <v>0</v>
      </c>
      <c r="M473" s="22" t="s">
        <v>4375</v>
      </c>
      <c r="N473" s="17" t="s">
        <v>6742</v>
      </c>
      <c r="O473" s="7" t="s">
        <v>4373</v>
      </c>
      <c r="P473" s="7" t="s">
        <v>6406</v>
      </c>
      <c r="Z473" s="3" t="str">
        <f ca="1">HYPERLINK("#"&amp;일위대가목록표!J2&amp;"!A"&amp;ROW(일위대가목록표!A347),"대가344 →")</f>
        <v>대가344 →</v>
      </c>
    </row>
    <row r="474" spans="1:26" ht="28.7" customHeight="1" x14ac:dyDescent="0.3">
      <c r="A474" s="22" t="s">
        <v>6</v>
      </c>
      <c r="B474" s="74"/>
      <c r="C474" s="74"/>
      <c r="D474" s="74"/>
      <c r="E474" s="74"/>
      <c r="F474" s="48">
        <f>J474+H474+L474</f>
        <v>207713</v>
      </c>
      <c r="G474" s="74"/>
      <c r="H474" s="48">
        <f>ROUNDDOWN(SUMIF(P473:P473,O474,H473:H473),0)</f>
        <v>207713</v>
      </c>
      <c r="I474" s="74"/>
      <c r="J474" s="48">
        <f>ROUNDDOWN(SUMIF(P473:P473,O474,J473:J473),0)</f>
        <v>0</v>
      </c>
      <c r="K474" s="74"/>
      <c r="L474" s="48">
        <f>ROUNDDOWN(SUMIF(P473:P473,O474,L473:L473),0)</f>
        <v>0</v>
      </c>
      <c r="M474" s="74"/>
      <c r="O474" s="7" t="s">
        <v>6406</v>
      </c>
    </row>
    <row r="475" spans="1:26" ht="28.7" customHeight="1" x14ac:dyDescent="0.3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</row>
    <row r="476" spans="1:26" ht="28.7" customHeight="1" x14ac:dyDescent="0.3">
      <c r="A476" s="136" t="s">
        <v>261</v>
      </c>
      <c r="B476" s="127"/>
      <c r="C476" s="127"/>
      <c r="D476" s="127"/>
      <c r="E476" s="127"/>
      <c r="F476" s="127"/>
      <c r="G476" s="127"/>
      <c r="H476" s="127"/>
      <c r="I476" s="127"/>
      <c r="J476" s="127"/>
      <c r="K476" s="127"/>
      <c r="L476" s="144"/>
      <c r="M476" s="22" t="s">
        <v>6801</v>
      </c>
      <c r="N476" s="84" t="str">
        <f>HYPERLINK("#N"&amp;ROW(N477),"_x0005_`BDCOD|B05178_x0007_`POSS|"&amp;ROW(N477)&amp;"_x0007_`POSE|"&amp;ROW(N477)&amp;"_x0007_`")</f>
        <v>_x0005_`BDCOD|B05178_x0007_`POSS|477_x0007_`POSE|477_x0007_`</v>
      </c>
      <c r="O476" s="7" t="s">
        <v>6802</v>
      </c>
    </row>
    <row r="477" spans="1:26" ht="28.7" customHeight="1" x14ac:dyDescent="0.3">
      <c r="A477" s="10" t="s">
        <v>840</v>
      </c>
      <c r="B477" s="10" t="s">
        <v>841</v>
      </c>
      <c r="C477" s="75">
        <v>1</v>
      </c>
      <c r="D477" s="31" t="s">
        <v>14</v>
      </c>
      <c r="E477" s="55">
        <f>I477+G477+K477</f>
        <v>207713</v>
      </c>
      <c r="F477" s="76">
        <f>J477+H477+L477</f>
        <v>207713</v>
      </c>
      <c r="G477" s="78">
        <f>일위대가목록표!F347</f>
        <v>207713</v>
      </c>
      <c r="H477" s="80">
        <f>IF(C477=0,0,ROUNDDOWN(G477*C477,1))</f>
        <v>207713</v>
      </c>
      <c r="I477" s="78">
        <f>일위대가목록표!G347</f>
        <v>0</v>
      </c>
      <c r="J477" s="80">
        <f>IF(C477=0,0,ROUNDDOWN(I477*C477,1))</f>
        <v>0</v>
      </c>
      <c r="K477" s="78">
        <f>일위대가목록표!H347</f>
        <v>0</v>
      </c>
      <c r="L477" s="80">
        <f>IF(C477=0,0,ROUNDDOWN(K477*C477,1))</f>
        <v>0</v>
      </c>
      <c r="M477" s="22" t="s">
        <v>4375</v>
      </c>
      <c r="N477" s="17" t="s">
        <v>6742</v>
      </c>
      <c r="O477" s="7" t="s">
        <v>4373</v>
      </c>
      <c r="P477" s="7" t="s">
        <v>6406</v>
      </c>
      <c r="Z477" s="3" t="str">
        <f ca="1">HYPERLINK("#"&amp;일위대가목록표!J2&amp;"!A"&amp;ROW(일위대가목록표!A347),"대가344 →")</f>
        <v>대가344 →</v>
      </c>
    </row>
    <row r="478" spans="1:26" ht="28.7" customHeight="1" x14ac:dyDescent="0.3">
      <c r="A478" s="22" t="s">
        <v>6</v>
      </c>
      <c r="B478" s="74"/>
      <c r="C478" s="74"/>
      <c r="D478" s="74"/>
      <c r="E478" s="74"/>
      <c r="F478" s="48">
        <f>J478+H478+L478</f>
        <v>207713</v>
      </c>
      <c r="G478" s="74"/>
      <c r="H478" s="48">
        <f>ROUNDDOWN(SUMIF(P477:P477,O478,H477:H477),0)</f>
        <v>207713</v>
      </c>
      <c r="I478" s="74"/>
      <c r="J478" s="48">
        <f>ROUNDDOWN(SUMIF(P477:P477,O478,J477:J477),0)</f>
        <v>0</v>
      </c>
      <c r="K478" s="74"/>
      <c r="L478" s="48">
        <f>ROUNDDOWN(SUMIF(P477:P477,O478,L477:L477),0)</f>
        <v>0</v>
      </c>
      <c r="M478" s="74"/>
      <c r="O478" s="7" t="s">
        <v>6406</v>
      </c>
    </row>
    <row r="479" spans="1:26" ht="28.7" customHeight="1" x14ac:dyDescent="0.3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</row>
    <row r="480" spans="1:26" ht="28.7" customHeight="1" x14ac:dyDescent="0.3">
      <c r="A480" s="136" t="s">
        <v>263</v>
      </c>
      <c r="B480" s="127"/>
      <c r="C480" s="127"/>
      <c r="D480" s="127"/>
      <c r="E480" s="127"/>
      <c r="F480" s="127"/>
      <c r="G480" s="127"/>
      <c r="H480" s="127"/>
      <c r="I480" s="127"/>
      <c r="J480" s="127"/>
      <c r="K480" s="127"/>
      <c r="L480" s="144"/>
      <c r="M480" s="22" t="s">
        <v>6803</v>
      </c>
      <c r="N480" s="84" t="str">
        <f>HYPERLINK("#N"&amp;ROW(N481),"_x0005_`BDCOD|B05179_x0007_`POSS|"&amp;ROW(N481)&amp;"_x0007_`POSE|"&amp;ROW(N481)&amp;"_x0007_`")</f>
        <v>_x0005_`BDCOD|B05179_x0007_`POSS|481_x0007_`POSE|481_x0007_`</v>
      </c>
      <c r="O480" s="7" t="s">
        <v>6804</v>
      </c>
    </row>
    <row r="481" spans="1:26" ht="28.7" customHeight="1" x14ac:dyDescent="0.3">
      <c r="A481" s="10" t="s">
        <v>840</v>
      </c>
      <c r="B481" s="10" t="s">
        <v>844</v>
      </c>
      <c r="C481" s="75">
        <v>1</v>
      </c>
      <c r="D481" s="31" t="s">
        <v>14</v>
      </c>
      <c r="E481" s="55">
        <f>I481+G481+K481</f>
        <v>249256</v>
      </c>
      <c r="F481" s="76">
        <f>J481+H481+L481</f>
        <v>249256</v>
      </c>
      <c r="G481" s="78">
        <f>일위대가목록표!F348</f>
        <v>249256</v>
      </c>
      <c r="H481" s="80">
        <f>IF(C481=0,0,ROUNDDOWN(G481*C481,1))</f>
        <v>249256</v>
      </c>
      <c r="I481" s="78">
        <f>일위대가목록표!G348</f>
        <v>0</v>
      </c>
      <c r="J481" s="80">
        <f>IF(C481=0,0,ROUNDDOWN(I481*C481,1))</f>
        <v>0</v>
      </c>
      <c r="K481" s="78">
        <f>일위대가목록표!H348</f>
        <v>0</v>
      </c>
      <c r="L481" s="80">
        <f>IF(C481=0,0,ROUNDDOWN(K481*C481,1))</f>
        <v>0</v>
      </c>
      <c r="M481" s="22" t="s">
        <v>4378</v>
      </c>
      <c r="N481" s="17" t="s">
        <v>6752</v>
      </c>
      <c r="O481" s="7" t="s">
        <v>4376</v>
      </c>
      <c r="P481" s="7" t="s">
        <v>6406</v>
      </c>
      <c r="Z481" s="3" t="str">
        <f ca="1">HYPERLINK("#"&amp;일위대가목록표!J2&amp;"!A"&amp;ROW(일위대가목록표!A348),"대가345 →")</f>
        <v>대가345 →</v>
      </c>
    </row>
    <row r="482" spans="1:26" ht="28.7" customHeight="1" x14ac:dyDescent="0.3">
      <c r="A482" s="22" t="s">
        <v>6</v>
      </c>
      <c r="B482" s="74"/>
      <c r="C482" s="74"/>
      <c r="D482" s="74"/>
      <c r="E482" s="74"/>
      <c r="F482" s="48">
        <f>J482+H482+L482</f>
        <v>249256</v>
      </c>
      <c r="G482" s="74"/>
      <c r="H482" s="48">
        <f>ROUNDDOWN(SUMIF(P481:P481,O482,H481:H481),0)</f>
        <v>249256</v>
      </c>
      <c r="I482" s="74"/>
      <c r="J482" s="48">
        <f>ROUNDDOWN(SUMIF(P481:P481,O482,J481:J481),0)</f>
        <v>0</v>
      </c>
      <c r="K482" s="74"/>
      <c r="L482" s="48">
        <f>ROUNDDOWN(SUMIF(P481:P481,O482,L481:L481),0)</f>
        <v>0</v>
      </c>
      <c r="M482" s="74"/>
      <c r="O482" s="7" t="s">
        <v>6406</v>
      </c>
    </row>
    <row r="483" spans="1:26" ht="28.7" customHeight="1" x14ac:dyDescent="0.3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</row>
    <row r="484" spans="1:26" ht="28.7" customHeight="1" x14ac:dyDescent="0.3">
      <c r="A484" s="136" t="s">
        <v>265</v>
      </c>
      <c r="B484" s="127"/>
      <c r="C484" s="127"/>
      <c r="D484" s="127"/>
      <c r="E484" s="127"/>
      <c r="F484" s="127"/>
      <c r="G484" s="127"/>
      <c r="H484" s="127"/>
      <c r="I484" s="127"/>
      <c r="J484" s="127"/>
      <c r="K484" s="127"/>
      <c r="L484" s="144"/>
      <c r="M484" s="22" t="s">
        <v>6805</v>
      </c>
      <c r="N484" s="84" t="str">
        <f>HYPERLINK("#N"&amp;ROW(N485),"_x0005_`BDCOD|B05180_x0007_`POSS|"&amp;ROW(N485)&amp;"_x0007_`POSE|"&amp;ROW(N485)&amp;"_x0007_`")</f>
        <v>_x0005_`BDCOD|B05180_x0007_`POSS|485_x0007_`POSE|485_x0007_`</v>
      </c>
      <c r="O484" s="7" t="s">
        <v>6806</v>
      </c>
    </row>
    <row r="485" spans="1:26" ht="28.7" customHeight="1" x14ac:dyDescent="0.3">
      <c r="A485" s="10" t="s">
        <v>840</v>
      </c>
      <c r="B485" s="10" t="s">
        <v>847</v>
      </c>
      <c r="C485" s="75">
        <v>1</v>
      </c>
      <c r="D485" s="31" t="s">
        <v>14</v>
      </c>
      <c r="E485" s="55">
        <f>I485+G485+K485</f>
        <v>290799</v>
      </c>
      <c r="F485" s="76">
        <f>J485+H485+L485</f>
        <v>290799</v>
      </c>
      <c r="G485" s="78">
        <f>일위대가목록표!F349</f>
        <v>290799</v>
      </c>
      <c r="H485" s="80">
        <f>IF(C485=0,0,ROUNDDOWN(G485*C485,1))</f>
        <v>290799</v>
      </c>
      <c r="I485" s="78">
        <f>일위대가목록표!G349</f>
        <v>0</v>
      </c>
      <c r="J485" s="80">
        <f>IF(C485=0,0,ROUNDDOWN(I485*C485,1))</f>
        <v>0</v>
      </c>
      <c r="K485" s="78">
        <f>일위대가목록표!H349</f>
        <v>0</v>
      </c>
      <c r="L485" s="80">
        <f>IF(C485=0,0,ROUNDDOWN(K485*C485,1))</f>
        <v>0</v>
      </c>
      <c r="M485" s="22" t="s">
        <v>4381</v>
      </c>
      <c r="N485" s="17" t="s">
        <v>6757</v>
      </c>
      <c r="O485" s="7" t="s">
        <v>4379</v>
      </c>
      <c r="P485" s="7" t="s">
        <v>6406</v>
      </c>
      <c r="Z485" s="3" t="str">
        <f ca="1">HYPERLINK("#"&amp;일위대가목록표!J2&amp;"!A"&amp;ROW(일위대가목록표!A349),"대가346 →")</f>
        <v>대가346 →</v>
      </c>
    </row>
    <row r="486" spans="1:26" ht="28.7" customHeight="1" x14ac:dyDescent="0.3">
      <c r="A486" s="22" t="s">
        <v>6</v>
      </c>
      <c r="B486" s="74"/>
      <c r="C486" s="74"/>
      <c r="D486" s="74"/>
      <c r="E486" s="74"/>
      <c r="F486" s="48">
        <f>J486+H486+L486</f>
        <v>290799</v>
      </c>
      <c r="G486" s="74"/>
      <c r="H486" s="48">
        <f>ROUNDDOWN(SUMIF(P485:P485,O486,H485:H485),0)</f>
        <v>290799</v>
      </c>
      <c r="I486" s="74"/>
      <c r="J486" s="48">
        <f>ROUNDDOWN(SUMIF(P485:P485,O486,J485:J485),0)</f>
        <v>0</v>
      </c>
      <c r="K486" s="74"/>
      <c r="L486" s="48">
        <f>ROUNDDOWN(SUMIF(P485:P485,O486,L485:L485),0)</f>
        <v>0</v>
      </c>
      <c r="M486" s="74"/>
      <c r="O486" s="7" t="s">
        <v>6406</v>
      </c>
    </row>
    <row r="487" spans="1:26" ht="28.7" customHeight="1" x14ac:dyDescent="0.3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</row>
    <row r="488" spans="1:26" ht="28.7" customHeight="1" x14ac:dyDescent="0.3">
      <c r="A488" s="136" t="s">
        <v>267</v>
      </c>
      <c r="B488" s="127"/>
      <c r="C488" s="127"/>
      <c r="D488" s="127"/>
      <c r="E488" s="127"/>
      <c r="F488" s="127"/>
      <c r="G488" s="127"/>
      <c r="H488" s="127"/>
      <c r="I488" s="127"/>
      <c r="J488" s="127"/>
      <c r="K488" s="127"/>
      <c r="L488" s="144"/>
      <c r="M488" s="22" t="s">
        <v>6807</v>
      </c>
      <c r="N488" s="84" t="str">
        <f>HYPERLINK("#N"&amp;ROW(N489),"_x0005_`BDCOD|B05181_x0007_`POSS|"&amp;ROW(N489)&amp;"_x0007_`POSE|"&amp;ROW(N489)&amp;"_x0007_`")</f>
        <v>_x0005_`BDCOD|B05181_x0007_`POSS|489_x0007_`POSE|489_x0007_`</v>
      </c>
      <c r="O488" s="7" t="s">
        <v>6808</v>
      </c>
    </row>
    <row r="489" spans="1:26" ht="28.7" customHeight="1" x14ac:dyDescent="0.3">
      <c r="A489" s="10" t="s">
        <v>840</v>
      </c>
      <c r="B489" s="10" t="s">
        <v>850</v>
      </c>
      <c r="C489" s="75">
        <v>1</v>
      </c>
      <c r="D489" s="31" t="s">
        <v>14</v>
      </c>
      <c r="E489" s="55">
        <f>I489+G489+K489</f>
        <v>373885</v>
      </c>
      <c r="F489" s="76">
        <f>J489+H489+L489</f>
        <v>373885</v>
      </c>
      <c r="G489" s="78">
        <f>일위대가목록표!F350</f>
        <v>373885</v>
      </c>
      <c r="H489" s="80">
        <f>IF(C489=0,0,ROUNDDOWN(G489*C489,1))</f>
        <v>373885</v>
      </c>
      <c r="I489" s="78">
        <f>일위대가목록표!G350</f>
        <v>0</v>
      </c>
      <c r="J489" s="80">
        <f>IF(C489=0,0,ROUNDDOWN(I489*C489,1))</f>
        <v>0</v>
      </c>
      <c r="K489" s="78">
        <f>일위대가목록표!H350</f>
        <v>0</v>
      </c>
      <c r="L489" s="80">
        <f>IF(C489=0,0,ROUNDDOWN(K489*C489,1))</f>
        <v>0</v>
      </c>
      <c r="M489" s="22" t="s">
        <v>4384</v>
      </c>
      <c r="N489" s="17" t="s">
        <v>6762</v>
      </c>
      <c r="O489" s="7" t="s">
        <v>4382</v>
      </c>
      <c r="P489" s="7" t="s">
        <v>6406</v>
      </c>
      <c r="Z489" s="3" t="str">
        <f ca="1">HYPERLINK("#"&amp;일위대가목록표!J2&amp;"!A"&amp;ROW(일위대가목록표!A350),"대가347 →")</f>
        <v>대가347 →</v>
      </c>
    </row>
    <row r="490" spans="1:26" ht="28.7" customHeight="1" x14ac:dyDescent="0.3">
      <c r="A490" s="22" t="s">
        <v>6</v>
      </c>
      <c r="B490" s="74"/>
      <c r="C490" s="74"/>
      <c r="D490" s="74"/>
      <c r="E490" s="74"/>
      <c r="F490" s="48">
        <f>J490+H490+L490</f>
        <v>373885</v>
      </c>
      <c r="G490" s="74"/>
      <c r="H490" s="48">
        <f>ROUNDDOWN(SUMIF(P489:P489,O490,H489:H489),0)</f>
        <v>373885</v>
      </c>
      <c r="I490" s="74"/>
      <c r="J490" s="48">
        <f>ROUNDDOWN(SUMIF(P489:P489,O490,J489:J489),0)</f>
        <v>0</v>
      </c>
      <c r="K490" s="74"/>
      <c r="L490" s="48">
        <f>ROUNDDOWN(SUMIF(P489:P489,O490,L489:L489),0)</f>
        <v>0</v>
      </c>
      <c r="M490" s="74"/>
      <c r="O490" s="7" t="s">
        <v>6406</v>
      </c>
    </row>
    <row r="491" spans="1:26" ht="28.7" customHeight="1" x14ac:dyDescent="0.3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</row>
    <row r="492" spans="1:26" ht="28.7" customHeight="1" x14ac:dyDescent="0.3">
      <c r="A492" s="136" t="s">
        <v>269</v>
      </c>
      <c r="B492" s="127"/>
      <c r="C492" s="127"/>
      <c r="D492" s="127"/>
      <c r="E492" s="127"/>
      <c r="F492" s="127"/>
      <c r="G492" s="127"/>
      <c r="H492" s="127"/>
      <c r="I492" s="127"/>
      <c r="J492" s="127"/>
      <c r="K492" s="127"/>
      <c r="L492" s="144"/>
      <c r="M492" s="22" t="s">
        <v>6809</v>
      </c>
      <c r="N492" s="84" t="str">
        <f>HYPERLINK("#N"&amp;ROW(N493),"_x0005_`BDCOD|B05182_x0007_`POSS|"&amp;ROW(N493)&amp;"_x0007_`POSE|"&amp;ROW(N493)&amp;"_x0007_`")</f>
        <v>_x0005_`BDCOD|B05182_x0007_`POSS|493_x0007_`POSE|493_x0007_`</v>
      </c>
      <c r="O492" s="7" t="s">
        <v>6810</v>
      </c>
    </row>
    <row r="493" spans="1:26" ht="28.7" customHeight="1" x14ac:dyDescent="0.3">
      <c r="A493" s="10" t="s">
        <v>840</v>
      </c>
      <c r="B493" s="10" t="s">
        <v>853</v>
      </c>
      <c r="C493" s="75">
        <v>1</v>
      </c>
      <c r="D493" s="31" t="s">
        <v>14</v>
      </c>
      <c r="E493" s="55">
        <f>I493+G493+K493</f>
        <v>456971</v>
      </c>
      <c r="F493" s="76">
        <f>J493+H493+L493</f>
        <v>456971</v>
      </c>
      <c r="G493" s="78">
        <f>일위대가목록표!F351</f>
        <v>456971</v>
      </c>
      <c r="H493" s="80">
        <f>IF(C493=0,0,ROUNDDOWN(G493*C493,1))</f>
        <v>456971</v>
      </c>
      <c r="I493" s="78">
        <f>일위대가목록표!G351</f>
        <v>0</v>
      </c>
      <c r="J493" s="80">
        <f>IF(C493=0,0,ROUNDDOWN(I493*C493,1))</f>
        <v>0</v>
      </c>
      <c r="K493" s="78">
        <f>일위대가목록표!H351</f>
        <v>0</v>
      </c>
      <c r="L493" s="80">
        <f>IF(C493=0,0,ROUNDDOWN(K493*C493,1))</f>
        <v>0</v>
      </c>
      <c r="M493" s="22" t="s">
        <v>4387</v>
      </c>
      <c r="N493" s="17" t="s">
        <v>6811</v>
      </c>
      <c r="O493" s="7" t="s">
        <v>4385</v>
      </c>
      <c r="P493" s="7" t="s">
        <v>6406</v>
      </c>
      <c r="Z493" s="3" t="str">
        <f ca="1">HYPERLINK("#"&amp;일위대가목록표!J2&amp;"!A"&amp;ROW(일위대가목록표!A351),"대가348 →")</f>
        <v>대가348 →</v>
      </c>
    </row>
    <row r="494" spans="1:26" ht="28.7" customHeight="1" x14ac:dyDescent="0.3">
      <c r="A494" s="22" t="s">
        <v>6</v>
      </c>
      <c r="B494" s="74"/>
      <c r="C494" s="74"/>
      <c r="D494" s="74"/>
      <c r="E494" s="74"/>
      <c r="F494" s="48">
        <f>J494+H494+L494</f>
        <v>456971</v>
      </c>
      <c r="G494" s="74"/>
      <c r="H494" s="48">
        <f>ROUNDDOWN(SUMIF(P493:P493,O494,H493:H493),0)</f>
        <v>456971</v>
      </c>
      <c r="I494" s="74"/>
      <c r="J494" s="48">
        <f>ROUNDDOWN(SUMIF(P493:P493,O494,J493:J493),0)</f>
        <v>0</v>
      </c>
      <c r="K494" s="74"/>
      <c r="L494" s="48">
        <f>ROUNDDOWN(SUMIF(P493:P493,O494,L493:L493),0)</f>
        <v>0</v>
      </c>
      <c r="M494" s="74"/>
      <c r="O494" s="7" t="s">
        <v>6406</v>
      </c>
    </row>
    <row r="495" spans="1:26" ht="28.7" customHeight="1" x14ac:dyDescent="0.3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</row>
    <row r="496" spans="1:26" ht="28.7" customHeight="1" x14ac:dyDescent="0.3">
      <c r="A496" s="136" t="s">
        <v>272</v>
      </c>
      <c r="B496" s="127"/>
      <c r="C496" s="127"/>
      <c r="D496" s="127"/>
      <c r="E496" s="127"/>
      <c r="F496" s="127"/>
      <c r="G496" s="127"/>
      <c r="H496" s="127"/>
      <c r="I496" s="127"/>
      <c r="J496" s="127"/>
      <c r="K496" s="127"/>
      <c r="L496" s="144"/>
      <c r="M496" s="22" t="s">
        <v>6812</v>
      </c>
      <c r="N496" s="84" t="str">
        <f>HYPERLINK("#N"&amp;ROW(N497),"_x0005_`BDCOD|B05183_x0007_`POSS|"&amp;ROW(N497)&amp;"_x0007_`POSE|"&amp;ROW(N497)&amp;"_x0007_`")</f>
        <v>_x0005_`BDCOD|B05183_x0007_`POSS|497_x0007_`POSE|497_x0007_`</v>
      </c>
      <c r="O496" s="7" t="s">
        <v>6813</v>
      </c>
    </row>
    <row r="497" spans="1:26" ht="28.7" customHeight="1" x14ac:dyDescent="0.3">
      <c r="A497" s="10" t="s">
        <v>840</v>
      </c>
      <c r="B497" s="10" t="s">
        <v>856</v>
      </c>
      <c r="C497" s="75">
        <v>1</v>
      </c>
      <c r="D497" s="31" t="s">
        <v>14</v>
      </c>
      <c r="E497" s="55">
        <f>I497+G497+K497</f>
        <v>581599</v>
      </c>
      <c r="F497" s="76">
        <f>J497+H497+L497</f>
        <v>581599</v>
      </c>
      <c r="G497" s="78">
        <f>일위대가목록표!F352</f>
        <v>581599</v>
      </c>
      <c r="H497" s="80">
        <f>IF(C497=0,0,ROUNDDOWN(G497*C497,1))</f>
        <v>581599</v>
      </c>
      <c r="I497" s="78">
        <f>일위대가목록표!G352</f>
        <v>0</v>
      </c>
      <c r="J497" s="80">
        <f>IF(C497=0,0,ROUNDDOWN(I497*C497,1))</f>
        <v>0</v>
      </c>
      <c r="K497" s="78">
        <f>일위대가목록표!H352</f>
        <v>0</v>
      </c>
      <c r="L497" s="80">
        <f>IF(C497=0,0,ROUNDDOWN(K497*C497,1))</f>
        <v>0</v>
      </c>
      <c r="M497" s="22" t="s">
        <v>4390</v>
      </c>
      <c r="N497" s="17" t="s">
        <v>6767</v>
      </c>
      <c r="O497" s="7" t="s">
        <v>4388</v>
      </c>
      <c r="P497" s="7" t="s">
        <v>6406</v>
      </c>
      <c r="Z497" s="3" t="str">
        <f ca="1">HYPERLINK("#"&amp;일위대가목록표!J2&amp;"!A"&amp;ROW(일위대가목록표!A352),"대가349 →")</f>
        <v>대가349 →</v>
      </c>
    </row>
    <row r="498" spans="1:26" ht="28.7" customHeight="1" x14ac:dyDescent="0.3">
      <c r="A498" s="22" t="s">
        <v>6</v>
      </c>
      <c r="B498" s="74"/>
      <c r="C498" s="74"/>
      <c r="D498" s="74"/>
      <c r="E498" s="74"/>
      <c r="F498" s="48">
        <f>J498+H498+L498</f>
        <v>581599</v>
      </c>
      <c r="G498" s="74"/>
      <c r="H498" s="48">
        <f>ROUNDDOWN(SUMIF(P497:P497,O498,H497:H497),0)</f>
        <v>581599</v>
      </c>
      <c r="I498" s="74"/>
      <c r="J498" s="48">
        <f>ROUNDDOWN(SUMIF(P497:P497,O498,J497:J497),0)</f>
        <v>0</v>
      </c>
      <c r="K498" s="74"/>
      <c r="L498" s="48">
        <f>ROUNDDOWN(SUMIF(P497:P497,O498,L497:L497),0)</f>
        <v>0</v>
      </c>
      <c r="M498" s="74"/>
      <c r="O498" s="7" t="s">
        <v>6406</v>
      </c>
    </row>
    <row r="499" spans="1:26" ht="28.7" customHeight="1" x14ac:dyDescent="0.3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</row>
    <row r="500" spans="1:26" ht="28.7" customHeight="1" x14ac:dyDescent="0.3">
      <c r="A500" s="136" t="s">
        <v>274</v>
      </c>
      <c r="B500" s="127"/>
      <c r="C500" s="127"/>
      <c r="D500" s="127"/>
      <c r="E500" s="127"/>
      <c r="F500" s="127"/>
      <c r="G500" s="127"/>
      <c r="H500" s="127"/>
      <c r="I500" s="127"/>
      <c r="J500" s="127"/>
      <c r="K500" s="127"/>
      <c r="L500" s="144"/>
      <c r="M500" s="22" t="s">
        <v>6814</v>
      </c>
      <c r="N500" s="84" t="str">
        <f>HYPERLINK("#N"&amp;ROW(N501),"_x0005_`BDCOD|B05184_x0007_`POSS|"&amp;ROW(N501)&amp;"_x0007_`POSE|"&amp;ROW(N501)&amp;"_x0007_`")</f>
        <v>_x0005_`BDCOD|B05184_x0007_`POSS|501_x0007_`POSE|501_x0007_`</v>
      </c>
      <c r="O500" s="7" t="s">
        <v>6815</v>
      </c>
    </row>
    <row r="501" spans="1:26" ht="28.7" customHeight="1" x14ac:dyDescent="0.3">
      <c r="A501" s="10" t="s">
        <v>840</v>
      </c>
      <c r="B501" s="10" t="s">
        <v>859</v>
      </c>
      <c r="C501" s="75">
        <v>1</v>
      </c>
      <c r="D501" s="31" t="s">
        <v>14</v>
      </c>
      <c r="E501" s="55">
        <f>I501+G501+K501</f>
        <v>827080</v>
      </c>
      <c r="F501" s="76">
        <f>J501+H501+L501</f>
        <v>827080</v>
      </c>
      <c r="G501" s="78">
        <f>일위대가목록표!F353</f>
        <v>827080</v>
      </c>
      <c r="H501" s="80">
        <f>IF(C501=0,0,ROUNDDOWN(G501*C501,1))</f>
        <v>827080</v>
      </c>
      <c r="I501" s="78">
        <f>일위대가목록표!G353</f>
        <v>0</v>
      </c>
      <c r="J501" s="80">
        <f>IF(C501=0,0,ROUNDDOWN(I501*C501,1))</f>
        <v>0</v>
      </c>
      <c r="K501" s="78">
        <f>일위대가목록표!H353</f>
        <v>0</v>
      </c>
      <c r="L501" s="80">
        <f>IF(C501=0,0,ROUNDDOWN(K501*C501,1))</f>
        <v>0</v>
      </c>
      <c r="M501" s="22" t="s">
        <v>4393</v>
      </c>
      <c r="N501" s="17" t="s">
        <v>6776</v>
      </c>
      <c r="O501" s="7" t="s">
        <v>4391</v>
      </c>
      <c r="P501" s="7" t="s">
        <v>6406</v>
      </c>
      <c r="Z501" s="3" t="str">
        <f ca="1">HYPERLINK("#"&amp;일위대가목록표!J2&amp;"!A"&amp;ROW(일위대가목록표!A353),"대가350 →")</f>
        <v>대가350 →</v>
      </c>
    </row>
    <row r="502" spans="1:26" ht="28.7" customHeight="1" x14ac:dyDescent="0.3">
      <c r="A502" s="22" t="s">
        <v>6</v>
      </c>
      <c r="B502" s="74"/>
      <c r="C502" s="74"/>
      <c r="D502" s="74"/>
      <c r="E502" s="74"/>
      <c r="F502" s="48">
        <f>J502+H502+L502</f>
        <v>827080</v>
      </c>
      <c r="G502" s="74"/>
      <c r="H502" s="48">
        <f>ROUNDDOWN(SUMIF(P501:P501,O502,H501:H501),0)</f>
        <v>827080</v>
      </c>
      <c r="I502" s="74"/>
      <c r="J502" s="48">
        <f>ROUNDDOWN(SUMIF(P501:P501,O502,J501:J501),0)</f>
        <v>0</v>
      </c>
      <c r="K502" s="74"/>
      <c r="L502" s="48">
        <f>ROUNDDOWN(SUMIF(P501:P501,O502,L501:L501),0)</f>
        <v>0</v>
      </c>
      <c r="M502" s="74"/>
      <c r="O502" s="7" t="s">
        <v>6406</v>
      </c>
    </row>
    <row r="503" spans="1:26" ht="28.7" customHeight="1" x14ac:dyDescent="0.3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</row>
    <row r="504" spans="1:26" ht="28.7" customHeight="1" x14ac:dyDescent="0.3">
      <c r="A504" s="136" t="s">
        <v>276</v>
      </c>
      <c r="B504" s="127"/>
      <c r="C504" s="127"/>
      <c r="D504" s="127"/>
      <c r="E504" s="127"/>
      <c r="F504" s="127"/>
      <c r="G504" s="127"/>
      <c r="H504" s="127"/>
      <c r="I504" s="127"/>
      <c r="J504" s="127"/>
      <c r="K504" s="127"/>
      <c r="L504" s="144"/>
      <c r="M504" s="22" t="s">
        <v>6816</v>
      </c>
      <c r="N504" s="84" t="str">
        <f>HYPERLINK("#N"&amp;ROW(N505),"_x0005_`BDCOD|B05185_x0007_`POSS|"&amp;ROW(N505)&amp;"_x0007_`POSE|"&amp;ROW(N505)&amp;"_x0007_`")</f>
        <v>_x0005_`BDCOD|B05185_x0007_`POSS|505_x0007_`POSE|505_x0007_`</v>
      </c>
      <c r="O504" s="7" t="s">
        <v>6817</v>
      </c>
    </row>
    <row r="505" spans="1:26" ht="28.7" customHeight="1" x14ac:dyDescent="0.3">
      <c r="A505" s="10" t="s">
        <v>840</v>
      </c>
      <c r="B505" s="10" t="s">
        <v>862</v>
      </c>
      <c r="C505" s="75">
        <v>1</v>
      </c>
      <c r="D505" s="31" t="s">
        <v>14</v>
      </c>
      <c r="E505" s="55">
        <f>I505+G505+K505</f>
        <v>1076338</v>
      </c>
      <c r="F505" s="76">
        <f>J505+H505+L505</f>
        <v>1076338</v>
      </c>
      <c r="G505" s="78">
        <f>일위대가목록표!F354</f>
        <v>1076338</v>
      </c>
      <c r="H505" s="80">
        <f>IF(C505=0,0,ROUNDDOWN(G505*C505,1))</f>
        <v>1076338</v>
      </c>
      <c r="I505" s="78">
        <f>일위대가목록표!G354</f>
        <v>0</v>
      </c>
      <c r="J505" s="80">
        <f>IF(C505=0,0,ROUNDDOWN(I505*C505,1))</f>
        <v>0</v>
      </c>
      <c r="K505" s="78">
        <f>일위대가목록표!H354</f>
        <v>0</v>
      </c>
      <c r="L505" s="80">
        <f>IF(C505=0,0,ROUNDDOWN(K505*C505,1))</f>
        <v>0</v>
      </c>
      <c r="M505" s="22" t="s">
        <v>4396</v>
      </c>
      <c r="N505" s="17" t="s">
        <v>6781</v>
      </c>
      <c r="O505" s="7" t="s">
        <v>4394</v>
      </c>
      <c r="P505" s="7" t="s">
        <v>6406</v>
      </c>
      <c r="Z505" s="3" t="str">
        <f ca="1">HYPERLINK("#"&amp;일위대가목록표!J2&amp;"!A"&amp;ROW(일위대가목록표!A354),"대가351 →")</f>
        <v>대가351 →</v>
      </c>
    </row>
    <row r="506" spans="1:26" ht="28.7" customHeight="1" x14ac:dyDescent="0.3">
      <c r="A506" s="22" t="s">
        <v>6</v>
      </c>
      <c r="B506" s="74"/>
      <c r="C506" s="74"/>
      <c r="D506" s="74"/>
      <c r="E506" s="74"/>
      <c r="F506" s="48">
        <f>J506+H506+L506</f>
        <v>1076338</v>
      </c>
      <c r="G506" s="74"/>
      <c r="H506" s="48">
        <f>ROUNDDOWN(SUMIF(P505:P505,O506,H505:H505),0)</f>
        <v>1076338</v>
      </c>
      <c r="I506" s="74"/>
      <c r="J506" s="48">
        <f>ROUNDDOWN(SUMIF(P505:P505,O506,J505:J505),0)</f>
        <v>0</v>
      </c>
      <c r="K506" s="74"/>
      <c r="L506" s="48">
        <f>ROUNDDOWN(SUMIF(P505:P505,O506,L505:L505),0)</f>
        <v>0</v>
      </c>
      <c r="M506" s="74"/>
      <c r="O506" s="7" t="s">
        <v>6406</v>
      </c>
    </row>
    <row r="507" spans="1:26" ht="28.7" customHeight="1" x14ac:dyDescent="0.3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</row>
    <row r="508" spans="1:26" ht="28.7" customHeight="1" x14ac:dyDescent="0.3">
      <c r="A508" s="136" t="s">
        <v>278</v>
      </c>
      <c r="B508" s="127"/>
      <c r="C508" s="127"/>
      <c r="D508" s="127"/>
      <c r="E508" s="127"/>
      <c r="F508" s="127"/>
      <c r="G508" s="127"/>
      <c r="H508" s="127"/>
      <c r="I508" s="127"/>
      <c r="J508" s="127"/>
      <c r="K508" s="127"/>
      <c r="L508" s="144"/>
      <c r="M508" s="22" t="s">
        <v>6818</v>
      </c>
      <c r="N508" s="84" t="str">
        <f>HYPERLINK("#N"&amp;ROW(N509),"_x0005_`BDCOD|B05186_x0007_`POSS|"&amp;ROW(N509)&amp;"_x0007_`POSE|"&amp;ROW(N509)&amp;"_x0007_`")</f>
        <v>_x0005_`BDCOD|B05186_x0007_`POSS|509_x0007_`POSE|509_x0007_`</v>
      </c>
      <c r="O508" s="7" t="s">
        <v>6819</v>
      </c>
    </row>
    <row r="509" spans="1:26" ht="28.7" customHeight="1" x14ac:dyDescent="0.3">
      <c r="A509" s="10" t="s">
        <v>840</v>
      </c>
      <c r="B509" s="10" t="s">
        <v>865</v>
      </c>
      <c r="C509" s="75">
        <v>1</v>
      </c>
      <c r="D509" s="31" t="s">
        <v>14</v>
      </c>
      <c r="E509" s="55">
        <f>I509+G509+K509</f>
        <v>1242509</v>
      </c>
      <c r="F509" s="76">
        <f>J509+H509+L509</f>
        <v>1242509</v>
      </c>
      <c r="G509" s="78">
        <f>일위대가목록표!F355</f>
        <v>1242509</v>
      </c>
      <c r="H509" s="80">
        <f>IF(C509=0,0,ROUNDDOWN(G509*C509,1))</f>
        <v>1242509</v>
      </c>
      <c r="I509" s="78">
        <f>일위대가목록표!G355</f>
        <v>0</v>
      </c>
      <c r="J509" s="80">
        <f>IF(C509=0,0,ROUNDDOWN(I509*C509,1))</f>
        <v>0</v>
      </c>
      <c r="K509" s="78">
        <f>일위대가목록표!H355</f>
        <v>0</v>
      </c>
      <c r="L509" s="80">
        <f>IF(C509=0,0,ROUNDDOWN(K509*C509,1))</f>
        <v>0</v>
      </c>
      <c r="M509" s="22" t="s">
        <v>4399</v>
      </c>
      <c r="N509" s="17" t="s">
        <v>6786</v>
      </c>
      <c r="O509" s="7" t="s">
        <v>4397</v>
      </c>
      <c r="P509" s="7" t="s">
        <v>6406</v>
      </c>
      <c r="Z509" s="3" t="str">
        <f ca="1">HYPERLINK("#"&amp;일위대가목록표!J2&amp;"!A"&amp;ROW(일위대가목록표!A355),"대가352 →")</f>
        <v>대가352 →</v>
      </c>
    </row>
    <row r="510" spans="1:26" ht="28.7" customHeight="1" x14ac:dyDescent="0.3">
      <c r="A510" s="22" t="s">
        <v>6</v>
      </c>
      <c r="B510" s="74"/>
      <c r="C510" s="74"/>
      <c r="D510" s="74"/>
      <c r="E510" s="74"/>
      <c r="F510" s="48">
        <f>J510+H510+L510</f>
        <v>1242509</v>
      </c>
      <c r="G510" s="74"/>
      <c r="H510" s="48">
        <f>ROUNDDOWN(SUMIF(P509:P509,O510,H509:H509),0)</f>
        <v>1242509</v>
      </c>
      <c r="I510" s="74"/>
      <c r="J510" s="48">
        <f>ROUNDDOWN(SUMIF(P509:P509,O510,J509:J509),0)</f>
        <v>0</v>
      </c>
      <c r="K510" s="74"/>
      <c r="L510" s="48">
        <f>ROUNDDOWN(SUMIF(P509:P509,O510,L509:L509),0)</f>
        <v>0</v>
      </c>
      <c r="M510" s="74"/>
      <c r="O510" s="7" t="s">
        <v>6406</v>
      </c>
    </row>
    <row r="511" spans="1:26" ht="28.7" customHeight="1" x14ac:dyDescent="0.3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</row>
    <row r="512" spans="1:26" ht="28.7" customHeight="1" x14ac:dyDescent="0.3">
      <c r="A512" s="136" t="s">
        <v>280</v>
      </c>
      <c r="B512" s="127"/>
      <c r="C512" s="127"/>
      <c r="D512" s="127"/>
      <c r="E512" s="127"/>
      <c r="F512" s="127"/>
      <c r="G512" s="127"/>
      <c r="H512" s="127"/>
      <c r="I512" s="127"/>
      <c r="J512" s="127"/>
      <c r="K512" s="127"/>
      <c r="L512" s="144"/>
      <c r="M512" s="22" t="s">
        <v>6820</v>
      </c>
      <c r="N512" s="84" t="str">
        <f>HYPERLINK("#N"&amp;ROW(N513),"_x0005_`BDCOD|B05187_x0007_`POSS|"&amp;ROW(N513)&amp;"_x0007_`POSE|"&amp;ROW(N513)&amp;"_x0007_`")</f>
        <v>_x0005_`BDCOD|B05187_x0007_`POSS|513_x0007_`POSE|513_x0007_`</v>
      </c>
      <c r="O512" s="7" t="s">
        <v>6821</v>
      </c>
    </row>
    <row r="513" spans="1:26" ht="28.7" customHeight="1" x14ac:dyDescent="0.3">
      <c r="A513" s="10" t="s">
        <v>840</v>
      </c>
      <c r="B513" s="10" t="s">
        <v>868</v>
      </c>
      <c r="C513" s="75">
        <v>1</v>
      </c>
      <c r="D513" s="31" t="s">
        <v>14</v>
      </c>
      <c r="E513" s="55">
        <f>I513+G513+K513</f>
        <v>1408681</v>
      </c>
      <c r="F513" s="76">
        <f>J513+H513+L513</f>
        <v>1408681</v>
      </c>
      <c r="G513" s="78">
        <f>일위대가목록표!F356</f>
        <v>1408681</v>
      </c>
      <c r="H513" s="80">
        <f>IF(C513=0,0,ROUNDDOWN(G513*C513,1))</f>
        <v>1408681</v>
      </c>
      <c r="I513" s="78">
        <f>일위대가목록표!G356</f>
        <v>0</v>
      </c>
      <c r="J513" s="80">
        <f>IF(C513=0,0,ROUNDDOWN(I513*C513,1))</f>
        <v>0</v>
      </c>
      <c r="K513" s="78">
        <f>일위대가목록표!H356</f>
        <v>0</v>
      </c>
      <c r="L513" s="80">
        <f>IF(C513=0,0,ROUNDDOWN(K513*C513,1))</f>
        <v>0</v>
      </c>
      <c r="M513" s="22" t="s">
        <v>4402</v>
      </c>
      <c r="N513" s="17" t="s">
        <v>6791</v>
      </c>
      <c r="O513" s="7" t="s">
        <v>4400</v>
      </c>
      <c r="P513" s="7" t="s">
        <v>6406</v>
      </c>
      <c r="Z513" s="3" t="str">
        <f ca="1">HYPERLINK("#"&amp;일위대가목록표!J2&amp;"!A"&amp;ROW(일위대가목록표!A356),"대가353 →")</f>
        <v>대가353 →</v>
      </c>
    </row>
    <row r="514" spans="1:26" ht="28.7" customHeight="1" x14ac:dyDescent="0.3">
      <c r="A514" s="22" t="s">
        <v>6</v>
      </c>
      <c r="B514" s="74"/>
      <c r="C514" s="74"/>
      <c r="D514" s="74"/>
      <c r="E514" s="74"/>
      <c r="F514" s="48">
        <f>J514+H514+L514</f>
        <v>1408681</v>
      </c>
      <c r="G514" s="74"/>
      <c r="H514" s="48">
        <f>ROUNDDOWN(SUMIF(P513:P513,O514,H513:H513),0)</f>
        <v>1408681</v>
      </c>
      <c r="I514" s="74"/>
      <c r="J514" s="48">
        <f>ROUNDDOWN(SUMIF(P513:P513,O514,J513:J513),0)</f>
        <v>0</v>
      </c>
      <c r="K514" s="74"/>
      <c r="L514" s="48">
        <f>ROUNDDOWN(SUMIF(P513:P513,O514,L513:L513),0)</f>
        <v>0</v>
      </c>
      <c r="M514" s="74"/>
      <c r="O514" s="7" t="s">
        <v>6406</v>
      </c>
    </row>
    <row r="515" spans="1:26" ht="28.7" customHeight="1" x14ac:dyDescent="0.3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</row>
    <row r="516" spans="1:26" ht="28.7" customHeight="1" x14ac:dyDescent="0.3">
      <c r="A516" s="136" t="s">
        <v>282</v>
      </c>
      <c r="B516" s="127"/>
      <c r="C516" s="127"/>
      <c r="D516" s="127"/>
      <c r="E516" s="127"/>
      <c r="F516" s="127"/>
      <c r="G516" s="127"/>
      <c r="H516" s="127"/>
      <c r="I516" s="127"/>
      <c r="J516" s="127"/>
      <c r="K516" s="127"/>
      <c r="L516" s="144"/>
      <c r="M516" s="22" t="s">
        <v>6822</v>
      </c>
      <c r="N516" s="84" t="str">
        <f>HYPERLINK("#N"&amp;ROW(N517),"_x0005_`BDCOD|B05188_x0007_`POSS|"&amp;ROW(N517)&amp;"_x0007_`POSE|"&amp;ROW(N517)&amp;"_x0007_`")</f>
        <v>_x0005_`BDCOD|B05188_x0007_`POSS|517_x0007_`POSE|517_x0007_`</v>
      </c>
      <c r="O516" s="7" t="s">
        <v>6823</v>
      </c>
    </row>
    <row r="517" spans="1:26" ht="28.7" customHeight="1" x14ac:dyDescent="0.3">
      <c r="A517" s="10" t="s">
        <v>840</v>
      </c>
      <c r="B517" s="10" t="s">
        <v>874</v>
      </c>
      <c r="C517" s="75">
        <v>1</v>
      </c>
      <c r="D517" s="31" t="s">
        <v>14</v>
      </c>
      <c r="E517" s="55">
        <f>I517+G517+K517</f>
        <v>2613964</v>
      </c>
      <c r="F517" s="76">
        <f>J517+H517+L517</f>
        <v>2613964</v>
      </c>
      <c r="G517" s="78">
        <f>일위대가목록표!F358</f>
        <v>2613964</v>
      </c>
      <c r="H517" s="80">
        <f>IF(C517=0,0,ROUNDDOWN(G517*C517,1))</f>
        <v>2613964</v>
      </c>
      <c r="I517" s="78">
        <f>일위대가목록표!G358</f>
        <v>0</v>
      </c>
      <c r="J517" s="80">
        <f>IF(C517=0,0,ROUNDDOWN(I517*C517,1))</f>
        <v>0</v>
      </c>
      <c r="K517" s="78">
        <f>일위대가목록표!H358</f>
        <v>0</v>
      </c>
      <c r="L517" s="80">
        <f>IF(C517=0,0,ROUNDDOWN(K517*C517,1))</f>
        <v>0</v>
      </c>
      <c r="M517" s="22" t="s">
        <v>4408</v>
      </c>
      <c r="N517" s="17" t="s">
        <v>6796</v>
      </c>
      <c r="O517" s="7" t="s">
        <v>4406</v>
      </c>
      <c r="P517" s="7" t="s">
        <v>6406</v>
      </c>
      <c r="Z517" s="3" t="str">
        <f ca="1">HYPERLINK("#"&amp;일위대가목록표!J2&amp;"!A"&amp;ROW(일위대가목록표!A358),"대가355 →")</f>
        <v>대가355 →</v>
      </c>
    </row>
    <row r="518" spans="1:26" ht="28.7" customHeight="1" x14ac:dyDescent="0.3">
      <c r="A518" s="22" t="s">
        <v>6</v>
      </c>
      <c r="B518" s="74"/>
      <c r="C518" s="74"/>
      <c r="D518" s="74"/>
      <c r="E518" s="74"/>
      <c r="F518" s="48">
        <f>J518+H518+L518</f>
        <v>2613964</v>
      </c>
      <c r="G518" s="74"/>
      <c r="H518" s="48">
        <f>ROUNDDOWN(SUMIF(P517:P517,O518,H517:H517),0)</f>
        <v>2613964</v>
      </c>
      <c r="I518" s="74"/>
      <c r="J518" s="48">
        <f>ROUNDDOWN(SUMIF(P517:P517,O518,J517:J517),0)</f>
        <v>0</v>
      </c>
      <c r="K518" s="74"/>
      <c r="L518" s="48">
        <f>ROUNDDOWN(SUMIF(P517:P517,O518,L517:L517),0)</f>
        <v>0</v>
      </c>
      <c r="M518" s="74"/>
      <c r="O518" s="7" t="s">
        <v>6406</v>
      </c>
    </row>
    <row r="519" spans="1:26" ht="28.7" customHeight="1" x14ac:dyDescent="0.3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</row>
    <row r="520" spans="1:26" ht="28.7" customHeight="1" x14ac:dyDescent="0.3">
      <c r="A520" s="136" t="s">
        <v>284</v>
      </c>
      <c r="B520" s="127"/>
      <c r="C520" s="127"/>
      <c r="D520" s="127"/>
      <c r="E520" s="127"/>
      <c r="F520" s="127"/>
      <c r="G520" s="127"/>
      <c r="H520" s="127"/>
      <c r="I520" s="127"/>
      <c r="J520" s="127"/>
      <c r="K520" s="127"/>
      <c r="L520" s="144"/>
      <c r="M520" s="22" t="s">
        <v>6824</v>
      </c>
      <c r="N520" s="84" t="str">
        <f>HYPERLINK("#N"&amp;ROW(N521),"_x0005_`BDCOD|B05189_x0007_`POSS|"&amp;ROW(N521)&amp;"_x0007_`POSE|"&amp;ROW(N521)&amp;"_x0007_`")</f>
        <v>_x0005_`BDCOD|B05189_x0007_`POSS|521_x0007_`POSE|521_x0007_`</v>
      </c>
      <c r="O520" s="7" t="s">
        <v>6825</v>
      </c>
    </row>
    <row r="521" spans="1:26" ht="28.7" customHeight="1" x14ac:dyDescent="0.3">
      <c r="A521" s="10" t="s">
        <v>877</v>
      </c>
      <c r="B521" s="10" t="s">
        <v>878</v>
      </c>
      <c r="C521" s="75">
        <v>1</v>
      </c>
      <c r="D521" s="31" t="s">
        <v>14</v>
      </c>
      <c r="E521" s="55">
        <f>I521+G521+K521</f>
        <v>148367</v>
      </c>
      <c r="F521" s="76">
        <f>J521+H521+L521</f>
        <v>148367</v>
      </c>
      <c r="G521" s="78">
        <f>일위대가목록표!F359</f>
        <v>148367</v>
      </c>
      <c r="H521" s="80">
        <f>IF(C521=0,0,ROUNDDOWN(G521*C521,1))</f>
        <v>148367</v>
      </c>
      <c r="I521" s="78">
        <f>일위대가목록표!G359</f>
        <v>0</v>
      </c>
      <c r="J521" s="80">
        <f>IF(C521=0,0,ROUNDDOWN(I521*C521,1))</f>
        <v>0</v>
      </c>
      <c r="K521" s="78">
        <f>일위대가목록표!H359</f>
        <v>0</v>
      </c>
      <c r="L521" s="80">
        <f>IF(C521=0,0,ROUNDDOWN(K521*C521,1))</f>
        <v>0</v>
      </c>
      <c r="M521" s="22" t="s">
        <v>4411</v>
      </c>
      <c r="N521" s="17" t="s">
        <v>6826</v>
      </c>
      <c r="O521" s="7" t="s">
        <v>4409</v>
      </c>
      <c r="P521" s="7" t="s">
        <v>6406</v>
      </c>
      <c r="Z521" s="3" t="str">
        <f ca="1">HYPERLINK("#"&amp;일위대가목록표!J2&amp;"!A"&amp;ROW(일위대가목록표!A359),"대가356 →")</f>
        <v>대가356 →</v>
      </c>
    </row>
    <row r="522" spans="1:26" ht="28.7" customHeight="1" x14ac:dyDescent="0.3">
      <c r="A522" s="22" t="s">
        <v>6</v>
      </c>
      <c r="B522" s="74"/>
      <c r="C522" s="74"/>
      <c r="D522" s="74"/>
      <c r="E522" s="74"/>
      <c r="F522" s="48">
        <f>J522+H522+L522</f>
        <v>148367</v>
      </c>
      <c r="G522" s="74"/>
      <c r="H522" s="48">
        <f>ROUNDDOWN(SUMIF(P521:P521,O522,H521:H521),0)</f>
        <v>148367</v>
      </c>
      <c r="I522" s="74"/>
      <c r="J522" s="48">
        <f>ROUNDDOWN(SUMIF(P521:P521,O522,J521:J521),0)</f>
        <v>0</v>
      </c>
      <c r="K522" s="74"/>
      <c r="L522" s="48">
        <f>ROUNDDOWN(SUMIF(P521:P521,O522,L521:L521),0)</f>
        <v>0</v>
      </c>
      <c r="M522" s="74"/>
      <c r="O522" s="7" t="s">
        <v>6406</v>
      </c>
    </row>
    <row r="523" spans="1:26" ht="28.7" customHeight="1" x14ac:dyDescent="0.3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</row>
    <row r="524" spans="1:26" ht="28.7" customHeight="1" x14ac:dyDescent="0.3">
      <c r="A524" s="136" t="s">
        <v>287</v>
      </c>
      <c r="B524" s="127"/>
      <c r="C524" s="127"/>
      <c r="D524" s="127"/>
      <c r="E524" s="127"/>
      <c r="F524" s="127"/>
      <c r="G524" s="127"/>
      <c r="H524" s="127"/>
      <c r="I524" s="127"/>
      <c r="J524" s="127"/>
      <c r="K524" s="127"/>
      <c r="L524" s="144"/>
      <c r="M524" s="22" t="s">
        <v>6827</v>
      </c>
      <c r="N524" s="84" t="str">
        <f>HYPERLINK("#N"&amp;ROW(N525),"_x0005_`BDCOD|B05190_x0007_`POSS|"&amp;ROW(N525)&amp;"_x0007_`POSE|"&amp;ROW(N525)&amp;"_x0007_`")</f>
        <v>_x0005_`BDCOD|B05190_x0007_`POSS|525_x0007_`POSE|525_x0007_`</v>
      </c>
      <c r="O524" s="7" t="s">
        <v>6828</v>
      </c>
    </row>
    <row r="525" spans="1:26" ht="28.7" customHeight="1" x14ac:dyDescent="0.3">
      <c r="A525" s="10" t="s">
        <v>877</v>
      </c>
      <c r="B525" s="10" t="s">
        <v>878</v>
      </c>
      <c r="C525" s="75">
        <v>1</v>
      </c>
      <c r="D525" s="31" t="s">
        <v>14</v>
      </c>
      <c r="E525" s="55">
        <f>I525+G525+K525</f>
        <v>148367</v>
      </c>
      <c r="F525" s="76">
        <f>J525+H525+L525</f>
        <v>148367</v>
      </c>
      <c r="G525" s="78">
        <f>일위대가목록표!F359</f>
        <v>148367</v>
      </c>
      <c r="H525" s="80">
        <f>IF(C525=0,0,ROUNDDOWN(G525*C525,1))</f>
        <v>148367</v>
      </c>
      <c r="I525" s="78">
        <f>일위대가목록표!G359</f>
        <v>0</v>
      </c>
      <c r="J525" s="80">
        <f>IF(C525=0,0,ROUNDDOWN(I525*C525,1))</f>
        <v>0</v>
      </c>
      <c r="K525" s="78">
        <f>일위대가목록표!H359</f>
        <v>0</v>
      </c>
      <c r="L525" s="80">
        <f>IF(C525=0,0,ROUNDDOWN(K525*C525,1))</f>
        <v>0</v>
      </c>
      <c r="M525" s="22" t="s">
        <v>4411</v>
      </c>
      <c r="N525" s="17" t="s">
        <v>6826</v>
      </c>
      <c r="O525" s="7" t="s">
        <v>4409</v>
      </c>
      <c r="P525" s="7" t="s">
        <v>6406</v>
      </c>
      <c r="Z525" s="3" t="str">
        <f ca="1">HYPERLINK("#"&amp;일위대가목록표!J2&amp;"!A"&amp;ROW(일위대가목록표!A359),"대가356 →")</f>
        <v>대가356 →</v>
      </c>
    </row>
    <row r="526" spans="1:26" ht="28.7" customHeight="1" x14ac:dyDescent="0.3">
      <c r="A526" s="22" t="s">
        <v>6</v>
      </c>
      <c r="B526" s="74"/>
      <c r="C526" s="74"/>
      <c r="D526" s="74"/>
      <c r="E526" s="74"/>
      <c r="F526" s="48">
        <f>J526+H526+L526</f>
        <v>148367</v>
      </c>
      <c r="G526" s="74"/>
      <c r="H526" s="48">
        <f>ROUNDDOWN(SUMIF(P525:P525,O526,H525:H525),0)</f>
        <v>148367</v>
      </c>
      <c r="I526" s="74"/>
      <c r="J526" s="48">
        <f>ROUNDDOWN(SUMIF(P525:P525,O526,J525:J525),0)</f>
        <v>0</v>
      </c>
      <c r="K526" s="74"/>
      <c r="L526" s="48">
        <f>ROUNDDOWN(SUMIF(P525:P525,O526,L525:L525),0)</f>
        <v>0</v>
      </c>
      <c r="M526" s="74"/>
      <c r="O526" s="7" t="s">
        <v>6406</v>
      </c>
    </row>
    <row r="527" spans="1:26" ht="28.7" customHeight="1" x14ac:dyDescent="0.3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</row>
    <row r="528" spans="1:26" ht="28.7" customHeight="1" x14ac:dyDescent="0.3">
      <c r="A528" s="136" t="s">
        <v>289</v>
      </c>
      <c r="B528" s="127"/>
      <c r="C528" s="127"/>
      <c r="D528" s="127"/>
      <c r="E528" s="127"/>
      <c r="F528" s="127"/>
      <c r="G528" s="127"/>
      <c r="H528" s="127"/>
      <c r="I528" s="127"/>
      <c r="J528" s="127"/>
      <c r="K528" s="127"/>
      <c r="L528" s="144"/>
      <c r="M528" s="22" t="s">
        <v>6829</v>
      </c>
      <c r="N528" s="84" t="str">
        <f>HYPERLINK("#N"&amp;ROW(N529),"_x0005_`BDCOD|B05191_x0007_`POSS|"&amp;ROW(N529)&amp;"_x0007_`POSE|"&amp;ROW(N529)&amp;"_x0007_`")</f>
        <v>_x0005_`BDCOD|B05191_x0007_`POSS|529_x0007_`POSE|529_x0007_`</v>
      </c>
      <c r="O528" s="7" t="s">
        <v>6830</v>
      </c>
    </row>
    <row r="529" spans="1:26" ht="28.7" customHeight="1" x14ac:dyDescent="0.3">
      <c r="A529" s="10" t="s">
        <v>877</v>
      </c>
      <c r="B529" s="10" t="s">
        <v>881</v>
      </c>
      <c r="C529" s="75">
        <v>1</v>
      </c>
      <c r="D529" s="31" t="s">
        <v>14</v>
      </c>
      <c r="E529" s="55">
        <f>I529+G529+K529</f>
        <v>178040</v>
      </c>
      <c r="F529" s="76">
        <f>J529+H529+L529</f>
        <v>178040</v>
      </c>
      <c r="G529" s="78">
        <f>일위대가목록표!F360</f>
        <v>178040</v>
      </c>
      <c r="H529" s="80">
        <f>IF(C529=0,0,ROUNDDOWN(G529*C529,1))</f>
        <v>178040</v>
      </c>
      <c r="I529" s="78">
        <f>일위대가목록표!G360</f>
        <v>0</v>
      </c>
      <c r="J529" s="80">
        <f>IF(C529=0,0,ROUNDDOWN(I529*C529,1))</f>
        <v>0</v>
      </c>
      <c r="K529" s="78">
        <f>일위대가목록표!H360</f>
        <v>0</v>
      </c>
      <c r="L529" s="80">
        <f>IF(C529=0,0,ROUNDDOWN(K529*C529,1))</f>
        <v>0</v>
      </c>
      <c r="M529" s="22" t="s">
        <v>4414</v>
      </c>
      <c r="N529" s="17" t="s">
        <v>6831</v>
      </c>
      <c r="O529" s="7" t="s">
        <v>4412</v>
      </c>
      <c r="P529" s="7" t="s">
        <v>6406</v>
      </c>
      <c r="Z529" s="3" t="str">
        <f ca="1">HYPERLINK("#"&amp;일위대가목록표!J2&amp;"!A"&amp;ROW(일위대가목록표!A360),"대가357 →")</f>
        <v>대가357 →</v>
      </c>
    </row>
    <row r="530" spans="1:26" ht="28.7" customHeight="1" x14ac:dyDescent="0.3">
      <c r="A530" s="22" t="s">
        <v>6</v>
      </c>
      <c r="B530" s="74"/>
      <c r="C530" s="74"/>
      <c r="D530" s="74"/>
      <c r="E530" s="74"/>
      <c r="F530" s="48">
        <f>J530+H530+L530</f>
        <v>178040</v>
      </c>
      <c r="G530" s="74"/>
      <c r="H530" s="48">
        <f>ROUNDDOWN(SUMIF(P529:P529,O530,H529:H529),0)</f>
        <v>178040</v>
      </c>
      <c r="I530" s="74"/>
      <c r="J530" s="48">
        <f>ROUNDDOWN(SUMIF(P529:P529,O530,J529:J529),0)</f>
        <v>0</v>
      </c>
      <c r="K530" s="74"/>
      <c r="L530" s="48">
        <f>ROUNDDOWN(SUMIF(P529:P529,O530,L529:L529),0)</f>
        <v>0</v>
      </c>
      <c r="M530" s="74"/>
      <c r="O530" s="7" t="s">
        <v>6406</v>
      </c>
    </row>
    <row r="531" spans="1:26" ht="28.7" customHeight="1" x14ac:dyDescent="0.3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</row>
    <row r="532" spans="1:26" ht="28.7" customHeight="1" x14ac:dyDescent="0.3">
      <c r="A532" s="136" t="s">
        <v>291</v>
      </c>
      <c r="B532" s="127"/>
      <c r="C532" s="127"/>
      <c r="D532" s="127"/>
      <c r="E532" s="127"/>
      <c r="F532" s="127"/>
      <c r="G532" s="127"/>
      <c r="H532" s="127"/>
      <c r="I532" s="127"/>
      <c r="J532" s="127"/>
      <c r="K532" s="127"/>
      <c r="L532" s="144"/>
      <c r="M532" s="22" t="s">
        <v>6832</v>
      </c>
      <c r="N532" s="84" t="str">
        <f>HYPERLINK("#N"&amp;ROW(N533),"_x0005_`BDCOD|B05192_x0007_`POSS|"&amp;ROW(N533)&amp;"_x0007_`POSE|"&amp;ROW(N533)&amp;"_x0007_`")</f>
        <v>_x0005_`BDCOD|B05192_x0007_`POSS|533_x0007_`POSE|533_x0007_`</v>
      </c>
      <c r="O532" s="7" t="s">
        <v>6833</v>
      </c>
    </row>
    <row r="533" spans="1:26" ht="28.7" customHeight="1" x14ac:dyDescent="0.3">
      <c r="A533" s="10" t="s">
        <v>877</v>
      </c>
      <c r="B533" s="10" t="s">
        <v>884</v>
      </c>
      <c r="C533" s="75">
        <v>1</v>
      </c>
      <c r="D533" s="31" t="s">
        <v>14</v>
      </c>
      <c r="E533" s="55">
        <f>I533+G533+K533</f>
        <v>207714</v>
      </c>
      <c r="F533" s="76">
        <f>J533+H533+L533</f>
        <v>207714</v>
      </c>
      <c r="G533" s="78">
        <f>일위대가목록표!F361</f>
        <v>207714</v>
      </c>
      <c r="H533" s="80">
        <f>IF(C533=0,0,ROUNDDOWN(G533*C533,1))</f>
        <v>207714</v>
      </c>
      <c r="I533" s="78">
        <f>일위대가목록표!G361</f>
        <v>0</v>
      </c>
      <c r="J533" s="80">
        <f>IF(C533=0,0,ROUNDDOWN(I533*C533,1))</f>
        <v>0</v>
      </c>
      <c r="K533" s="78">
        <f>일위대가목록표!H361</f>
        <v>0</v>
      </c>
      <c r="L533" s="80">
        <f>IF(C533=0,0,ROUNDDOWN(K533*C533,1))</f>
        <v>0</v>
      </c>
      <c r="M533" s="22" t="s">
        <v>4417</v>
      </c>
      <c r="N533" s="17" t="s">
        <v>6834</v>
      </c>
      <c r="O533" s="7" t="s">
        <v>4415</v>
      </c>
      <c r="P533" s="7" t="s">
        <v>6406</v>
      </c>
      <c r="Z533" s="3" t="str">
        <f ca="1">HYPERLINK("#"&amp;일위대가목록표!J2&amp;"!A"&amp;ROW(일위대가목록표!A361),"대가358 →")</f>
        <v>대가358 →</v>
      </c>
    </row>
    <row r="534" spans="1:26" ht="28.7" customHeight="1" x14ac:dyDescent="0.3">
      <c r="A534" s="22" t="s">
        <v>6</v>
      </c>
      <c r="B534" s="74"/>
      <c r="C534" s="74"/>
      <c r="D534" s="74"/>
      <c r="E534" s="74"/>
      <c r="F534" s="48">
        <f>J534+H534+L534</f>
        <v>207714</v>
      </c>
      <c r="G534" s="74"/>
      <c r="H534" s="48">
        <f>ROUNDDOWN(SUMIF(P533:P533,O534,H533:H533),0)</f>
        <v>207714</v>
      </c>
      <c r="I534" s="74"/>
      <c r="J534" s="48">
        <f>ROUNDDOWN(SUMIF(P533:P533,O534,J533:J533),0)</f>
        <v>0</v>
      </c>
      <c r="K534" s="74"/>
      <c r="L534" s="48">
        <f>ROUNDDOWN(SUMIF(P533:P533,O534,L533:L533),0)</f>
        <v>0</v>
      </c>
      <c r="M534" s="74"/>
      <c r="O534" s="7" t="s">
        <v>6406</v>
      </c>
    </row>
    <row r="535" spans="1:26" ht="28.7" customHeight="1" x14ac:dyDescent="0.3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</row>
    <row r="536" spans="1:26" ht="28.7" customHeight="1" x14ac:dyDescent="0.3">
      <c r="A536" s="136" t="s">
        <v>293</v>
      </c>
      <c r="B536" s="127"/>
      <c r="C536" s="127"/>
      <c r="D536" s="127"/>
      <c r="E536" s="127"/>
      <c r="F536" s="127"/>
      <c r="G536" s="127"/>
      <c r="H536" s="127"/>
      <c r="I536" s="127"/>
      <c r="J536" s="127"/>
      <c r="K536" s="127"/>
      <c r="L536" s="144"/>
      <c r="M536" s="22" t="s">
        <v>6835</v>
      </c>
      <c r="N536" s="84" t="str">
        <f>HYPERLINK("#N"&amp;ROW(N537),"_x0005_`BDCOD|B05193_x0007_`POSS|"&amp;ROW(N537)&amp;"_x0007_`POSE|"&amp;ROW(N537)&amp;"_x0007_`")</f>
        <v>_x0005_`BDCOD|B05193_x0007_`POSS|537_x0007_`POSE|537_x0007_`</v>
      </c>
      <c r="O536" s="7" t="s">
        <v>6836</v>
      </c>
    </row>
    <row r="537" spans="1:26" ht="28.7" customHeight="1" x14ac:dyDescent="0.3">
      <c r="A537" s="10" t="s">
        <v>877</v>
      </c>
      <c r="B537" s="10" t="s">
        <v>887</v>
      </c>
      <c r="C537" s="75">
        <v>1</v>
      </c>
      <c r="D537" s="31" t="s">
        <v>14</v>
      </c>
      <c r="E537" s="55">
        <f>I537+G537+K537</f>
        <v>267061</v>
      </c>
      <c r="F537" s="76">
        <f>J537+H537+L537</f>
        <v>267061</v>
      </c>
      <c r="G537" s="78">
        <f>일위대가목록표!F362</f>
        <v>267061</v>
      </c>
      <c r="H537" s="80">
        <f>IF(C537=0,0,ROUNDDOWN(G537*C537,1))</f>
        <v>267061</v>
      </c>
      <c r="I537" s="78">
        <f>일위대가목록표!G362</f>
        <v>0</v>
      </c>
      <c r="J537" s="80">
        <f>IF(C537=0,0,ROUNDDOWN(I537*C537,1))</f>
        <v>0</v>
      </c>
      <c r="K537" s="78">
        <f>일위대가목록표!H362</f>
        <v>0</v>
      </c>
      <c r="L537" s="80">
        <f>IF(C537=0,0,ROUNDDOWN(K537*C537,1))</f>
        <v>0</v>
      </c>
      <c r="M537" s="22" t="s">
        <v>4420</v>
      </c>
      <c r="N537" s="17" t="s">
        <v>6837</v>
      </c>
      <c r="O537" s="7" t="s">
        <v>4418</v>
      </c>
      <c r="P537" s="7" t="s">
        <v>6406</v>
      </c>
      <c r="Z537" s="3" t="str">
        <f ca="1">HYPERLINK("#"&amp;일위대가목록표!J2&amp;"!A"&amp;ROW(일위대가목록표!A362),"대가359 →")</f>
        <v>대가359 →</v>
      </c>
    </row>
    <row r="538" spans="1:26" ht="28.7" customHeight="1" x14ac:dyDescent="0.3">
      <c r="A538" s="22" t="s">
        <v>6</v>
      </c>
      <c r="B538" s="74"/>
      <c r="C538" s="74"/>
      <c r="D538" s="74"/>
      <c r="E538" s="74"/>
      <c r="F538" s="48">
        <f>J538+H538+L538</f>
        <v>267061</v>
      </c>
      <c r="G538" s="74"/>
      <c r="H538" s="48">
        <f>ROUNDDOWN(SUMIF(P537:P537,O538,H537:H537),0)</f>
        <v>267061</v>
      </c>
      <c r="I538" s="74"/>
      <c r="J538" s="48">
        <f>ROUNDDOWN(SUMIF(P537:P537,O538,J537:J537),0)</f>
        <v>0</v>
      </c>
      <c r="K538" s="74"/>
      <c r="L538" s="48">
        <f>ROUNDDOWN(SUMIF(P537:P537,O538,L537:L537),0)</f>
        <v>0</v>
      </c>
      <c r="M538" s="74"/>
      <c r="O538" s="7" t="s">
        <v>6406</v>
      </c>
    </row>
    <row r="539" spans="1:26" ht="28.7" customHeight="1" x14ac:dyDescent="0.3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</row>
    <row r="540" spans="1:26" ht="28.7" customHeight="1" x14ac:dyDescent="0.3">
      <c r="A540" s="136" t="s">
        <v>295</v>
      </c>
      <c r="B540" s="127"/>
      <c r="C540" s="127"/>
      <c r="D540" s="127"/>
      <c r="E540" s="127"/>
      <c r="F540" s="127"/>
      <c r="G540" s="127"/>
      <c r="H540" s="127"/>
      <c r="I540" s="127"/>
      <c r="J540" s="127"/>
      <c r="K540" s="127"/>
      <c r="L540" s="144"/>
      <c r="M540" s="22" t="s">
        <v>6838</v>
      </c>
      <c r="N540" s="84" t="str">
        <f>HYPERLINK("#N"&amp;ROW(N541),"_x0005_`BDCOD|B05195_x0007_`POSS|"&amp;ROW(N541)&amp;"_x0007_`POSE|"&amp;ROW(N541)&amp;"_x0007_`")</f>
        <v>_x0005_`BDCOD|B05195_x0007_`POSS|541_x0007_`POSE|541_x0007_`</v>
      </c>
      <c r="O540" s="7" t="s">
        <v>6839</v>
      </c>
    </row>
    <row r="541" spans="1:26" ht="28.7" customHeight="1" x14ac:dyDescent="0.3">
      <c r="A541" s="10" t="s">
        <v>877</v>
      </c>
      <c r="B541" s="10" t="s">
        <v>890</v>
      </c>
      <c r="C541" s="75">
        <v>1</v>
      </c>
      <c r="D541" s="31" t="s">
        <v>14</v>
      </c>
      <c r="E541" s="55">
        <f>I541+G541+K541</f>
        <v>326408</v>
      </c>
      <c r="F541" s="76">
        <f>J541+H541+L541</f>
        <v>326408</v>
      </c>
      <c r="G541" s="78">
        <f>일위대가목록표!F363</f>
        <v>326408</v>
      </c>
      <c r="H541" s="80">
        <f>IF(C541=0,0,ROUNDDOWN(G541*C541,1))</f>
        <v>326408</v>
      </c>
      <c r="I541" s="78">
        <f>일위대가목록표!G363</f>
        <v>0</v>
      </c>
      <c r="J541" s="80">
        <f>IF(C541=0,0,ROUNDDOWN(I541*C541,1))</f>
        <v>0</v>
      </c>
      <c r="K541" s="78">
        <f>일위대가목록표!H363</f>
        <v>0</v>
      </c>
      <c r="L541" s="80">
        <f>IF(C541=0,0,ROUNDDOWN(K541*C541,1))</f>
        <v>0</v>
      </c>
      <c r="M541" s="22" t="s">
        <v>4423</v>
      </c>
      <c r="N541" s="17" t="s">
        <v>6840</v>
      </c>
      <c r="O541" s="7" t="s">
        <v>4421</v>
      </c>
      <c r="P541" s="7" t="s">
        <v>6406</v>
      </c>
      <c r="Z541" s="3" t="str">
        <f ca="1">HYPERLINK("#"&amp;일위대가목록표!J2&amp;"!A"&amp;ROW(일위대가목록표!A363),"대가360 →")</f>
        <v>대가360 →</v>
      </c>
    </row>
    <row r="542" spans="1:26" ht="28.7" customHeight="1" x14ac:dyDescent="0.3">
      <c r="A542" s="22" t="s">
        <v>6</v>
      </c>
      <c r="B542" s="74"/>
      <c r="C542" s="74"/>
      <c r="D542" s="74"/>
      <c r="E542" s="74"/>
      <c r="F542" s="48">
        <f>J542+H542+L542</f>
        <v>326408</v>
      </c>
      <c r="G542" s="74"/>
      <c r="H542" s="48">
        <f>ROUNDDOWN(SUMIF(P541:P541,O542,H541:H541),0)</f>
        <v>326408</v>
      </c>
      <c r="I542" s="74"/>
      <c r="J542" s="48">
        <f>ROUNDDOWN(SUMIF(P541:P541,O542,J541:J541),0)</f>
        <v>0</v>
      </c>
      <c r="K542" s="74"/>
      <c r="L542" s="48">
        <f>ROUNDDOWN(SUMIF(P541:P541,O542,L541:L541),0)</f>
        <v>0</v>
      </c>
      <c r="M542" s="74"/>
      <c r="O542" s="7" t="s">
        <v>6406</v>
      </c>
    </row>
    <row r="543" spans="1:26" ht="28.7" customHeight="1" x14ac:dyDescent="0.3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</row>
    <row r="544" spans="1:26" ht="28.7" customHeight="1" x14ac:dyDescent="0.3">
      <c r="A544" s="136" t="s">
        <v>297</v>
      </c>
      <c r="B544" s="127"/>
      <c r="C544" s="127"/>
      <c r="D544" s="127"/>
      <c r="E544" s="127"/>
      <c r="F544" s="127"/>
      <c r="G544" s="127"/>
      <c r="H544" s="127"/>
      <c r="I544" s="127"/>
      <c r="J544" s="127"/>
      <c r="K544" s="127"/>
      <c r="L544" s="144"/>
      <c r="M544" s="22" t="s">
        <v>6841</v>
      </c>
      <c r="N544" s="84" t="str">
        <f>HYPERLINK("#N"&amp;ROW(N545),"_x0005_`BDCOD|B05196_x0007_`POSS|"&amp;ROW(N545)&amp;"_x0007_`POSE|"&amp;ROW(N545)&amp;"_x0007_`")</f>
        <v>_x0005_`BDCOD|B05196_x0007_`POSS|545_x0007_`POSE|545_x0007_`</v>
      </c>
      <c r="O544" s="7" t="s">
        <v>6842</v>
      </c>
    </row>
    <row r="545" spans="1:26" ht="28.7" customHeight="1" x14ac:dyDescent="0.3">
      <c r="A545" s="10" t="s">
        <v>877</v>
      </c>
      <c r="B545" s="10" t="s">
        <v>893</v>
      </c>
      <c r="C545" s="75">
        <v>1</v>
      </c>
      <c r="D545" s="31" t="s">
        <v>14</v>
      </c>
      <c r="E545" s="55">
        <f>I545+G545+K545</f>
        <v>415428</v>
      </c>
      <c r="F545" s="76">
        <f>J545+H545+L545</f>
        <v>415428</v>
      </c>
      <c r="G545" s="78">
        <f>일위대가목록표!F364</f>
        <v>415428</v>
      </c>
      <c r="H545" s="80">
        <f>IF(C545=0,0,ROUNDDOWN(G545*C545,1))</f>
        <v>415428</v>
      </c>
      <c r="I545" s="78">
        <f>일위대가목록표!G364</f>
        <v>0</v>
      </c>
      <c r="J545" s="80">
        <f>IF(C545=0,0,ROUNDDOWN(I545*C545,1))</f>
        <v>0</v>
      </c>
      <c r="K545" s="78">
        <f>일위대가목록표!H364</f>
        <v>0</v>
      </c>
      <c r="L545" s="80">
        <f>IF(C545=0,0,ROUNDDOWN(K545*C545,1))</f>
        <v>0</v>
      </c>
      <c r="M545" s="22" t="s">
        <v>4426</v>
      </c>
      <c r="N545" s="17" t="s">
        <v>6843</v>
      </c>
      <c r="O545" s="7" t="s">
        <v>4424</v>
      </c>
      <c r="P545" s="7" t="s">
        <v>6406</v>
      </c>
      <c r="Z545" s="3" t="str">
        <f ca="1">HYPERLINK("#"&amp;일위대가목록표!J2&amp;"!A"&amp;ROW(일위대가목록표!A364),"대가361 →")</f>
        <v>대가361 →</v>
      </c>
    </row>
    <row r="546" spans="1:26" ht="28.7" customHeight="1" x14ac:dyDescent="0.3">
      <c r="A546" s="22" t="s">
        <v>6</v>
      </c>
      <c r="B546" s="74"/>
      <c r="C546" s="74"/>
      <c r="D546" s="74"/>
      <c r="E546" s="74"/>
      <c r="F546" s="48">
        <f>J546+H546+L546</f>
        <v>415428</v>
      </c>
      <c r="G546" s="74"/>
      <c r="H546" s="48">
        <f>ROUNDDOWN(SUMIF(P545:P545,O546,H545:H545),0)</f>
        <v>415428</v>
      </c>
      <c r="I546" s="74"/>
      <c r="J546" s="48">
        <f>ROUNDDOWN(SUMIF(P545:P545,O546,J545:J545),0)</f>
        <v>0</v>
      </c>
      <c r="K546" s="74"/>
      <c r="L546" s="48">
        <f>ROUNDDOWN(SUMIF(P545:P545,O546,L545:L545),0)</f>
        <v>0</v>
      </c>
      <c r="M546" s="74"/>
      <c r="O546" s="7" t="s">
        <v>6406</v>
      </c>
    </row>
    <row r="547" spans="1:26" ht="28.7" customHeight="1" x14ac:dyDescent="0.3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</row>
    <row r="548" spans="1:26" ht="28.7" customHeight="1" x14ac:dyDescent="0.3">
      <c r="A548" s="136" t="s">
        <v>299</v>
      </c>
      <c r="B548" s="127"/>
      <c r="C548" s="127"/>
      <c r="D548" s="127"/>
      <c r="E548" s="127"/>
      <c r="F548" s="127"/>
      <c r="G548" s="127"/>
      <c r="H548" s="127"/>
      <c r="I548" s="127"/>
      <c r="J548" s="127"/>
      <c r="K548" s="127"/>
      <c r="L548" s="144"/>
      <c r="M548" s="22" t="s">
        <v>6844</v>
      </c>
      <c r="N548" s="84" t="str">
        <f>HYPERLINK("#N"&amp;ROW(N549),"_x0005_`BDCOD|B05197_x0007_`POSS|"&amp;ROW(N549)&amp;"_x0007_`POSE|"&amp;ROW(N549)&amp;"_x0007_`")</f>
        <v>_x0005_`BDCOD|B05197_x0007_`POSS|549_x0007_`POSE|549_x0007_`</v>
      </c>
      <c r="O548" s="7" t="s">
        <v>6845</v>
      </c>
    </row>
    <row r="549" spans="1:26" ht="28.7" customHeight="1" x14ac:dyDescent="0.3">
      <c r="A549" s="10" t="s">
        <v>877</v>
      </c>
      <c r="B549" s="10" t="s">
        <v>896</v>
      </c>
      <c r="C549" s="75">
        <v>1</v>
      </c>
      <c r="D549" s="31" t="s">
        <v>14</v>
      </c>
      <c r="E549" s="55">
        <f>I549+G549+K549</f>
        <v>590772</v>
      </c>
      <c r="F549" s="76">
        <f>J549+H549+L549</f>
        <v>590772</v>
      </c>
      <c r="G549" s="78">
        <f>일위대가목록표!F365</f>
        <v>590772</v>
      </c>
      <c r="H549" s="80">
        <f>IF(C549=0,0,ROUNDDOWN(G549*C549,1))</f>
        <v>590772</v>
      </c>
      <c r="I549" s="78">
        <f>일위대가목록표!G365</f>
        <v>0</v>
      </c>
      <c r="J549" s="80">
        <f>IF(C549=0,0,ROUNDDOWN(I549*C549,1))</f>
        <v>0</v>
      </c>
      <c r="K549" s="78">
        <f>일위대가목록표!H365</f>
        <v>0</v>
      </c>
      <c r="L549" s="80">
        <f>IF(C549=0,0,ROUNDDOWN(K549*C549,1))</f>
        <v>0</v>
      </c>
      <c r="M549" s="22" t="s">
        <v>4429</v>
      </c>
      <c r="N549" s="17" t="s">
        <v>6846</v>
      </c>
      <c r="O549" s="7" t="s">
        <v>4427</v>
      </c>
      <c r="P549" s="7" t="s">
        <v>6406</v>
      </c>
      <c r="Z549" s="3" t="str">
        <f ca="1">HYPERLINK("#"&amp;일위대가목록표!J2&amp;"!A"&amp;ROW(일위대가목록표!A365),"대가362 →")</f>
        <v>대가362 →</v>
      </c>
    </row>
    <row r="550" spans="1:26" ht="28.7" customHeight="1" x14ac:dyDescent="0.3">
      <c r="A550" s="22" t="s">
        <v>6</v>
      </c>
      <c r="B550" s="74"/>
      <c r="C550" s="74"/>
      <c r="D550" s="74"/>
      <c r="E550" s="74"/>
      <c r="F550" s="48">
        <f>J550+H550+L550</f>
        <v>590772</v>
      </c>
      <c r="G550" s="74"/>
      <c r="H550" s="48">
        <f>ROUNDDOWN(SUMIF(P549:P549,O550,H549:H549),0)</f>
        <v>590772</v>
      </c>
      <c r="I550" s="74"/>
      <c r="J550" s="48">
        <f>ROUNDDOWN(SUMIF(P549:P549,O550,J549:J549),0)</f>
        <v>0</v>
      </c>
      <c r="K550" s="74"/>
      <c r="L550" s="48">
        <f>ROUNDDOWN(SUMIF(P549:P549,O550,L549:L549),0)</f>
        <v>0</v>
      </c>
      <c r="M550" s="74"/>
      <c r="O550" s="7" t="s">
        <v>6406</v>
      </c>
    </row>
    <row r="551" spans="1:26" ht="28.7" customHeight="1" x14ac:dyDescent="0.3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</row>
    <row r="552" spans="1:26" ht="28.7" customHeight="1" x14ac:dyDescent="0.3">
      <c r="A552" s="136" t="s">
        <v>301</v>
      </c>
      <c r="B552" s="127"/>
      <c r="C552" s="127"/>
      <c r="D552" s="127"/>
      <c r="E552" s="127"/>
      <c r="F552" s="127"/>
      <c r="G552" s="127"/>
      <c r="H552" s="127"/>
      <c r="I552" s="127"/>
      <c r="J552" s="127"/>
      <c r="K552" s="127"/>
      <c r="L552" s="144"/>
      <c r="M552" s="22" t="s">
        <v>6847</v>
      </c>
      <c r="N552" s="84" t="str">
        <f>HYPERLINK("#N"&amp;ROW(N553),"_x0005_`BDCOD|B05198_x0007_`POSS|"&amp;ROW(N553)&amp;"_x0007_`POSE|"&amp;ROW(N553)&amp;"_x0007_`")</f>
        <v>_x0005_`BDCOD|B05198_x0007_`POSS|553_x0007_`POSE|553_x0007_`</v>
      </c>
      <c r="O552" s="7" t="s">
        <v>6848</v>
      </c>
    </row>
    <row r="553" spans="1:26" ht="28.7" customHeight="1" x14ac:dyDescent="0.3">
      <c r="A553" s="10" t="s">
        <v>877</v>
      </c>
      <c r="B553" s="10" t="s">
        <v>899</v>
      </c>
      <c r="C553" s="75">
        <v>1</v>
      </c>
      <c r="D553" s="31" t="s">
        <v>14</v>
      </c>
      <c r="E553" s="55">
        <f>I553+G553+K553</f>
        <v>768813</v>
      </c>
      <c r="F553" s="76">
        <f>J553+H553+L553</f>
        <v>768813</v>
      </c>
      <c r="G553" s="78">
        <f>일위대가목록표!F366</f>
        <v>768813</v>
      </c>
      <c r="H553" s="80">
        <f>IF(C553=0,0,ROUNDDOWN(G553*C553,1))</f>
        <v>768813</v>
      </c>
      <c r="I553" s="78">
        <f>일위대가목록표!G366</f>
        <v>0</v>
      </c>
      <c r="J553" s="80">
        <f>IF(C553=0,0,ROUNDDOWN(I553*C553,1))</f>
        <v>0</v>
      </c>
      <c r="K553" s="78">
        <f>일위대가목록표!H366</f>
        <v>0</v>
      </c>
      <c r="L553" s="80">
        <f>IF(C553=0,0,ROUNDDOWN(K553*C553,1))</f>
        <v>0</v>
      </c>
      <c r="M553" s="22" t="s">
        <v>4432</v>
      </c>
      <c r="N553" s="17" t="s">
        <v>6849</v>
      </c>
      <c r="O553" s="7" t="s">
        <v>4430</v>
      </c>
      <c r="P553" s="7" t="s">
        <v>6406</v>
      </c>
      <c r="Z553" s="3" t="str">
        <f ca="1">HYPERLINK("#"&amp;일위대가목록표!J2&amp;"!A"&amp;ROW(일위대가목록표!A366),"대가363 →")</f>
        <v>대가363 →</v>
      </c>
    </row>
    <row r="554" spans="1:26" ht="28.7" customHeight="1" x14ac:dyDescent="0.3">
      <c r="A554" s="22" t="s">
        <v>6</v>
      </c>
      <c r="B554" s="74"/>
      <c r="C554" s="74"/>
      <c r="D554" s="74"/>
      <c r="E554" s="74"/>
      <c r="F554" s="48">
        <f>J554+H554+L554</f>
        <v>768813</v>
      </c>
      <c r="G554" s="74"/>
      <c r="H554" s="48">
        <f>ROUNDDOWN(SUMIF(P553:P553,O554,H553:H553),0)</f>
        <v>768813</v>
      </c>
      <c r="I554" s="74"/>
      <c r="J554" s="48">
        <f>ROUNDDOWN(SUMIF(P553:P553,O554,J553:J553),0)</f>
        <v>0</v>
      </c>
      <c r="K554" s="74"/>
      <c r="L554" s="48">
        <f>ROUNDDOWN(SUMIF(P553:P553,O554,L553:L553),0)</f>
        <v>0</v>
      </c>
      <c r="M554" s="74"/>
      <c r="O554" s="7" t="s">
        <v>6406</v>
      </c>
    </row>
    <row r="555" spans="1:26" ht="28.7" customHeight="1" x14ac:dyDescent="0.3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</row>
    <row r="556" spans="1:26" ht="28.7" customHeight="1" x14ac:dyDescent="0.3">
      <c r="A556" s="136" t="s">
        <v>303</v>
      </c>
      <c r="B556" s="127"/>
      <c r="C556" s="127"/>
      <c r="D556" s="127"/>
      <c r="E556" s="127"/>
      <c r="F556" s="127"/>
      <c r="G556" s="127"/>
      <c r="H556" s="127"/>
      <c r="I556" s="127"/>
      <c r="J556" s="127"/>
      <c r="K556" s="127"/>
      <c r="L556" s="144"/>
      <c r="M556" s="22" t="s">
        <v>6850</v>
      </c>
      <c r="N556" s="84" t="str">
        <f>HYPERLINK("#N"&amp;ROW(N557),"_x0005_`BDCOD|B05199_x0007_`POSS|"&amp;ROW(N557)&amp;"_x0007_`POSE|"&amp;ROW(N557)&amp;"_x0007_`")</f>
        <v>_x0005_`BDCOD|B05199_x0007_`POSS|557_x0007_`POSE|557_x0007_`</v>
      </c>
      <c r="O556" s="7" t="s">
        <v>6851</v>
      </c>
    </row>
    <row r="557" spans="1:26" ht="28.7" customHeight="1" x14ac:dyDescent="0.3">
      <c r="A557" s="10" t="s">
        <v>877</v>
      </c>
      <c r="B557" s="10" t="s">
        <v>902</v>
      </c>
      <c r="C557" s="75">
        <v>1</v>
      </c>
      <c r="D557" s="31" t="s">
        <v>14</v>
      </c>
      <c r="E557" s="55">
        <f>I557+G557+K557</f>
        <v>887507</v>
      </c>
      <c r="F557" s="76">
        <f>J557+H557+L557</f>
        <v>887507</v>
      </c>
      <c r="G557" s="78">
        <f>일위대가목록표!F367</f>
        <v>887507</v>
      </c>
      <c r="H557" s="80">
        <f>IF(C557=0,0,ROUNDDOWN(G557*C557,1))</f>
        <v>887507</v>
      </c>
      <c r="I557" s="78">
        <f>일위대가목록표!G367</f>
        <v>0</v>
      </c>
      <c r="J557" s="80">
        <f>IF(C557=0,0,ROUNDDOWN(I557*C557,1))</f>
        <v>0</v>
      </c>
      <c r="K557" s="78">
        <f>일위대가목록표!H367</f>
        <v>0</v>
      </c>
      <c r="L557" s="80">
        <f>IF(C557=0,0,ROUNDDOWN(K557*C557,1))</f>
        <v>0</v>
      </c>
      <c r="M557" s="22" t="s">
        <v>4435</v>
      </c>
      <c r="N557" s="17" t="s">
        <v>6852</v>
      </c>
      <c r="O557" s="7" t="s">
        <v>4433</v>
      </c>
      <c r="P557" s="7" t="s">
        <v>6406</v>
      </c>
      <c r="Z557" s="3" t="str">
        <f ca="1">HYPERLINK("#"&amp;일위대가목록표!J2&amp;"!A"&amp;ROW(일위대가목록표!A367),"대가364 →")</f>
        <v>대가364 →</v>
      </c>
    </row>
    <row r="558" spans="1:26" ht="28.7" customHeight="1" x14ac:dyDescent="0.3">
      <c r="A558" s="22" t="s">
        <v>6</v>
      </c>
      <c r="B558" s="74"/>
      <c r="C558" s="74"/>
      <c r="D558" s="74"/>
      <c r="E558" s="74"/>
      <c r="F558" s="48">
        <f>J558+H558+L558</f>
        <v>887507</v>
      </c>
      <c r="G558" s="74"/>
      <c r="H558" s="48">
        <f>ROUNDDOWN(SUMIF(P557:P557,O558,H557:H557),0)</f>
        <v>887507</v>
      </c>
      <c r="I558" s="74"/>
      <c r="J558" s="48">
        <f>ROUNDDOWN(SUMIF(P557:P557,O558,J557:J557),0)</f>
        <v>0</v>
      </c>
      <c r="K558" s="74"/>
      <c r="L558" s="48">
        <f>ROUNDDOWN(SUMIF(P557:P557,O558,L557:L557),0)</f>
        <v>0</v>
      </c>
      <c r="M558" s="74"/>
      <c r="O558" s="7" t="s">
        <v>6406</v>
      </c>
    </row>
    <row r="559" spans="1:26" ht="28.7" customHeight="1" x14ac:dyDescent="0.3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</row>
    <row r="560" spans="1:26" ht="28.7" customHeight="1" x14ac:dyDescent="0.3">
      <c r="A560" s="136" t="s">
        <v>305</v>
      </c>
      <c r="B560" s="127"/>
      <c r="C560" s="127"/>
      <c r="D560" s="127"/>
      <c r="E560" s="127"/>
      <c r="F560" s="127"/>
      <c r="G560" s="127"/>
      <c r="H560" s="127"/>
      <c r="I560" s="127"/>
      <c r="J560" s="127"/>
      <c r="K560" s="127"/>
      <c r="L560" s="144"/>
      <c r="M560" s="22" t="s">
        <v>6853</v>
      </c>
      <c r="N560" s="84" t="str">
        <f>HYPERLINK("#N"&amp;ROW(N561),"_x0005_`BDCOD|B05200_x0007_`POSS|"&amp;ROW(N561)&amp;"_x0007_`POSE|"&amp;ROW(N561)&amp;"_x0007_`")</f>
        <v>_x0005_`BDCOD|B05200_x0007_`POSS|561_x0007_`POSE|561_x0007_`</v>
      </c>
      <c r="O560" s="7" t="s">
        <v>6854</v>
      </c>
    </row>
    <row r="561" spans="1:26" ht="28.7" customHeight="1" x14ac:dyDescent="0.3">
      <c r="A561" s="10" t="s">
        <v>877</v>
      </c>
      <c r="B561" s="10" t="s">
        <v>905</v>
      </c>
      <c r="C561" s="75">
        <v>1</v>
      </c>
      <c r="D561" s="31" t="s">
        <v>14</v>
      </c>
      <c r="E561" s="55">
        <f>I561+G561+K561</f>
        <v>1006201</v>
      </c>
      <c r="F561" s="76">
        <f>J561+H561+L561</f>
        <v>1006201</v>
      </c>
      <c r="G561" s="78">
        <f>일위대가목록표!F368</f>
        <v>1006201</v>
      </c>
      <c r="H561" s="80">
        <f>IF(C561=0,0,ROUNDDOWN(G561*C561,1))</f>
        <v>1006201</v>
      </c>
      <c r="I561" s="78">
        <f>일위대가목록표!G368</f>
        <v>0</v>
      </c>
      <c r="J561" s="80">
        <f>IF(C561=0,0,ROUNDDOWN(I561*C561,1))</f>
        <v>0</v>
      </c>
      <c r="K561" s="78">
        <f>일위대가목록표!H368</f>
        <v>0</v>
      </c>
      <c r="L561" s="80">
        <f>IF(C561=0,0,ROUNDDOWN(K561*C561,1))</f>
        <v>0</v>
      </c>
      <c r="M561" s="22" t="s">
        <v>4438</v>
      </c>
      <c r="N561" s="17" t="s">
        <v>6855</v>
      </c>
      <c r="O561" s="7" t="s">
        <v>4436</v>
      </c>
      <c r="P561" s="7" t="s">
        <v>6406</v>
      </c>
      <c r="Z561" s="3" t="str">
        <f ca="1">HYPERLINK("#"&amp;일위대가목록표!J2&amp;"!A"&amp;ROW(일위대가목록표!A368),"대가365 →")</f>
        <v>대가365 →</v>
      </c>
    </row>
    <row r="562" spans="1:26" ht="28.7" customHeight="1" x14ac:dyDescent="0.3">
      <c r="A562" s="22" t="s">
        <v>6</v>
      </c>
      <c r="B562" s="74"/>
      <c r="C562" s="74"/>
      <c r="D562" s="74"/>
      <c r="E562" s="74"/>
      <c r="F562" s="48">
        <f>J562+H562+L562</f>
        <v>1006201</v>
      </c>
      <c r="G562" s="74"/>
      <c r="H562" s="48">
        <f>ROUNDDOWN(SUMIF(P561:P561,O562,H561:H561),0)</f>
        <v>1006201</v>
      </c>
      <c r="I562" s="74"/>
      <c r="J562" s="48">
        <f>ROUNDDOWN(SUMIF(P561:P561,O562,J561:J561),0)</f>
        <v>0</v>
      </c>
      <c r="K562" s="74"/>
      <c r="L562" s="48">
        <f>ROUNDDOWN(SUMIF(P561:P561,O562,L561:L561),0)</f>
        <v>0</v>
      </c>
      <c r="M562" s="74"/>
      <c r="O562" s="7" t="s">
        <v>6406</v>
      </c>
    </row>
    <row r="563" spans="1:26" ht="28.7" customHeight="1" x14ac:dyDescent="0.3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</row>
    <row r="564" spans="1:26" ht="28.7" customHeight="1" x14ac:dyDescent="0.3">
      <c r="A564" s="136" t="s">
        <v>307</v>
      </c>
      <c r="B564" s="127"/>
      <c r="C564" s="127"/>
      <c r="D564" s="127"/>
      <c r="E564" s="127"/>
      <c r="F564" s="127"/>
      <c r="G564" s="127"/>
      <c r="H564" s="127"/>
      <c r="I564" s="127"/>
      <c r="J564" s="127"/>
      <c r="K564" s="127"/>
      <c r="L564" s="144"/>
      <c r="M564" s="22" t="s">
        <v>6856</v>
      </c>
      <c r="N564" s="84" t="str">
        <f>HYPERLINK("#N"&amp;ROW(N565),"_x0005_`BDCOD|B05194_x0007_`POSS|"&amp;ROW(N565)&amp;"_x0007_`POSE|"&amp;ROW(N565)&amp;"_x0007_`")</f>
        <v>_x0005_`BDCOD|B05194_x0007_`POSS|565_x0007_`POSE|565_x0007_`</v>
      </c>
      <c r="O564" s="7" t="s">
        <v>6857</v>
      </c>
    </row>
    <row r="565" spans="1:26" ht="28.7" customHeight="1" x14ac:dyDescent="0.3">
      <c r="A565" s="10" t="s">
        <v>877</v>
      </c>
      <c r="B565" s="10" t="s">
        <v>911</v>
      </c>
      <c r="C565" s="75">
        <v>1</v>
      </c>
      <c r="D565" s="31" t="s">
        <v>14</v>
      </c>
      <c r="E565" s="55">
        <f>I565+G565+K565</f>
        <v>1537626</v>
      </c>
      <c r="F565" s="76">
        <f>J565+H565+L565</f>
        <v>1537626</v>
      </c>
      <c r="G565" s="78">
        <f>일위대가목록표!F370</f>
        <v>1537626</v>
      </c>
      <c r="H565" s="80">
        <f>IF(C565=0,0,ROUNDDOWN(G565*C565,1))</f>
        <v>1537626</v>
      </c>
      <c r="I565" s="78">
        <f>일위대가목록표!G370</f>
        <v>0</v>
      </c>
      <c r="J565" s="80">
        <f>IF(C565=0,0,ROUNDDOWN(I565*C565,1))</f>
        <v>0</v>
      </c>
      <c r="K565" s="78">
        <f>일위대가목록표!H370</f>
        <v>0</v>
      </c>
      <c r="L565" s="80">
        <f>IF(C565=0,0,ROUNDDOWN(K565*C565,1))</f>
        <v>0</v>
      </c>
      <c r="M565" s="22" t="s">
        <v>4444</v>
      </c>
      <c r="N565" s="17" t="s">
        <v>6858</v>
      </c>
      <c r="O565" s="7" t="s">
        <v>4442</v>
      </c>
      <c r="P565" s="7" t="s">
        <v>6406</v>
      </c>
      <c r="Z565" s="3" t="str">
        <f ca="1">HYPERLINK("#"&amp;일위대가목록표!J2&amp;"!A"&amp;ROW(일위대가목록표!A370),"대가367 →")</f>
        <v>대가367 →</v>
      </c>
    </row>
    <row r="566" spans="1:26" ht="28.7" customHeight="1" x14ac:dyDescent="0.3">
      <c r="A566" s="22" t="s">
        <v>6</v>
      </c>
      <c r="B566" s="74"/>
      <c r="C566" s="74"/>
      <c r="D566" s="74"/>
      <c r="E566" s="74"/>
      <c r="F566" s="48">
        <f>J566+H566+L566</f>
        <v>1537626</v>
      </c>
      <c r="G566" s="74"/>
      <c r="H566" s="48">
        <f>ROUNDDOWN(SUMIF(P565:P565,O566,H565:H565),0)</f>
        <v>1537626</v>
      </c>
      <c r="I566" s="74"/>
      <c r="J566" s="48">
        <f>ROUNDDOWN(SUMIF(P565:P565,O566,J565:J565),0)</f>
        <v>0</v>
      </c>
      <c r="K566" s="74"/>
      <c r="L566" s="48">
        <f>ROUNDDOWN(SUMIF(P565:P565,O566,L565:L565),0)</f>
        <v>0</v>
      </c>
      <c r="M566" s="74"/>
      <c r="O566" s="7" t="s">
        <v>6406</v>
      </c>
    </row>
    <row r="567" spans="1:26" ht="28.7" customHeight="1" x14ac:dyDescent="0.3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</row>
    <row r="568" spans="1:26" ht="28.7" customHeight="1" x14ac:dyDescent="0.3">
      <c r="A568" s="136" t="s">
        <v>309</v>
      </c>
      <c r="B568" s="127"/>
      <c r="C568" s="127"/>
      <c r="D568" s="127"/>
      <c r="E568" s="127"/>
      <c r="F568" s="127"/>
      <c r="G568" s="127"/>
      <c r="H568" s="127"/>
      <c r="I568" s="127"/>
      <c r="J568" s="127"/>
      <c r="K568" s="127"/>
      <c r="L568" s="144"/>
      <c r="M568" s="22" t="s">
        <v>6859</v>
      </c>
      <c r="N568" s="84" t="str">
        <f>HYPERLINK("#N"&amp;ROW(N569),"_x0005_`BDCOD|B05201_x0007_`POSS|"&amp;ROW(N569)&amp;"_x0007_`POSE|"&amp;ROW(N569)&amp;"_x0007_`")</f>
        <v>_x0005_`BDCOD|B05201_x0007_`POSS|569_x0007_`POSE|569_x0007_`</v>
      </c>
      <c r="O568" s="7" t="s">
        <v>6860</v>
      </c>
    </row>
    <row r="569" spans="1:26" ht="28.7" customHeight="1" x14ac:dyDescent="0.3">
      <c r="A569" s="10" t="s">
        <v>914</v>
      </c>
      <c r="B569" s="10" t="s">
        <v>915</v>
      </c>
      <c r="C569" s="75">
        <v>1</v>
      </c>
      <c r="D569" s="31" t="s">
        <v>14</v>
      </c>
      <c r="E569" s="55">
        <f>I569+G569+K569</f>
        <v>59346</v>
      </c>
      <c r="F569" s="76">
        <f>J569+H569+L569</f>
        <v>59346</v>
      </c>
      <c r="G569" s="78">
        <f>일위대가목록표!F371</f>
        <v>59346</v>
      </c>
      <c r="H569" s="80">
        <f>IF(C569=0,0,ROUNDDOWN(G569*C569,1))</f>
        <v>59346</v>
      </c>
      <c r="I569" s="78">
        <f>일위대가목록표!G371</f>
        <v>0</v>
      </c>
      <c r="J569" s="80">
        <f>IF(C569=0,0,ROUNDDOWN(I569*C569,1))</f>
        <v>0</v>
      </c>
      <c r="K569" s="78">
        <f>일위대가목록표!H371</f>
        <v>0</v>
      </c>
      <c r="L569" s="80">
        <f>IF(C569=0,0,ROUNDDOWN(K569*C569,1))</f>
        <v>0</v>
      </c>
      <c r="M569" s="22" t="s">
        <v>4447</v>
      </c>
      <c r="N569" s="17" t="s">
        <v>6861</v>
      </c>
      <c r="O569" s="7" t="s">
        <v>4445</v>
      </c>
      <c r="P569" s="7" t="s">
        <v>6406</v>
      </c>
      <c r="Z569" s="3" t="str">
        <f ca="1">HYPERLINK("#"&amp;일위대가목록표!J2&amp;"!A"&amp;ROW(일위대가목록표!A371),"대가368 →")</f>
        <v>대가368 →</v>
      </c>
    </row>
    <row r="570" spans="1:26" ht="28.7" customHeight="1" x14ac:dyDescent="0.3">
      <c r="A570" s="22" t="s">
        <v>6</v>
      </c>
      <c r="B570" s="74"/>
      <c r="C570" s="74"/>
      <c r="D570" s="74"/>
      <c r="E570" s="74"/>
      <c r="F570" s="48">
        <f>J570+H570+L570</f>
        <v>59346</v>
      </c>
      <c r="G570" s="74"/>
      <c r="H570" s="48">
        <f>ROUNDDOWN(SUMIF(P569:P569,O570,H569:H569),0)</f>
        <v>59346</v>
      </c>
      <c r="I570" s="74"/>
      <c r="J570" s="48">
        <f>ROUNDDOWN(SUMIF(P569:P569,O570,J569:J569),0)</f>
        <v>0</v>
      </c>
      <c r="K570" s="74"/>
      <c r="L570" s="48">
        <f>ROUNDDOWN(SUMIF(P569:P569,O570,L569:L569),0)</f>
        <v>0</v>
      </c>
      <c r="M570" s="74"/>
      <c r="O570" s="7" t="s">
        <v>6406</v>
      </c>
    </row>
    <row r="571" spans="1:26" ht="28.7" customHeight="1" x14ac:dyDescent="0.3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</row>
    <row r="572" spans="1:26" ht="28.7" customHeight="1" x14ac:dyDescent="0.3">
      <c r="A572" s="136" t="s">
        <v>312</v>
      </c>
      <c r="B572" s="127"/>
      <c r="C572" s="127"/>
      <c r="D572" s="127"/>
      <c r="E572" s="127"/>
      <c r="F572" s="127"/>
      <c r="G572" s="127"/>
      <c r="H572" s="127"/>
      <c r="I572" s="127"/>
      <c r="J572" s="127"/>
      <c r="K572" s="127"/>
      <c r="L572" s="144"/>
      <c r="M572" s="22" t="s">
        <v>6862</v>
      </c>
      <c r="N572" s="84" t="str">
        <f>HYPERLINK("#N"&amp;ROW(N573),"_x0005_`BDCOD|B05202_x0007_`POSS|"&amp;ROW(N573)&amp;"_x0007_`POSE|"&amp;ROW(N573)&amp;"_x0007_`")</f>
        <v>_x0005_`BDCOD|B05202_x0007_`POSS|573_x0007_`POSE|573_x0007_`</v>
      </c>
      <c r="O572" s="7" t="s">
        <v>6863</v>
      </c>
    </row>
    <row r="573" spans="1:26" ht="28.7" customHeight="1" x14ac:dyDescent="0.3">
      <c r="A573" s="10" t="s">
        <v>914</v>
      </c>
      <c r="B573" s="10" t="s">
        <v>915</v>
      </c>
      <c r="C573" s="75">
        <v>1</v>
      </c>
      <c r="D573" s="31" t="s">
        <v>14</v>
      </c>
      <c r="E573" s="55">
        <f>I573+G573+K573</f>
        <v>59346</v>
      </c>
      <c r="F573" s="76">
        <f>J573+H573+L573</f>
        <v>59346</v>
      </c>
      <c r="G573" s="78">
        <f>일위대가목록표!F371</f>
        <v>59346</v>
      </c>
      <c r="H573" s="80">
        <f>IF(C573=0,0,ROUNDDOWN(G573*C573,1))</f>
        <v>59346</v>
      </c>
      <c r="I573" s="78">
        <f>일위대가목록표!G371</f>
        <v>0</v>
      </c>
      <c r="J573" s="80">
        <f>IF(C573=0,0,ROUNDDOWN(I573*C573,1))</f>
        <v>0</v>
      </c>
      <c r="K573" s="78">
        <f>일위대가목록표!H371</f>
        <v>0</v>
      </c>
      <c r="L573" s="80">
        <f>IF(C573=0,0,ROUNDDOWN(K573*C573,1))</f>
        <v>0</v>
      </c>
      <c r="M573" s="22" t="s">
        <v>4447</v>
      </c>
      <c r="N573" s="17" t="s">
        <v>6861</v>
      </c>
      <c r="O573" s="7" t="s">
        <v>4445</v>
      </c>
      <c r="P573" s="7" t="s">
        <v>6406</v>
      </c>
      <c r="Z573" s="3" t="str">
        <f ca="1">HYPERLINK("#"&amp;일위대가목록표!J2&amp;"!A"&amp;ROW(일위대가목록표!A371),"대가368 →")</f>
        <v>대가368 →</v>
      </c>
    </row>
    <row r="574" spans="1:26" ht="28.7" customHeight="1" x14ac:dyDescent="0.3">
      <c r="A574" s="22" t="s">
        <v>6</v>
      </c>
      <c r="B574" s="74"/>
      <c r="C574" s="74"/>
      <c r="D574" s="74"/>
      <c r="E574" s="74"/>
      <c r="F574" s="48">
        <f>J574+H574+L574</f>
        <v>59346</v>
      </c>
      <c r="G574" s="74"/>
      <c r="H574" s="48">
        <f>ROUNDDOWN(SUMIF(P573:P573,O574,H573:H573),0)</f>
        <v>59346</v>
      </c>
      <c r="I574" s="74"/>
      <c r="J574" s="48">
        <f>ROUNDDOWN(SUMIF(P573:P573,O574,J573:J573),0)</f>
        <v>0</v>
      </c>
      <c r="K574" s="74"/>
      <c r="L574" s="48">
        <f>ROUNDDOWN(SUMIF(P573:P573,O574,L573:L573),0)</f>
        <v>0</v>
      </c>
      <c r="M574" s="74"/>
      <c r="O574" s="7" t="s">
        <v>6406</v>
      </c>
    </row>
    <row r="575" spans="1:26" ht="28.7" customHeight="1" x14ac:dyDescent="0.3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</row>
    <row r="576" spans="1:26" ht="28.7" customHeight="1" x14ac:dyDescent="0.3">
      <c r="A576" s="136" t="s">
        <v>314</v>
      </c>
      <c r="B576" s="127"/>
      <c r="C576" s="127"/>
      <c r="D576" s="127"/>
      <c r="E576" s="127"/>
      <c r="F576" s="127"/>
      <c r="G576" s="127"/>
      <c r="H576" s="127"/>
      <c r="I576" s="127"/>
      <c r="J576" s="127"/>
      <c r="K576" s="127"/>
      <c r="L576" s="144"/>
      <c r="M576" s="22" t="s">
        <v>6864</v>
      </c>
      <c r="N576" s="84" t="str">
        <f>HYPERLINK("#N"&amp;ROW(N577),"_x0005_`BDCOD|B05203_x0007_`POSS|"&amp;ROW(N577)&amp;"_x0007_`POSE|"&amp;ROW(N577)&amp;"_x0007_`")</f>
        <v>_x0005_`BDCOD|B05203_x0007_`POSS|577_x0007_`POSE|577_x0007_`</v>
      </c>
      <c r="O576" s="7" t="s">
        <v>6865</v>
      </c>
    </row>
    <row r="577" spans="1:26" ht="28.7" customHeight="1" x14ac:dyDescent="0.3">
      <c r="A577" s="10" t="s">
        <v>914</v>
      </c>
      <c r="B577" s="10" t="s">
        <v>918</v>
      </c>
      <c r="C577" s="75">
        <v>1</v>
      </c>
      <c r="D577" s="31" t="s">
        <v>14</v>
      </c>
      <c r="E577" s="55">
        <f>I577+G577+K577</f>
        <v>71216</v>
      </c>
      <c r="F577" s="76">
        <f>J577+H577+L577</f>
        <v>71216</v>
      </c>
      <c r="G577" s="78">
        <f>일위대가목록표!F372</f>
        <v>71216</v>
      </c>
      <c r="H577" s="80">
        <f>IF(C577=0,0,ROUNDDOWN(G577*C577,1))</f>
        <v>71216</v>
      </c>
      <c r="I577" s="78">
        <f>일위대가목록표!G372</f>
        <v>0</v>
      </c>
      <c r="J577" s="80">
        <f>IF(C577=0,0,ROUNDDOWN(I577*C577,1))</f>
        <v>0</v>
      </c>
      <c r="K577" s="78">
        <f>일위대가목록표!H372</f>
        <v>0</v>
      </c>
      <c r="L577" s="80">
        <f>IF(C577=0,0,ROUNDDOWN(K577*C577,1))</f>
        <v>0</v>
      </c>
      <c r="M577" s="22" t="s">
        <v>4450</v>
      </c>
      <c r="N577" s="17" t="s">
        <v>6866</v>
      </c>
      <c r="O577" s="7" t="s">
        <v>4448</v>
      </c>
      <c r="P577" s="7" t="s">
        <v>6406</v>
      </c>
      <c r="Z577" s="3" t="str">
        <f ca="1">HYPERLINK("#"&amp;일위대가목록표!J2&amp;"!A"&amp;ROW(일위대가목록표!A372),"대가369 →")</f>
        <v>대가369 →</v>
      </c>
    </row>
    <row r="578" spans="1:26" ht="28.7" customHeight="1" x14ac:dyDescent="0.3">
      <c r="A578" s="22" t="s">
        <v>6</v>
      </c>
      <c r="B578" s="74"/>
      <c r="C578" s="74"/>
      <c r="D578" s="74"/>
      <c r="E578" s="74"/>
      <c r="F578" s="48">
        <f>J578+H578+L578</f>
        <v>71216</v>
      </c>
      <c r="G578" s="74"/>
      <c r="H578" s="48">
        <f>ROUNDDOWN(SUMIF(P577:P577,O578,H577:H577),0)</f>
        <v>71216</v>
      </c>
      <c r="I578" s="74"/>
      <c r="J578" s="48">
        <f>ROUNDDOWN(SUMIF(P577:P577,O578,J577:J577),0)</f>
        <v>0</v>
      </c>
      <c r="K578" s="74"/>
      <c r="L578" s="48">
        <f>ROUNDDOWN(SUMIF(P577:P577,O578,L577:L577),0)</f>
        <v>0</v>
      </c>
      <c r="M578" s="74"/>
      <c r="O578" s="7" t="s">
        <v>6406</v>
      </c>
    </row>
    <row r="579" spans="1:26" ht="28.7" customHeight="1" x14ac:dyDescent="0.3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</row>
    <row r="580" spans="1:26" ht="28.7" customHeight="1" x14ac:dyDescent="0.3">
      <c r="A580" s="136" t="s">
        <v>316</v>
      </c>
      <c r="B580" s="127"/>
      <c r="C580" s="127"/>
      <c r="D580" s="127"/>
      <c r="E580" s="127"/>
      <c r="F580" s="127"/>
      <c r="G580" s="127"/>
      <c r="H580" s="127"/>
      <c r="I580" s="127"/>
      <c r="J580" s="127"/>
      <c r="K580" s="127"/>
      <c r="L580" s="144"/>
      <c r="M580" s="22" t="s">
        <v>6867</v>
      </c>
      <c r="N580" s="84" t="str">
        <f>HYPERLINK("#N"&amp;ROW(N581),"_x0005_`BDCOD|B05204_x0007_`POSS|"&amp;ROW(N581)&amp;"_x0007_`POSE|"&amp;ROW(N581)&amp;"_x0007_`")</f>
        <v>_x0005_`BDCOD|B05204_x0007_`POSS|581_x0007_`POSE|581_x0007_`</v>
      </c>
      <c r="O580" s="7" t="s">
        <v>6868</v>
      </c>
    </row>
    <row r="581" spans="1:26" ht="28.7" customHeight="1" x14ac:dyDescent="0.3">
      <c r="A581" s="10" t="s">
        <v>914</v>
      </c>
      <c r="B581" s="10" t="s">
        <v>921</v>
      </c>
      <c r="C581" s="75">
        <v>1</v>
      </c>
      <c r="D581" s="31" t="s">
        <v>14</v>
      </c>
      <c r="E581" s="55">
        <f>I581+G581+K581</f>
        <v>83085</v>
      </c>
      <c r="F581" s="76">
        <f>J581+H581+L581</f>
        <v>83085</v>
      </c>
      <c r="G581" s="78">
        <f>일위대가목록표!F373</f>
        <v>83085</v>
      </c>
      <c r="H581" s="80">
        <f>IF(C581=0,0,ROUNDDOWN(G581*C581,1))</f>
        <v>83085</v>
      </c>
      <c r="I581" s="78">
        <f>일위대가목록표!G373</f>
        <v>0</v>
      </c>
      <c r="J581" s="80">
        <f>IF(C581=0,0,ROUNDDOWN(I581*C581,1))</f>
        <v>0</v>
      </c>
      <c r="K581" s="78">
        <f>일위대가목록표!H373</f>
        <v>0</v>
      </c>
      <c r="L581" s="80">
        <f>IF(C581=0,0,ROUNDDOWN(K581*C581,1))</f>
        <v>0</v>
      </c>
      <c r="M581" s="22" t="s">
        <v>4453</v>
      </c>
      <c r="N581" s="17" t="s">
        <v>6869</v>
      </c>
      <c r="O581" s="7" t="s">
        <v>4451</v>
      </c>
      <c r="P581" s="7" t="s">
        <v>6406</v>
      </c>
      <c r="Z581" s="3" t="str">
        <f ca="1">HYPERLINK("#"&amp;일위대가목록표!J2&amp;"!A"&amp;ROW(일위대가목록표!A373),"대가370 →")</f>
        <v>대가370 →</v>
      </c>
    </row>
    <row r="582" spans="1:26" ht="28.7" customHeight="1" x14ac:dyDescent="0.3">
      <c r="A582" s="22" t="s">
        <v>6</v>
      </c>
      <c r="B582" s="74"/>
      <c r="C582" s="74"/>
      <c r="D582" s="74"/>
      <c r="E582" s="74"/>
      <c r="F582" s="48">
        <f>J582+H582+L582</f>
        <v>83085</v>
      </c>
      <c r="G582" s="74"/>
      <c r="H582" s="48">
        <f>ROUNDDOWN(SUMIF(P581:P581,O582,H581:H581),0)</f>
        <v>83085</v>
      </c>
      <c r="I582" s="74"/>
      <c r="J582" s="48">
        <f>ROUNDDOWN(SUMIF(P581:P581,O582,J581:J581),0)</f>
        <v>0</v>
      </c>
      <c r="K582" s="74"/>
      <c r="L582" s="48">
        <f>ROUNDDOWN(SUMIF(P581:P581,O582,L581:L581),0)</f>
        <v>0</v>
      </c>
      <c r="M582" s="74"/>
      <c r="O582" s="7" t="s">
        <v>6406</v>
      </c>
    </row>
    <row r="583" spans="1:26" ht="28.7" customHeight="1" x14ac:dyDescent="0.3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</row>
    <row r="584" spans="1:26" ht="28.7" customHeight="1" x14ac:dyDescent="0.3">
      <c r="A584" s="136" t="s">
        <v>318</v>
      </c>
      <c r="B584" s="127"/>
      <c r="C584" s="127"/>
      <c r="D584" s="127"/>
      <c r="E584" s="127"/>
      <c r="F584" s="127"/>
      <c r="G584" s="127"/>
      <c r="H584" s="127"/>
      <c r="I584" s="127"/>
      <c r="J584" s="127"/>
      <c r="K584" s="127"/>
      <c r="L584" s="144"/>
      <c r="M584" s="22" t="s">
        <v>6870</v>
      </c>
      <c r="N584" s="84" t="str">
        <f>HYPERLINK("#N"&amp;ROW(N585),"_x0005_`BDCOD|B05205_x0007_`POSS|"&amp;ROW(N585)&amp;"_x0007_`POSE|"&amp;ROW(N585)&amp;"_x0007_`")</f>
        <v>_x0005_`BDCOD|B05205_x0007_`POSS|585_x0007_`POSE|585_x0007_`</v>
      </c>
      <c r="O584" s="7" t="s">
        <v>6871</v>
      </c>
    </row>
    <row r="585" spans="1:26" ht="28.7" customHeight="1" x14ac:dyDescent="0.3">
      <c r="A585" s="10" t="s">
        <v>914</v>
      </c>
      <c r="B585" s="10" t="s">
        <v>924</v>
      </c>
      <c r="C585" s="75">
        <v>1</v>
      </c>
      <c r="D585" s="31" t="s">
        <v>14</v>
      </c>
      <c r="E585" s="55">
        <f>I585+G585+K585</f>
        <v>106824</v>
      </c>
      <c r="F585" s="76">
        <f>J585+H585+L585</f>
        <v>106824</v>
      </c>
      <c r="G585" s="78">
        <f>일위대가목록표!F374</f>
        <v>106824</v>
      </c>
      <c r="H585" s="80">
        <f>IF(C585=0,0,ROUNDDOWN(G585*C585,1))</f>
        <v>106824</v>
      </c>
      <c r="I585" s="78">
        <f>일위대가목록표!G374</f>
        <v>0</v>
      </c>
      <c r="J585" s="80">
        <f>IF(C585=0,0,ROUNDDOWN(I585*C585,1))</f>
        <v>0</v>
      </c>
      <c r="K585" s="78">
        <f>일위대가목록표!H374</f>
        <v>0</v>
      </c>
      <c r="L585" s="80">
        <f>IF(C585=0,0,ROUNDDOWN(K585*C585,1))</f>
        <v>0</v>
      </c>
      <c r="M585" s="22" t="s">
        <v>4456</v>
      </c>
      <c r="N585" s="17" t="s">
        <v>6872</v>
      </c>
      <c r="O585" s="7" t="s">
        <v>4454</v>
      </c>
      <c r="P585" s="7" t="s">
        <v>6406</v>
      </c>
      <c r="Z585" s="3" t="str">
        <f ca="1">HYPERLINK("#"&amp;일위대가목록표!J2&amp;"!A"&amp;ROW(일위대가목록표!A374),"대가371 →")</f>
        <v>대가371 →</v>
      </c>
    </row>
    <row r="586" spans="1:26" ht="28.7" customHeight="1" x14ac:dyDescent="0.3">
      <c r="A586" s="22" t="s">
        <v>6</v>
      </c>
      <c r="B586" s="74"/>
      <c r="C586" s="74"/>
      <c r="D586" s="74"/>
      <c r="E586" s="74"/>
      <c r="F586" s="48">
        <f>J586+H586+L586</f>
        <v>106824</v>
      </c>
      <c r="G586" s="74"/>
      <c r="H586" s="48">
        <f>ROUNDDOWN(SUMIF(P585:P585,O586,H585:H585),0)</f>
        <v>106824</v>
      </c>
      <c r="I586" s="74"/>
      <c r="J586" s="48">
        <f>ROUNDDOWN(SUMIF(P585:P585,O586,J585:J585),0)</f>
        <v>0</v>
      </c>
      <c r="K586" s="74"/>
      <c r="L586" s="48">
        <f>ROUNDDOWN(SUMIF(P585:P585,O586,L585:L585),0)</f>
        <v>0</v>
      </c>
      <c r="M586" s="74"/>
      <c r="O586" s="7" t="s">
        <v>6406</v>
      </c>
    </row>
    <row r="587" spans="1:26" ht="28.7" customHeight="1" x14ac:dyDescent="0.3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</row>
    <row r="588" spans="1:26" ht="28.7" customHeight="1" x14ac:dyDescent="0.3">
      <c r="A588" s="136" t="s">
        <v>320</v>
      </c>
      <c r="B588" s="127"/>
      <c r="C588" s="127"/>
      <c r="D588" s="127"/>
      <c r="E588" s="127"/>
      <c r="F588" s="127"/>
      <c r="G588" s="127"/>
      <c r="H588" s="127"/>
      <c r="I588" s="127"/>
      <c r="J588" s="127"/>
      <c r="K588" s="127"/>
      <c r="L588" s="144"/>
      <c r="M588" s="22" t="s">
        <v>6873</v>
      </c>
      <c r="N588" s="84" t="str">
        <f>HYPERLINK("#N"&amp;ROW(N589),"_x0005_`BDCOD|B05206_x0007_`POSS|"&amp;ROW(N589)&amp;"_x0007_`POSE|"&amp;ROW(N589)&amp;"_x0007_`")</f>
        <v>_x0005_`BDCOD|B05206_x0007_`POSS|589_x0007_`POSE|589_x0007_`</v>
      </c>
      <c r="O588" s="7" t="s">
        <v>6874</v>
      </c>
    </row>
    <row r="589" spans="1:26" ht="28.7" customHeight="1" x14ac:dyDescent="0.3">
      <c r="A589" s="10" t="s">
        <v>914</v>
      </c>
      <c r="B589" s="10" t="s">
        <v>927</v>
      </c>
      <c r="C589" s="75">
        <v>1</v>
      </c>
      <c r="D589" s="31" t="s">
        <v>14</v>
      </c>
      <c r="E589" s="55">
        <f>I589+G589+K589</f>
        <v>130563</v>
      </c>
      <c r="F589" s="76">
        <f>J589+H589+L589</f>
        <v>130563</v>
      </c>
      <c r="G589" s="78">
        <f>일위대가목록표!F375</f>
        <v>130563</v>
      </c>
      <c r="H589" s="80">
        <f>IF(C589=0,0,ROUNDDOWN(G589*C589,1))</f>
        <v>130563</v>
      </c>
      <c r="I589" s="78">
        <f>일위대가목록표!G375</f>
        <v>0</v>
      </c>
      <c r="J589" s="80">
        <f>IF(C589=0,0,ROUNDDOWN(I589*C589,1))</f>
        <v>0</v>
      </c>
      <c r="K589" s="78">
        <f>일위대가목록표!H375</f>
        <v>0</v>
      </c>
      <c r="L589" s="80">
        <f>IF(C589=0,0,ROUNDDOWN(K589*C589,1))</f>
        <v>0</v>
      </c>
      <c r="M589" s="22" t="s">
        <v>4459</v>
      </c>
      <c r="N589" s="17" t="s">
        <v>6875</v>
      </c>
      <c r="O589" s="7" t="s">
        <v>4457</v>
      </c>
      <c r="P589" s="7" t="s">
        <v>6406</v>
      </c>
      <c r="Z589" s="3" t="str">
        <f ca="1">HYPERLINK("#"&amp;일위대가목록표!J2&amp;"!A"&amp;ROW(일위대가목록표!A375),"대가372 →")</f>
        <v>대가372 →</v>
      </c>
    </row>
    <row r="590" spans="1:26" ht="28.7" customHeight="1" x14ac:dyDescent="0.3">
      <c r="A590" s="22" t="s">
        <v>6</v>
      </c>
      <c r="B590" s="74"/>
      <c r="C590" s="74"/>
      <c r="D590" s="74"/>
      <c r="E590" s="74"/>
      <c r="F590" s="48">
        <f>J590+H590+L590</f>
        <v>130563</v>
      </c>
      <c r="G590" s="74"/>
      <c r="H590" s="48">
        <f>ROUNDDOWN(SUMIF(P589:P589,O590,H589:H589),0)</f>
        <v>130563</v>
      </c>
      <c r="I590" s="74"/>
      <c r="J590" s="48">
        <f>ROUNDDOWN(SUMIF(P589:P589,O590,J589:J589),0)</f>
        <v>0</v>
      </c>
      <c r="K590" s="74"/>
      <c r="L590" s="48">
        <f>ROUNDDOWN(SUMIF(P589:P589,O590,L589:L589),0)</f>
        <v>0</v>
      </c>
      <c r="M590" s="74"/>
      <c r="O590" s="7" t="s">
        <v>6406</v>
      </c>
    </row>
    <row r="591" spans="1:26" ht="28.7" customHeight="1" x14ac:dyDescent="0.3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</row>
    <row r="592" spans="1:26" ht="28.7" customHeight="1" x14ac:dyDescent="0.3">
      <c r="A592" s="136" t="s">
        <v>322</v>
      </c>
      <c r="B592" s="127"/>
      <c r="C592" s="127"/>
      <c r="D592" s="127"/>
      <c r="E592" s="127"/>
      <c r="F592" s="127"/>
      <c r="G592" s="127"/>
      <c r="H592" s="127"/>
      <c r="I592" s="127"/>
      <c r="J592" s="127"/>
      <c r="K592" s="127"/>
      <c r="L592" s="144"/>
      <c r="M592" s="22" t="s">
        <v>6876</v>
      </c>
      <c r="N592" s="84" t="str">
        <f>HYPERLINK("#N"&amp;ROW(N593),"_x0005_`BDCOD|B05207_x0007_`POSS|"&amp;ROW(N593)&amp;"_x0007_`POSE|"&amp;ROW(N593)&amp;"_x0007_`")</f>
        <v>_x0005_`BDCOD|B05207_x0007_`POSS|593_x0007_`POSE|593_x0007_`</v>
      </c>
      <c r="O592" s="7" t="s">
        <v>6877</v>
      </c>
    </row>
    <row r="593" spans="1:26" ht="28.7" customHeight="1" x14ac:dyDescent="0.3">
      <c r="A593" s="10" t="s">
        <v>914</v>
      </c>
      <c r="B593" s="10" t="s">
        <v>930</v>
      </c>
      <c r="C593" s="75">
        <v>1</v>
      </c>
      <c r="D593" s="31" t="s">
        <v>14</v>
      </c>
      <c r="E593" s="55">
        <f>I593+G593+K593</f>
        <v>166171</v>
      </c>
      <c r="F593" s="76">
        <f>J593+H593+L593</f>
        <v>166171</v>
      </c>
      <c r="G593" s="78">
        <f>일위대가목록표!F376</f>
        <v>166171</v>
      </c>
      <c r="H593" s="80">
        <f>IF(C593=0,0,ROUNDDOWN(G593*C593,1))</f>
        <v>166171</v>
      </c>
      <c r="I593" s="78">
        <f>일위대가목록표!G376</f>
        <v>0</v>
      </c>
      <c r="J593" s="80">
        <f>IF(C593=0,0,ROUNDDOWN(I593*C593,1))</f>
        <v>0</v>
      </c>
      <c r="K593" s="78">
        <f>일위대가목록표!H376</f>
        <v>0</v>
      </c>
      <c r="L593" s="80">
        <f>IF(C593=0,0,ROUNDDOWN(K593*C593,1))</f>
        <v>0</v>
      </c>
      <c r="M593" s="22" t="s">
        <v>4462</v>
      </c>
      <c r="N593" s="17" t="s">
        <v>6878</v>
      </c>
      <c r="O593" s="7" t="s">
        <v>4460</v>
      </c>
      <c r="P593" s="7" t="s">
        <v>6406</v>
      </c>
      <c r="Z593" s="3" t="str">
        <f ca="1">HYPERLINK("#"&amp;일위대가목록표!J2&amp;"!A"&amp;ROW(일위대가목록표!A376),"대가373 →")</f>
        <v>대가373 →</v>
      </c>
    </row>
    <row r="594" spans="1:26" ht="28.7" customHeight="1" x14ac:dyDescent="0.3">
      <c r="A594" s="22" t="s">
        <v>6</v>
      </c>
      <c r="B594" s="74"/>
      <c r="C594" s="74"/>
      <c r="D594" s="74"/>
      <c r="E594" s="74"/>
      <c r="F594" s="48">
        <f>J594+H594+L594</f>
        <v>166171</v>
      </c>
      <c r="G594" s="74"/>
      <c r="H594" s="48">
        <f>ROUNDDOWN(SUMIF(P593:P593,O594,H593:H593),0)</f>
        <v>166171</v>
      </c>
      <c r="I594" s="74"/>
      <c r="J594" s="48">
        <f>ROUNDDOWN(SUMIF(P593:P593,O594,J593:J593),0)</f>
        <v>0</v>
      </c>
      <c r="K594" s="74"/>
      <c r="L594" s="48">
        <f>ROUNDDOWN(SUMIF(P593:P593,O594,L593:L593),0)</f>
        <v>0</v>
      </c>
      <c r="M594" s="74"/>
      <c r="O594" s="7" t="s">
        <v>6406</v>
      </c>
    </row>
    <row r="595" spans="1:26" ht="28.7" customHeight="1" x14ac:dyDescent="0.3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</row>
    <row r="596" spans="1:26" ht="28.7" customHeight="1" x14ac:dyDescent="0.3">
      <c r="A596" s="136" t="s">
        <v>324</v>
      </c>
      <c r="B596" s="127"/>
      <c r="C596" s="127"/>
      <c r="D596" s="127"/>
      <c r="E596" s="127"/>
      <c r="F596" s="127"/>
      <c r="G596" s="127"/>
      <c r="H596" s="127"/>
      <c r="I596" s="127"/>
      <c r="J596" s="127"/>
      <c r="K596" s="127"/>
      <c r="L596" s="144"/>
      <c r="M596" s="22" t="s">
        <v>6879</v>
      </c>
      <c r="N596" s="84" t="str">
        <f>HYPERLINK("#N"&amp;ROW(N597),"_x0005_`BDCOD|B05208_x0007_`POSS|"&amp;ROW(N597)&amp;"_x0007_`POSE|"&amp;ROW(N597)&amp;"_x0007_`")</f>
        <v>_x0005_`BDCOD|B05208_x0007_`POSS|597_x0007_`POSE|597_x0007_`</v>
      </c>
      <c r="O596" s="7" t="s">
        <v>6880</v>
      </c>
    </row>
    <row r="597" spans="1:26" ht="28.7" customHeight="1" x14ac:dyDescent="0.3">
      <c r="A597" s="10" t="s">
        <v>914</v>
      </c>
      <c r="B597" s="10" t="s">
        <v>933</v>
      </c>
      <c r="C597" s="75">
        <v>1</v>
      </c>
      <c r="D597" s="31" t="s">
        <v>14</v>
      </c>
      <c r="E597" s="55">
        <f>I597+G597+K597</f>
        <v>236308</v>
      </c>
      <c r="F597" s="76">
        <f>J597+H597+L597</f>
        <v>236308</v>
      </c>
      <c r="G597" s="78">
        <f>일위대가목록표!F377</f>
        <v>236308</v>
      </c>
      <c r="H597" s="80">
        <f>IF(C597=0,0,ROUNDDOWN(G597*C597,1))</f>
        <v>236308</v>
      </c>
      <c r="I597" s="78">
        <f>일위대가목록표!G377</f>
        <v>0</v>
      </c>
      <c r="J597" s="80">
        <f>IF(C597=0,0,ROUNDDOWN(I597*C597,1))</f>
        <v>0</v>
      </c>
      <c r="K597" s="78">
        <f>일위대가목록표!H377</f>
        <v>0</v>
      </c>
      <c r="L597" s="80">
        <f>IF(C597=0,0,ROUNDDOWN(K597*C597,1))</f>
        <v>0</v>
      </c>
      <c r="M597" s="22" t="s">
        <v>4465</v>
      </c>
      <c r="N597" s="17" t="s">
        <v>6881</v>
      </c>
      <c r="O597" s="7" t="s">
        <v>4463</v>
      </c>
      <c r="P597" s="7" t="s">
        <v>6406</v>
      </c>
      <c r="Z597" s="3" t="str">
        <f ca="1">HYPERLINK("#"&amp;일위대가목록표!J2&amp;"!A"&amp;ROW(일위대가목록표!A377),"대가374 →")</f>
        <v>대가374 →</v>
      </c>
    </row>
    <row r="598" spans="1:26" ht="28.7" customHeight="1" x14ac:dyDescent="0.3">
      <c r="A598" s="22" t="s">
        <v>6</v>
      </c>
      <c r="B598" s="74"/>
      <c r="C598" s="74"/>
      <c r="D598" s="74"/>
      <c r="E598" s="74"/>
      <c r="F598" s="48">
        <f>J598+H598+L598</f>
        <v>236308</v>
      </c>
      <c r="G598" s="74"/>
      <c r="H598" s="48">
        <f>ROUNDDOWN(SUMIF(P597:P597,O598,H597:H597),0)</f>
        <v>236308</v>
      </c>
      <c r="I598" s="74"/>
      <c r="J598" s="48">
        <f>ROUNDDOWN(SUMIF(P597:P597,O598,J597:J597),0)</f>
        <v>0</v>
      </c>
      <c r="K598" s="74"/>
      <c r="L598" s="48">
        <f>ROUNDDOWN(SUMIF(P597:P597,O598,L597:L597),0)</f>
        <v>0</v>
      </c>
      <c r="M598" s="74"/>
      <c r="O598" s="7" t="s">
        <v>6406</v>
      </c>
    </row>
    <row r="599" spans="1:26" ht="28.7" customHeight="1" x14ac:dyDescent="0.3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</row>
    <row r="600" spans="1:26" ht="28.7" customHeight="1" x14ac:dyDescent="0.3">
      <c r="A600" s="136" t="s">
        <v>326</v>
      </c>
      <c r="B600" s="127"/>
      <c r="C600" s="127"/>
      <c r="D600" s="127"/>
      <c r="E600" s="127"/>
      <c r="F600" s="127"/>
      <c r="G600" s="127"/>
      <c r="H600" s="127"/>
      <c r="I600" s="127"/>
      <c r="J600" s="127"/>
      <c r="K600" s="127"/>
      <c r="L600" s="144"/>
      <c r="M600" s="22" t="s">
        <v>6882</v>
      </c>
      <c r="N600" s="84" t="str">
        <f>HYPERLINK("#N"&amp;ROW(N601),"_x0005_`BDCOD|B05209_x0007_`POSS|"&amp;ROW(N601)&amp;"_x0007_`POSE|"&amp;ROW(N601)&amp;"_x0007_`")</f>
        <v>_x0005_`BDCOD|B05209_x0007_`POSS|601_x0007_`POSE|601_x0007_`</v>
      </c>
      <c r="O600" s="7" t="s">
        <v>6883</v>
      </c>
    </row>
    <row r="601" spans="1:26" ht="28.7" customHeight="1" x14ac:dyDescent="0.3">
      <c r="A601" s="10" t="s">
        <v>914</v>
      </c>
      <c r="B601" s="10" t="s">
        <v>936</v>
      </c>
      <c r="C601" s="75">
        <v>1</v>
      </c>
      <c r="D601" s="31" t="s">
        <v>14</v>
      </c>
      <c r="E601" s="55">
        <f>I601+G601+K601</f>
        <v>307525</v>
      </c>
      <c r="F601" s="76">
        <f>J601+H601+L601</f>
        <v>307525</v>
      </c>
      <c r="G601" s="78">
        <f>일위대가목록표!F378</f>
        <v>307525</v>
      </c>
      <c r="H601" s="80">
        <f>IF(C601=0,0,ROUNDDOWN(G601*C601,1))</f>
        <v>307525</v>
      </c>
      <c r="I601" s="78">
        <f>일위대가목록표!G378</f>
        <v>0</v>
      </c>
      <c r="J601" s="80">
        <f>IF(C601=0,0,ROUNDDOWN(I601*C601,1))</f>
        <v>0</v>
      </c>
      <c r="K601" s="78">
        <f>일위대가목록표!H378</f>
        <v>0</v>
      </c>
      <c r="L601" s="80">
        <f>IF(C601=0,0,ROUNDDOWN(K601*C601,1))</f>
        <v>0</v>
      </c>
      <c r="M601" s="22" t="s">
        <v>4468</v>
      </c>
      <c r="N601" s="17" t="s">
        <v>6884</v>
      </c>
      <c r="O601" s="7" t="s">
        <v>4466</v>
      </c>
      <c r="P601" s="7" t="s">
        <v>6406</v>
      </c>
      <c r="Z601" s="3" t="str">
        <f ca="1">HYPERLINK("#"&amp;일위대가목록표!J2&amp;"!A"&amp;ROW(일위대가목록표!A378),"대가375 →")</f>
        <v>대가375 →</v>
      </c>
    </row>
    <row r="602" spans="1:26" ht="28.7" customHeight="1" x14ac:dyDescent="0.3">
      <c r="A602" s="22" t="s">
        <v>6</v>
      </c>
      <c r="B602" s="74"/>
      <c r="C602" s="74"/>
      <c r="D602" s="74"/>
      <c r="E602" s="74"/>
      <c r="F602" s="48">
        <f>J602+H602+L602</f>
        <v>307525</v>
      </c>
      <c r="G602" s="74"/>
      <c r="H602" s="48">
        <f>ROUNDDOWN(SUMIF(P601:P601,O602,H601:H601),0)</f>
        <v>307525</v>
      </c>
      <c r="I602" s="74"/>
      <c r="J602" s="48">
        <f>ROUNDDOWN(SUMIF(P601:P601,O602,J601:J601),0)</f>
        <v>0</v>
      </c>
      <c r="K602" s="74"/>
      <c r="L602" s="48">
        <f>ROUNDDOWN(SUMIF(P601:P601,O602,L601:L601),0)</f>
        <v>0</v>
      </c>
      <c r="M602" s="74"/>
      <c r="O602" s="7" t="s">
        <v>6406</v>
      </c>
    </row>
    <row r="603" spans="1:26" ht="28.7" customHeight="1" x14ac:dyDescent="0.3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</row>
    <row r="604" spans="1:26" ht="28.7" customHeight="1" x14ac:dyDescent="0.3">
      <c r="A604" s="136" t="s">
        <v>328</v>
      </c>
      <c r="B604" s="127"/>
      <c r="C604" s="127"/>
      <c r="D604" s="127"/>
      <c r="E604" s="127"/>
      <c r="F604" s="127"/>
      <c r="G604" s="127"/>
      <c r="H604" s="127"/>
      <c r="I604" s="127"/>
      <c r="J604" s="127"/>
      <c r="K604" s="127"/>
      <c r="L604" s="144"/>
      <c r="M604" s="22" t="s">
        <v>6885</v>
      </c>
      <c r="N604" s="84" t="str">
        <f>HYPERLINK("#N"&amp;ROW(N605),"_x0005_`BDCOD|B05210_x0007_`POSS|"&amp;ROW(N605)&amp;"_x0007_`POSE|"&amp;ROW(N605)&amp;"_x0007_`")</f>
        <v>_x0005_`BDCOD|B05210_x0007_`POSS|605_x0007_`POSE|605_x0007_`</v>
      </c>
      <c r="O604" s="7" t="s">
        <v>6886</v>
      </c>
    </row>
    <row r="605" spans="1:26" ht="28.7" customHeight="1" x14ac:dyDescent="0.3">
      <c r="A605" s="10" t="s">
        <v>914</v>
      </c>
      <c r="B605" s="10" t="s">
        <v>939</v>
      </c>
      <c r="C605" s="75">
        <v>1</v>
      </c>
      <c r="D605" s="31" t="s">
        <v>14</v>
      </c>
      <c r="E605" s="55">
        <f>I605+G605+K605</f>
        <v>355002</v>
      </c>
      <c r="F605" s="76">
        <f>J605+H605+L605</f>
        <v>355002</v>
      </c>
      <c r="G605" s="78">
        <f>일위대가목록표!F379</f>
        <v>355002</v>
      </c>
      <c r="H605" s="80">
        <f>IF(C605=0,0,ROUNDDOWN(G605*C605,1))</f>
        <v>355002</v>
      </c>
      <c r="I605" s="78">
        <f>일위대가목록표!G379</f>
        <v>0</v>
      </c>
      <c r="J605" s="80">
        <f>IF(C605=0,0,ROUNDDOWN(I605*C605,1))</f>
        <v>0</v>
      </c>
      <c r="K605" s="78">
        <f>일위대가목록표!H379</f>
        <v>0</v>
      </c>
      <c r="L605" s="80">
        <f>IF(C605=0,0,ROUNDDOWN(K605*C605,1))</f>
        <v>0</v>
      </c>
      <c r="M605" s="22" t="s">
        <v>4471</v>
      </c>
      <c r="N605" s="17" t="s">
        <v>6887</v>
      </c>
      <c r="O605" s="7" t="s">
        <v>4469</v>
      </c>
      <c r="P605" s="7" t="s">
        <v>6406</v>
      </c>
      <c r="Z605" s="3" t="str">
        <f ca="1">HYPERLINK("#"&amp;일위대가목록표!J2&amp;"!A"&amp;ROW(일위대가목록표!A379),"대가376 →")</f>
        <v>대가376 →</v>
      </c>
    </row>
    <row r="606" spans="1:26" ht="28.7" customHeight="1" x14ac:dyDescent="0.3">
      <c r="A606" s="22" t="s">
        <v>6</v>
      </c>
      <c r="B606" s="74"/>
      <c r="C606" s="74"/>
      <c r="D606" s="74"/>
      <c r="E606" s="74"/>
      <c r="F606" s="48">
        <f>J606+H606+L606</f>
        <v>355002</v>
      </c>
      <c r="G606" s="74"/>
      <c r="H606" s="48">
        <f>ROUNDDOWN(SUMIF(P605:P605,O606,H605:H605),0)</f>
        <v>355002</v>
      </c>
      <c r="I606" s="74"/>
      <c r="J606" s="48">
        <f>ROUNDDOWN(SUMIF(P605:P605,O606,J605:J605),0)</f>
        <v>0</v>
      </c>
      <c r="K606" s="74"/>
      <c r="L606" s="48">
        <f>ROUNDDOWN(SUMIF(P605:P605,O606,L605:L605),0)</f>
        <v>0</v>
      </c>
      <c r="M606" s="74"/>
      <c r="O606" s="7" t="s">
        <v>6406</v>
      </c>
    </row>
    <row r="607" spans="1:26" ht="28.7" customHeight="1" x14ac:dyDescent="0.3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</row>
    <row r="608" spans="1:26" ht="28.7" customHeight="1" x14ac:dyDescent="0.3">
      <c r="A608" s="136" t="s">
        <v>330</v>
      </c>
      <c r="B608" s="127"/>
      <c r="C608" s="127"/>
      <c r="D608" s="127"/>
      <c r="E608" s="127"/>
      <c r="F608" s="127"/>
      <c r="G608" s="127"/>
      <c r="H608" s="127"/>
      <c r="I608" s="127"/>
      <c r="J608" s="127"/>
      <c r="K608" s="127"/>
      <c r="L608" s="144"/>
      <c r="M608" s="22" t="s">
        <v>6888</v>
      </c>
      <c r="N608" s="84" t="str">
        <f>HYPERLINK("#N"&amp;ROW(N609),"_x0005_`BDCOD|B05211_x0007_`POSS|"&amp;ROW(N609)&amp;"_x0007_`POSE|"&amp;ROW(N609)&amp;"_x0007_`")</f>
        <v>_x0005_`BDCOD|B05211_x0007_`POSS|609_x0007_`POSE|609_x0007_`</v>
      </c>
      <c r="O608" s="7" t="s">
        <v>6889</v>
      </c>
    </row>
    <row r="609" spans="1:26" ht="28.7" customHeight="1" x14ac:dyDescent="0.3">
      <c r="A609" s="10" t="s">
        <v>914</v>
      </c>
      <c r="B609" s="10" t="s">
        <v>942</v>
      </c>
      <c r="C609" s="75">
        <v>1</v>
      </c>
      <c r="D609" s="31" t="s">
        <v>14</v>
      </c>
      <c r="E609" s="55">
        <f>I609+G609+K609</f>
        <v>402480</v>
      </c>
      <c r="F609" s="76">
        <f>J609+H609+L609</f>
        <v>402480</v>
      </c>
      <c r="G609" s="78">
        <f>일위대가목록표!F380</f>
        <v>402480</v>
      </c>
      <c r="H609" s="80">
        <f>IF(C609=0,0,ROUNDDOWN(G609*C609,1))</f>
        <v>402480</v>
      </c>
      <c r="I609" s="78">
        <f>일위대가목록표!G380</f>
        <v>0</v>
      </c>
      <c r="J609" s="80">
        <f>IF(C609=0,0,ROUNDDOWN(I609*C609,1))</f>
        <v>0</v>
      </c>
      <c r="K609" s="78">
        <f>일위대가목록표!H380</f>
        <v>0</v>
      </c>
      <c r="L609" s="80">
        <f>IF(C609=0,0,ROUNDDOWN(K609*C609,1))</f>
        <v>0</v>
      </c>
      <c r="M609" s="22" t="s">
        <v>4474</v>
      </c>
      <c r="N609" s="17" t="s">
        <v>6890</v>
      </c>
      <c r="O609" s="7" t="s">
        <v>4472</v>
      </c>
      <c r="P609" s="7" t="s">
        <v>6406</v>
      </c>
      <c r="Z609" s="3" t="str">
        <f ca="1">HYPERLINK("#"&amp;일위대가목록표!J2&amp;"!A"&amp;ROW(일위대가목록표!A380),"대가377 →")</f>
        <v>대가377 →</v>
      </c>
    </row>
    <row r="610" spans="1:26" ht="28.7" customHeight="1" x14ac:dyDescent="0.3">
      <c r="A610" s="22" t="s">
        <v>6</v>
      </c>
      <c r="B610" s="74"/>
      <c r="C610" s="74"/>
      <c r="D610" s="74"/>
      <c r="E610" s="74"/>
      <c r="F610" s="48">
        <f>J610+H610+L610</f>
        <v>402480</v>
      </c>
      <c r="G610" s="74"/>
      <c r="H610" s="48">
        <f>ROUNDDOWN(SUMIF(P609:P609,O610,H609:H609),0)</f>
        <v>402480</v>
      </c>
      <c r="I610" s="74"/>
      <c r="J610" s="48">
        <f>ROUNDDOWN(SUMIF(P609:P609,O610,J609:J609),0)</f>
        <v>0</v>
      </c>
      <c r="K610" s="74"/>
      <c r="L610" s="48">
        <f>ROUNDDOWN(SUMIF(P609:P609,O610,L609:L609),0)</f>
        <v>0</v>
      </c>
      <c r="M610" s="74"/>
      <c r="O610" s="7" t="s">
        <v>6406</v>
      </c>
    </row>
    <row r="611" spans="1:26" ht="28.7" customHeight="1" x14ac:dyDescent="0.3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</row>
    <row r="612" spans="1:26" ht="28.7" customHeight="1" x14ac:dyDescent="0.3">
      <c r="A612" s="136" t="s">
        <v>332</v>
      </c>
      <c r="B612" s="127"/>
      <c r="C612" s="127"/>
      <c r="D612" s="127"/>
      <c r="E612" s="127"/>
      <c r="F612" s="127"/>
      <c r="G612" s="127"/>
      <c r="H612" s="127"/>
      <c r="I612" s="127"/>
      <c r="J612" s="127"/>
      <c r="K612" s="127"/>
      <c r="L612" s="144"/>
      <c r="M612" s="22" t="s">
        <v>6891</v>
      </c>
      <c r="N612" s="84" t="str">
        <f>HYPERLINK("#N"&amp;ROW(N613),"_x0005_`BDCOD|B05212_x0007_`POSS|"&amp;ROW(N613)&amp;"_x0007_`POSE|"&amp;ROW(N613)&amp;"_x0007_`")</f>
        <v>_x0005_`BDCOD|B05212_x0007_`POSS|613_x0007_`POSE|613_x0007_`</v>
      </c>
      <c r="O612" s="7" t="s">
        <v>6892</v>
      </c>
    </row>
    <row r="613" spans="1:26" ht="28.7" customHeight="1" x14ac:dyDescent="0.3">
      <c r="A613" s="10" t="s">
        <v>914</v>
      </c>
      <c r="B613" s="10" t="s">
        <v>948</v>
      </c>
      <c r="C613" s="75">
        <v>1</v>
      </c>
      <c r="D613" s="31" t="s">
        <v>14</v>
      </c>
      <c r="E613" s="55">
        <f>I613+G613+K613</f>
        <v>1076338</v>
      </c>
      <c r="F613" s="76">
        <f>J613+H613+L613</f>
        <v>1076338</v>
      </c>
      <c r="G613" s="78">
        <f>일위대가목록표!F382</f>
        <v>1076338</v>
      </c>
      <c r="H613" s="80">
        <f>IF(C613=0,0,ROUNDDOWN(G613*C613,1))</f>
        <v>1076338</v>
      </c>
      <c r="I613" s="78">
        <f>일위대가목록표!G382</f>
        <v>0</v>
      </c>
      <c r="J613" s="80">
        <f>IF(C613=0,0,ROUNDDOWN(I613*C613,1))</f>
        <v>0</v>
      </c>
      <c r="K613" s="78">
        <f>일위대가목록표!H382</f>
        <v>0</v>
      </c>
      <c r="L613" s="80">
        <f>IF(C613=0,0,ROUNDDOWN(K613*C613,1))</f>
        <v>0</v>
      </c>
      <c r="M613" s="22" t="s">
        <v>4480</v>
      </c>
      <c r="N613" s="17" t="s">
        <v>6893</v>
      </c>
      <c r="O613" s="7" t="s">
        <v>4478</v>
      </c>
      <c r="P613" s="7" t="s">
        <v>6406</v>
      </c>
      <c r="Z613" s="3" t="str">
        <f ca="1">HYPERLINK("#"&amp;일위대가목록표!J2&amp;"!A"&amp;ROW(일위대가목록표!A382),"대가379 →")</f>
        <v>대가379 →</v>
      </c>
    </row>
    <row r="614" spans="1:26" ht="28.7" customHeight="1" x14ac:dyDescent="0.3">
      <c r="A614" s="22" t="s">
        <v>6</v>
      </c>
      <c r="B614" s="74"/>
      <c r="C614" s="74"/>
      <c r="D614" s="74"/>
      <c r="E614" s="74"/>
      <c r="F614" s="48">
        <f>J614+H614+L614</f>
        <v>1076338</v>
      </c>
      <c r="G614" s="74"/>
      <c r="H614" s="48">
        <f>ROUNDDOWN(SUMIF(P613:P613,O614,H613:H613),0)</f>
        <v>1076338</v>
      </c>
      <c r="I614" s="74"/>
      <c r="J614" s="48">
        <f>ROUNDDOWN(SUMIF(P613:P613,O614,J613:J613),0)</f>
        <v>0</v>
      </c>
      <c r="K614" s="74"/>
      <c r="L614" s="48">
        <f>ROUNDDOWN(SUMIF(P613:P613,O614,L613:L613),0)</f>
        <v>0</v>
      </c>
      <c r="M614" s="74"/>
      <c r="O614" s="7" t="s">
        <v>6406</v>
      </c>
    </row>
    <row r="615" spans="1:26" ht="28.7" customHeight="1" x14ac:dyDescent="0.3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</row>
    <row r="616" spans="1:26" ht="28.7" customHeight="1" x14ac:dyDescent="0.3">
      <c r="A616" s="136" t="s">
        <v>334</v>
      </c>
      <c r="B616" s="127"/>
      <c r="C616" s="127"/>
      <c r="D616" s="127"/>
      <c r="E616" s="127"/>
      <c r="F616" s="127"/>
      <c r="G616" s="127"/>
      <c r="H616" s="127"/>
      <c r="I616" s="127"/>
      <c r="J616" s="127"/>
      <c r="K616" s="127"/>
      <c r="L616" s="144"/>
      <c r="M616" s="22" t="s">
        <v>6894</v>
      </c>
      <c r="N616" s="84" t="str">
        <f>HYPERLINK("#N"&amp;ROW(N618),"_x0005_`BDCOD|B04934_x0007_`POSS|"&amp;ROW(N617)&amp;"_x0007_`POSE|"&amp;ROW(N618)&amp;"_x0007_`")</f>
        <v>_x0005_`BDCOD|B04934_x0007_`POSS|617_x0007_`POSE|618_x0007_`</v>
      </c>
      <c r="O616" s="7" t="s">
        <v>6895</v>
      </c>
    </row>
    <row r="617" spans="1:26" ht="28.7" customHeight="1" x14ac:dyDescent="0.3">
      <c r="A617" s="10" t="s">
        <v>1682</v>
      </c>
      <c r="B617" s="10" t="s">
        <v>1683</v>
      </c>
      <c r="C617" s="75">
        <v>1</v>
      </c>
      <c r="D617" s="31" t="s">
        <v>14</v>
      </c>
      <c r="E617" s="55">
        <f>I617+G617+K617</f>
        <v>365273</v>
      </c>
      <c r="F617" s="76">
        <f>J617+H617+L617</f>
        <v>365273</v>
      </c>
      <c r="G617" s="78">
        <f>일위대가목록표!F658</f>
        <v>354635</v>
      </c>
      <c r="H617" s="80">
        <f>IF(C617=0,0,ROUNDDOWN(G617*C617,1))</f>
        <v>354635</v>
      </c>
      <c r="I617" s="78">
        <f>일위대가목록표!G658</f>
        <v>0</v>
      </c>
      <c r="J617" s="80">
        <f>IF(C617=0,0,ROUNDDOWN(I617*C617,1))</f>
        <v>0</v>
      </c>
      <c r="K617" s="78">
        <f>일위대가목록표!H658</f>
        <v>10638</v>
      </c>
      <c r="L617" s="80">
        <f>IF(C617=0,0,ROUNDDOWN(K617*C617,1))</f>
        <v>10638</v>
      </c>
      <c r="M617" s="22" t="s">
        <v>6403</v>
      </c>
      <c r="N617" s="17" t="s">
        <v>6400</v>
      </c>
      <c r="O617" s="7" t="s">
        <v>6401</v>
      </c>
      <c r="P617" s="7" t="s">
        <v>6406</v>
      </c>
      <c r="Z617" s="3" t="str">
        <f ca="1">HYPERLINK("#"&amp;일위대가목록표!J2&amp;"!A"&amp;ROW(일위대가목록표!A658),"대가655 →")</f>
        <v>대가655 →</v>
      </c>
    </row>
    <row r="618" spans="1:26" ht="28.7" customHeight="1" x14ac:dyDescent="0.3">
      <c r="A618" s="10" t="s">
        <v>336</v>
      </c>
      <c r="B618" s="10" t="s">
        <v>2522</v>
      </c>
      <c r="C618" s="75">
        <v>1</v>
      </c>
      <c r="D618" s="31" t="s">
        <v>14</v>
      </c>
      <c r="E618" s="55">
        <f>I618+G618+K618</f>
        <v>1181000</v>
      </c>
      <c r="F618" s="77">
        <f>J618+H618+L618</f>
        <v>1181000</v>
      </c>
      <c r="G618" s="51">
        <v>0</v>
      </c>
      <c r="H618" s="76">
        <f>IF(C618=0,0,ROUNDDOWN(G618*C618,1))</f>
        <v>0</v>
      </c>
      <c r="I618" s="78">
        <f>재료비목록표!E164</f>
        <v>1181000</v>
      </c>
      <c r="J618" s="81">
        <f>IF(C618=0,0,ROUNDDOWN(I618*C618,1))</f>
        <v>1181000</v>
      </c>
      <c r="K618" s="51">
        <v>0</v>
      </c>
      <c r="L618" s="76">
        <f>IF(C618=0,0,ROUNDDOWN(K618*C618,1))</f>
        <v>0</v>
      </c>
      <c r="M618" s="22" t="s">
        <v>6897</v>
      </c>
      <c r="N618" s="17" t="s">
        <v>6896</v>
      </c>
      <c r="O618" s="7" t="s">
        <v>5430</v>
      </c>
      <c r="P618" s="7" t="s">
        <v>6406</v>
      </c>
      <c r="Z618" s="3" t="str">
        <f ca="1">HYPERLINK("#"&amp;재료비목록표!G2&amp;"!A"&amp;ROW(재료비목록표!A164),"자재161 →")</f>
        <v>자재161 →</v>
      </c>
    </row>
    <row r="619" spans="1:26" ht="28.7" customHeight="1" x14ac:dyDescent="0.3">
      <c r="A619" s="22" t="s">
        <v>6</v>
      </c>
      <c r="B619" s="74"/>
      <c r="C619" s="74"/>
      <c r="D619" s="74"/>
      <c r="E619" s="74"/>
      <c r="F619" s="48">
        <f>J619+H619+L619</f>
        <v>1546273</v>
      </c>
      <c r="G619" s="74"/>
      <c r="H619" s="48">
        <f>ROUNDDOWN(SUMIF(P617:P618,O619,H617:H618),0)</f>
        <v>354635</v>
      </c>
      <c r="I619" s="74"/>
      <c r="J619" s="48">
        <f>ROUNDDOWN(SUMIF(P617:P618,O619,J617:J618),0)</f>
        <v>1181000</v>
      </c>
      <c r="K619" s="74"/>
      <c r="L619" s="48">
        <f>ROUNDDOWN(SUMIF(P617:P618,O619,L617:L618),0)</f>
        <v>10638</v>
      </c>
      <c r="M619" s="74"/>
      <c r="O619" s="7" t="s">
        <v>6406</v>
      </c>
    </row>
    <row r="620" spans="1:26" ht="28.7" customHeight="1" x14ac:dyDescent="0.3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</row>
    <row r="621" spans="1:26" ht="28.7" customHeight="1" x14ac:dyDescent="0.3">
      <c r="A621" s="136" t="s">
        <v>338</v>
      </c>
      <c r="B621" s="127"/>
      <c r="C621" s="127"/>
      <c r="D621" s="127"/>
      <c r="E621" s="127"/>
      <c r="F621" s="127"/>
      <c r="G621" s="127"/>
      <c r="H621" s="127"/>
      <c r="I621" s="127"/>
      <c r="J621" s="127"/>
      <c r="K621" s="127"/>
      <c r="L621" s="144"/>
      <c r="M621" s="22" t="s">
        <v>6898</v>
      </c>
      <c r="N621" s="84" t="str">
        <f>HYPERLINK("#N"&amp;ROW(N623),"_x0005_`BDCOD|B04935_x0007_`POSS|"&amp;ROW(N622)&amp;"_x0007_`POSE|"&amp;ROW(N623)&amp;"_x0007_`")</f>
        <v>_x0005_`BDCOD|B04935_x0007_`POSS|622_x0007_`POSE|623_x0007_`</v>
      </c>
      <c r="O621" s="7" t="s">
        <v>6899</v>
      </c>
    </row>
    <row r="622" spans="1:26" ht="28.7" customHeight="1" x14ac:dyDescent="0.3">
      <c r="A622" s="10" t="s">
        <v>1682</v>
      </c>
      <c r="B622" s="10" t="s">
        <v>1694</v>
      </c>
      <c r="C622" s="75">
        <v>1</v>
      </c>
      <c r="D622" s="31" t="s">
        <v>14</v>
      </c>
      <c r="E622" s="55">
        <f>I622+G622+K622</f>
        <v>420901</v>
      </c>
      <c r="F622" s="76">
        <f>J622+H622+L622</f>
        <v>420901</v>
      </c>
      <c r="G622" s="78">
        <f>일위대가목록표!F661</f>
        <v>408643</v>
      </c>
      <c r="H622" s="80">
        <f>IF(C622=0,0,ROUNDDOWN(G622*C622,1))</f>
        <v>408643</v>
      </c>
      <c r="I622" s="78">
        <f>일위대가목록표!G661</f>
        <v>0</v>
      </c>
      <c r="J622" s="80">
        <f>IF(C622=0,0,ROUNDDOWN(I622*C622,1))</f>
        <v>0</v>
      </c>
      <c r="K622" s="78">
        <f>일위대가목록표!H661</f>
        <v>12258</v>
      </c>
      <c r="L622" s="80">
        <f>IF(C622=0,0,ROUNDDOWN(K622*C622,1))</f>
        <v>12258</v>
      </c>
      <c r="M622" s="22" t="s">
        <v>6411</v>
      </c>
      <c r="N622" s="17" t="s">
        <v>6408</v>
      </c>
      <c r="O622" s="7" t="s">
        <v>6409</v>
      </c>
      <c r="P622" s="7" t="s">
        <v>6406</v>
      </c>
      <c r="Z622" s="3" t="str">
        <f ca="1">HYPERLINK("#"&amp;일위대가목록표!J2&amp;"!A"&amp;ROW(일위대가목록표!A661),"대가658 →")</f>
        <v>대가658 →</v>
      </c>
    </row>
    <row r="623" spans="1:26" ht="28.7" customHeight="1" x14ac:dyDescent="0.3">
      <c r="A623" s="10" t="s">
        <v>336</v>
      </c>
      <c r="B623" s="10" t="s">
        <v>2527</v>
      </c>
      <c r="C623" s="75">
        <v>1</v>
      </c>
      <c r="D623" s="31" t="s">
        <v>14</v>
      </c>
      <c r="E623" s="55">
        <f>I623+G623+K623</f>
        <v>1398000</v>
      </c>
      <c r="F623" s="77">
        <f>J623+H623+L623</f>
        <v>1398000</v>
      </c>
      <c r="G623" s="51">
        <v>0</v>
      </c>
      <c r="H623" s="76">
        <f>IF(C623=0,0,ROUNDDOWN(G623*C623,1))</f>
        <v>0</v>
      </c>
      <c r="I623" s="78">
        <f>재료비목록표!E166</f>
        <v>1398000</v>
      </c>
      <c r="J623" s="81">
        <f>IF(C623=0,0,ROUNDDOWN(I623*C623,1))</f>
        <v>1398000</v>
      </c>
      <c r="K623" s="51">
        <v>0</v>
      </c>
      <c r="L623" s="76">
        <f>IF(C623=0,0,ROUNDDOWN(K623*C623,1))</f>
        <v>0</v>
      </c>
      <c r="M623" s="22" t="s">
        <v>6901</v>
      </c>
      <c r="N623" s="17" t="s">
        <v>6900</v>
      </c>
      <c r="O623" s="7" t="s">
        <v>5433</v>
      </c>
      <c r="P623" s="7" t="s">
        <v>6406</v>
      </c>
      <c r="Z623" s="3" t="str">
        <f ca="1">HYPERLINK("#"&amp;재료비목록표!G2&amp;"!A"&amp;ROW(재료비목록표!A166),"자재163 →")</f>
        <v>자재163 →</v>
      </c>
    </row>
    <row r="624" spans="1:26" ht="28.7" customHeight="1" x14ac:dyDescent="0.3">
      <c r="A624" s="22" t="s">
        <v>6</v>
      </c>
      <c r="B624" s="74"/>
      <c r="C624" s="74"/>
      <c r="D624" s="74"/>
      <c r="E624" s="74"/>
      <c r="F624" s="48">
        <f>J624+H624+L624</f>
        <v>1818901</v>
      </c>
      <c r="G624" s="74"/>
      <c r="H624" s="48">
        <f>ROUNDDOWN(SUMIF(P622:P623,O624,H622:H623),0)</f>
        <v>408643</v>
      </c>
      <c r="I624" s="74"/>
      <c r="J624" s="48">
        <f>ROUNDDOWN(SUMIF(P622:P623,O624,J622:J623),0)</f>
        <v>1398000</v>
      </c>
      <c r="K624" s="74"/>
      <c r="L624" s="48">
        <f>ROUNDDOWN(SUMIF(P622:P623,O624,L622:L623),0)</f>
        <v>12258</v>
      </c>
      <c r="M624" s="74"/>
      <c r="O624" s="7" t="s">
        <v>6406</v>
      </c>
    </row>
    <row r="625" spans="1:26" ht="28.7" customHeight="1" x14ac:dyDescent="0.3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</row>
    <row r="626" spans="1:26" ht="28.7" customHeight="1" x14ac:dyDescent="0.3">
      <c r="A626" s="136" t="s">
        <v>341</v>
      </c>
      <c r="B626" s="127"/>
      <c r="C626" s="127"/>
      <c r="D626" s="127"/>
      <c r="E626" s="127"/>
      <c r="F626" s="127"/>
      <c r="G626" s="127"/>
      <c r="H626" s="127"/>
      <c r="I626" s="127"/>
      <c r="J626" s="127"/>
      <c r="K626" s="127"/>
      <c r="L626" s="144"/>
      <c r="M626" s="22" t="s">
        <v>6902</v>
      </c>
      <c r="N626" s="84" t="str">
        <f>HYPERLINK("#N"&amp;ROW(N628),"_x0005_`BDCOD|B04936_x0007_`POSS|"&amp;ROW(N627)&amp;"_x0007_`POSE|"&amp;ROW(N628)&amp;"_x0007_`")</f>
        <v>_x0005_`BDCOD|B04936_x0007_`POSS|627_x0007_`POSE|628_x0007_`</v>
      </c>
      <c r="O626" s="7" t="s">
        <v>6903</v>
      </c>
    </row>
    <row r="627" spans="1:26" ht="28.7" customHeight="1" x14ac:dyDescent="0.3">
      <c r="A627" s="10" t="s">
        <v>1682</v>
      </c>
      <c r="B627" s="10" t="s">
        <v>1703</v>
      </c>
      <c r="C627" s="75">
        <v>1</v>
      </c>
      <c r="D627" s="31" t="s">
        <v>14</v>
      </c>
      <c r="E627" s="55">
        <f>I627+G627+K627</f>
        <v>483348</v>
      </c>
      <c r="F627" s="76">
        <f>J627+H627+L627</f>
        <v>483348</v>
      </c>
      <c r="G627" s="78">
        <f>일위대가목록표!F664</f>
        <v>469271</v>
      </c>
      <c r="H627" s="80">
        <f>IF(C627=0,0,ROUNDDOWN(G627*C627,1))</f>
        <v>469271</v>
      </c>
      <c r="I627" s="78">
        <f>일위대가목록표!G664</f>
        <v>0</v>
      </c>
      <c r="J627" s="80">
        <f>IF(C627=0,0,ROUNDDOWN(I627*C627,1))</f>
        <v>0</v>
      </c>
      <c r="K627" s="78">
        <f>일위대가목록표!H664</f>
        <v>14077</v>
      </c>
      <c r="L627" s="80">
        <f>IF(C627=0,0,ROUNDDOWN(K627*C627,1))</f>
        <v>14077</v>
      </c>
      <c r="M627" s="22" t="s">
        <v>6418</v>
      </c>
      <c r="N627" s="17" t="s">
        <v>6415</v>
      </c>
      <c r="O627" s="7" t="s">
        <v>6416</v>
      </c>
      <c r="P627" s="7" t="s">
        <v>6406</v>
      </c>
      <c r="Z627" s="3" t="str">
        <f ca="1">HYPERLINK("#"&amp;일위대가목록표!J2&amp;"!A"&amp;ROW(일위대가목록표!A664),"대가661 →")</f>
        <v>대가661 →</v>
      </c>
    </row>
    <row r="628" spans="1:26" ht="28.7" customHeight="1" x14ac:dyDescent="0.3">
      <c r="A628" s="10" t="s">
        <v>336</v>
      </c>
      <c r="B628" s="10" t="s">
        <v>2536</v>
      </c>
      <c r="C628" s="75">
        <v>1</v>
      </c>
      <c r="D628" s="31" t="s">
        <v>14</v>
      </c>
      <c r="E628" s="55">
        <f>I628+G628+K628</f>
        <v>2772000</v>
      </c>
      <c r="F628" s="77">
        <f>J628+H628+L628</f>
        <v>2772000</v>
      </c>
      <c r="G628" s="51">
        <v>0</v>
      </c>
      <c r="H628" s="76">
        <f>IF(C628=0,0,ROUNDDOWN(G628*C628,1))</f>
        <v>0</v>
      </c>
      <c r="I628" s="78">
        <f>재료비목록표!E169</f>
        <v>2772000</v>
      </c>
      <c r="J628" s="81">
        <f>IF(C628=0,0,ROUNDDOWN(I628*C628,1))</f>
        <v>2772000</v>
      </c>
      <c r="K628" s="51">
        <v>0</v>
      </c>
      <c r="L628" s="76">
        <f>IF(C628=0,0,ROUNDDOWN(K628*C628,1))</f>
        <v>0</v>
      </c>
      <c r="M628" s="22" t="s">
        <v>6905</v>
      </c>
      <c r="N628" s="17" t="s">
        <v>6904</v>
      </c>
      <c r="O628" s="7" t="s">
        <v>5436</v>
      </c>
      <c r="P628" s="7" t="s">
        <v>6406</v>
      </c>
      <c r="Z628" s="3" t="str">
        <f ca="1">HYPERLINK("#"&amp;재료비목록표!G2&amp;"!A"&amp;ROW(재료비목록표!A169),"자재166 →")</f>
        <v>자재166 →</v>
      </c>
    </row>
    <row r="629" spans="1:26" ht="28.7" customHeight="1" x14ac:dyDescent="0.3">
      <c r="A629" s="22" t="s">
        <v>6</v>
      </c>
      <c r="B629" s="74"/>
      <c r="C629" s="74"/>
      <c r="D629" s="74"/>
      <c r="E629" s="74"/>
      <c r="F629" s="48">
        <f>J629+H629+L629</f>
        <v>3255348</v>
      </c>
      <c r="G629" s="74"/>
      <c r="H629" s="48">
        <f>ROUNDDOWN(SUMIF(P627:P628,O629,H627:H628),0)</f>
        <v>469271</v>
      </c>
      <c r="I629" s="74"/>
      <c r="J629" s="48">
        <f>ROUNDDOWN(SUMIF(P627:P628,O629,J627:J628),0)</f>
        <v>2772000</v>
      </c>
      <c r="K629" s="74"/>
      <c r="L629" s="48">
        <f>ROUNDDOWN(SUMIF(P627:P628,O629,L627:L628),0)</f>
        <v>14077</v>
      </c>
      <c r="M629" s="74"/>
      <c r="O629" s="7" t="s">
        <v>6406</v>
      </c>
    </row>
    <row r="630" spans="1:26" ht="28.7" customHeight="1" x14ac:dyDescent="0.3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</row>
    <row r="631" spans="1:26" ht="28.7" customHeight="1" x14ac:dyDescent="0.3">
      <c r="A631" s="136" t="s">
        <v>344</v>
      </c>
      <c r="B631" s="127"/>
      <c r="C631" s="127"/>
      <c r="D631" s="127"/>
      <c r="E631" s="127"/>
      <c r="F631" s="127"/>
      <c r="G631" s="127"/>
      <c r="H631" s="127"/>
      <c r="I631" s="127"/>
      <c r="J631" s="127"/>
      <c r="K631" s="127"/>
      <c r="L631" s="144"/>
      <c r="M631" s="22" t="s">
        <v>6906</v>
      </c>
      <c r="N631" s="84" t="str">
        <f>HYPERLINK("#N"&amp;ROW(N633),"_x0005_`BDCOD|B04937_x0007_`POSS|"&amp;ROW(N632)&amp;"_x0007_`POSE|"&amp;ROW(N633)&amp;"_x0007_`")</f>
        <v>_x0005_`BDCOD|B04937_x0007_`POSS|632_x0007_`POSE|633_x0007_`</v>
      </c>
      <c r="O631" s="7" t="s">
        <v>6907</v>
      </c>
    </row>
    <row r="632" spans="1:26" ht="28.7" customHeight="1" x14ac:dyDescent="0.3">
      <c r="A632" s="10" t="s">
        <v>1682</v>
      </c>
      <c r="B632" s="10" t="s">
        <v>1712</v>
      </c>
      <c r="C632" s="75">
        <v>1</v>
      </c>
      <c r="D632" s="31" t="s">
        <v>14</v>
      </c>
      <c r="E632" s="55">
        <f>I632+G632+K632</f>
        <v>582367</v>
      </c>
      <c r="F632" s="76">
        <f>J632+H632+L632</f>
        <v>582367</v>
      </c>
      <c r="G632" s="78">
        <f>일위대가목록표!F667</f>
        <v>565406</v>
      </c>
      <c r="H632" s="80">
        <f>IF(C632=0,0,ROUNDDOWN(G632*C632,1))</f>
        <v>565406</v>
      </c>
      <c r="I632" s="78">
        <f>일위대가목록표!G667</f>
        <v>0</v>
      </c>
      <c r="J632" s="80">
        <f>IF(C632=0,0,ROUNDDOWN(I632*C632,1))</f>
        <v>0</v>
      </c>
      <c r="K632" s="78">
        <f>일위대가목록표!H667</f>
        <v>16961</v>
      </c>
      <c r="L632" s="80">
        <f>IF(C632=0,0,ROUNDDOWN(K632*C632,1))</f>
        <v>16961</v>
      </c>
      <c r="M632" s="22" t="s">
        <v>6425</v>
      </c>
      <c r="N632" s="17" t="s">
        <v>6422</v>
      </c>
      <c r="O632" s="7" t="s">
        <v>6423</v>
      </c>
      <c r="P632" s="7" t="s">
        <v>6406</v>
      </c>
      <c r="Z632" s="3" t="str">
        <f ca="1">HYPERLINK("#"&amp;일위대가목록표!J2&amp;"!A"&amp;ROW(일위대가목록표!A667),"대가664 →")</f>
        <v>대가664 →</v>
      </c>
    </row>
    <row r="633" spans="1:26" ht="28.7" customHeight="1" x14ac:dyDescent="0.3">
      <c r="A633" s="10" t="s">
        <v>336</v>
      </c>
      <c r="B633" s="10" t="s">
        <v>2541</v>
      </c>
      <c r="C633" s="75">
        <v>1</v>
      </c>
      <c r="D633" s="31" t="s">
        <v>14</v>
      </c>
      <c r="E633" s="55">
        <f>I633+G633+K633</f>
        <v>3625000</v>
      </c>
      <c r="F633" s="77">
        <f>J633+H633+L633</f>
        <v>3625000</v>
      </c>
      <c r="G633" s="51">
        <v>0</v>
      </c>
      <c r="H633" s="76">
        <f>IF(C633=0,0,ROUNDDOWN(G633*C633,1))</f>
        <v>0</v>
      </c>
      <c r="I633" s="78">
        <f>재료비목록표!E171</f>
        <v>3625000</v>
      </c>
      <c r="J633" s="81">
        <f>IF(C633=0,0,ROUNDDOWN(I633*C633,1))</f>
        <v>3625000</v>
      </c>
      <c r="K633" s="51">
        <v>0</v>
      </c>
      <c r="L633" s="76">
        <f>IF(C633=0,0,ROUNDDOWN(K633*C633,1))</f>
        <v>0</v>
      </c>
      <c r="M633" s="22" t="s">
        <v>6909</v>
      </c>
      <c r="N633" s="17" t="s">
        <v>6908</v>
      </c>
      <c r="O633" s="7" t="s">
        <v>5439</v>
      </c>
      <c r="P633" s="7" t="s">
        <v>6406</v>
      </c>
      <c r="Z633" s="3" t="str">
        <f ca="1">HYPERLINK("#"&amp;재료비목록표!G2&amp;"!A"&amp;ROW(재료비목록표!A171),"자재168 →")</f>
        <v>자재168 →</v>
      </c>
    </row>
    <row r="634" spans="1:26" ht="28.7" customHeight="1" x14ac:dyDescent="0.3">
      <c r="A634" s="22" t="s">
        <v>6</v>
      </c>
      <c r="B634" s="74"/>
      <c r="C634" s="74"/>
      <c r="D634" s="74"/>
      <c r="E634" s="74"/>
      <c r="F634" s="48">
        <f>J634+H634+L634</f>
        <v>4207367</v>
      </c>
      <c r="G634" s="74"/>
      <c r="H634" s="48">
        <f>ROUNDDOWN(SUMIF(P632:P633,O634,H632:H633),0)</f>
        <v>565406</v>
      </c>
      <c r="I634" s="74"/>
      <c r="J634" s="48">
        <f>ROUNDDOWN(SUMIF(P632:P633,O634,J632:J633),0)</f>
        <v>3625000</v>
      </c>
      <c r="K634" s="74"/>
      <c r="L634" s="48">
        <f>ROUNDDOWN(SUMIF(P632:P633,O634,L632:L633),0)</f>
        <v>16961</v>
      </c>
      <c r="M634" s="74"/>
      <c r="O634" s="7" t="s">
        <v>6406</v>
      </c>
    </row>
    <row r="635" spans="1:26" ht="28.7" customHeight="1" x14ac:dyDescent="0.3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</row>
    <row r="636" spans="1:26" ht="28.7" customHeight="1" x14ac:dyDescent="0.3">
      <c r="A636" s="136" t="s">
        <v>347</v>
      </c>
      <c r="B636" s="127"/>
      <c r="C636" s="127"/>
      <c r="D636" s="127"/>
      <c r="E636" s="127"/>
      <c r="F636" s="127"/>
      <c r="G636" s="127"/>
      <c r="H636" s="127"/>
      <c r="I636" s="127"/>
      <c r="J636" s="127"/>
      <c r="K636" s="127"/>
      <c r="L636" s="144"/>
      <c r="M636" s="22" t="s">
        <v>6910</v>
      </c>
      <c r="N636" s="84" t="str">
        <f>HYPERLINK("#N"&amp;ROW(N638),"_x0005_`BDCOD|B04938_x0007_`POSS|"&amp;ROW(N637)&amp;"_x0007_`POSE|"&amp;ROW(N638)&amp;"_x0007_`")</f>
        <v>_x0005_`BDCOD|B04938_x0007_`POSS|637_x0007_`POSE|638_x0007_`</v>
      </c>
      <c r="O636" s="7" t="s">
        <v>6911</v>
      </c>
    </row>
    <row r="637" spans="1:26" ht="28.7" customHeight="1" x14ac:dyDescent="0.3">
      <c r="A637" s="10" t="s">
        <v>1682</v>
      </c>
      <c r="B637" s="10" t="s">
        <v>1721</v>
      </c>
      <c r="C637" s="75">
        <v>1</v>
      </c>
      <c r="D637" s="31" t="s">
        <v>14</v>
      </c>
      <c r="E637" s="55">
        <f>I637+G637+K637</f>
        <v>734777</v>
      </c>
      <c r="F637" s="76">
        <f>J637+H637+L637</f>
        <v>734777</v>
      </c>
      <c r="G637" s="78">
        <f>일위대가목록표!F670</f>
        <v>713377</v>
      </c>
      <c r="H637" s="80">
        <f>IF(C637=0,0,ROUNDDOWN(G637*C637,1))</f>
        <v>713377</v>
      </c>
      <c r="I637" s="78">
        <f>일위대가목록표!G670</f>
        <v>0</v>
      </c>
      <c r="J637" s="80">
        <f>IF(C637=0,0,ROUNDDOWN(I637*C637,1))</f>
        <v>0</v>
      </c>
      <c r="K637" s="78">
        <f>일위대가목록표!H670</f>
        <v>21400</v>
      </c>
      <c r="L637" s="80">
        <f>IF(C637=0,0,ROUNDDOWN(K637*C637,1))</f>
        <v>21400</v>
      </c>
      <c r="M637" s="22" t="s">
        <v>6432</v>
      </c>
      <c r="N637" s="17" t="s">
        <v>6429</v>
      </c>
      <c r="O637" s="7" t="s">
        <v>6430</v>
      </c>
      <c r="P637" s="7" t="s">
        <v>6406</v>
      </c>
      <c r="Z637" s="3" t="str">
        <f ca="1">HYPERLINK("#"&amp;일위대가목록표!J2&amp;"!A"&amp;ROW(일위대가목록표!A670),"대가667 →")</f>
        <v>대가667 →</v>
      </c>
    </row>
    <row r="638" spans="1:26" ht="28.7" customHeight="1" x14ac:dyDescent="0.3">
      <c r="A638" s="10" t="s">
        <v>336</v>
      </c>
      <c r="B638" s="10" t="s">
        <v>2509</v>
      </c>
      <c r="C638" s="75">
        <v>1</v>
      </c>
      <c r="D638" s="31" t="s">
        <v>14</v>
      </c>
      <c r="E638" s="55">
        <f>I638+G638+K638</f>
        <v>3977000</v>
      </c>
      <c r="F638" s="77">
        <f>J638+H638+L638</f>
        <v>3977000</v>
      </c>
      <c r="G638" s="51">
        <v>0</v>
      </c>
      <c r="H638" s="76">
        <f>IF(C638=0,0,ROUNDDOWN(G638*C638,1))</f>
        <v>0</v>
      </c>
      <c r="I638" s="78">
        <f>재료비목록표!E159</f>
        <v>3977000</v>
      </c>
      <c r="J638" s="81">
        <f>IF(C638=0,0,ROUNDDOWN(I638*C638,1))</f>
        <v>3977000</v>
      </c>
      <c r="K638" s="51">
        <v>0</v>
      </c>
      <c r="L638" s="76">
        <f>IF(C638=0,0,ROUNDDOWN(K638*C638,1))</f>
        <v>0</v>
      </c>
      <c r="M638" s="22" t="s">
        <v>6913</v>
      </c>
      <c r="N638" s="17" t="s">
        <v>6912</v>
      </c>
      <c r="O638" s="7" t="s">
        <v>5442</v>
      </c>
      <c r="P638" s="7" t="s">
        <v>6406</v>
      </c>
      <c r="Z638" s="3" t="str">
        <f ca="1">HYPERLINK("#"&amp;재료비목록표!G2&amp;"!A"&amp;ROW(재료비목록표!A159),"자재156 →")</f>
        <v>자재156 →</v>
      </c>
    </row>
    <row r="639" spans="1:26" ht="28.7" customHeight="1" x14ac:dyDescent="0.3">
      <c r="A639" s="22" t="s">
        <v>6</v>
      </c>
      <c r="B639" s="74"/>
      <c r="C639" s="74"/>
      <c r="D639" s="74"/>
      <c r="E639" s="74"/>
      <c r="F639" s="48">
        <f>J639+H639+L639</f>
        <v>4711777</v>
      </c>
      <c r="G639" s="74"/>
      <c r="H639" s="48">
        <f>ROUNDDOWN(SUMIF(P637:P638,O639,H637:H638),0)</f>
        <v>713377</v>
      </c>
      <c r="I639" s="74"/>
      <c r="J639" s="48">
        <f>ROUNDDOWN(SUMIF(P637:P638,O639,J637:J638),0)</f>
        <v>3977000</v>
      </c>
      <c r="K639" s="74"/>
      <c r="L639" s="48">
        <f>ROUNDDOWN(SUMIF(P637:P638,O639,L637:L638),0)</f>
        <v>21400</v>
      </c>
      <c r="M639" s="74"/>
      <c r="O639" s="7" t="s">
        <v>6406</v>
      </c>
    </row>
    <row r="640" spans="1:26" ht="28.7" customHeight="1" x14ac:dyDescent="0.3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</row>
    <row r="641" spans="1:26" ht="28.7" customHeight="1" x14ac:dyDescent="0.3">
      <c r="A641" s="136" t="s">
        <v>350</v>
      </c>
      <c r="B641" s="127"/>
      <c r="C641" s="127"/>
      <c r="D641" s="127"/>
      <c r="E641" s="127"/>
      <c r="F641" s="127"/>
      <c r="G641" s="127"/>
      <c r="H641" s="127"/>
      <c r="I641" s="127"/>
      <c r="J641" s="127"/>
      <c r="K641" s="127"/>
      <c r="L641" s="144"/>
      <c r="M641" s="22" t="s">
        <v>6914</v>
      </c>
      <c r="N641" s="84" t="str">
        <f>HYPERLINK("#N"&amp;ROW(N643),"_x0005_`BDCOD|B04939_x0007_`POSS|"&amp;ROW(N642)&amp;"_x0007_`POSE|"&amp;ROW(N643)&amp;"_x0007_`")</f>
        <v>_x0005_`BDCOD|B04939_x0007_`POSS|642_x0007_`POSE|643_x0007_`</v>
      </c>
      <c r="O641" s="7" t="s">
        <v>6915</v>
      </c>
    </row>
    <row r="642" spans="1:26" ht="28.7" customHeight="1" x14ac:dyDescent="0.3">
      <c r="A642" s="10" t="s">
        <v>1682</v>
      </c>
      <c r="B642" s="10" t="s">
        <v>1739</v>
      </c>
      <c r="C642" s="75">
        <v>1</v>
      </c>
      <c r="D642" s="31" t="s">
        <v>14</v>
      </c>
      <c r="E642" s="55">
        <f>I642+G642+K642</f>
        <v>980333</v>
      </c>
      <c r="F642" s="76">
        <f>J642+H642+L642</f>
        <v>980333</v>
      </c>
      <c r="G642" s="78">
        <f>일위대가목록표!F676</f>
        <v>951780</v>
      </c>
      <c r="H642" s="80">
        <f>IF(C642=0,0,ROUNDDOWN(G642*C642,1))</f>
        <v>951780</v>
      </c>
      <c r="I642" s="78">
        <f>일위대가목록표!G676</f>
        <v>0</v>
      </c>
      <c r="J642" s="80">
        <f>IF(C642=0,0,ROUNDDOWN(I642*C642,1))</f>
        <v>0</v>
      </c>
      <c r="K642" s="78">
        <f>일위대가목록표!H676</f>
        <v>28553</v>
      </c>
      <c r="L642" s="80">
        <f>IF(C642=0,0,ROUNDDOWN(K642*C642,1))</f>
        <v>28553</v>
      </c>
      <c r="M642" s="22" t="s">
        <v>6446</v>
      </c>
      <c r="N642" s="17" t="s">
        <v>6443</v>
      </c>
      <c r="O642" s="7" t="s">
        <v>6444</v>
      </c>
      <c r="P642" s="7" t="s">
        <v>6406</v>
      </c>
      <c r="Z642" s="3" t="str">
        <f ca="1">HYPERLINK("#"&amp;일위대가목록표!J2&amp;"!A"&amp;ROW(일위대가목록표!A676),"대가673 →")</f>
        <v>대가673 →</v>
      </c>
    </row>
    <row r="643" spans="1:26" ht="28.7" customHeight="1" x14ac:dyDescent="0.3">
      <c r="A643" s="10" t="s">
        <v>336</v>
      </c>
      <c r="B643" s="10" t="s">
        <v>2514</v>
      </c>
      <c r="C643" s="75">
        <v>1</v>
      </c>
      <c r="D643" s="31" t="s">
        <v>14</v>
      </c>
      <c r="E643" s="55">
        <f>I643+G643+K643</f>
        <v>4713000</v>
      </c>
      <c r="F643" s="77">
        <f>J643+H643+L643</f>
        <v>4713000</v>
      </c>
      <c r="G643" s="51">
        <v>0</v>
      </c>
      <c r="H643" s="76">
        <f>IF(C643=0,0,ROUNDDOWN(G643*C643,1))</f>
        <v>0</v>
      </c>
      <c r="I643" s="78">
        <f>재료비목록표!E161</f>
        <v>4713000</v>
      </c>
      <c r="J643" s="81">
        <f>IF(C643=0,0,ROUNDDOWN(I643*C643,1))</f>
        <v>4713000</v>
      </c>
      <c r="K643" s="51">
        <v>0</v>
      </c>
      <c r="L643" s="76">
        <f>IF(C643=0,0,ROUNDDOWN(K643*C643,1))</f>
        <v>0</v>
      </c>
      <c r="M643" s="22" t="s">
        <v>6917</v>
      </c>
      <c r="N643" s="17" t="s">
        <v>6916</v>
      </c>
      <c r="O643" s="7" t="s">
        <v>5445</v>
      </c>
      <c r="P643" s="7" t="s">
        <v>6406</v>
      </c>
      <c r="Z643" s="3" t="str">
        <f ca="1">HYPERLINK("#"&amp;재료비목록표!G2&amp;"!A"&amp;ROW(재료비목록표!A161),"자재158 →")</f>
        <v>자재158 →</v>
      </c>
    </row>
    <row r="644" spans="1:26" ht="28.7" customHeight="1" x14ac:dyDescent="0.3">
      <c r="A644" s="22" t="s">
        <v>6</v>
      </c>
      <c r="B644" s="74"/>
      <c r="C644" s="74"/>
      <c r="D644" s="74"/>
      <c r="E644" s="74"/>
      <c r="F644" s="48">
        <f>J644+H644+L644</f>
        <v>5693333</v>
      </c>
      <c r="G644" s="74"/>
      <c r="H644" s="48">
        <f>ROUNDDOWN(SUMIF(P642:P643,O644,H642:H643),0)</f>
        <v>951780</v>
      </c>
      <c r="I644" s="74"/>
      <c r="J644" s="48">
        <f>ROUNDDOWN(SUMIF(P642:P643,O644,J642:J643),0)</f>
        <v>4713000</v>
      </c>
      <c r="K644" s="74"/>
      <c r="L644" s="48">
        <f>ROUNDDOWN(SUMIF(P642:P643,O644,L642:L643),0)</f>
        <v>28553</v>
      </c>
      <c r="M644" s="74"/>
      <c r="O644" s="7" t="s">
        <v>6406</v>
      </c>
    </row>
    <row r="645" spans="1:26" ht="28.7" customHeight="1" x14ac:dyDescent="0.3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</row>
    <row r="646" spans="1:26" ht="28.7" customHeight="1" x14ac:dyDescent="0.3">
      <c r="A646" s="136" t="s">
        <v>353</v>
      </c>
      <c r="B646" s="127"/>
      <c r="C646" s="127"/>
      <c r="D646" s="127"/>
      <c r="E646" s="127"/>
      <c r="F646" s="127"/>
      <c r="G646" s="127"/>
      <c r="H646" s="127"/>
      <c r="I646" s="127"/>
      <c r="J646" s="127"/>
      <c r="K646" s="127"/>
      <c r="L646" s="144"/>
      <c r="M646" s="22" t="s">
        <v>6918</v>
      </c>
      <c r="N646" s="84" t="str">
        <f>HYPERLINK("#N"&amp;ROW(N648),"_x0005_`BDCOD|B04940_x0007_`POSS|"&amp;ROW(N647)&amp;"_x0007_`POSE|"&amp;ROW(N648)&amp;"_x0007_`")</f>
        <v>_x0005_`BDCOD|B04940_x0007_`POSS|647_x0007_`POSE|648_x0007_`</v>
      </c>
      <c r="O646" s="7" t="s">
        <v>6919</v>
      </c>
    </row>
    <row r="647" spans="1:26" ht="28.7" customHeight="1" x14ac:dyDescent="0.3">
      <c r="A647" s="10" t="s">
        <v>1682</v>
      </c>
      <c r="B647" s="10" t="s">
        <v>1739</v>
      </c>
      <c r="C647" s="75">
        <v>1</v>
      </c>
      <c r="D647" s="31" t="s">
        <v>14</v>
      </c>
      <c r="E647" s="55">
        <f>I647+G647+K647</f>
        <v>980333</v>
      </c>
      <c r="F647" s="76">
        <f>J647+H647+L647</f>
        <v>980333</v>
      </c>
      <c r="G647" s="78">
        <f>일위대가목록표!F676</f>
        <v>951780</v>
      </c>
      <c r="H647" s="80">
        <f>IF(C647=0,0,ROUNDDOWN(G647*C647,1))</f>
        <v>951780</v>
      </c>
      <c r="I647" s="78">
        <f>일위대가목록표!G676</f>
        <v>0</v>
      </c>
      <c r="J647" s="80">
        <f>IF(C647=0,0,ROUNDDOWN(I647*C647,1))</f>
        <v>0</v>
      </c>
      <c r="K647" s="78">
        <f>일위대가목록표!H676</f>
        <v>28553</v>
      </c>
      <c r="L647" s="80">
        <f>IF(C647=0,0,ROUNDDOWN(K647*C647,1))</f>
        <v>28553</v>
      </c>
      <c r="M647" s="22" t="s">
        <v>6446</v>
      </c>
      <c r="N647" s="17" t="s">
        <v>6443</v>
      </c>
      <c r="O647" s="7" t="s">
        <v>6444</v>
      </c>
      <c r="P647" s="7" t="s">
        <v>6406</v>
      </c>
      <c r="Z647" s="3" t="str">
        <f ca="1">HYPERLINK("#"&amp;일위대가목록표!J2&amp;"!A"&amp;ROW(일위대가목록표!A676),"대가673 →")</f>
        <v>대가673 →</v>
      </c>
    </row>
    <row r="648" spans="1:26" ht="28.7" customHeight="1" x14ac:dyDescent="0.3">
      <c r="A648" s="10" t="s">
        <v>336</v>
      </c>
      <c r="B648" s="10" t="s">
        <v>2517</v>
      </c>
      <c r="C648" s="75">
        <v>1</v>
      </c>
      <c r="D648" s="31" t="s">
        <v>14</v>
      </c>
      <c r="E648" s="55">
        <f>I648+G648+K648</f>
        <v>5927000</v>
      </c>
      <c r="F648" s="77">
        <f>J648+H648+L648</f>
        <v>5927000</v>
      </c>
      <c r="G648" s="51">
        <v>0</v>
      </c>
      <c r="H648" s="76">
        <f>IF(C648=0,0,ROUNDDOWN(G648*C648,1))</f>
        <v>0</v>
      </c>
      <c r="I648" s="78">
        <f>재료비목록표!E162</f>
        <v>5927000</v>
      </c>
      <c r="J648" s="81">
        <f>IF(C648=0,0,ROUNDDOWN(I648*C648,1))</f>
        <v>5927000</v>
      </c>
      <c r="K648" s="51">
        <v>0</v>
      </c>
      <c r="L648" s="76">
        <f>IF(C648=0,0,ROUNDDOWN(K648*C648,1))</f>
        <v>0</v>
      </c>
      <c r="M648" s="22" t="s">
        <v>6921</v>
      </c>
      <c r="N648" s="17" t="s">
        <v>6920</v>
      </c>
      <c r="O648" s="7" t="s">
        <v>5448</v>
      </c>
      <c r="P648" s="7" t="s">
        <v>6406</v>
      </c>
      <c r="Z648" s="3" t="str">
        <f ca="1">HYPERLINK("#"&amp;재료비목록표!G2&amp;"!A"&amp;ROW(재료비목록표!A162),"자재159 →")</f>
        <v>자재159 →</v>
      </c>
    </row>
    <row r="649" spans="1:26" ht="28.7" customHeight="1" x14ac:dyDescent="0.3">
      <c r="A649" s="22" t="s">
        <v>6</v>
      </c>
      <c r="B649" s="74"/>
      <c r="C649" s="74"/>
      <c r="D649" s="74"/>
      <c r="E649" s="74"/>
      <c r="F649" s="48">
        <f>J649+H649+L649</f>
        <v>6907333</v>
      </c>
      <c r="G649" s="74"/>
      <c r="H649" s="48">
        <f>ROUNDDOWN(SUMIF(P647:P648,O649,H647:H648),0)</f>
        <v>951780</v>
      </c>
      <c r="I649" s="74"/>
      <c r="J649" s="48">
        <f>ROUNDDOWN(SUMIF(P647:P648,O649,J647:J648),0)</f>
        <v>5927000</v>
      </c>
      <c r="K649" s="74"/>
      <c r="L649" s="48">
        <f>ROUNDDOWN(SUMIF(P647:P648,O649,L647:L648),0)</f>
        <v>28553</v>
      </c>
      <c r="M649" s="74"/>
      <c r="O649" s="7" t="s">
        <v>6406</v>
      </c>
    </row>
    <row r="650" spans="1:26" ht="28.7" customHeight="1" x14ac:dyDescent="0.3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</row>
    <row r="651" spans="1:26" ht="28.7" customHeight="1" x14ac:dyDescent="0.3">
      <c r="A651" s="136" t="s">
        <v>356</v>
      </c>
      <c r="B651" s="127"/>
      <c r="C651" s="127"/>
      <c r="D651" s="127"/>
      <c r="E651" s="127"/>
      <c r="F651" s="127"/>
      <c r="G651" s="127"/>
      <c r="H651" s="127"/>
      <c r="I651" s="127"/>
      <c r="J651" s="127"/>
      <c r="K651" s="127"/>
      <c r="L651" s="144"/>
      <c r="M651" s="22" t="s">
        <v>6922</v>
      </c>
      <c r="N651" s="84" t="str">
        <f>HYPERLINK("#N"&amp;ROW(N653),"_x0005_`BDCOD|B04941_x0007_`POSS|"&amp;ROW(N652)&amp;"_x0007_`POSE|"&amp;ROW(N653)&amp;"_x0007_`")</f>
        <v>_x0005_`BDCOD|B04941_x0007_`POSS|652_x0007_`POSE|653_x0007_`</v>
      </c>
      <c r="O651" s="7" t="s">
        <v>6923</v>
      </c>
    </row>
    <row r="652" spans="1:26" ht="28.7" customHeight="1" x14ac:dyDescent="0.3">
      <c r="A652" s="10" t="s">
        <v>1682</v>
      </c>
      <c r="B652" s="10" t="s">
        <v>1748</v>
      </c>
      <c r="C652" s="75">
        <v>1</v>
      </c>
      <c r="D652" s="31" t="s">
        <v>14</v>
      </c>
      <c r="E652" s="55">
        <f>I652+G652+K652</f>
        <v>1583750</v>
      </c>
      <c r="F652" s="76">
        <f>J652+H652+L652</f>
        <v>1583750</v>
      </c>
      <c r="G652" s="78">
        <f>일위대가목록표!F679</f>
        <v>1537622</v>
      </c>
      <c r="H652" s="80">
        <f>IF(C652=0,0,ROUNDDOWN(G652*C652,1))</f>
        <v>1537622</v>
      </c>
      <c r="I652" s="78">
        <f>일위대가목록표!G679</f>
        <v>0</v>
      </c>
      <c r="J652" s="80">
        <f>IF(C652=0,0,ROUNDDOWN(I652*C652,1))</f>
        <v>0</v>
      </c>
      <c r="K652" s="78">
        <f>일위대가목록표!H679</f>
        <v>46128</v>
      </c>
      <c r="L652" s="80">
        <f>IF(C652=0,0,ROUNDDOWN(K652*C652,1))</f>
        <v>46128</v>
      </c>
      <c r="M652" s="22" t="s">
        <v>6453</v>
      </c>
      <c r="N652" s="17" t="s">
        <v>6450</v>
      </c>
      <c r="O652" s="7" t="s">
        <v>6451</v>
      </c>
      <c r="P652" s="7" t="s">
        <v>6406</v>
      </c>
      <c r="Z652" s="3" t="str">
        <f ca="1">HYPERLINK("#"&amp;일위대가목록표!J2&amp;"!A"&amp;ROW(일위대가목록표!A679),"대가676 →")</f>
        <v>대가676 →</v>
      </c>
    </row>
    <row r="653" spans="1:26" ht="28.7" customHeight="1" x14ac:dyDescent="0.3">
      <c r="A653" s="10" t="s">
        <v>336</v>
      </c>
      <c r="B653" s="10" t="s">
        <v>358</v>
      </c>
      <c r="C653" s="75">
        <v>1</v>
      </c>
      <c r="D653" s="31" t="s">
        <v>14</v>
      </c>
      <c r="E653" s="55">
        <f>I653+G653+K653</f>
        <v>6665000</v>
      </c>
      <c r="F653" s="77">
        <f>J653+H653+L653</f>
        <v>6665000</v>
      </c>
      <c r="G653" s="51">
        <v>0</v>
      </c>
      <c r="H653" s="76">
        <f>IF(C653=0,0,ROUNDDOWN(G653*C653,1))</f>
        <v>0</v>
      </c>
      <c r="I653" s="78">
        <f>재료비목록표!E163</f>
        <v>6665000</v>
      </c>
      <c r="J653" s="81">
        <f>IF(C653=0,0,ROUNDDOWN(I653*C653,1))</f>
        <v>6665000</v>
      </c>
      <c r="K653" s="51">
        <v>0</v>
      </c>
      <c r="L653" s="76">
        <f>IF(C653=0,0,ROUNDDOWN(K653*C653,1))</f>
        <v>0</v>
      </c>
      <c r="M653" s="22" t="s">
        <v>6925</v>
      </c>
      <c r="N653" s="17" t="s">
        <v>6924</v>
      </c>
      <c r="O653" s="7" t="s">
        <v>5451</v>
      </c>
      <c r="P653" s="7" t="s">
        <v>6406</v>
      </c>
      <c r="Z653" s="3" t="str">
        <f ca="1">HYPERLINK("#"&amp;재료비목록표!G2&amp;"!A"&amp;ROW(재료비목록표!A163),"자재160 →")</f>
        <v>자재160 →</v>
      </c>
    </row>
    <row r="654" spans="1:26" ht="28.7" customHeight="1" x14ac:dyDescent="0.3">
      <c r="A654" s="22" t="s">
        <v>6</v>
      </c>
      <c r="B654" s="74"/>
      <c r="C654" s="74"/>
      <c r="D654" s="74"/>
      <c r="E654" s="74"/>
      <c r="F654" s="48">
        <f>J654+H654+L654</f>
        <v>8248750</v>
      </c>
      <c r="G654" s="74"/>
      <c r="H654" s="48">
        <f>ROUNDDOWN(SUMIF(P652:P653,O654,H652:H653),0)</f>
        <v>1537622</v>
      </c>
      <c r="I654" s="74"/>
      <c r="J654" s="48">
        <f>ROUNDDOWN(SUMIF(P652:P653,O654,J652:J653),0)</f>
        <v>6665000</v>
      </c>
      <c r="K654" s="74"/>
      <c r="L654" s="48">
        <f>ROUNDDOWN(SUMIF(P652:P653,O654,L652:L653),0)</f>
        <v>46128</v>
      </c>
      <c r="M654" s="74"/>
      <c r="O654" s="7" t="s">
        <v>6406</v>
      </c>
    </row>
    <row r="655" spans="1:26" ht="28.7" customHeight="1" x14ac:dyDescent="0.3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</row>
    <row r="656" spans="1:26" ht="28.7" customHeight="1" x14ac:dyDescent="0.3">
      <c r="A656" s="136" t="s">
        <v>359</v>
      </c>
      <c r="B656" s="127"/>
      <c r="C656" s="127"/>
      <c r="D656" s="127"/>
      <c r="E656" s="127"/>
      <c r="F656" s="127"/>
      <c r="G656" s="127"/>
      <c r="H656" s="127"/>
      <c r="I656" s="127"/>
      <c r="J656" s="127"/>
      <c r="K656" s="127"/>
      <c r="L656" s="144"/>
      <c r="M656" s="22" t="s">
        <v>6926</v>
      </c>
      <c r="N656" s="84" t="str">
        <f>HYPERLINK("#N"&amp;ROW(N658),"_x0005_`BDCOD|B04942_x0007_`POSS|"&amp;ROW(N657)&amp;"_x0007_`POSE|"&amp;ROW(N658)&amp;"_x0007_`")</f>
        <v>_x0005_`BDCOD|B04942_x0007_`POSS|657_x0007_`POSE|658_x0007_`</v>
      </c>
      <c r="O656" s="7" t="s">
        <v>6927</v>
      </c>
    </row>
    <row r="657" spans="1:26" ht="28.7" customHeight="1" x14ac:dyDescent="0.3">
      <c r="A657" s="10" t="s">
        <v>1682</v>
      </c>
      <c r="B657" s="10" t="s">
        <v>1748</v>
      </c>
      <c r="C657" s="75">
        <v>1</v>
      </c>
      <c r="D657" s="31" t="s">
        <v>14</v>
      </c>
      <c r="E657" s="55">
        <f>I657+G657+K657</f>
        <v>1583750</v>
      </c>
      <c r="F657" s="76">
        <f>J657+H657+L657</f>
        <v>1583750</v>
      </c>
      <c r="G657" s="78">
        <f>일위대가목록표!F679</f>
        <v>1537622</v>
      </c>
      <c r="H657" s="80">
        <f>IF(C657=0,0,ROUNDDOWN(G657*C657,1))</f>
        <v>1537622</v>
      </c>
      <c r="I657" s="78">
        <f>일위대가목록표!G679</f>
        <v>0</v>
      </c>
      <c r="J657" s="80">
        <f>IF(C657=0,0,ROUNDDOWN(I657*C657,1))</f>
        <v>0</v>
      </c>
      <c r="K657" s="78">
        <f>일위대가목록표!H679</f>
        <v>46128</v>
      </c>
      <c r="L657" s="80">
        <f>IF(C657=0,0,ROUNDDOWN(K657*C657,1))</f>
        <v>46128</v>
      </c>
      <c r="M657" s="22" t="s">
        <v>6453</v>
      </c>
      <c r="N657" s="17" t="s">
        <v>6450</v>
      </c>
      <c r="O657" s="7" t="s">
        <v>6451</v>
      </c>
      <c r="P657" s="7" t="s">
        <v>6406</v>
      </c>
      <c r="Z657" s="3" t="str">
        <f ca="1">HYPERLINK("#"&amp;일위대가목록표!J2&amp;"!A"&amp;ROW(일위대가목록표!A679),"대가676 →")</f>
        <v>대가676 →</v>
      </c>
    </row>
    <row r="658" spans="1:26" ht="28.7" customHeight="1" x14ac:dyDescent="0.3">
      <c r="A658" s="10" t="s">
        <v>336</v>
      </c>
      <c r="B658" s="10" t="s">
        <v>361</v>
      </c>
      <c r="C658" s="75">
        <v>1</v>
      </c>
      <c r="D658" s="31" t="s">
        <v>14</v>
      </c>
      <c r="E658" s="55">
        <f>I658+G658+K658</f>
        <v>7915000</v>
      </c>
      <c r="F658" s="77">
        <f>J658+H658+L658</f>
        <v>7915000</v>
      </c>
      <c r="G658" s="51">
        <v>0</v>
      </c>
      <c r="H658" s="76">
        <f>IF(C658=0,0,ROUNDDOWN(G658*C658,1))</f>
        <v>0</v>
      </c>
      <c r="I658" s="78">
        <f>재료비목록표!E165</f>
        <v>7915000</v>
      </c>
      <c r="J658" s="81">
        <f>IF(C658=0,0,ROUNDDOWN(I658*C658,1))</f>
        <v>7915000</v>
      </c>
      <c r="K658" s="51">
        <v>0</v>
      </c>
      <c r="L658" s="76">
        <f>IF(C658=0,0,ROUNDDOWN(K658*C658,1))</f>
        <v>0</v>
      </c>
      <c r="M658" s="22" t="s">
        <v>6929</v>
      </c>
      <c r="N658" s="17" t="s">
        <v>6928</v>
      </c>
      <c r="O658" s="7" t="s">
        <v>5454</v>
      </c>
      <c r="P658" s="7" t="s">
        <v>6406</v>
      </c>
      <c r="Z658" s="3" t="str">
        <f ca="1">HYPERLINK("#"&amp;재료비목록표!G2&amp;"!A"&amp;ROW(재료비목록표!A165),"자재162 →")</f>
        <v>자재162 →</v>
      </c>
    </row>
    <row r="659" spans="1:26" ht="28.7" customHeight="1" x14ac:dyDescent="0.3">
      <c r="A659" s="22" t="s">
        <v>6</v>
      </c>
      <c r="B659" s="74"/>
      <c r="C659" s="74"/>
      <c r="D659" s="74"/>
      <c r="E659" s="74"/>
      <c r="F659" s="48">
        <f>J659+H659+L659</f>
        <v>9498750</v>
      </c>
      <c r="G659" s="74"/>
      <c r="H659" s="48">
        <f>ROUNDDOWN(SUMIF(P657:P658,O659,H657:H658),0)</f>
        <v>1537622</v>
      </c>
      <c r="I659" s="74"/>
      <c r="J659" s="48">
        <f>ROUNDDOWN(SUMIF(P657:P658,O659,J657:J658),0)</f>
        <v>7915000</v>
      </c>
      <c r="K659" s="74"/>
      <c r="L659" s="48">
        <f>ROUNDDOWN(SUMIF(P657:P658,O659,L657:L658),0)</f>
        <v>46128</v>
      </c>
      <c r="M659" s="74"/>
      <c r="O659" s="7" t="s">
        <v>6406</v>
      </c>
    </row>
    <row r="660" spans="1:26" ht="28.7" customHeight="1" x14ac:dyDescent="0.3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</row>
    <row r="661" spans="1:26" ht="28.7" customHeight="1" x14ac:dyDescent="0.3">
      <c r="A661" s="136" t="s">
        <v>362</v>
      </c>
      <c r="B661" s="127"/>
      <c r="C661" s="127"/>
      <c r="D661" s="127"/>
      <c r="E661" s="127"/>
      <c r="F661" s="127"/>
      <c r="G661" s="127"/>
      <c r="H661" s="127"/>
      <c r="I661" s="127"/>
      <c r="J661" s="127"/>
      <c r="K661" s="127"/>
      <c r="L661" s="144"/>
      <c r="M661" s="22" t="s">
        <v>6930</v>
      </c>
      <c r="N661" s="84" t="str">
        <f>HYPERLINK("#N"&amp;ROW(N663),"_x0005_`BDCOD|B04943_x0007_`POSS|"&amp;ROW(N662)&amp;"_x0007_`POSE|"&amp;ROW(N663)&amp;"_x0007_`")</f>
        <v>_x0005_`BDCOD|B04943_x0007_`POSS|662_x0007_`POSE|663_x0007_`</v>
      </c>
      <c r="O661" s="7" t="s">
        <v>6931</v>
      </c>
    </row>
    <row r="662" spans="1:26" ht="28.7" customHeight="1" x14ac:dyDescent="0.3">
      <c r="A662" s="10" t="s">
        <v>1682</v>
      </c>
      <c r="B662" s="10" t="s">
        <v>1748</v>
      </c>
      <c r="C662" s="75">
        <v>1</v>
      </c>
      <c r="D662" s="31" t="s">
        <v>14</v>
      </c>
      <c r="E662" s="55">
        <f>I662+G662+K662</f>
        <v>1583750</v>
      </c>
      <c r="F662" s="76">
        <f>J662+H662+L662</f>
        <v>1583750</v>
      </c>
      <c r="G662" s="78">
        <f>일위대가목록표!F679</f>
        <v>1537622</v>
      </c>
      <c r="H662" s="80">
        <f>IF(C662=0,0,ROUNDDOWN(G662*C662,1))</f>
        <v>1537622</v>
      </c>
      <c r="I662" s="78">
        <f>일위대가목록표!G679</f>
        <v>0</v>
      </c>
      <c r="J662" s="80">
        <f>IF(C662=0,0,ROUNDDOWN(I662*C662,1))</f>
        <v>0</v>
      </c>
      <c r="K662" s="78">
        <f>일위대가목록표!H679</f>
        <v>46128</v>
      </c>
      <c r="L662" s="80">
        <f>IF(C662=0,0,ROUNDDOWN(K662*C662,1))</f>
        <v>46128</v>
      </c>
      <c r="M662" s="22" t="s">
        <v>6453</v>
      </c>
      <c r="N662" s="17" t="s">
        <v>6450</v>
      </c>
      <c r="O662" s="7" t="s">
        <v>6451</v>
      </c>
      <c r="P662" s="7" t="s">
        <v>6406</v>
      </c>
      <c r="Z662" s="3" t="str">
        <f ca="1">HYPERLINK("#"&amp;일위대가목록표!J2&amp;"!A"&amp;ROW(일위대가목록표!A679),"대가676 →")</f>
        <v>대가676 →</v>
      </c>
    </row>
    <row r="663" spans="1:26" ht="28.7" customHeight="1" x14ac:dyDescent="0.3">
      <c r="A663" s="10" t="s">
        <v>336</v>
      </c>
      <c r="B663" s="10" t="s">
        <v>2530</v>
      </c>
      <c r="C663" s="75">
        <v>1</v>
      </c>
      <c r="D663" s="31" t="s">
        <v>14</v>
      </c>
      <c r="E663" s="55">
        <f>I663+G663+K663</f>
        <v>9760000</v>
      </c>
      <c r="F663" s="77">
        <f>J663+H663+L663</f>
        <v>9760000</v>
      </c>
      <c r="G663" s="51">
        <v>0</v>
      </c>
      <c r="H663" s="76">
        <f>IF(C663=0,0,ROUNDDOWN(G663*C663,1))</f>
        <v>0</v>
      </c>
      <c r="I663" s="78">
        <f>재료비목록표!E167</f>
        <v>9760000</v>
      </c>
      <c r="J663" s="81">
        <f>IF(C663=0,0,ROUNDDOWN(I663*C663,1))</f>
        <v>9760000</v>
      </c>
      <c r="K663" s="51">
        <v>0</v>
      </c>
      <c r="L663" s="76">
        <f>IF(C663=0,0,ROUNDDOWN(K663*C663,1))</f>
        <v>0</v>
      </c>
      <c r="M663" s="22" t="s">
        <v>6933</v>
      </c>
      <c r="N663" s="17" t="s">
        <v>6932</v>
      </c>
      <c r="O663" s="7" t="s">
        <v>5457</v>
      </c>
      <c r="P663" s="7" t="s">
        <v>6406</v>
      </c>
      <c r="Z663" s="3" t="str">
        <f ca="1">HYPERLINK("#"&amp;재료비목록표!G2&amp;"!A"&amp;ROW(재료비목록표!A167),"자재164 →")</f>
        <v>자재164 →</v>
      </c>
    </row>
    <row r="664" spans="1:26" ht="28.7" customHeight="1" x14ac:dyDescent="0.3">
      <c r="A664" s="22" t="s">
        <v>6</v>
      </c>
      <c r="B664" s="74"/>
      <c r="C664" s="74"/>
      <c r="D664" s="74"/>
      <c r="E664" s="74"/>
      <c r="F664" s="48">
        <f>J664+H664+L664</f>
        <v>11343750</v>
      </c>
      <c r="G664" s="74"/>
      <c r="H664" s="48">
        <f>ROUNDDOWN(SUMIF(P662:P663,O664,H662:H663),0)</f>
        <v>1537622</v>
      </c>
      <c r="I664" s="74"/>
      <c r="J664" s="48">
        <f>ROUNDDOWN(SUMIF(P662:P663,O664,J662:J663),0)</f>
        <v>9760000</v>
      </c>
      <c r="K664" s="74"/>
      <c r="L664" s="48">
        <f>ROUNDDOWN(SUMIF(P662:P663,O664,L662:L663),0)</f>
        <v>46128</v>
      </c>
      <c r="M664" s="74"/>
      <c r="O664" s="7" t="s">
        <v>6406</v>
      </c>
    </row>
    <row r="665" spans="1:26" ht="28.7" customHeight="1" x14ac:dyDescent="0.3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</row>
    <row r="666" spans="1:26" ht="28.7" customHeight="1" x14ac:dyDescent="0.3">
      <c r="A666" s="136" t="s">
        <v>365</v>
      </c>
      <c r="B666" s="127"/>
      <c r="C666" s="127"/>
      <c r="D666" s="127"/>
      <c r="E666" s="127"/>
      <c r="F666" s="127"/>
      <c r="G666" s="127"/>
      <c r="H666" s="127"/>
      <c r="I666" s="127"/>
      <c r="J666" s="127"/>
      <c r="K666" s="127"/>
      <c r="L666" s="144"/>
      <c r="M666" s="22" t="s">
        <v>6934</v>
      </c>
      <c r="N666" s="84" t="str">
        <f>HYPERLINK("#N"&amp;ROW(N668),"_x0005_`BDCOD|B04944_x0007_`POSS|"&amp;ROW(N667)&amp;"_x0007_`POSE|"&amp;ROW(N668)&amp;"_x0007_`")</f>
        <v>_x0005_`BDCOD|B04944_x0007_`POSS|667_x0007_`POSE|668_x0007_`</v>
      </c>
      <c r="O666" s="7" t="s">
        <v>6935</v>
      </c>
    </row>
    <row r="667" spans="1:26" ht="28.7" customHeight="1" x14ac:dyDescent="0.3">
      <c r="A667" s="10" t="s">
        <v>1682</v>
      </c>
      <c r="B667" s="10" t="s">
        <v>1757</v>
      </c>
      <c r="C667" s="75">
        <v>1</v>
      </c>
      <c r="D667" s="31" t="s">
        <v>14</v>
      </c>
      <c r="E667" s="55">
        <f>I667+G667+K667</f>
        <v>2044858</v>
      </c>
      <c r="F667" s="76">
        <f>J667+H667+L667</f>
        <v>2044858</v>
      </c>
      <c r="G667" s="78">
        <f>일위대가목록표!F682</f>
        <v>1985300</v>
      </c>
      <c r="H667" s="80">
        <f>IF(C667=0,0,ROUNDDOWN(G667*C667,1))</f>
        <v>1985300</v>
      </c>
      <c r="I667" s="78">
        <f>일위대가목록표!G682</f>
        <v>0</v>
      </c>
      <c r="J667" s="80">
        <f>IF(C667=0,0,ROUNDDOWN(I667*C667,1))</f>
        <v>0</v>
      </c>
      <c r="K667" s="78">
        <f>일위대가목록표!H682</f>
        <v>59558</v>
      </c>
      <c r="L667" s="80">
        <f>IF(C667=0,0,ROUNDDOWN(K667*C667,1))</f>
        <v>59558</v>
      </c>
      <c r="M667" s="22" t="s">
        <v>6460</v>
      </c>
      <c r="N667" s="17" t="s">
        <v>6457</v>
      </c>
      <c r="O667" s="7" t="s">
        <v>6458</v>
      </c>
      <c r="P667" s="7" t="s">
        <v>6406</v>
      </c>
      <c r="Z667" s="3" t="str">
        <f ca="1">HYPERLINK("#"&amp;일위대가목록표!J2&amp;"!A"&amp;ROW(일위대가목록표!A682),"대가679 →")</f>
        <v>대가679 →</v>
      </c>
    </row>
    <row r="668" spans="1:26" ht="28.7" customHeight="1" x14ac:dyDescent="0.3">
      <c r="A668" s="10" t="s">
        <v>336</v>
      </c>
      <c r="B668" s="10" t="s">
        <v>2533</v>
      </c>
      <c r="C668" s="75">
        <v>1</v>
      </c>
      <c r="D668" s="31" t="s">
        <v>14</v>
      </c>
      <c r="E668" s="55">
        <f>I668+G668+K668</f>
        <v>10866000</v>
      </c>
      <c r="F668" s="77">
        <f>J668+H668+L668</f>
        <v>10866000</v>
      </c>
      <c r="G668" s="51">
        <v>0</v>
      </c>
      <c r="H668" s="76">
        <f>IF(C668=0,0,ROUNDDOWN(G668*C668,1))</f>
        <v>0</v>
      </c>
      <c r="I668" s="78">
        <f>재료비목록표!E168</f>
        <v>10866000</v>
      </c>
      <c r="J668" s="81">
        <f>IF(C668=0,0,ROUNDDOWN(I668*C668,1))</f>
        <v>10866000</v>
      </c>
      <c r="K668" s="51">
        <v>0</v>
      </c>
      <c r="L668" s="76">
        <f>IF(C668=0,0,ROUNDDOWN(K668*C668,1))</f>
        <v>0</v>
      </c>
      <c r="M668" s="22" t="s">
        <v>6937</v>
      </c>
      <c r="N668" s="17" t="s">
        <v>6936</v>
      </c>
      <c r="O668" s="7" t="s">
        <v>5460</v>
      </c>
      <c r="P668" s="7" t="s">
        <v>6406</v>
      </c>
      <c r="Z668" s="3" t="str">
        <f ca="1">HYPERLINK("#"&amp;재료비목록표!G2&amp;"!A"&amp;ROW(재료비목록표!A168),"자재165 →")</f>
        <v>자재165 →</v>
      </c>
    </row>
    <row r="669" spans="1:26" ht="28.7" customHeight="1" x14ac:dyDescent="0.3">
      <c r="A669" s="22" t="s">
        <v>6</v>
      </c>
      <c r="B669" s="74"/>
      <c r="C669" s="74"/>
      <c r="D669" s="74"/>
      <c r="E669" s="74"/>
      <c r="F669" s="48">
        <f>J669+H669+L669</f>
        <v>12910858</v>
      </c>
      <c r="G669" s="74"/>
      <c r="H669" s="48">
        <f>ROUNDDOWN(SUMIF(P667:P668,O669,H667:H668),0)</f>
        <v>1985300</v>
      </c>
      <c r="I669" s="74"/>
      <c r="J669" s="48">
        <f>ROUNDDOWN(SUMIF(P667:P668,O669,J667:J668),0)</f>
        <v>10866000</v>
      </c>
      <c r="K669" s="74"/>
      <c r="L669" s="48">
        <f>ROUNDDOWN(SUMIF(P667:P668,O669,L667:L668),0)</f>
        <v>59558</v>
      </c>
      <c r="M669" s="74"/>
      <c r="O669" s="7" t="s">
        <v>6406</v>
      </c>
    </row>
    <row r="670" spans="1:26" ht="28.7" customHeight="1" x14ac:dyDescent="0.3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</row>
    <row r="671" spans="1:26" ht="28.7" customHeight="1" x14ac:dyDescent="0.3">
      <c r="A671" s="136" t="s">
        <v>368</v>
      </c>
      <c r="B671" s="127"/>
      <c r="C671" s="127"/>
      <c r="D671" s="127"/>
      <c r="E671" s="127"/>
      <c r="F671" s="127"/>
      <c r="G671" s="127"/>
      <c r="H671" s="127"/>
      <c r="I671" s="127"/>
      <c r="J671" s="127"/>
      <c r="K671" s="127"/>
      <c r="L671" s="144"/>
      <c r="M671" s="22" t="s">
        <v>6938</v>
      </c>
      <c r="N671" s="84" t="str">
        <f>HYPERLINK("#N"&amp;ROW(N673),"_x0005_`BDCOD|B04945_x0007_`POSS|"&amp;ROW(N672)&amp;"_x0007_`POSE|"&amp;ROW(N673)&amp;"_x0007_`")</f>
        <v>_x0005_`BDCOD|B04945_x0007_`POSS|672_x0007_`POSE|673_x0007_`</v>
      </c>
      <c r="O671" s="7" t="s">
        <v>6939</v>
      </c>
    </row>
    <row r="672" spans="1:26" ht="28.7" customHeight="1" x14ac:dyDescent="0.3">
      <c r="A672" s="10" t="s">
        <v>1682</v>
      </c>
      <c r="B672" s="10" t="s">
        <v>1766</v>
      </c>
      <c r="C672" s="75">
        <v>1</v>
      </c>
      <c r="D672" s="31" t="s">
        <v>14</v>
      </c>
      <c r="E672" s="55">
        <f>I672+G672+K672</f>
        <v>3289807</v>
      </c>
      <c r="F672" s="76">
        <f>J672+H672+L672</f>
        <v>3289807</v>
      </c>
      <c r="G672" s="78">
        <f>일위대가목록표!F685</f>
        <v>3193989</v>
      </c>
      <c r="H672" s="80">
        <f>IF(C672=0,0,ROUNDDOWN(G672*C672,1))</f>
        <v>3193989</v>
      </c>
      <c r="I672" s="78">
        <f>일위대가목록표!G685</f>
        <v>0</v>
      </c>
      <c r="J672" s="80">
        <f>IF(C672=0,0,ROUNDDOWN(I672*C672,1))</f>
        <v>0</v>
      </c>
      <c r="K672" s="78">
        <f>일위대가목록표!H685</f>
        <v>95818</v>
      </c>
      <c r="L672" s="80">
        <f>IF(C672=0,0,ROUNDDOWN(K672*C672,1))</f>
        <v>95818</v>
      </c>
      <c r="M672" s="22" t="s">
        <v>6467</v>
      </c>
      <c r="N672" s="17" t="s">
        <v>6464</v>
      </c>
      <c r="O672" s="7" t="s">
        <v>6465</v>
      </c>
      <c r="P672" s="7" t="s">
        <v>6406</v>
      </c>
      <c r="Z672" s="3" t="str">
        <f ca="1">HYPERLINK("#"&amp;일위대가목록표!J2&amp;"!A"&amp;ROW(일위대가목록표!A685),"대가682 →")</f>
        <v>대가682 →</v>
      </c>
    </row>
    <row r="673" spans="1:26" ht="28.7" customHeight="1" x14ac:dyDescent="0.3">
      <c r="A673" s="10" t="s">
        <v>336</v>
      </c>
      <c r="B673" s="10" t="s">
        <v>370</v>
      </c>
      <c r="C673" s="75">
        <v>1</v>
      </c>
      <c r="D673" s="31" t="s">
        <v>14</v>
      </c>
      <c r="E673" s="55">
        <f>I673+G673+K673</f>
        <v>11521000</v>
      </c>
      <c r="F673" s="77">
        <f>J673+H673+L673</f>
        <v>11521000</v>
      </c>
      <c r="G673" s="51">
        <v>0</v>
      </c>
      <c r="H673" s="76">
        <f>IF(C673=0,0,ROUNDDOWN(G673*C673,1))</f>
        <v>0</v>
      </c>
      <c r="I673" s="78">
        <f>재료비목록표!E170</f>
        <v>11521000</v>
      </c>
      <c r="J673" s="81">
        <f>IF(C673=0,0,ROUNDDOWN(I673*C673,1))</f>
        <v>11521000</v>
      </c>
      <c r="K673" s="51">
        <v>0</v>
      </c>
      <c r="L673" s="76">
        <f>IF(C673=0,0,ROUNDDOWN(K673*C673,1))</f>
        <v>0</v>
      </c>
      <c r="M673" s="22" t="s">
        <v>6941</v>
      </c>
      <c r="N673" s="17" t="s">
        <v>6940</v>
      </c>
      <c r="O673" s="7" t="s">
        <v>5463</v>
      </c>
      <c r="P673" s="7" t="s">
        <v>6406</v>
      </c>
      <c r="Z673" s="3" t="str">
        <f ca="1">HYPERLINK("#"&amp;재료비목록표!G2&amp;"!A"&amp;ROW(재료비목록표!A170),"자재167 →")</f>
        <v>자재167 →</v>
      </c>
    </row>
    <row r="674" spans="1:26" ht="28.7" customHeight="1" x14ac:dyDescent="0.3">
      <c r="A674" s="22" t="s">
        <v>6</v>
      </c>
      <c r="B674" s="74"/>
      <c r="C674" s="74"/>
      <c r="D674" s="74"/>
      <c r="E674" s="74"/>
      <c r="F674" s="48">
        <f>J674+H674+L674</f>
        <v>14810807</v>
      </c>
      <c r="G674" s="74"/>
      <c r="H674" s="48">
        <f>ROUNDDOWN(SUMIF(P672:P673,O674,H672:H673),0)</f>
        <v>3193989</v>
      </c>
      <c r="I674" s="74"/>
      <c r="J674" s="48">
        <f>ROUNDDOWN(SUMIF(P672:P673,O674,J672:J673),0)</f>
        <v>11521000</v>
      </c>
      <c r="K674" s="74"/>
      <c r="L674" s="48">
        <f>ROUNDDOWN(SUMIF(P672:P673,O674,L672:L673),0)</f>
        <v>95818</v>
      </c>
      <c r="M674" s="74"/>
      <c r="O674" s="7" t="s">
        <v>6406</v>
      </c>
    </row>
    <row r="675" spans="1:26" ht="28.7" customHeight="1" x14ac:dyDescent="0.3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</row>
    <row r="676" spans="1:26" ht="28.7" customHeight="1" x14ac:dyDescent="0.3">
      <c r="A676" s="136" t="s">
        <v>371</v>
      </c>
      <c r="B676" s="127"/>
      <c r="C676" s="127"/>
      <c r="D676" s="127"/>
      <c r="E676" s="127"/>
      <c r="F676" s="127"/>
      <c r="G676" s="127"/>
      <c r="H676" s="127"/>
      <c r="I676" s="127"/>
      <c r="J676" s="127"/>
      <c r="K676" s="127"/>
      <c r="L676" s="144"/>
      <c r="M676" s="22" t="s">
        <v>6942</v>
      </c>
      <c r="N676" s="84" t="str">
        <f>HYPERLINK("#N"&amp;ROW(N678),"_x0005_`BDCOD|B04946_x0007_`POSS|"&amp;ROW(N677)&amp;"_x0007_`POSE|"&amp;ROW(N678)&amp;"_x0007_`")</f>
        <v>_x0005_`BDCOD|B04946_x0007_`POSS|677_x0007_`POSE|678_x0007_`</v>
      </c>
      <c r="O676" s="7" t="s">
        <v>6943</v>
      </c>
    </row>
    <row r="677" spans="1:26" ht="28.7" customHeight="1" x14ac:dyDescent="0.3">
      <c r="A677" s="10" t="s">
        <v>1682</v>
      </c>
      <c r="B677" s="10" t="s">
        <v>1775</v>
      </c>
      <c r="C677" s="75">
        <v>1</v>
      </c>
      <c r="D677" s="31" t="s">
        <v>14</v>
      </c>
      <c r="E677" s="55">
        <f>I677+G677+K677</f>
        <v>4030109</v>
      </c>
      <c r="F677" s="76">
        <f>J677+H677+L677</f>
        <v>4030109</v>
      </c>
      <c r="G677" s="78">
        <f>일위대가목록표!F688</f>
        <v>3912728</v>
      </c>
      <c r="H677" s="80">
        <f>IF(C677=0,0,ROUNDDOWN(G677*C677,1))</f>
        <v>3912728</v>
      </c>
      <c r="I677" s="78">
        <f>일위대가목록표!G688</f>
        <v>0</v>
      </c>
      <c r="J677" s="80">
        <f>IF(C677=0,0,ROUNDDOWN(I677*C677,1))</f>
        <v>0</v>
      </c>
      <c r="K677" s="78">
        <f>일위대가목록표!H688</f>
        <v>117381</v>
      </c>
      <c r="L677" s="80">
        <f>IF(C677=0,0,ROUNDDOWN(K677*C677,1))</f>
        <v>117381</v>
      </c>
      <c r="M677" s="22" t="s">
        <v>6478</v>
      </c>
      <c r="N677" s="17" t="s">
        <v>6475</v>
      </c>
      <c r="O677" s="7" t="s">
        <v>6476</v>
      </c>
      <c r="P677" s="7" t="s">
        <v>6406</v>
      </c>
      <c r="Z677" s="3" t="str">
        <f ca="1">HYPERLINK("#"&amp;일위대가목록표!J2&amp;"!A"&amp;ROW(일위대가목록표!A688),"대가685 →")</f>
        <v>대가685 →</v>
      </c>
    </row>
    <row r="678" spans="1:26" ht="28.7" customHeight="1" x14ac:dyDescent="0.3">
      <c r="A678" s="10" t="s">
        <v>336</v>
      </c>
      <c r="B678" s="10" t="s">
        <v>373</v>
      </c>
      <c r="C678" s="75">
        <v>1</v>
      </c>
      <c r="D678" s="31" t="s">
        <v>14</v>
      </c>
      <c r="E678" s="55">
        <f>I678+G678+K678</f>
        <v>38564000</v>
      </c>
      <c r="F678" s="77">
        <f>J678+H678+L678</f>
        <v>38564000</v>
      </c>
      <c r="G678" s="51">
        <v>0</v>
      </c>
      <c r="H678" s="76">
        <f>IF(C678=0,0,ROUNDDOWN(G678*C678,1))</f>
        <v>0</v>
      </c>
      <c r="I678" s="78">
        <f>재료비목록표!E160</f>
        <v>38564000</v>
      </c>
      <c r="J678" s="81">
        <f>IF(C678=0,0,ROUNDDOWN(I678*C678,1))</f>
        <v>38564000</v>
      </c>
      <c r="K678" s="51">
        <v>0</v>
      </c>
      <c r="L678" s="76">
        <f>IF(C678=0,0,ROUNDDOWN(K678*C678,1))</f>
        <v>0</v>
      </c>
      <c r="M678" s="22" t="s">
        <v>6945</v>
      </c>
      <c r="N678" s="17" t="s">
        <v>6944</v>
      </c>
      <c r="O678" s="7" t="s">
        <v>5466</v>
      </c>
      <c r="P678" s="7" t="s">
        <v>6406</v>
      </c>
      <c r="Z678" s="3" t="str">
        <f ca="1">HYPERLINK("#"&amp;재료비목록표!G2&amp;"!A"&amp;ROW(재료비목록표!A160),"자재157 →")</f>
        <v>자재157 →</v>
      </c>
    </row>
    <row r="679" spans="1:26" ht="28.7" customHeight="1" x14ac:dyDescent="0.3">
      <c r="A679" s="22" t="s">
        <v>6</v>
      </c>
      <c r="B679" s="74"/>
      <c r="C679" s="74"/>
      <c r="D679" s="74"/>
      <c r="E679" s="74"/>
      <c r="F679" s="48">
        <f>J679+H679+L679</f>
        <v>42594109</v>
      </c>
      <c r="G679" s="74"/>
      <c r="H679" s="48">
        <f>ROUNDDOWN(SUMIF(P677:P678,O679,H677:H678),0)</f>
        <v>3912728</v>
      </c>
      <c r="I679" s="74"/>
      <c r="J679" s="48">
        <f>ROUNDDOWN(SUMIF(P677:P678,O679,J677:J678),0)</f>
        <v>38564000</v>
      </c>
      <c r="K679" s="74"/>
      <c r="L679" s="48">
        <f>ROUNDDOWN(SUMIF(P677:P678,O679,L677:L678),0)</f>
        <v>117381</v>
      </c>
      <c r="M679" s="74"/>
      <c r="O679" s="7" t="s">
        <v>6406</v>
      </c>
    </row>
    <row r="680" spans="1:26" ht="28.7" customHeight="1" x14ac:dyDescent="0.3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</row>
    <row r="681" spans="1:26" ht="28.7" customHeight="1" x14ac:dyDescent="0.3">
      <c r="A681" s="136" t="s">
        <v>374</v>
      </c>
      <c r="B681" s="127"/>
      <c r="C681" s="127"/>
      <c r="D681" s="127"/>
      <c r="E681" s="127"/>
      <c r="F681" s="127"/>
      <c r="G681" s="127"/>
      <c r="H681" s="127"/>
      <c r="I681" s="127"/>
      <c r="J681" s="127"/>
      <c r="K681" s="127"/>
      <c r="L681" s="144"/>
      <c r="M681" s="22" t="s">
        <v>6946</v>
      </c>
      <c r="N681" s="84" t="str">
        <f>HYPERLINK("#N"&amp;ROW(N682),"_x0005_`BDCOD|B05213_x0007_`POSS|"&amp;ROW(N682)&amp;"_x0007_`POSE|"&amp;ROW(N682)&amp;"_x0007_`")</f>
        <v>_x0005_`BDCOD|B05213_x0007_`POSS|682_x0007_`POSE|682_x0007_`</v>
      </c>
      <c r="O681" s="7" t="s">
        <v>6947</v>
      </c>
    </row>
    <row r="682" spans="1:26" ht="28.7" customHeight="1" x14ac:dyDescent="0.3">
      <c r="A682" s="10" t="s">
        <v>1682</v>
      </c>
      <c r="B682" s="10" t="s">
        <v>1683</v>
      </c>
      <c r="C682" s="75">
        <v>1</v>
      </c>
      <c r="D682" s="31" t="s">
        <v>14</v>
      </c>
      <c r="E682" s="55">
        <f>I682+G682+K682</f>
        <v>365273</v>
      </c>
      <c r="F682" s="76">
        <f>J682+H682+L682</f>
        <v>365273</v>
      </c>
      <c r="G682" s="78">
        <f>일위대가목록표!F658</f>
        <v>354635</v>
      </c>
      <c r="H682" s="80">
        <f>IF(C682=0,0,ROUNDDOWN(G682*C682,1))</f>
        <v>354635</v>
      </c>
      <c r="I682" s="78">
        <f>일위대가목록표!G658</f>
        <v>0</v>
      </c>
      <c r="J682" s="80">
        <f>IF(C682=0,0,ROUNDDOWN(I682*C682,1))</f>
        <v>0</v>
      </c>
      <c r="K682" s="78">
        <f>일위대가목록표!H658</f>
        <v>10638</v>
      </c>
      <c r="L682" s="80">
        <f>IF(C682=0,0,ROUNDDOWN(K682*C682,1))</f>
        <v>10638</v>
      </c>
      <c r="M682" s="22" t="s">
        <v>6403</v>
      </c>
      <c r="N682" s="17" t="s">
        <v>6400</v>
      </c>
      <c r="O682" s="7" t="s">
        <v>6401</v>
      </c>
      <c r="P682" s="7" t="s">
        <v>6406</v>
      </c>
      <c r="Z682" s="3" t="str">
        <f ca="1">HYPERLINK("#"&amp;일위대가목록표!J2&amp;"!A"&amp;ROW(일위대가목록표!A658),"대가655 →")</f>
        <v>대가655 →</v>
      </c>
    </row>
    <row r="683" spans="1:26" ht="28.7" customHeight="1" x14ac:dyDescent="0.3">
      <c r="A683" s="22" t="s">
        <v>6</v>
      </c>
      <c r="B683" s="74"/>
      <c r="C683" s="74"/>
      <c r="D683" s="74"/>
      <c r="E683" s="74"/>
      <c r="F683" s="48">
        <f>J683+H683+L683</f>
        <v>365273</v>
      </c>
      <c r="G683" s="74"/>
      <c r="H683" s="48">
        <f>ROUNDDOWN(SUMIF(P682:P682,O683,H682:H682),0)</f>
        <v>354635</v>
      </c>
      <c r="I683" s="74"/>
      <c r="J683" s="48">
        <f>ROUNDDOWN(SUMIF(P682:P682,O683,J682:J682),0)</f>
        <v>0</v>
      </c>
      <c r="K683" s="74"/>
      <c r="L683" s="48">
        <f>ROUNDDOWN(SUMIF(P682:P682,O683,L682:L682),0)</f>
        <v>10638</v>
      </c>
      <c r="M683" s="74"/>
      <c r="O683" s="7" t="s">
        <v>6406</v>
      </c>
    </row>
    <row r="684" spans="1:26" ht="28.7" customHeight="1" x14ac:dyDescent="0.3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</row>
    <row r="685" spans="1:26" ht="28.7" customHeight="1" x14ac:dyDescent="0.3">
      <c r="A685" s="136" t="s">
        <v>377</v>
      </c>
      <c r="B685" s="127"/>
      <c r="C685" s="127"/>
      <c r="D685" s="127"/>
      <c r="E685" s="127"/>
      <c r="F685" s="127"/>
      <c r="G685" s="127"/>
      <c r="H685" s="127"/>
      <c r="I685" s="127"/>
      <c r="J685" s="127"/>
      <c r="K685" s="127"/>
      <c r="L685" s="144"/>
      <c r="M685" s="22" t="s">
        <v>6948</v>
      </c>
      <c r="N685" s="84" t="str">
        <f>HYPERLINK("#N"&amp;ROW(N686),"_x0005_`BDCOD|B05214_x0007_`POSS|"&amp;ROW(N686)&amp;"_x0007_`POSE|"&amp;ROW(N686)&amp;"_x0007_`")</f>
        <v>_x0005_`BDCOD|B05214_x0007_`POSS|686_x0007_`POSE|686_x0007_`</v>
      </c>
      <c r="O685" s="7" t="s">
        <v>6949</v>
      </c>
    </row>
    <row r="686" spans="1:26" ht="28.7" customHeight="1" x14ac:dyDescent="0.3">
      <c r="A686" s="10" t="s">
        <v>1682</v>
      </c>
      <c r="B686" s="10" t="s">
        <v>1694</v>
      </c>
      <c r="C686" s="75">
        <v>1</v>
      </c>
      <c r="D686" s="31" t="s">
        <v>14</v>
      </c>
      <c r="E686" s="55">
        <f>I686+G686+K686</f>
        <v>420901</v>
      </c>
      <c r="F686" s="76">
        <f>J686+H686+L686</f>
        <v>420901</v>
      </c>
      <c r="G686" s="78">
        <f>일위대가목록표!F661</f>
        <v>408643</v>
      </c>
      <c r="H686" s="80">
        <f>IF(C686=0,0,ROUNDDOWN(G686*C686,1))</f>
        <v>408643</v>
      </c>
      <c r="I686" s="78">
        <f>일위대가목록표!G661</f>
        <v>0</v>
      </c>
      <c r="J686" s="80">
        <f>IF(C686=0,0,ROUNDDOWN(I686*C686,1))</f>
        <v>0</v>
      </c>
      <c r="K686" s="78">
        <f>일위대가목록표!H661</f>
        <v>12258</v>
      </c>
      <c r="L686" s="80">
        <f>IF(C686=0,0,ROUNDDOWN(K686*C686,1))</f>
        <v>12258</v>
      </c>
      <c r="M686" s="22" t="s">
        <v>6411</v>
      </c>
      <c r="N686" s="17" t="s">
        <v>6408</v>
      </c>
      <c r="O686" s="7" t="s">
        <v>6409</v>
      </c>
      <c r="P686" s="7" t="s">
        <v>6406</v>
      </c>
      <c r="Z686" s="3" t="str">
        <f ca="1">HYPERLINK("#"&amp;일위대가목록표!J2&amp;"!A"&amp;ROW(일위대가목록표!A661),"대가658 →")</f>
        <v>대가658 →</v>
      </c>
    </row>
    <row r="687" spans="1:26" ht="28.7" customHeight="1" x14ac:dyDescent="0.3">
      <c r="A687" s="22" t="s">
        <v>6</v>
      </c>
      <c r="B687" s="74"/>
      <c r="C687" s="74"/>
      <c r="D687" s="74"/>
      <c r="E687" s="74"/>
      <c r="F687" s="48">
        <f>J687+H687+L687</f>
        <v>420901</v>
      </c>
      <c r="G687" s="74"/>
      <c r="H687" s="48">
        <f>ROUNDDOWN(SUMIF(P686:P686,O687,H686:H686),0)</f>
        <v>408643</v>
      </c>
      <c r="I687" s="74"/>
      <c r="J687" s="48">
        <f>ROUNDDOWN(SUMIF(P686:P686,O687,J686:J686),0)</f>
        <v>0</v>
      </c>
      <c r="K687" s="74"/>
      <c r="L687" s="48">
        <f>ROUNDDOWN(SUMIF(P686:P686,O687,L686:L686),0)</f>
        <v>12258</v>
      </c>
      <c r="M687" s="74"/>
      <c r="O687" s="7" t="s">
        <v>6406</v>
      </c>
    </row>
    <row r="688" spans="1:26" ht="28.7" customHeight="1" x14ac:dyDescent="0.3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</row>
    <row r="689" spans="1:26" ht="28.7" customHeight="1" x14ac:dyDescent="0.3">
      <c r="A689" s="136" t="s">
        <v>379</v>
      </c>
      <c r="B689" s="127"/>
      <c r="C689" s="127"/>
      <c r="D689" s="127"/>
      <c r="E689" s="127"/>
      <c r="F689" s="127"/>
      <c r="G689" s="127"/>
      <c r="H689" s="127"/>
      <c r="I689" s="127"/>
      <c r="J689" s="127"/>
      <c r="K689" s="127"/>
      <c r="L689" s="144"/>
      <c r="M689" s="22" t="s">
        <v>6950</v>
      </c>
      <c r="N689" s="84" t="str">
        <f>HYPERLINK("#N"&amp;ROW(N690),"_x0005_`BDCOD|B05215_x0007_`POSS|"&amp;ROW(N690)&amp;"_x0007_`POSE|"&amp;ROW(N690)&amp;"_x0007_`")</f>
        <v>_x0005_`BDCOD|B05215_x0007_`POSS|690_x0007_`POSE|690_x0007_`</v>
      </c>
      <c r="O689" s="7" t="s">
        <v>6951</v>
      </c>
    </row>
    <row r="690" spans="1:26" ht="28.7" customHeight="1" x14ac:dyDescent="0.3">
      <c r="A690" s="10" t="s">
        <v>1682</v>
      </c>
      <c r="B690" s="10" t="s">
        <v>1703</v>
      </c>
      <c r="C690" s="75">
        <v>1</v>
      </c>
      <c r="D690" s="31" t="s">
        <v>14</v>
      </c>
      <c r="E690" s="55">
        <f>I690+G690+K690</f>
        <v>483348</v>
      </c>
      <c r="F690" s="76">
        <f>J690+H690+L690</f>
        <v>483348</v>
      </c>
      <c r="G690" s="78">
        <f>일위대가목록표!F664</f>
        <v>469271</v>
      </c>
      <c r="H690" s="80">
        <f>IF(C690=0,0,ROUNDDOWN(G690*C690,1))</f>
        <v>469271</v>
      </c>
      <c r="I690" s="78">
        <f>일위대가목록표!G664</f>
        <v>0</v>
      </c>
      <c r="J690" s="80">
        <f>IF(C690=0,0,ROUNDDOWN(I690*C690,1))</f>
        <v>0</v>
      </c>
      <c r="K690" s="78">
        <f>일위대가목록표!H664</f>
        <v>14077</v>
      </c>
      <c r="L690" s="80">
        <f>IF(C690=0,0,ROUNDDOWN(K690*C690,1))</f>
        <v>14077</v>
      </c>
      <c r="M690" s="22" t="s">
        <v>6418</v>
      </c>
      <c r="N690" s="17" t="s">
        <v>6415</v>
      </c>
      <c r="O690" s="7" t="s">
        <v>6416</v>
      </c>
      <c r="P690" s="7" t="s">
        <v>6406</v>
      </c>
      <c r="Z690" s="3" t="str">
        <f ca="1">HYPERLINK("#"&amp;일위대가목록표!J2&amp;"!A"&amp;ROW(일위대가목록표!A664),"대가661 →")</f>
        <v>대가661 →</v>
      </c>
    </row>
    <row r="691" spans="1:26" ht="28.7" customHeight="1" x14ac:dyDescent="0.3">
      <c r="A691" s="22" t="s">
        <v>6</v>
      </c>
      <c r="B691" s="74"/>
      <c r="C691" s="74"/>
      <c r="D691" s="74"/>
      <c r="E691" s="74"/>
      <c r="F691" s="48">
        <f>J691+H691+L691</f>
        <v>483348</v>
      </c>
      <c r="G691" s="74"/>
      <c r="H691" s="48">
        <f>ROUNDDOWN(SUMIF(P690:P690,O691,H690:H690),0)</f>
        <v>469271</v>
      </c>
      <c r="I691" s="74"/>
      <c r="J691" s="48">
        <f>ROUNDDOWN(SUMIF(P690:P690,O691,J690:J690),0)</f>
        <v>0</v>
      </c>
      <c r="K691" s="74"/>
      <c r="L691" s="48">
        <f>ROUNDDOWN(SUMIF(P690:P690,O691,L690:L690),0)</f>
        <v>14077</v>
      </c>
      <c r="M691" s="74"/>
      <c r="O691" s="7" t="s">
        <v>6406</v>
      </c>
    </row>
    <row r="692" spans="1:26" ht="28.7" customHeight="1" x14ac:dyDescent="0.3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</row>
    <row r="693" spans="1:26" ht="28.7" customHeight="1" x14ac:dyDescent="0.3">
      <c r="A693" s="136" t="s">
        <v>381</v>
      </c>
      <c r="B693" s="127"/>
      <c r="C693" s="127"/>
      <c r="D693" s="127"/>
      <c r="E693" s="127"/>
      <c r="F693" s="127"/>
      <c r="G693" s="127"/>
      <c r="H693" s="127"/>
      <c r="I693" s="127"/>
      <c r="J693" s="127"/>
      <c r="K693" s="127"/>
      <c r="L693" s="144"/>
      <c r="M693" s="22" t="s">
        <v>6952</v>
      </c>
      <c r="N693" s="84" t="str">
        <f>HYPERLINK("#N"&amp;ROW(N694),"_x0005_`BDCOD|B05217_x0007_`POSS|"&amp;ROW(N694)&amp;"_x0007_`POSE|"&amp;ROW(N694)&amp;"_x0007_`")</f>
        <v>_x0005_`BDCOD|B05217_x0007_`POSS|694_x0007_`POSE|694_x0007_`</v>
      </c>
      <c r="O693" s="7" t="s">
        <v>6953</v>
      </c>
    </row>
    <row r="694" spans="1:26" ht="28.7" customHeight="1" x14ac:dyDescent="0.3">
      <c r="A694" s="10" t="s">
        <v>1682</v>
      </c>
      <c r="B694" s="10" t="s">
        <v>1712</v>
      </c>
      <c r="C694" s="75">
        <v>1</v>
      </c>
      <c r="D694" s="31" t="s">
        <v>14</v>
      </c>
      <c r="E694" s="55">
        <f>I694+G694+K694</f>
        <v>582367</v>
      </c>
      <c r="F694" s="76">
        <f>J694+H694+L694</f>
        <v>582367</v>
      </c>
      <c r="G694" s="78">
        <f>일위대가목록표!F667</f>
        <v>565406</v>
      </c>
      <c r="H694" s="80">
        <f>IF(C694=0,0,ROUNDDOWN(G694*C694,1))</f>
        <v>565406</v>
      </c>
      <c r="I694" s="78">
        <f>일위대가목록표!G667</f>
        <v>0</v>
      </c>
      <c r="J694" s="80">
        <f>IF(C694=0,0,ROUNDDOWN(I694*C694,1))</f>
        <v>0</v>
      </c>
      <c r="K694" s="78">
        <f>일위대가목록표!H667</f>
        <v>16961</v>
      </c>
      <c r="L694" s="80">
        <f>IF(C694=0,0,ROUNDDOWN(K694*C694,1))</f>
        <v>16961</v>
      </c>
      <c r="M694" s="22" t="s">
        <v>6425</v>
      </c>
      <c r="N694" s="17" t="s">
        <v>6422</v>
      </c>
      <c r="O694" s="7" t="s">
        <v>6423</v>
      </c>
      <c r="P694" s="7" t="s">
        <v>6406</v>
      </c>
      <c r="Z694" s="3" t="str">
        <f ca="1">HYPERLINK("#"&amp;일위대가목록표!J2&amp;"!A"&amp;ROW(일위대가목록표!A667),"대가664 →")</f>
        <v>대가664 →</v>
      </c>
    </row>
    <row r="695" spans="1:26" ht="28.7" customHeight="1" x14ac:dyDescent="0.3">
      <c r="A695" s="22" t="s">
        <v>6</v>
      </c>
      <c r="B695" s="74"/>
      <c r="C695" s="74"/>
      <c r="D695" s="74"/>
      <c r="E695" s="74"/>
      <c r="F695" s="48">
        <f>J695+H695+L695</f>
        <v>582367</v>
      </c>
      <c r="G695" s="74"/>
      <c r="H695" s="48">
        <f>ROUNDDOWN(SUMIF(P694:P694,O695,H694:H694),0)</f>
        <v>565406</v>
      </c>
      <c r="I695" s="74"/>
      <c r="J695" s="48">
        <f>ROUNDDOWN(SUMIF(P694:P694,O695,J694:J694),0)</f>
        <v>0</v>
      </c>
      <c r="K695" s="74"/>
      <c r="L695" s="48">
        <f>ROUNDDOWN(SUMIF(P694:P694,O695,L694:L694),0)</f>
        <v>16961</v>
      </c>
      <c r="M695" s="74"/>
      <c r="O695" s="7" t="s">
        <v>6406</v>
      </c>
    </row>
    <row r="696" spans="1:26" ht="28.7" customHeight="1" x14ac:dyDescent="0.3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</row>
    <row r="697" spans="1:26" ht="28.7" customHeight="1" x14ac:dyDescent="0.3">
      <c r="A697" s="136" t="s">
        <v>383</v>
      </c>
      <c r="B697" s="127"/>
      <c r="C697" s="127"/>
      <c r="D697" s="127"/>
      <c r="E697" s="127"/>
      <c r="F697" s="127"/>
      <c r="G697" s="127"/>
      <c r="H697" s="127"/>
      <c r="I697" s="127"/>
      <c r="J697" s="127"/>
      <c r="K697" s="127"/>
      <c r="L697" s="144"/>
      <c r="M697" s="22" t="s">
        <v>6954</v>
      </c>
      <c r="N697" s="84" t="str">
        <f>HYPERLINK("#N"&amp;ROW(N698),"_x0005_`BDCOD|B05218_x0007_`POSS|"&amp;ROW(N698)&amp;"_x0007_`POSE|"&amp;ROW(N698)&amp;"_x0007_`")</f>
        <v>_x0005_`BDCOD|B05218_x0007_`POSS|698_x0007_`POSE|698_x0007_`</v>
      </c>
      <c r="O697" s="7" t="s">
        <v>6955</v>
      </c>
    </row>
    <row r="698" spans="1:26" ht="28.7" customHeight="1" x14ac:dyDescent="0.3">
      <c r="A698" s="10" t="s">
        <v>1682</v>
      </c>
      <c r="B698" s="10" t="s">
        <v>1721</v>
      </c>
      <c r="C698" s="75">
        <v>1</v>
      </c>
      <c r="D698" s="31" t="s">
        <v>14</v>
      </c>
      <c r="E698" s="55">
        <f>I698+G698+K698</f>
        <v>734777</v>
      </c>
      <c r="F698" s="76">
        <f>J698+H698+L698</f>
        <v>734777</v>
      </c>
      <c r="G698" s="78">
        <f>일위대가목록표!F670</f>
        <v>713377</v>
      </c>
      <c r="H698" s="80">
        <f>IF(C698=0,0,ROUNDDOWN(G698*C698,1))</f>
        <v>713377</v>
      </c>
      <c r="I698" s="78">
        <f>일위대가목록표!G670</f>
        <v>0</v>
      </c>
      <c r="J698" s="80">
        <f>IF(C698=0,0,ROUNDDOWN(I698*C698,1))</f>
        <v>0</v>
      </c>
      <c r="K698" s="78">
        <f>일위대가목록표!H670</f>
        <v>21400</v>
      </c>
      <c r="L698" s="80">
        <f>IF(C698=0,0,ROUNDDOWN(K698*C698,1))</f>
        <v>21400</v>
      </c>
      <c r="M698" s="22" t="s">
        <v>6432</v>
      </c>
      <c r="N698" s="17" t="s">
        <v>6429</v>
      </c>
      <c r="O698" s="7" t="s">
        <v>6430</v>
      </c>
      <c r="P698" s="7" t="s">
        <v>6406</v>
      </c>
      <c r="Z698" s="3" t="str">
        <f ca="1">HYPERLINK("#"&amp;일위대가목록표!J2&amp;"!A"&amp;ROW(일위대가목록표!A670),"대가667 →")</f>
        <v>대가667 →</v>
      </c>
    </row>
    <row r="699" spans="1:26" ht="28.7" customHeight="1" x14ac:dyDescent="0.3">
      <c r="A699" s="22" t="s">
        <v>6</v>
      </c>
      <c r="B699" s="74"/>
      <c r="C699" s="74"/>
      <c r="D699" s="74"/>
      <c r="E699" s="74"/>
      <c r="F699" s="48">
        <f>J699+H699+L699</f>
        <v>734777</v>
      </c>
      <c r="G699" s="74"/>
      <c r="H699" s="48">
        <f>ROUNDDOWN(SUMIF(P698:P698,O699,H698:H698),0)</f>
        <v>713377</v>
      </c>
      <c r="I699" s="74"/>
      <c r="J699" s="48">
        <f>ROUNDDOWN(SUMIF(P698:P698,O699,J698:J698),0)</f>
        <v>0</v>
      </c>
      <c r="K699" s="74"/>
      <c r="L699" s="48">
        <f>ROUNDDOWN(SUMIF(P698:P698,O699,L698:L698),0)</f>
        <v>21400</v>
      </c>
      <c r="M699" s="74"/>
      <c r="O699" s="7" t="s">
        <v>6406</v>
      </c>
    </row>
    <row r="700" spans="1:26" ht="28.7" customHeight="1" x14ac:dyDescent="0.3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</row>
    <row r="701" spans="1:26" ht="28.7" customHeight="1" x14ac:dyDescent="0.3">
      <c r="A701" s="136" t="s">
        <v>385</v>
      </c>
      <c r="B701" s="127"/>
      <c r="C701" s="127"/>
      <c r="D701" s="127"/>
      <c r="E701" s="127"/>
      <c r="F701" s="127"/>
      <c r="G701" s="127"/>
      <c r="H701" s="127"/>
      <c r="I701" s="127"/>
      <c r="J701" s="127"/>
      <c r="K701" s="127"/>
      <c r="L701" s="144"/>
      <c r="M701" s="22" t="s">
        <v>6956</v>
      </c>
      <c r="N701" s="84" t="str">
        <f>HYPERLINK("#N"&amp;ROW(N702),"_x0005_`BDCOD|B05219_x0007_`POSS|"&amp;ROW(N702)&amp;"_x0007_`POSE|"&amp;ROW(N702)&amp;"_x0007_`")</f>
        <v>_x0005_`BDCOD|B05219_x0007_`POSS|702_x0007_`POSE|702_x0007_`</v>
      </c>
      <c r="O701" s="7" t="s">
        <v>6957</v>
      </c>
    </row>
    <row r="702" spans="1:26" ht="28.7" customHeight="1" x14ac:dyDescent="0.3">
      <c r="A702" s="10" t="s">
        <v>1682</v>
      </c>
      <c r="B702" s="10" t="s">
        <v>1739</v>
      </c>
      <c r="C702" s="75">
        <v>1</v>
      </c>
      <c r="D702" s="31" t="s">
        <v>14</v>
      </c>
      <c r="E702" s="55">
        <f>I702+G702+K702</f>
        <v>980333</v>
      </c>
      <c r="F702" s="76">
        <f>J702+H702+L702</f>
        <v>980333</v>
      </c>
      <c r="G702" s="78">
        <f>일위대가목록표!F676</f>
        <v>951780</v>
      </c>
      <c r="H702" s="80">
        <f>IF(C702=0,0,ROUNDDOWN(G702*C702,1))</f>
        <v>951780</v>
      </c>
      <c r="I702" s="78">
        <f>일위대가목록표!G676</f>
        <v>0</v>
      </c>
      <c r="J702" s="80">
        <f>IF(C702=0,0,ROUNDDOWN(I702*C702,1))</f>
        <v>0</v>
      </c>
      <c r="K702" s="78">
        <f>일위대가목록표!H676</f>
        <v>28553</v>
      </c>
      <c r="L702" s="80">
        <f>IF(C702=0,0,ROUNDDOWN(K702*C702,1))</f>
        <v>28553</v>
      </c>
      <c r="M702" s="22" t="s">
        <v>6446</v>
      </c>
      <c r="N702" s="17" t="s">
        <v>6443</v>
      </c>
      <c r="O702" s="7" t="s">
        <v>6444</v>
      </c>
      <c r="P702" s="7" t="s">
        <v>6406</v>
      </c>
      <c r="Z702" s="3" t="str">
        <f ca="1">HYPERLINK("#"&amp;일위대가목록표!J2&amp;"!A"&amp;ROW(일위대가목록표!A676),"대가673 →")</f>
        <v>대가673 →</v>
      </c>
    </row>
    <row r="703" spans="1:26" ht="28.7" customHeight="1" x14ac:dyDescent="0.3">
      <c r="A703" s="22" t="s">
        <v>6</v>
      </c>
      <c r="B703" s="74"/>
      <c r="C703" s="74"/>
      <c r="D703" s="74"/>
      <c r="E703" s="74"/>
      <c r="F703" s="48">
        <f>J703+H703+L703</f>
        <v>980333</v>
      </c>
      <c r="G703" s="74"/>
      <c r="H703" s="48">
        <f>ROUNDDOWN(SUMIF(P702:P702,O703,H702:H702),0)</f>
        <v>951780</v>
      </c>
      <c r="I703" s="74"/>
      <c r="J703" s="48">
        <f>ROUNDDOWN(SUMIF(P702:P702,O703,J702:J702),0)</f>
        <v>0</v>
      </c>
      <c r="K703" s="74"/>
      <c r="L703" s="48">
        <f>ROUNDDOWN(SUMIF(P702:P702,O703,L702:L702),0)</f>
        <v>28553</v>
      </c>
      <c r="M703" s="74"/>
      <c r="O703" s="7" t="s">
        <v>6406</v>
      </c>
    </row>
    <row r="704" spans="1:26" ht="28.7" customHeight="1" x14ac:dyDescent="0.3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</row>
    <row r="705" spans="1:26" ht="28.7" customHeight="1" x14ac:dyDescent="0.3">
      <c r="A705" s="136" t="s">
        <v>387</v>
      </c>
      <c r="B705" s="127"/>
      <c r="C705" s="127"/>
      <c r="D705" s="127"/>
      <c r="E705" s="127"/>
      <c r="F705" s="127"/>
      <c r="G705" s="127"/>
      <c r="H705" s="127"/>
      <c r="I705" s="127"/>
      <c r="J705" s="127"/>
      <c r="K705" s="127"/>
      <c r="L705" s="144"/>
      <c r="M705" s="22" t="s">
        <v>6958</v>
      </c>
      <c r="N705" s="84" t="str">
        <f>HYPERLINK("#N"&amp;ROW(N706),"_x0005_`BDCOD|B05220_x0007_`POSS|"&amp;ROW(N706)&amp;"_x0007_`POSE|"&amp;ROW(N706)&amp;"_x0007_`")</f>
        <v>_x0005_`BDCOD|B05220_x0007_`POSS|706_x0007_`POSE|706_x0007_`</v>
      </c>
      <c r="O705" s="7" t="s">
        <v>6959</v>
      </c>
    </row>
    <row r="706" spans="1:26" ht="28.7" customHeight="1" x14ac:dyDescent="0.3">
      <c r="A706" s="10" t="s">
        <v>1682</v>
      </c>
      <c r="B706" s="10" t="s">
        <v>1739</v>
      </c>
      <c r="C706" s="75">
        <v>1</v>
      </c>
      <c r="D706" s="31" t="s">
        <v>14</v>
      </c>
      <c r="E706" s="55">
        <f>I706+G706+K706</f>
        <v>980333</v>
      </c>
      <c r="F706" s="76">
        <f>J706+H706+L706</f>
        <v>980333</v>
      </c>
      <c r="G706" s="78">
        <f>일위대가목록표!F676</f>
        <v>951780</v>
      </c>
      <c r="H706" s="80">
        <f>IF(C706=0,0,ROUNDDOWN(G706*C706,1))</f>
        <v>951780</v>
      </c>
      <c r="I706" s="78">
        <f>일위대가목록표!G676</f>
        <v>0</v>
      </c>
      <c r="J706" s="80">
        <f>IF(C706=0,0,ROUNDDOWN(I706*C706,1))</f>
        <v>0</v>
      </c>
      <c r="K706" s="78">
        <f>일위대가목록표!H676</f>
        <v>28553</v>
      </c>
      <c r="L706" s="80">
        <f>IF(C706=0,0,ROUNDDOWN(K706*C706,1))</f>
        <v>28553</v>
      </c>
      <c r="M706" s="22" t="s">
        <v>6446</v>
      </c>
      <c r="N706" s="17" t="s">
        <v>6443</v>
      </c>
      <c r="O706" s="7" t="s">
        <v>6444</v>
      </c>
      <c r="P706" s="7" t="s">
        <v>6406</v>
      </c>
      <c r="Z706" s="3" t="str">
        <f ca="1">HYPERLINK("#"&amp;일위대가목록표!J2&amp;"!A"&amp;ROW(일위대가목록표!A676),"대가673 →")</f>
        <v>대가673 →</v>
      </c>
    </row>
    <row r="707" spans="1:26" ht="28.7" customHeight="1" x14ac:dyDescent="0.3">
      <c r="A707" s="22" t="s">
        <v>6</v>
      </c>
      <c r="B707" s="74"/>
      <c r="C707" s="74"/>
      <c r="D707" s="74"/>
      <c r="E707" s="74"/>
      <c r="F707" s="48">
        <f>J707+H707+L707</f>
        <v>980333</v>
      </c>
      <c r="G707" s="74"/>
      <c r="H707" s="48">
        <f>ROUNDDOWN(SUMIF(P706:P706,O707,H706:H706),0)</f>
        <v>951780</v>
      </c>
      <c r="I707" s="74"/>
      <c r="J707" s="48">
        <f>ROUNDDOWN(SUMIF(P706:P706,O707,J706:J706),0)</f>
        <v>0</v>
      </c>
      <c r="K707" s="74"/>
      <c r="L707" s="48">
        <f>ROUNDDOWN(SUMIF(P706:P706,O707,L706:L706),0)</f>
        <v>28553</v>
      </c>
      <c r="M707" s="74"/>
      <c r="O707" s="7" t="s">
        <v>6406</v>
      </c>
    </row>
    <row r="708" spans="1:26" ht="28.7" customHeight="1" x14ac:dyDescent="0.3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</row>
    <row r="709" spans="1:26" ht="28.7" customHeight="1" x14ac:dyDescent="0.3">
      <c r="A709" s="136" t="s">
        <v>389</v>
      </c>
      <c r="B709" s="127"/>
      <c r="C709" s="127"/>
      <c r="D709" s="127"/>
      <c r="E709" s="127"/>
      <c r="F709" s="127"/>
      <c r="G709" s="127"/>
      <c r="H709" s="127"/>
      <c r="I709" s="127"/>
      <c r="J709" s="127"/>
      <c r="K709" s="127"/>
      <c r="L709" s="144"/>
      <c r="M709" s="22" t="s">
        <v>6960</v>
      </c>
      <c r="N709" s="84" t="str">
        <f>HYPERLINK("#N"&amp;ROW(N710),"_x0005_`BDCOD|B05221_x0007_`POSS|"&amp;ROW(N710)&amp;"_x0007_`POSE|"&amp;ROW(N710)&amp;"_x0007_`")</f>
        <v>_x0005_`BDCOD|B05221_x0007_`POSS|710_x0007_`POSE|710_x0007_`</v>
      </c>
      <c r="O709" s="7" t="s">
        <v>6961</v>
      </c>
    </row>
    <row r="710" spans="1:26" ht="28.7" customHeight="1" x14ac:dyDescent="0.3">
      <c r="A710" s="10" t="s">
        <v>1682</v>
      </c>
      <c r="B710" s="10" t="s">
        <v>1748</v>
      </c>
      <c r="C710" s="75">
        <v>1</v>
      </c>
      <c r="D710" s="31" t="s">
        <v>14</v>
      </c>
      <c r="E710" s="55">
        <f>I710+G710+K710</f>
        <v>1583750</v>
      </c>
      <c r="F710" s="76">
        <f>J710+H710+L710</f>
        <v>1583750</v>
      </c>
      <c r="G710" s="78">
        <f>일위대가목록표!F679</f>
        <v>1537622</v>
      </c>
      <c r="H710" s="80">
        <f>IF(C710=0,0,ROUNDDOWN(G710*C710,1))</f>
        <v>1537622</v>
      </c>
      <c r="I710" s="78">
        <f>일위대가목록표!G679</f>
        <v>0</v>
      </c>
      <c r="J710" s="80">
        <f>IF(C710=0,0,ROUNDDOWN(I710*C710,1))</f>
        <v>0</v>
      </c>
      <c r="K710" s="78">
        <f>일위대가목록표!H679</f>
        <v>46128</v>
      </c>
      <c r="L710" s="80">
        <f>IF(C710=0,0,ROUNDDOWN(K710*C710,1))</f>
        <v>46128</v>
      </c>
      <c r="M710" s="22" t="s">
        <v>6453</v>
      </c>
      <c r="N710" s="17" t="s">
        <v>6450</v>
      </c>
      <c r="O710" s="7" t="s">
        <v>6451</v>
      </c>
      <c r="P710" s="7" t="s">
        <v>6406</v>
      </c>
      <c r="Z710" s="3" t="str">
        <f ca="1">HYPERLINK("#"&amp;일위대가목록표!J2&amp;"!A"&amp;ROW(일위대가목록표!A679),"대가676 →")</f>
        <v>대가676 →</v>
      </c>
    </row>
    <row r="711" spans="1:26" ht="28.7" customHeight="1" x14ac:dyDescent="0.3">
      <c r="A711" s="22" t="s">
        <v>6</v>
      </c>
      <c r="B711" s="74"/>
      <c r="C711" s="74"/>
      <c r="D711" s="74"/>
      <c r="E711" s="74"/>
      <c r="F711" s="48">
        <f>J711+H711+L711</f>
        <v>1583750</v>
      </c>
      <c r="G711" s="74"/>
      <c r="H711" s="48">
        <f>ROUNDDOWN(SUMIF(P710:P710,O711,H710:H710),0)</f>
        <v>1537622</v>
      </c>
      <c r="I711" s="74"/>
      <c r="J711" s="48">
        <f>ROUNDDOWN(SUMIF(P710:P710,O711,J710:J710),0)</f>
        <v>0</v>
      </c>
      <c r="K711" s="74"/>
      <c r="L711" s="48">
        <f>ROUNDDOWN(SUMIF(P710:P710,O711,L710:L710),0)</f>
        <v>46128</v>
      </c>
      <c r="M711" s="74"/>
      <c r="O711" s="7" t="s">
        <v>6406</v>
      </c>
    </row>
    <row r="712" spans="1:26" ht="28.7" customHeight="1" x14ac:dyDescent="0.3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</row>
    <row r="713" spans="1:26" ht="28.7" customHeight="1" x14ac:dyDescent="0.3">
      <c r="A713" s="136" t="s">
        <v>391</v>
      </c>
      <c r="B713" s="127"/>
      <c r="C713" s="127"/>
      <c r="D713" s="127"/>
      <c r="E713" s="127"/>
      <c r="F713" s="127"/>
      <c r="G713" s="127"/>
      <c r="H713" s="127"/>
      <c r="I713" s="127"/>
      <c r="J713" s="127"/>
      <c r="K713" s="127"/>
      <c r="L713" s="144"/>
      <c r="M713" s="22" t="s">
        <v>6962</v>
      </c>
      <c r="N713" s="84" t="str">
        <f>HYPERLINK("#N"&amp;ROW(N714),"_x0005_`BDCOD|B05222_x0007_`POSS|"&amp;ROW(N714)&amp;"_x0007_`POSE|"&amp;ROW(N714)&amp;"_x0007_`")</f>
        <v>_x0005_`BDCOD|B05222_x0007_`POSS|714_x0007_`POSE|714_x0007_`</v>
      </c>
      <c r="O713" s="7" t="s">
        <v>6963</v>
      </c>
    </row>
    <row r="714" spans="1:26" ht="28.7" customHeight="1" x14ac:dyDescent="0.3">
      <c r="A714" s="10" t="s">
        <v>1682</v>
      </c>
      <c r="B714" s="10" t="s">
        <v>1748</v>
      </c>
      <c r="C714" s="75">
        <v>1</v>
      </c>
      <c r="D714" s="31" t="s">
        <v>14</v>
      </c>
      <c r="E714" s="55">
        <f>I714+G714+K714</f>
        <v>1583750</v>
      </c>
      <c r="F714" s="76">
        <f>J714+H714+L714</f>
        <v>1583750</v>
      </c>
      <c r="G714" s="78">
        <f>일위대가목록표!F679</f>
        <v>1537622</v>
      </c>
      <c r="H714" s="80">
        <f>IF(C714=0,0,ROUNDDOWN(G714*C714,1))</f>
        <v>1537622</v>
      </c>
      <c r="I714" s="78">
        <f>일위대가목록표!G679</f>
        <v>0</v>
      </c>
      <c r="J714" s="80">
        <f>IF(C714=0,0,ROUNDDOWN(I714*C714,1))</f>
        <v>0</v>
      </c>
      <c r="K714" s="78">
        <f>일위대가목록표!H679</f>
        <v>46128</v>
      </c>
      <c r="L714" s="80">
        <f>IF(C714=0,0,ROUNDDOWN(K714*C714,1))</f>
        <v>46128</v>
      </c>
      <c r="M714" s="22" t="s">
        <v>6453</v>
      </c>
      <c r="N714" s="17" t="s">
        <v>6450</v>
      </c>
      <c r="O714" s="7" t="s">
        <v>6451</v>
      </c>
      <c r="P714" s="7" t="s">
        <v>6406</v>
      </c>
      <c r="Z714" s="3" t="str">
        <f ca="1">HYPERLINK("#"&amp;일위대가목록표!J2&amp;"!A"&amp;ROW(일위대가목록표!A679),"대가676 →")</f>
        <v>대가676 →</v>
      </c>
    </row>
    <row r="715" spans="1:26" ht="28.7" customHeight="1" x14ac:dyDescent="0.3">
      <c r="A715" s="22" t="s">
        <v>6</v>
      </c>
      <c r="B715" s="74"/>
      <c r="C715" s="74"/>
      <c r="D715" s="74"/>
      <c r="E715" s="74"/>
      <c r="F715" s="48">
        <f>J715+H715+L715</f>
        <v>1583750</v>
      </c>
      <c r="G715" s="74"/>
      <c r="H715" s="48">
        <f>ROUNDDOWN(SUMIF(P714:P714,O715,H714:H714),0)</f>
        <v>1537622</v>
      </c>
      <c r="I715" s="74"/>
      <c r="J715" s="48">
        <f>ROUNDDOWN(SUMIF(P714:P714,O715,J714:J714),0)</f>
        <v>0</v>
      </c>
      <c r="K715" s="74"/>
      <c r="L715" s="48">
        <f>ROUNDDOWN(SUMIF(P714:P714,O715,L714:L714),0)</f>
        <v>46128</v>
      </c>
      <c r="M715" s="74"/>
      <c r="O715" s="7" t="s">
        <v>6406</v>
      </c>
    </row>
    <row r="716" spans="1:26" ht="28.7" customHeight="1" x14ac:dyDescent="0.3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</row>
    <row r="717" spans="1:26" ht="28.7" customHeight="1" x14ac:dyDescent="0.3">
      <c r="A717" s="136" t="s">
        <v>393</v>
      </c>
      <c r="B717" s="127"/>
      <c r="C717" s="127"/>
      <c r="D717" s="127"/>
      <c r="E717" s="127"/>
      <c r="F717" s="127"/>
      <c r="G717" s="127"/>
      <c r="H717" s="127"/>
      <c r="I717" s="127"/>
      <c r="J717" s="127"/>
      <c r="K717" s="127"/>
      <c r="L717" s="144"/>
      <c r="M717" s="22" t="s">
        <v>6964</v>
      </c>
      <c r="N717" s="84" t="str">
        <f>HYPERLINK("#N"&amp;ROW(N718),"_x0005_`BDCOD|B05223_x0007_`POSS|"&amp;ROW(N718)&amp;"_x0007_`POSE|"&amp;ROW(N718)&amp;"_x0007_`")</f>
        <v>_x0005_`BDCOD|B05223_x0007_`POSS|718_x0007_`POSE|718_x0007_`</v>
      </c>
      <c r="O717" s="7" t="s">
        <v>6965</v>
      </c>
    </row>
    <row r="718" spans="1:26" ht="28.7" customHeight="1" x14ac:dyDescent="0.3">
      <c r="A718" s="10" t="s">
        <v>1682</v>
      </c>
      <c r="B718" s="10" t="s">
        <v>1748</v>
      </c>
      <c r="C718" s="75">
        <v>1</v>
      </c>
      <c r="D718" s="31" t="s">
        <v>14</v>
      </c>
      <c r="E718" s="55">
        <f>I718+G718+K718</f>
        <v>1583750</v>
      </c>
      <c r="F718" s="76">
        <f>J718+H718+L718</f>
        <v>1583750</v>
      </c>
      <c r="G718" s="78">
        <f>일위대가목록표!F679</f>
        <v>1537622</v>
      </c>
      <c r="H718" s="80">
        <f>IF(C718=0,0,ROUNDDOWN(G718*C718,1))</f>
        <v>1537622</v>
      </c>
      <c r="I718" s="78">
        <f>일위대가목록표!G679</f>
        <v>0</v>
      </c>
      <c r="J718" s="80">
        <f>IF(C718=0,0,ROUNDDOWN(I718*C718,1))</f>
        <v>0</v>
      </c>
      <c r="K718" s="78">
        <f>일위대가목록표!H679</f>
        <v>46128</v>
      </c>
      <c r="L718" s="80">
        <f>IF(C718=0,0,ROUNDDOWN(K718*C718,1))</f>
        <v>46128</v>
      </c>
      <c r="M718" s="22" t="s">
        <v>6453</v>
      </c>
      <c r="N718" s="17" t="s">
        <v>6450</v>
      </c>
      <c r="O718" s="7" t="s">
        <v>6451</v>
      </c>
      <c r="P718" s="7" t="s">
        <v>6406</v>
      </c>
      <c r="Z718" s="3" t="str">
        <f ca="1">HYPERLINK("#"&amp;일위대가목록표!J2&amp;"!A"&amp;ROW(일위대가목록표!A679),"대가676 →")</f>
        <v>대가676 →</v>
      </c>
    </row>
    <row r="719" spans="1:26" ht="28.7" customHeight="1" x14ac:dyDescent="0.3">
      <c r="A719" s="22" t="s">
        <v>6</v>
      </c>
      <c r="B719" s="74"/>
      <c r="C719" s="74"/>
      <c r="D719" s="74"/>
      <c r="E719" s="74"/>
      <c r="F719" s="48">
        <f>J719+H719+L719</f>
        <v>1583750</v>
      </c>
      <c r="G719" s="74"/>
      <c r="H719" s="48">
        <f>ROUNDDOWN(SUMIF(P718:P718,O719,H718:H718),0)</f>
        <v>1537622</v>
      </c>
      <c r="I719" s="74"/>
      <c r="J719" s="48">
        <f>ROUNDDOWN(SUMIF(P718:P718,O719,J718:J718),0)</f>
        <v>0</v>
      </c>
      <c r="K719" s="74"/>
      <c r="L719" s="48">
        <f>ROUNDDOWN(SUMIF(P718:P718,O719,L718:L718),0)</f>
        <v>46128</v>
      </c>
      <c r="M719" s="74"/>
      <c r="O719" s="7" t="s">
        <v>6406</v>
      </c>
    </row>
    <row r="720" spans="1:26" ht="28.7" customHeight="1" x14ac:dyDescent="0.3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</row>
    <row r="721" spans="1:26" ht="28.7" customHeight="1" x14ac:dyDescent="0.3">
      <c r="A721" s="136" t="s">
        <v>395</v>
      </c>
      <c r="B721" s="127"/>
      <c r="C721" s="127"/>
      <c r="D721" s="127"/>
      <c r="E721" s="127"/>
      <c r="F721" s="127"/>
      <c r="G721" s="127"/>
      <c r="H721" s="127"/>
      <c r="I721" s="127"/>
      <c r="J721" s="127"/>
      <c r="K721" s="127"/>
      <c r="L721" s="144"/>
      <c r="M721" s="22" t="s">
        <v>6966</v>
      </c>
      <c r="N721" s="84" t="str">
        <f>HYPERLINK("#N"&amp;ROW(N722),"_x0005_`BDCOD|B05224_x0007_`POSS|"&amp;ROW(N722)&amp;"_x0007_`POSE|"&amp;ROW(N722)&amp;"_x0007_`")</f>
        <v>_x0005_`BDCOD|B05224_x0007_`POSS|722_x0007_`POSE|722_x0007_`</v>
      </c>
      <c r="O721" s="7" t="s">
        <v>6967</v>
      </c>
    </row>
    <row r="722" spans="1:26" ht="28.7" customHeight="1" x14ac:dyDescent="0.3">
      <c r="A722" s="10" t="s">
        <v>1682</v>
      </c>
      <c r="B722" s="10" t="s">
        <v>1757</v>
      </c>
      <c r="C722" s="75">
        <v>1</v>
      </c>
      <c r="D722" s="31" t="s">
        <v>14</v>
      </c>
      <c r="E722" s="55">
        <f>I722+G722+K722</f>
        <v>2044858</v>
      </c>
      <c r="F722" s="76">
        <f>J722+H722+L722</f>
        <v>2044858</v>
      </c>
      <c r="G722" s="78">
        <f>일위대가목록표!F682</f>
        <v>1985300</v>
      </c>
      <c r="H722" s="80">
        <f>IF(C722=0,0,ROUNDDOWN(G722*C722,1))</f>
        <v>1985300</v>
      </c>
      <c r="I722" s="78">
        <f>일위대가목록표!G682</f>
        <v>0</v>
      </c>
      <c r="J722" s="80">
        <f>IF(C722=0,0,ROUNDDOWN(I722*C722,1))</f>
        <v>0</v>
      </c>
      <c r="K722" s="78">
        <f>일위대가목록표!H682</f>
        <v>59558</v>
      </c>
      <c r="L722" s="80">
        <f>IF(C722=0,0,ROUNDDOWN(K722*C722,1))</f>
        <v>59558</v>
      </c>
      <c r="M722" s="22" t="s">
        <v>6460</v>
      </c>
      <c r="N722" s="17" t="s">
        <v>6457</v>
      </c>
      <c r="O722" s="7" t="s">
        <v>6458</v>
      </c>
      <c r="P722" s="7" t="s">
        <v>6406</v>
      </c>
      <c r="Z722" s="3" t="str">
        <f ca="1">HYPERLINK("#"&amp;일위대가목록표!J2&amp;"!A"&amp;ROW(일위대가목록표!A682),"대가679 →")</f>
        <v>대가679 →</v>
      </c>
    </row>
    <row r="723" spans="1:26" ht="28.7" customHeight="1" x14ac:dyDescent="0.3">
      <c r="A723" s="22" t="s">
        <v>6</v>
      </c>
      <c r="B723" s="74"/>
      <c r="C723" s="74"/>
      <c r="D723" s="74"/>
      <c r="E723" s="74"/>
      <c r="F723" s="48">
        <f>J723+H723+L723</f>
        <v>2044858</v>
      </c>
      <c r="G723" s="74"/>
      <c r="H723" s="48">
        <f>ROUNDDOWN(SUMIF(P722:P722,O723,H722:H722),0)</f>
        <v>1985300</v>
      </c>
      <c r="I723" s="74"/>
      <c r="J723" s="48">
        <f>ROUNDDOWN(SUMIF(P722:P722,O723,J722:J722),0)</f>
        <v>0</v>
      </c>
      <c r="K723" s="74"/>
      <c r="L723" s="48">
        <f>ROUNDDOWN(SUMIF(P722:P722,O723,L722:L722),0)</f>
        <v>59558</v>
      </c>
      <c r="M723" s="74"/>
      <c r="O723" s="7" t="s">
        <v>6406</v>
      </c>
    </row>
    <row r="724" spans="1:26" ht="28.7" customHeight="1" x14ac:dyDescent="0.3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</row>
    <row r="725" spans="1:26" ht="28.7" customHeight="1" x14ac:dyDescent="0.3">
      <c r="A725" s="136" t="s">
        <v>397</v>
      </c>
      <c r="B725" s="127"/>
      <c r="C725" s="127"/>
      <c r="D725" s="127"/>
      <c r="E725" s="127"/>
      <c r="F725" s="127"/>
      <c r="G725" s="127"/>
      <c r="H725" s="127"/>
      <c r="I725" s="127"/>
      <c r="J725" s="127"/>
      <c r="K725" s="127"/>
      <c r="L725" s="144"/>
      <c r="M725" s="22" t="s">
        <v>6968</v>
      </c>
      <c r="N725" s="84" t="str">
        <f>HYPERLINK("#N"&amp;ROW(N726),"_x0005_`BDCOD|B05225_x0007_`POSS|"&amp;ROW(N726)&amp;"_x0007_`POSE|"&amp;ROW(N726)&amp;"_x0007_`")</f>
        <v>_x0005_`BDCOD|B05225_x0007_`POSS|726_x0007_`POSE|726_x0007_`</v>
      </c>
      <c r="O725" s="7" t="s">
        <v>6969</v>
      </c>
    </row>
    <row r="726" spans="1:26" ht="28.7" customHeight="1" x14ac:dyDescent="0.3">
      <c r="A726" s="10" t="s">
        <v>1682</v>
      </c>
      <c r="B726" s="10" t="s">
        <v>1766</v>
      </c>
      <c r="C726" s="75">
        <v>1</v>
      </c>
      <c r="D726" s="31" t="s">
        <v>14</v>
      </c>
      <c r="E726" s="55">
        <f>I726+G726+K726</f>
        <v>3289807</v>
      </c>
      <c r="F726" s="76">
        <f>J726+H726+L726</f>
        <v>3289807</v>
      </c>
      <c r="G726" s="78">
        <f>일위대가목록표!F685</f>
        <v>3193989</v>
      </c>
      <c r="H726" s="80">
        <f>IF(C726=0,0,ROUNDDOWN(G726*C726,1))</f>
        <v>3193989</v>
      </c>
      <c r="I726" s="78">
        <f>일위대가목록표!G685</f>
        <v>0</v>
      </c>
      <c r="J726" s="80">
        <f>IF(C726=0,0,ROUNDDOWN(I726*C726,1))</f>
        <v>0</v>
      </c>
      <c r="K726" s="78">
        <f>일위대가목록표!H685</f>
        <v>95818</v>
      </c>
      <c r="L726" s="80">
        <f>IF(C726=0,0,ROUNDDOWN(K726*C726,1))</f>
        <v>95818</v>
      </c>
      <c r="M726" s="22" t="s">
        <v>6467</v>
      </c>
      <c r="N726" s="17" t="s">
        <v>6464</v>
      </c>
      <c r="O726" s="7" t="s">
        <v>6465</v>
      </c>
      <c r="P726" s="7" t="s">
        <v>6406</v>
      </c>
      <c r="Z726" s="3" t="str">
        <f ca="1">HYPERLINK("#"&amp;일위대가목록표!J2&amp;"!A"&amp;ROW(일위대가목록표!A685),"대가682 →")</f>
        <v>대가682 →</v>
      </c>
    </row>
    <row r="727" spans="1:26" ht="28.7" customHeight="1" x14ac:dyDescent="0.3">
      <c r="A727" s="22" t="s">
        <v>6</v>
      </c>
      <c r="B727" s="74"/>
      <c r="C727" s="74"/>
      <c r="D727" s="74"/>
      <c r="E727" s="74"/>
      <c r="F727" s="48">
        <f>J727+H727+L727</f>
        <v>3289807</v>
      </c>
      <c r="G727" s="74"/>
      <c r="H727" s="48">
        <f>ROUNDDOWN(SUMIF(P726:P726,O727,H726:H726),0)</f>
        <v>3193989</v>
      </c>
      <c r="I727" s="74"/>
      <c r="J727" s="48">
        <f>ROUNDDOWN(SUMIF(P726:P726,O727,J726:J726),0)</f>
        <v>0</v>
      </c>
      <c r="K727" s="74"/>
      <c r="L727" s="48">
        <f>ROUNDDOWN(SUMIF(P726:P726,O727,L726:L726),0)</f>
        <v>95818</v>
      </c>
      <c r="M727" s="74"/>
      <c r="O727" s="7" t="s">
        <v>6406</v>
      </c>
    </row>
    <row r="728" spans="1:26" ht="28.7" customHeight="1" x14ac:dyDescent="0.3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</row>
    <row r="729" spans="1:26" ht="28.7" customHeight="1" x14ac:dyDescent="0.3">
      <c r="A729" s="136" t="s">
        <v>399</v>
      </c>
      <c r="B729" s="127"/>
      <c r="C729" s="127"/>
      <c r="D729" s="127"/>
      <c r="E729" s="127"/>
      <c r="F729" s="127"/>
      <c r="G729" s="127"/>
      <c r="H729" s="127"/>
      <c r="I729" s="127"/>
      <c r="J729" s="127"/>
      <c r="K729" s="127"/>
      <c r="L729" s="144"/>
      <c r="M729" s="22" t="s">
        <v>6970</v>
      </c>
      <c r="N729" s="84" t="str">
        <f>HYPERLINK("#N"&amp;ROW(N730),"_x0005_`BDCOD|B05226_x0007_`POSS|"&amp;ROW(N730)&amp;"_x0007_`POSE|"&amp;ROW(N730)&amp;"_x0007_`")</f>
        <v>_x0005_`BDCOD|B05226_x0007_`POSS|730_x0007_`POSE|730_x0007_`</v>
      </c>
      <c r="O729" s="7" t="s">
        <v>6971</v>
      </c>
    </row>
    <row r="730" spans="1:26" ht="28.7" customHeight="1" x14ac:dyDescent="0.3">
      <c r="A730" s="10" t="s">
        <v>1682</v>
      </c>
      <c r="B730" s="10" t="s">
        <v>1775</v>
      </c>
      <c r="C730" s="75">
        <v>1</v>
      </c>
      <c r="D730" s="31" t="s">
        <v>14</v>
      </c>
      <c r="E730" s="55">
        <f>I730+G730+K730</f>
        <v>4030109</v>
      </c>
      <c r="F730" s="76">
        <f>J730+H730+L730</f>
        <v>4030109</v>
      </c>
      <c r="G730" s="78">
        <f>일위대가목록표!F688</f>
        <v>3912728</v>
      </c>
      <c r="H730" s="80">
        <f>IF(C730=0,0,ROUNDDOWN(G730*C730,1))</f>
        <v>3912728</v>
      </c>
      <c r="I730" s="78">
        <f>일위대가목록표!G688</f>
        <v>0</v>
      </c>
      <c r="J730" s="80">
        <f>IF(C730=0,0,ROUNDDOWN(I730*C730,1))</f>
        <v>0</v>
      </c>
      <c r="K730" s="78">
        <f>일위대가목록표!H688</f>
        <v>117381</v>
      </c>
      <c r="L730" s="80">
        <f>IF(C730=0,0,ROUNDDOWN(K730*C730,1))</f>
        <v>117381</v>
      </c>
      <c r="M730" s="22" t="s">
        <v>6478</v>
      </c>
      <c r="N730" s="17" t="s">
        <v>6475</v>
      </c>
      <c r="O730" s="7" t="s">
        <v>6476</v>
      </c>
      <c r="P730" s="7" t="s">
        <v>6406</v>
      </c>
      <c r="Z730" s="3" t="str">
        <f ca="1">HYPERLINK("#"&amp;일위대가목록표!J2&amp;"!A"&amp;ROW(일위대가목록표!A688),"대가685 →")</f>
        <v>대가685 →</v>
      </c>
    </row>
    <row r="731" spans="1:26" ht="28.7" customHeight="1" x14ac:dyDescent="0.3">
      <c r="A731" s="22" t="s">
        <v>6</v>
      </c>
      <c r="B731" s="74"/>
      <c r="C731" s="74"/>
      <c r="D731" s="74"/>
      <c r="E731" s="74"/>
      <c r="F731" s="48">
        <f>J731+H731+L731</f>
        <v>4030109</v>
      </c>
      <c r="G731" s="74"/>
      <c r="H731" s="48">
        <f>ROUNDDOWN(SUMIF(P730:P730,O731,H730:H730),0)</f>
        <v>3912728</v>
      </c>
      <c r="I731" s="74"/>
      <c r="J731" s="48">
        <f>ROUNDDOWN(SUMIF(P730:P730,O731,J730:J730),0)</f>
        <v>0</v>
      </c>
      <c r="K731" s="74"/>
      <c r="L731" s="48">
        <f>ROUNDDOWN(SUMIF(P730:P730,O731,L730:L730),0)</f>
        <v>117381</v>
      </c>
      <c r="M731" s="74"/>
      <c r="O731" s="7" t="s">
        <v>6406</v>
      </c>
    </row>
    <row r="732" spans="1:26" ht="28.7" customHeight="1" x14ac:dyDescent="0.3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</row>
    <row r="733" spans="1:26" ht="28.7" customHeight="1" x14ac:dyDescent="0.3">
      <c r="A733" s="136" t="s">
        <v>401</v>
      </c>
      <c r="B733" s="127"/>
      <c r="C733" s="127"/>
      <c r="D733" s="127"/>
      <c r="E733" s="127"/>
      <c r="F733" s="127"/>
      <c r="G733" s="127"/>
      <c r="H733" s="127"/>
      <c r="I733" s="127"/>
      <c r="J733" s="127"/>
      <c r="K733" s="127"/>
      <c r="L733" s="144"/>
      <c r="M733" s="22" t="s">
        <v>6972</v>
      </c>
      <c r="N733" s="84" t="str">
        <f>HYPERLINK("#N"&amp;ROW(N734),"_x0005_`BDCOD|B05227_x0007_`POSS|"&amp;ROW(N734)&amp;"_x0007_`POSE|"&amp;ROW(N734)&amp;"_x0007_`")</f>
        <v>_x0005_`BDCOD|B05227_x0007_`POSS|734_x0007_`POSE|734_x0007_`</v>
      </c>
      <c r="O733" s="7" t="s">
        <v>6973</v>
      </c>
    </row>
    <row r="734" spans="1:26" ht="28.7" customHeight="1" x14ac:dyDescent="0.3">
      <c r="A734" s="10" t="s">
        <v>1690</v>
      </c>
      <c r="B734" s="10" t="s">
        <v>1691</v>
      </c>
      <c r="C734" s="75">
        <v>1</v>
      </c>
      <c r="D734" s="31" t="s">
        <v>14</v>
      </c>
      <c r="E734" s="55">
        <f>I734+G734+K734</f>
        <v>260910</v>
      </c>
      <c r="F734" s="76">
        <f>J734+H734+L734</f>
        <v>260910</v>
      </c>
      <c r="G734" s="78">
        <f>일위대가목록표!F660</f>
        <v>253311</v>
      </c>
      <c r="H734" s="80">
        <f>IF(C734=0,0,ROUNDDOWN(G734*C734,1))</f>
        <v>253311</v>
      </c>
      <c r="I734" s="78">
        <f>일위대가목록표!G660</f>
        <v>0</v>
      </c>
      <c r="J734" s="80">
        <f>IF(C734=0,0,ROUNDDOWN(I734*C734,1))</f>
        <v>0</v>
      </c>
      <c r="K734" s="78">
        <f>일위대가목록표!H660</f>
        <v>7599</v>
      </c>
      <c r="L734" s="80">
        <f>IF(C734=0,0,ROUNDDOWN(K734*C734,1))</f>
        <v>7599</v>
      </c>
      <c r="M734" s="22" t="s">
        <v>6512</v>
      </c>
      <c r="N734" s="17" t="s">
        <v>6510</v>
      </c>
      <c r="O734" s="7" t="s">
        <v>6511</v>
      </c>
      <c r="P734" s="7" t="s">
        <v>6406</v>
      </c>
      <c r="Z734" s="3" t="str">
        <f ca="1">HYPERLINK("#"&amp;일위대가목록표!J2&amp;"!A"&amp;ROW(일위대가목록표!A660),"대가657 →")</f>
        <v>대가657 →</v>
      </c>
    </row>
    <row r="735" spans="1:26" ht="28.7" customHeight="1" x14ac:dyDescent="0.3">
      <c r="A735" s="22" t="s">
        <v>6</v>
      </c>
      <c r="B735" s="74"/>
      <c r="C735" s="74"/>
      <c r="D735" s="74"/>
      <c r="E735" s="74"/>
      <c r="F735" s="48">
        <f>J735+H735+L735</f>
        <v>260910</v>
      </c>
      <c r="G735" s="74"/>
      <c r="H735" s="48">
        <f>ROUNDDOWN(SUMIF(P734:P734,O735,H734:H734),0)</f>
        <v>253311</v>
      </c>
      <c r="I735" s="74"/>
      <c r="J735" s="48">
        <f>ROUNDDOWN(SUMIF(P734:P734,O735,J734:J734),0)</f>
        <v>0</v>
      </c>
      <c r="K735" s="74"/>
      <c r="L735" s="48">
        <f>ROUNDDOWN(SUMIF(P734:P734,O735,L734:L734),0)</f>
        <v>7599</v>
      </c>
      <c r="M735" s="74"/>
      <c r="O735" s="7" t="s">
        <v>6406</v>
      </c>
    </row>
    <row r="736" spans="1:26" ht="28.7" customHeight="1" x14ac:dyDescent="0.3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</row>
    <row r="737" spans="1:26" ht="28.7" customHeight="1" x14ac:dyDescent="0.3">
      <c r="A737" s="136" t="s">
        <v>404</v>
      </c>
      <c r="B737" s="127"/>
      <c r="C737" s="127"/>
      <c r="D737" s="127"/>
      <c r="E737" s="127"/>
      <c r="F737" s="127"/>
      <c r="G737" s="127"/>
      <c r="H737" s="127"/>
      <c r="I737" s="127"/>
      <c r="J737" s="127"/>
      <c r="K737" s="127"/>
      <c r="L737" s="144"/>
      <c r="M737" s="22" t="s">
        <v>6974</v>
      </c>
      <c r="N737" s="84" t="str">
        <f>HYPERLINK("#N"&amp;ROW(N738),"_x0005_`BDCOD|B05228_x0007_`POSS|"&amp;ROW(N738)&amp;"_x0007_`POSE|"&amp;ROW(N738)&amp;"_x0007_`")</f>
        <v>_x0005_`BDCOD|B05228_x0007_`POSS|738_x0007_`POSE|738_x0007_`</v>
      </c>
      <c r="O737" s="7" t="s">
        <v>6975</v>
      </c>
    </row>
    <row r="738" spans="1:26" ht="28.7" customHeight="1" x14ac:dyDescent="0.3">
      <c r="A738" s="10" t="s">
        <v>1690</v>
      </c>
      <c r="B738" s="10" t="s">
        <v>1700</v>
      </c>
      <c r="C738" s="75">
        <v>1</v>
      </c>
      <c r="D738" s="31" t="s">
        <v>14</v>
      </c>
      <c r="E738" s="55">
        <f>I738+G738+K738</f>
        <v>300644</v>
      </c>
      <c r="F738" s="76">
        <f>J738+H738+L738</f>
        <v>300644</v>
      </c>
      <c r="G738" s="78">
        <f>일위대가목록표!F663</f>
        <v>291888</v>
      </c>
      <c r="H738" s="80">
        <f>IF(C738=0,0,ROUNDDOWN(G738*C738,1))</f>
        <v>291888</v>
      </c>
      <c r="I738" s="78">
        <f>일위대가목록표!G663</f>
        <v>0</v>
      </c>
      <c r="J738" s="80">
        <f>IF(C738=0,0,ROUNDDOWN(I738*C738,1))</f>
        <v>0</v>
      </c>
      <c r="K738" s="78">
        <f>일위대가목록표!H663</f>
        <v>8756</v>
      </c>
      <c r="L738" s="80">
        <f>IF(C738=0,0,ROUNDDOWN(K738*C738,1))</f>
        <v>8756</v>
      </c>
      <c r="M738" s="22" t="s">
        <v>6517</v>
      </c>
      <c r="N738" s="17" t="s">
        <v>6515</v>
      </c>
      <c r="O738" s="7" t="s">
        <v>6516</v>
      </c>
      <c r="P738" s="7" t="s">
        <v>6406</v>
      </c>
      <c r="Z738" s="3" t="str">
        <f ca="1">HYPERLINK("#"&amp;일위대가목록표!J2&amp;"!A"&amp;ROW(일위대가목록표!A663),"대가660 →")</f>
        <v>대가660 →</v>
      </c>
    </row>
    <row r="739" spans="1:26" ht="28.7" customHeight="1" x14ac:dyDescent="0.3">
      <c r="A739" s="22" t="s">
        <v>6</v>
      </c>
      <c r="B739" s="74"/>
      <c r="C739" s="74"/>
      <c r="D739" s="74"/>
      <c r="E739" s="74"/>
      <c r="F739" s="48">
        <f>J739+H739+L739</f>
        <v>300644</v>
      </c>
      <c r="G739" s="74"/>
      <c r="H739" s="48">
        <f>ROUNDDOWN(SUMIF(P738:P738,O739,H738:H738),0)</f>
        <v>291888</v>
      </c>
      <c r="I739" s="74"/>
      <c r="J739" s="48">
        <f>ROUNDDOWN(SUMIF(P738:P738,O739,J738:J738),0)</f>
        <v>0</v>
      </c>
      <c r="K739" s="74"/>
      <c r="L739" s="48">
        <f>ROUNDDOWN(SUMIF(P738:P738,O739,L738:L738),0)</f>
        <v>8756</v>
      </c>
      <c r="M739" s="74"/>
      <c r="O739" s="7" t="s">
        <v>6406</v>
      </c>
    </row>
    <row r="740" spans="1:26" ht="28.7" customHeight="1" x14ac:dyDescent="0.3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</row>
    <row r="741" spans="1:26" ht="28.7" customHeight="1" x14ac:dyDescent="0.3">
      <c r="A741" s="136" t="s">
        <v>406</v>
      </c>
      <c r="B741" s="127"/>
      <c r="C741" s="127"/>
      <c r="D741" s="127"/>
      <c r="E741" s="127"/>
      <c r="F741" s="127"/>
      <c r="G741" s="127"/>
      <c r="H741" s="127"/>
      <c r="I741" s="127"/>
      <c r="J741" s="127"/>
      <c r="K741" s="127"/>
      <c r="L741" s="144"/>
      <c r="M741" s="22" t="s">
        <v>6976</v>
      </c>
      <c r="N741" s="84" t="str">
        <f>HYPERLINK("#N"&amp;ROW(N742),"_x0005_`BDCOD|B05216_x0007_`POSS|"&amp;ROW(N742)&amp;"_x0007_`POSE|"&amp;ROW(N742)&amp;"_x0007_`")</f>
        <v>_x0005_`BDCOD|B05216_x0007_`POSS|742_x0007_`POSE|742_x0007_`</v>
      </c>
      <c r="O741" s="7" t="s">
        <v>6977</v>
      </c>
    </row>
    <row r="742" spans="1:26" ht="28.7" customHeight="1" x14ac:dyDescent="0.3">
      <c r="A742" s="10" t="s">
        <v>1690</v>
      </c>
      <c r="B742" s="10" t="s">
        <v>1709</v>
      </c>
      <c r="C742" s="75">
        <v>1</v>
      </c>
      <c r="D742" s="31" t="s">
        <v>14</v>
      </c>
      <c r="E742" s="55">
        <f>I742+G742+K742</f>
        <v>345249</v>
      </c>
      <c r="F742" s="76">
        <f>J742+H742+L742</f>
        <v>345249</v>
      </c>
      <c r="G742" s="78">
        <f>일위대가목록표!F666</f>
        <v>335194</v>
      </c>
      <c r="H742" s="80">
        <f>IF(C742=0,0,ROUNDDOWN(G742*C742,1))</f>
        <v>335194</v>
      </c>
      <c r="I742" s="78">
        <f>일위대가목록표!G666</f>
        <v>0</v>
      </c>
      <c r="J742" s="80">
        <f>IF(C742=0,0,ROUNDDOWN(I742*C742,1))</f>
        <v>0</v>
      </c>
      <c r="K742" s="78">
        <f>일위대가목록표!H666</f>
        <v>10055</v>
      </c>
      <c r="L742" s="80">
        <f>IF(C742=0,0,ROUNDDOWN(K742*C742,1))</f>
        <v>10055</v>
      </c>
      <c r="M742" s="22" t="s">
        <v>6673</v>
      </c>
      <c r="N742" s="17" t="s">
        <v>6671</v>
      </c>
      <c r="O742" s="7" t="s">
        <v>6672</v>
      </c>
      <c r="P742" s="7" t="s">
        <v>6406</v>
      </c>
      <c r="Z742" s="3" t="str">
        <f ca="1">HYPERLINK("#"&amp;일위대가목록표!J2&amp;"!A"&amp;ROW(일위대가목록표!A666),"대가663 →")</f>
        <v>대가663 →</v>
      </c>
    </row>
    <row r="743" spans="1:26" ht="28.7" customHeight="1" x14ac:dyDescent="0.3">
      <c r="A743" s="22" t="s">
        <v>6</v>
      </c>
      <c r="B743" s="74"/>
      <c r="C743" s="74"/>
      <c r="D743" s="74"/>
      <c r="E743" s="74"/>
      <c r="F743" s="48">
        <f>J743+H743+L743</f>
        <v>345249</v>
      </c>
      <c r="G743" s="74"/>
      <c r="H743" s="48">
        <f>ROUNDDOWN(SUMIF(P742:P742,O743,H742:H742),0)</f>
        <v>335194</v>
      </c>
      <c r="I743" s="74"/>
      <c r="J743" s="48">
        <f>ROUNDDOWN(SUMIF(P742:P742,O743,J742:J742),0)</f>
        <v>0</v>
      </c>
      <c r="K743" s="74"/>
      <c r="L743" s="48">
        <f>ROUNDDOWN(SUMIF(P742:P742,O743,L742:L742),0)</f>
        <v>10055</v>
      </c>
      <c r="M743" s="74"/>
      <c r="O743" s="7" t="s">
        <v>6406</v>
      </c>
    </row>
    <row r="744" spans="1:26" ht="28.7" customHeight="1" x14ac:dyDescent="0.3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</row>
    <row r="745" spans="1:26" ht="28.7" customHeight="1" x14ac:dyDescent="0.3">
      <c r="A745" s="136" t="s">
        <v>408</v>
      </c>
      <c r="B745" s="127"/>
      <c r="C745" s="127"/>
      <c r="D745" s="127"/>
      <c r="E745" s="127"/>
      <c r="F745" s="127"/>
      <c r="G745" s="127"/>
      <c r="H745" s="127"/>
      <c r="I745" s="127"/>
      <c r="J745" s="127"/>
      <c r="K745" s="127"/>
      <c r="L745" s="144"/>
      <c r="M745" s="22" t="s">
        <v>6978</v>
      </c>
      <c r="N745" s="84" t="str">
        <f>HYPERLINK("#N"&amp;ROW(N746),"_x0005_`BDCOD|B05229_x0007_`POSS|"&amp;ROW(N746)&amp;"_x0007_`POSE|"&amp;ROW(N746)&amp;"_x0007_`")</f>
        <v>_x0005_`BDCOD|B05229_x0007_`POSS|746_x0007_`POSE|746_x0007_`</v>
      </c>
      <c r="O745" s="7" t="s">
        <v>6979</v>
      </c>
    </row>
    <row r="746" spans="1:26" ht="28.7" customHeight="1" x14ac:dyDescent="0.3">
      <c r="A746" s="10" t="s">
        <v>1690</v>
      </c>
      <c r="B746" s="10" t="s">
        <v>1718</v>
      </c>
      <c r="C746" s="75">
        <v>1</v>
      </c>
      <c r="D746" s="31" t="s">
        <v>14</v>
      </c>
      <c r="E746" s="55">
        <f>I746+G746+K746</f>
        <v>415977</v>
      </c>
      <c r="F746" s="76">
        <f>J746+H746+L746</f>
        <v>415977</v>
      </c>
      <c r="G746" s="78">
        <f>일위대가목록표!F669</f>
        <v>403862</v>
      </c>
      <c r="H746" s="80">
        <f>IF(C746=0,0,ROUNDDOWN(G746*C746,1))</f>
        <v>403862</v>
      </c>
      <c r="I746" s="78">
        <f>일위대가목록표!G669</f>
        <v>0</v>
      </c>
      <c r="J746" s="80">
        <f>IF(C746=0,0,ROUNDDOWN(I746*C746,1))</f>
        <v>0</v>
      </c>
      <c r="K746" s="78">
        <f>일위대가목록표!H669</f>
        <v>12115</v>
      </c>
      <c r="L746" s="80">
        <f>IF(C746=0,0,ROUNDDOWN(K746*C746,1))</f>
        <v>12115</v>
      </c>
      <c r="M746" s="22" t="s">
        <v>6678</v>
      </c>
      <c r="N746" s="17" t="s">
        <v>6676</v>
      </c>
      <c r="O746" s="7" t="s">
        <v>6677</v>
      </c>
      <c r="P746" s="7" t="s">
        <v>6406</v>
      </c>
      <c r="Z746" s="3" t="str">
        <f ca="1">HYPERLINK("#"&amp;일위대가목록표!J2&amp;"!A"&amp;ROW(일위대가목록표!A669),"대가666 →")</f>
        <v>대가666 →</v>
      </c>
    </row>
    <row r="747" spans="1:26" ht="28.7" customHeight="1" x14ac:dyDescent="0.3">
      <c r="A747" s="22" t="s">
        <v>6</v>
      </c>
      <c r="B747" s="74"/>
      <c r="C747" s="74"/>
      <c r="D747" s="74"/>
      <c r="E747" s="74"/>
      <c r="F747" s="48">
        <f>J747+H747+L747</f>
        <v>415977</v>
      </c>
      <c r="G747" s="74"/>
      <c r="H747" s="48">
        <f>ROUNDDOWN(SUMIF(P746:P746,O747,H746:H746),0)</f>
        <v>403862</v>
      </c>
      <c r="I747" s="74"/>
      <c r="J747" s="48">
        <f>ROUNDDOWN(SUMIF(P746:P746,O747,J746:J746),0)</f>
        <v>0</v>
      </c>
      <c r="K747" s="74"/>
      <c r="L747" s="48">
        <f>ROUNDDOWN(SUMIF(P746:P746,O747,L746:L746),0)</f>
        <v>12115</v>
      </c>
      <c r="M747" s="74"/>
      <c r="O747" s="7" t="s">
        <v>6406</v>
      </c>
    </row>
    <row r="748" spans="1:26" ht="28.7" customHeight="1" x14ac:dyDescent="0.3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</row>
    <row r="749" spans="1:26" ht="28.7" customHeight="1" x14ac:dyDescent="0.3">
      <c r="A749" s="136" t="s">
        <v>410</v>
      </c>
      <c r="B749" s="127"/>
      <c r="C749" s="127"/>
      <c r="D749" s="127"/>
      <c r="E749" s="127"/>
      <c r="F749" s="127"/>
      <c r="G749" s="127"/>
      <c r="H749" s="127"/>
      <c r="I749" s="127"/>
      <c r="J749" s="127"/>
      <c r="K749" s="127"/>
      <c r="L749" s="144"/>
      <c r="M749" s="22" t="s">
        <v>6980</v>
      </c>
      <c r="N749" s="84" t="str">
        <f>HYPERLINK("#N"&amp;ROW(N750),"_x0005_`BDCOD|B05230_x0007_`POSS|"&amp;ROW(N750)&amp;"_x0007_`POSE|"&amp;ROW(N750)&amp;"_x0007_`")</f>
        <v>_x0005_`BDCOD|B05230_x0007_`POSS|750_x0007_`POSE|750_x0007_`</v>
      </c>
      <c r="O749" s="7" t="s">
        <v>6981</v>
      </c>
    </row>
    <row r="750" spans="1:26" ht="28.7" customHeight="1" x14ac:dyDescent="0.3">
      <c r="A750" s="10" t="s">
        <v>1690</v>
      </c>
      <c r="B750" s="10" t="s">
        <v>1727</v>
      </c>
      <c r="C750" s="75">
        <v>1</v>
      </c>
      <c r="D750" s="31" t="s">
        <v>14</v>
      </c>
      <c r="E750" s="55">
        <f>I750+G750+K750</f>
        <v>524841</v>
      </c>
      <c r="F750" s="76">
        <f>J750+H750+L750</f>
        <v>524841</v>
      </c>
      <c r="G750" s="78">
        <f>일위대가목록표!F672</f>
        <v>509555</v>
      </c>
      <c r="H750" s="80">
        <f>IF(C750=0,0,ROUNDDOWN(G750*C750,1))</f>
        <v>509555</v>
      </c>
      <c r="I750" s="78">
        <f>일위대가목록표!G672</f>
        <v>0</v>
      </c>
      <c r="J750" s="80">
        <f>IF(C750=0,0,ROUNDDOWN(I750*C750,1))</f>
        <v>0</v>
      </c>
      <c r="K750" s="78">
        <f>일위대가목록표!H672</f>
        <v>15286</v>
      </c>
      <c r="L750" s="80">
        <f>IF(C750=0,0,ROUNDDOWN(K750*C750,1))</f>
        <v>15286</v>
      </c>
      <c r="M750" s="22" t="s">
        <v>6683</v>
      </c>
      <c r="N750" s="17" t="s">
        <v>6681</v>
      </c>
      <c r="O750" s="7" t="s">
        <v>6682</v>
      </c>
      <c r="P750" s="7" t="s">
        <v>6406</v>
      </c>
      <c r="Z750" s="3" t="str">
        <f ca="1">HYPERLINK("#"&amp;일위대가목록표!J2&amp;"!A"&amp;ROW(일위대가목록표!A672),"대가669 →")</f>
        <v>대가669 →</v>
      </c>
    </row>
    <row r="751" spans="1:26" ht="28.7" customHeight="1" x14ac:dyDescent="0.3">
      <c r="A751" s="22" t="s">
        <v>6</v>
      </c>
      <c r="B751" s="74"/>
      <c r="C751" s="74"/>
      <c r="D751" s="74"/>
      <c r="E751" s="74"/>
      <c r="F751" s="48">
        <f>J751+H751+L751</f>
        <v>524841</v>
      </c>
      <c r="G751" s="74"/>
      <c r="H751" s="48">
        <f>ROUNDDOWN(SUMIF(P750:P750,O751,H750:H750),0)</f>
        <v>509555</v>
      </c>
      <c r="I751" s="74"/>
      <c r="J751" s="48">
        <f>ROUNDDOWN(SUMIF(P750:P750,O751,J750:J750),0)</f>
        <v>0</v>
      </c>
      <c r="K751" s="74"/>
      <c r="L751" s="48">
        <f>ROUNDDOWN(SUMIF(P750:P750,O751,L750:L750),0)</f>
        <v>15286</v>
      </c>
      <c r="M751" s="74"/>
      <c r="O751" s="7" t="s">
        <v>6406</v>
      </c>
    </row>
    <row r="752" spans="1:26" ht="28.7" customHeight="1" x14ac:dyDescent="0.3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</row>
    <row r="753" spans="1:26" ht="28.7" customHeight="1" x14ac:dyDescent="0.3">
      <c r="A753" s="136" t="s">
        <v>412</v>
      </c>
      <c r="B753" s="127"/>
      <c r="C753" s="127"/>
      <c r="D753" s="127"/>
      <c r="E753" s="127"/>
      <c r="F753" s="127"/>
      <c r="G753" s="127"/>
      <c r="H753" s="127"/>
      <c r="I753" s="127"/>
      <c r="J753" s="127"/>
      <c r="K753" s="127"/>
      <c r="L753" s="144"/>
      <c r="M753" s="22" t="s">
        <v>6982</v>
      </c>
      <c r="N753" s="84" t="str">
        <f>HYPERLINK("#N"&amp;ROW(N754),"_x0005_`BDCOD|B05231_x0007_`POSS|"&amp;ROW(N754)&amp;"_x0007_`POSE|"&amp;ROW(N754)&amp;"_x0007_`")</f>
        <v>_x0005_`BDCOD|B05231_x0007_`POSS|754_x0007_`POSE|754_x0007_`</v>
      </c>
      <c r="O753" s="7" t="s">
        <v>6983</v>
      </c>
    </row>
    <row r="754" spans="1:26" ht="28.7" customHeight="1" x14ac:dyDescent="0.3">
      <c r="A754" s="10" t="s">
        <v>1690</v>
      </c>
      <c r="B754" s="10" t="s">
        <v>1745</v>
      </c>
      <c r="C754" s="75">
        <v>1</v>
      </c>
      <c r="D754" s="31" t="s">
        <v>14</v>
      </c>
      <c r="E754" s="55">
        <f>I754+G754+K754</f>
        <v>700238</v>
      </c>
      <c r="F754" s="76">
        <f>J754+H754+L754</f>
        <v>700238</v>
      </c>
      <c r="G754" s="78">
        <f>일위대가목록표!F678</f>
        <v>679843</v>
      </c>
      <c r="H754" s="80">
        <f>IF(C754=0,0,ROUNDDOWN(G754*C754,1))</f>
        <v>679843</v>
      </c>
      <c r="I754" s="78">
        <f>일위대가목록표!G678</f>
        <v>0</v>
      </c>
      <c r="J754" s="80">
        <f>IF(C754=0,0,ROUNDDOWN(I754*C754,1))</f>
        <v>0</v>
      </c>
      <c r="K754" s="78">
        <f>일위대가목록표!H678</f>
        <v>20395</v>
      </c>
      <c r="L754" s="80">
        <f>IF(C754=0,0,ROUNDDOWN(K754*C754,1))</f>
        <v>20395</v>
      </c>
      <c r="M754" s="22" t="s">
        <v>6693</v>
      </c>
      <c r="N754" s="17" t="s">
        <v>6691</v>
      </c>
      <c r="O754" s="7" t="s">
        <v>6692</v>
      </c>
      <c r="P754" s="7" t="s">
        <v>6406</v>
      </c>
      <c r="Z754" s="3" t="str">
        <f ca="1">HYPERLINK("#"&amp;일위대가목록표!J2&amp;"!A"&amp;ROW(일위대가목록표!A678),"대가675 →")</f>
        <v>대가675 →</v>
      </c>
    </row>
    <row r="755" spans="1:26" ht="28.7" customHeight="1" x14ac:dyDescent="0.3">
      <c r="A755" s="22" t="s">
        <v>6</v>
      </c>
      <c r="B755" s="74"/>
      <c r="C755" s="74"/>
      <c r="D755" s="74"/>
      <c r="E755" s="74"/>
      <c r="F755" s="48">
        <f>J755+H755+L755</f>
        <v>700238</v>
      </c>
      <c r="G755" s="74"/>
      <c r="H755" s="48">
        <f>ROUNDDOWN(SUMIF(P754:P754,O755,H754:H754),0)</f>
        <v>679843</v>
      </c>
      <c r="I755" s="74"/>
      <c r="J755" s="48">
        <f>ROUNDDOWN(SUMIF(P754:P754,O755,J754:J754),0)</f>
        <v>0</v>
      </c>
      <c r="K755" s="74"/>
      <c r="L755" s="48">
        <f>ROUNDDOWN(SUMIF(P754:P754,O755,L754:L754),0)</f>
        <v>20395</v>
      </c>
      <c r="M755" s="74"/>
      <c r="O755" s="7" t="s">
        <v>6406</v>
      </c>
    </row>
    <row r="756" spans="1:26" ht="28.7" customHeight="1" x14ac:dyDescent="0.3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</row>
    <row r="757" spans="1:26" ht="28.7" customHeight="1" x14ac:dyDescent="0.3">
      <c r="A757" s="136" t="s">
        <v>414</v>
      </c>
      <c r="B757" s="127"/>
      <c r="C757" s="127"/>
      <c r="D757" s="127"/>
      <c r="E757" s="127"/>
      <c r="F757" s="127"/>
      <c r="G757" s="127"/>
      <c r="H757" s="127"/>
      <c r="I757" s="127"/>
      <c r="J757" s="127"/>
      <c r="K757" s="127"/>
      <c r="L757" s="144"/>
      <c r="M757" s="22" t="s">
        <v>6984</v>
      </c>
      <c r="N757" s="84" t="str">
        <f>HYPERLINK("#N"&amp;ROW(N758),"_x0005_`BDCOD|B05232_x0007_`POSS|"&amp;ROW(N758)&amp;"_x0007_`POSE|"&amp;ROW(N758)&amp;"_x0007_`")</f>
        <v>_x0005_`BDCOD|B05232_x0007_`POSS|758_x0007_`POSE|758_x0007_`</v>
      </c>
      <c r="O757" s="7" t="s">
        <v>6985</v>
      </c>
    </row>
    <row r="758" spans="1:26" ht="28.7" customHeight="1" x14ac:dyDescent="0.3">
      <c r="A758" s="10" t="s">
        <v>1690</v>
      </c>
      <c r="B758" s="10" t="s">
        <v>1745</v>
      </c>
      <c r="C758" s="75">
        <v>1</v>
      </c>
      <c r="D758" s="31" t="s">
        <v>14</v>
      </c>
      <c r="E758" s="55">
        <f>I758+G758+K758</f>
        <v>700238</v>
      </c>
      <c r="F758" s="76">
        <f>J758+H758+L758</f>
        <v>700238</v>
      </c>
      <c r="G758" s="78">
        <f>일위대가목록표!F678</f>
        <v>679843</v>
      </c>
      <c r="H758" s="80">
        <f>IF(C758=0,0,ROUNDDOWN(G758*C758,1))</f>
        <v>679843</v>
      </c>
      <c r="I758" s="78">
        <f>일위대가목록표!G678</f>
        <v>0</v>
      </c>
      <c r="J758" s="80">
        <f>IF(C758=0,0,ROUNDDOWN(I758*C758,1))</f>
        <v>0</v>
      </c>
      <c r="K758" s="78">
        <f>일위대가목록표!H678</f>
        <v>20395</v>
      </c>
      <c r="L758" s="80">
        <f>IF(C758=0,0,ROUNDDOWN(K758*C758,1))</f>
        <v>20395</v>
      </c>
      <c r="M758" s="22" t="s">
        <v>6693</v>
      </c>
      <c r="N758" s="17" t="s">
        <v>6691</v>
      </c>
      <c r="O758" s="7" t="s">
        <v>6692</v>
      </c>
      <c r="P758" s="7" t="s">
        <v>6406</v>
      </c>
      <c r="Z758" s="3" t="str">
        <f ca="1">HYPERLINK("#"&amp;일위대가목록표!J2&amp;"!A"&amp;ROW(일위대가목록표!A678),"대가675 →")</f>
        <v>대가675 →</v>
      </c>
    </row>
    <row r="759" spans="1:26" ht="28.7" customHeight="1" x14ac:dyDescent="0.3">
      <c r="A759" s="22" t="s">
        <v>6</v>
      </c>
      <c r="B759" s="74"/>
      <c r="C759" s="74"/>
      <c r="D759" s="74"/>
      <c r="E759" s="74"/>
      <c r="F759" s="48">
        <f>J759+H759+L759</f>
        <v>700238</v>
      </c>
      <c r="G759" s="74"/>
      <c r="H759" s="48">
        <f>ROUNDDOWN(SUMIF(P758:P758,O759,H758:H758),0)</f>
        <v>679843</v>
      </c>
      <c r="I759" s="74"/>
      <c r="J759" s="48">
        <f>ROUNDDOWN(SUMIF(P758:P758,O759,J758:J758),0)</f>
        <v>0</v>
      </c>
      <c r="K759" s="74"/>
      <c r="L759" s="48">
        <f>ROUNDDOWN(SUMIF(P758:P758,O759,L758:L758),0)</f>
        <v>20395</v>
      </c>
      <c r="M759" s="74"/>
      <c r="O759" s="7" t="s">
        <v>6406</v>
      </c>
    </row>
    <row r="760" spans="1:26" ht="28.7" customHeight="1" x14ac:dyDescent="0.3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</row>
    <row r="761" spans="1:26" ht="28.7" customHeight="1" x14ac:dyDescent="0.3">
      <c r="A761" s="136" t="s">
        <v>416</v>
      </c>
      <c r="B761" s="127"/>
      <c r="C761" s="127"/>
      <c r="D761" s="127"/>
      <c r="E761" s="127"/>
      <c r="F761" s="127"/>
      <c r="G761" s="127"/>
      <c r="H761" s="127"/>
      <c r="I761" s="127"/>
      <c r="J761" s="127"/>
      <c r="K761" s="127"/>
      <c r="L761" s="144"/>
      <c r="M761" s="22" t="s">
        <v>6986</v>
      </c>
      <c r="N761" s="84" t="str">
        <f>HYPERLINK("#N"&amp;ROW(N762),"_x0005_`BDCOD|B05233_x0007_`POSS|"&amp;ROW(N762)&amp;"_x0007_`POSE|"&amp;ROW(N762)&amp;"_x0007_`")</f>
        <v>_x0005_`BDCOD|B05233_x0007_`POSS|762_x0007_`POSE|762_x0007_`</v>
      </c>
      <c r="O761" s="7" t="s">
        <v>6987</v>
      </c>
    </row>
    <row r="762" spans="1:26" ht="28.7" customHeight="1" x14ac:dyDescent="0.3">
      <c r="A762" s="10" t="s">
        <v>1690</v>
      </c>
      <c r="B762" s="10" t="s">
        <v>1754</v>
      </c>
      <c r="C762" s="75">
        <v>1</v>
      </c>
      <c r="D762" s="31" t="s">
        <v>14</v>
      </c>
      <c r="E762" s="55">
        <f>I762+G762+K762</f>
        <v>1131251</v>
      </c>
      <c r="F762" s="76">
        <f>J762+H762+L762</f>
        <v>1131251</v>
      </c>
      <c r="G762" s="78">
        <f>일위대가목록표!F681</f>
        <v>1098302</v>
      </c>
      <c r="H762" s="80">
        <f>IF(C762=0,0,ROUNDDOWN(G762*C762,1))</f>
        <v>1098302</v>
      </c>
      <c r="I762" s="78">
        <f>일위대가목록표!G681</f>
        <v>0</v>
      </c>
      <c r="J762" s="80">
        <f>IF(C762=0,0,ROUNDDOWN(I762*C762,1))</f>
        <v>0</v>
      </c>
      <c r="K762" s="78">
        <f>일위대가목록표!H681</f>
        <v>32949</v>
      </c>
      <c r="L762" s="80">
        <f>IF(C762=0,0,ROUNDDOWN(K762*C762,1))</f>
        <v>32949</v>
      </c>
      <c r="M762" s="22" t="s">
        <v>6698</v>
      </c>
      <c r="N762" s="17" t="s">
        <v>6696</v>
      </c>
      <c r="O762" s="7" t="s">
        <v>6697</v>
      </c>
      <c r="P762" s="7" t="s">
        <v>6406</v>
      </c>
      <c r="Z762" s="3" t="str">
        <f ca="1">HYPERLINK("#"&amp;일위대가목록표!J2&amp;"!A"&amp;ROW(일위대가목록표!A681),"대가678 →")</f>
        <v>대가678 →</v>
      </c>
    </row>
    <row r="763" spans="1:26" ht="28.7" customHeight="1" x14ac:dyDescent="0.3">
      <c r="A763" s="22" t="s">
        <v>6</v>
      </c>
      <c r="B763" s="74"/>
      <c r="C763" s="74"/>
      <c r="D763" s="74"/>
      <c r="E763" s="74"/>
      <c r="F763" s="48">
        <f>J763+H763+L763</f>
        <v>1131251</v>
      </c>
      <c r="G763" s="74"/>
      <c r="H763" s="48">
        <f>ROUNDDOWN(SUMIF(P762:P762,O763,H762:H762),0)</f>
        <v>1098302</v>
      </c>
      <c r="I763" s="74"/>
      <c r="J763" s="48">
        <f>ROUNDDOWN(SUMIF(P762:P762,O763,J762:J762),0)</f>
        <v>0</v>
      </c>
      <c r="K763" s="74"/>
      <c r="L763" s="48">
        <f>ROUNDDOWN(SUMIF(P762:P762,O763,L762:L762),0)</f>
        <v>32949</v>
      </c>
      <c r="M763" s="74"/>
      <c r="O763" s="7" t="s">
        <v>6406</v>
      </c>
    </row>
    <row r="764" spans="1:26" ht="28.7" customHeight="1" x14ac:dyDescent="0.3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</row>
    <row r="765" spans="1:26" ht="28.7" customHeight="1" x14ac:dyDescent="0.3">
      <c r="A765" s="136" t="s">
        <v>418</v>
      </c>
      <c r="B765" s="127"/>
      <c r="C765" s="127"/>
      <c r="D765" s="127"/>
      <c r="E765" s="127"/>
      <c r="F765" s="127"/>
      <c r="G765" s="127"/>
      <c r="H765" s="127"/>
      <c r="I765" s="127"/>
      <c r="J765" s="127"/>
      <c r="K765" s="127"/>
      <c r="L765" s="144"/>
      <c r="M765" s="22" t="s">
        <v>6988</v>
      </c>
      <c r="N765" s="84" t="str">
        <f>HYPERLINK("#N"&amp;ROW(N766),"_x0005_`BDCOD|B05234_x0007_`POSS|"&amp;ROW(N766)&amp;"_x0007_`POSE|"&amp;ROW(N766)&amp;"_x0007_`")</f>
        <v>_x0005_`BDCOD|B05234_x0007_`POSS|766_x0007_`POSE|766_x0007_`</v>
      </c>
      <c r="O765" s="7" t="s">
        <v>6989</v>
      </c>
    </row>
    <row r="766" spans="1:26" ht="28.7" customHeight="1" x14ac:dyDescent="0.3">
      <c r="A766" s="10" t="s">
        <v>1690</v>
      </c>
      <c r="B766" s="10" t="s">
        <v>1754</v>
      </c>
      <c r="C766" s="75">
        <v>1</v>
      </c>
      <c r="D766" s="31" t="s">
        <v>14</v>
      </c>
      <c r="E766" s="55">
        <f>I766+G766+K766</f>
        <v>1131251</v>
      </c>
      <c r="F766" s="76">
        <f>J766+H766+L766</f>
        <v>1131251</v>
      </c>
      <c r="G766" s="78">
        <f>일위대가목록표!F681</f>
        <v>1098302</v>
      </c>
      <c r="H766" s="80">
        <f>IF(C766=0,0,ROUNDDOWN(G766*C766,1))</f>
        <v>1098302</v>
      </c>
      <c r="I766" s="78">
        <f>일위대가목록표!G681</f>
        <v>0</v>
      </c>
      <c r="J766" s="80">
        <f>IF(C766=0,0,ROUNDDOWN(I766*C766,1))</f>
        <v>0</v>
      </c>
      <c r="K766" s="78">
        <f>일위대가목록표!H681</f>
        <v>32949</v>
      </c>
      <c r="L766" s="80">
        <f>IF(C766=0,0,ROUNDDOWN(K766*C766,1))</f>
        <v>32949</v>
      </c>
      <c r="M766" s="22" t="s">
        <v>6698</v>
      </c>
      <c r="N766" s="17" t="s">
        <v>6696</v>
      </c>
      <c r="O766" s="7" t="s">
        <v>6697</v>
      </c>
      <c r="P766" s="7" t="s">
        <v>6406</v>
      </c>
      <c r="Z766" s="3" t="str">
        <f ca="1">HYPERLINK("#"&amp;일위대가목록표!J2&amp;"!A"&amp;ROW(일위대가목록표!A681),"대가678 →")</f>
        <v>대가678 →</v>
      </c>
    </row>
    <row r="767" spans="1:26" ht="28.7" customHeight="1" x14ac:dyDescent="0.3">
      <c r="A767" s="22" t="s">
        <v>6</v>
      </c>
      <c r="B767" s="74"/>
      <c r="C767" s="74"/>
      <c r="D767" s="74"/>
      <c r="E767" s="74"/>
      <c r="F767" s="48">
        <f>J767+H767+L767</f>
        <v>1131251</v>
      </c>
      <c r="G767" s="74"/>
      <c r="H767" s="48">
        <f>ROUNDDOWN(SUMIF(P766:P766,O767,H766:H766),0)</f>
        <v>1098302</v>
      </c>
      <c r="I767" s="74"/>
      <c r="J767" s="48">
        <f>ROUNDDOWN(SUMIF(P766:P766,O767,J766:J766),0)</f>
        <v>0</v>
      </c>
      <c r="K767" s="74"/>
      <c r="L767" s="48">
        <f>ROUNDDOWN(SUMIF(P766:P766,O767,L766:L766),0)</f>
        <v>32949</v>
      </c>
      <c r="M767" s="74"/>
      <c r="O767" s="7" t="s">
        <v>6406</v>
      </c>
    </row>
    <row r="768" spans="1:26" ht="28.7" customHeight="1" x14ac:dyDescent="0.3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</row>
    <row r="769" spans="1:26" ht="28.7" customHeight="1" x14ac:dyDescent="0.3">
      <c r="A769" s="136" t="s">
        <v>420</v>
      </c>
      <c r="B769" s="127"/>
      <c r="C769" s="127"/>
      <c r="D769" s="127"/>
      <c r="E769" s="127"/>
      <c r="F769" s="127"/>
      <c r="G769" s="127"/>
      <c r="H769" s="127"/>
      <c r="I769" s="127"/>
      <c r="J769" s="127"/>
      <c r="K769" s="127"/>
      <c r="L769" s="144"/>
      <c r="M769" s="22" t="s">
        <v>6990</v>
      </c>
      <c r="N769" s="84" t="str">
        <f>HYPERLINK("#N"&amp;ROW(N770),"_x0005_`BDCOD|B05236_x0007_`POSS|"&amp;ROW(N770)&amp;"_x0007_`POSE|"&amp;ROW(N770)&amp;"_x0007_`")</f>
        <v>_x0005_`BDCOD|B05236_x0007_`POSS|770_x0007_`POSE|770_x0007_`</v>
      </c>
      <c r="O769" s="7" t="s">
        <v>6991</v>
      </c>
    </row>
    <row r="770" spans="1:26" ht="28.7" customHeight="1" x14ac:dyDescent="0.3">
      <c r="A770" s="10" t="s">
        <v>1690</v>
      </c>
      <c r="B770" s="10" t="s">
        <v>1754</v>
      </c>
      <c r="C770" s="75">
        <v>1</v>
      </c>
      <c r="D770" s="31" t="s">
        <v>14</v>
      </c>
      <c r="E770" s="55">
        <f>I770+G770+K770</f>
        <v>1131251</v>
      </c>
      <c r="F770" s="76">
        <f>J770+H770+L770</f>
        <v>1131251</v>
      </c>
      <c r="G770" s="78">
        <f>일위대가목록표!F681</f>
        <v>1098302</v>
      </c>
      <c r="H770" s="80">
        <f>IF(C770=0,0,ROUNDDOWN(G770*C770,1))</f>
        <v>1098302</v>
      </c>
      <c r="I770" s="78">
        <f>일위대가목록표!G681</f>
        <v>0</v>
      </c>
      <c r="J770" s="80">
        <f>IF(C770=0,0,ROUNDDOWN(I770*C770,1))</f>
        <v>0</v>
      </c>
      <c r="K770" s="78">
        <f>일위대가목록표!H681</f>
        <v>32949</v>
      </c>
      <c r="L770" s="80">
        <f>IF(C770=0,0,ROUNDDOWN(K770*C770,1))</f>
        <v>32949</v>
      </c>
      <c r="M770" s="22" t="s">
        <v>6698</v>
      </c>
      <c r="N770" s="17" t="s">
        <v>6696</v>
      </c>
      <c r="O770" s="7" t="s">
        <v>6697</v>
      </c>
      <c r="P770" s="7" t="s">
        <v>6406</v>
      </c>
      <c r="Z770" s="3" t="str">
        <f ca="1">HYPERLINK("#"&amp;일위대가목록표!J2&amp;"!A"&amp;ROW(일위대가목록표!A681),"대가678 →")</f>
        <v>대가678 →</v>
      </c>
    </row>
    <row r="771" spans="1:26" ht="28.7" customHeight="1" x14ac:dyDescent="0.3">
      <c r="A771" s="22" t="s">
        <v>6</v>
      </c>
      <c r="B771" s="74"/>
      <c r="C771" s="74"/>
      <c r="D771" s="74"/>
      <c r="E771" s="74"/>
      <c r="F771" s="48">
        <f>J771+H771+L771</f>
        <v>1131251</v>
      </c>
      <c r="G771" s="74"/>
      <c r="H771" s="48">
        <f>ROUNDDOWN(SUMIF(P770:P770,O771,H770:H770),0)</f>
        <v>1098302</v>
      </c>
      <c r="I771" s="74"/>
      <c r="J771" s="48">
        <f>ROUNDDOWN(SUMIF(P770:P770,O771,J770:J770),0)</f>
        <v>0</v>
      </c>
      <c r="K771" s="74"/>
      <c r="L771" s="48">
        <f>ROUNDDOWN(SUMIF(P770:P770,O771,L770:L770),0)</f>
        <v>32949</v>
      </c>
      <c r="M771" s="74"/>
      <c r="O771" s="7" t="s">
        <v>6406</v>
      </c>
    </row>
    <row r="772" spans="1:26" ht="28.7" customHeight="1" x14ac:dyDescent="0.3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</row>
    <row r="773" spans="1:26" ht="28.7" customHeight="1" x14ac:dyDescent="0.3">
      <c r="A773" s="136" t="s">
        <v>422</v>
      </c>
      <c r="B773" s="127"/>
      <c r="C773" s="127"/>
      <c r="D773" s="127"/>
      <c r="E773" s="127"/>
      <c r="F773" s="127"/>
      <c r="G773" s="127"/>
      <c r="H773" s="127"/>
      <c r="I773" s="127"/>
      <c r="J773" s="127"/>
      <c r="K773" s="127"/>
      <c r="L773" s="144"/>
      <c r="M773" s="22" t="s">
        <v>6992</v>
      </c>
      <c r="N773" s="84" t="str">
        <f>HYPERLINK("#N"&amp;ROW(N774),"_x0005_`BDCOD|B05237_x0007_`POSS|"&amp;ROW(N774)&amp;"_x0007_`POSE|"&amp;ROW(N774)&amp;"_x0007_`")</f>
        <v>_x0005_`BDCOD|B05237_x0007_`POSS|774_x0007_`POSE|774_x0007_`</v>
      </c>
      <c r="O773" s="7" t="s">
        <v>6993</v>
      </c>
    </row>
    <row r="774" spans="1:26" ht="28.7" customHeight="1" x14ac:dyDescent="0.3">
      <c r="A774" s="10" t="s">
        <v>1690</v>
      </c>
      <c r="B774" s="10" t="s">
        <v>1763</v>
      </c>
      <c r="C774" s="75">
        <v>1</v>
      </c>
      <c r="D774" s="31" t="s">
        <v>14</v>
      </c>
      <c r="E774" s="55">
        <f>I774+G774+K774</f>
        <v>1460614</v>
      </c>
      <c r="F774" s="76">
        <f>J774+H774+L774</f>
        <v>1460614</v>
      </c>
      <c r="G774" s="78">
        <f>일위대가목록표!F684</f>
        <v>1418072</v>
      </c>
      <c r="H774" s="80">
        <f>IF(C774=0,0,ROUNDDOWN(G774*C774,1))</f>
        <v>1418072</v>
      </c>
      <c r="I774" s="78">
        <f>일위대가목록표!G684</f>
        <v>0</v>
      </c>
      <c r="J774" s="80">
        <f>IF(C774=0,0,ROUNDDOWN(I774*C774,1))</f>
        <v>0</v>
      </c>
      <c r="K774" s="78">
        <f>일위대가목록표!H684</f>
        <v>42542</v>
      </c>
      <c r="L774" s="80">
        <f>IF(C774=0,0,ROUNDDOWN(K774*C774,1))</f>
        <v>42542</v>
      </c>
      <c r="M774" s="22" t="s">
        <v>6703</v>
      </c>
      <c r="N774" s="17" t="s">
        <v>6701</v>
      </c>
      <c r="O774" s="7" t="s">
        <v>6702</v>
      </c>
      <c r="P774" s="7" t="s">
        <v>6406</v>
      </c>
      <c r="Z774" s="3" t="str">
        <f ca="1">HYPERLINK("#"&amp;일위대가목록표!J2&amp;"!A"&amp;ROW(일위대가목록표!A684),"대가681 →")</f>
        <v>대가681 →</v>
      </c>
    </row>
    <row r="775" spans="1:26" ht="28.7" customHeight="1" x14ac:dyDescent="0.3">
      <c r="A775" s="22" t="s">
        <v>6</v>
      </c>
      <c r="B775" s="74"/>
      <c r="C775" s="74"/>
      <c r="D775" s="74"/>
      <c r="E775" s="74"/>
      <c r="F775" s="48">
        <f>J775+H775+L775</f>
        <v>1460614</v>
      </c>
      <c r="G775" s="74"/>
      <c r="H775" s="48">
        <f>ROUNDDOWN(SUMIF(P774:P774,O775,H774:H774),0)</f>
        <v>1418072</v>
      </c>
      <c r="I775" s="74"/>
      <c r="J775" s="48">
        <f>ROUNDDOWN(SUMIF(P774:P774,O775,J774:J774),0)</f>
        <v>0</v>
      </c>
      <c r="K775" s="74"/>
      <c r="L775" s="48">
        <f>ROUNDDOWN(SUMIF(P774:P774,O775,L774:L774),0)</f>
        <v>42542</v>
      </c>
      <c r="M775" s="74"/>
      <c r="O775" s="7" t="s">
        <v>6406</v>
      </c>
    </row>
    <row r="776" spans="1:26" ht="28.7" customHeight="1" x14ac:dyDescent="0.3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</row>
    <row r="777" spans="1:26" ht="28.7" customHeight="1" x14ac:dyDescent="0.3">
      <c r="A777" s="136" t="s">
        <v>424</v>
      </c>
      <c r="B777" s="127"/>
      <c r="C777" s="127"/>
      <c r="D777" s="127"/>
      <c r="E777" s="127"/>
      <c r="F777" s="127"/>
      <c r="G777" s="127"/>
      <c r="H777" s="127"/>
      <c r="I777" s="127"/>
      <c r="J777" s="127"/>
      <c r="K777" s="127"/>
      <c r="L777" s="144"/>
      <c r="M777" s="22" t="s">
        <v>6994</v>
      </c>
      <c r="N777" s="84" t="str">
        <f>HYPERLINK("#N"&amp;ROW(N778),"_x0005_`BDCOD|B05238_x0007_`POSS|"&amp;ROW(N778)&amp;"_x0007_`POSE|"&amp;ROW(N778)&amp;"_x0007_`")</f>
        <v>_x0005_`BDCOD|B05238_x0007_`POSS|778_x0007_`POSE|778_x0007_`</v>
      </c>
      <c r="O777" s="7" t="s">
        <v>6995</v>
      </c>
    </row>
    <row r="778" spans="1:26" ht="28.7" customHeight="1" x14ac:dyDescent="0.3">
      <c r="A778" s="10" t="s">
        <v>1690</v>
      </c>
      <c r="B778" s="10" t="s">
        <v>1772</v>
      </c>
      <c r="C778" s="75">
        <v>1</v>
      </c>
      <c r="D778" s="31" t="s">
        <v>14</v>
      </c>
      <c r="E778" s="55">
        <f>I778+G778+K778</f>
        <v>2349863</v>
      </c>
      <c r="F778" s="76">
        <f>J778+H778+L778</f>
        <v>2349863</v>
      </c>
      <c r="G778" s="78">
        <f>일위대가목록표!F687</f>
        <v>2281421</v>
      </c>
      <c r="H778" s="80">
        <f>IF(C778=0,0,ROUNDDOWN(G778*C778,1))</f>
        <v>2281421</v>
      </c>
      <c r="I778" s="78">
        <f>일위대가목록표!G687</f>
        <v>0</v>
      </c>
      <c r="J778" s="80">
        <f>IF(C778=0,0,ROUNDDOWN(I778*C778,1))</f>
        <v>0</v>
      </c>
      <c r="K778" s="78">
        <f>일위대가목록표!H687</f>
        <v>68442</v>
      </c>
      <c r="L778" s="80">
        <f>IF(C778=0,0,ROUNDDOWN(K778*C778,1))</f>
        <v>68442</v>
      </c>
      <c r="M778" s="22" t="s">
        <v>6708</v>
      </c>
      <c r="N778" s="17" t="s">
        <v>6706</v>
      </c>
      <c r="O778" s="7" t="s">
        <v>6707</v>
      </c>
      <c r="P778" s="7" t="s">
        <v>6406</v>
      </c>
      <c r="Z778" s="3" t="str">
        <f ca="1">HYPERLINK("#"&amp;일위대가목록표!J2&amp;"!A"&amp;ROW(일위대가목록표!A687),"대가684 →")</f>
        <v>대가684 →</v>
      </c>
    </row>
    <row r="779" spans="1:26" ht="28.7" customHeight="1" x14ac:dyDescent="0.3">
      <c r="A779" s="22" t="s">
        <v>6</v>
      </c>
      <c r="B779" s="74"/>
      <c r="C779" s="74"/>
      <c r="D779" s="74"/>
      <c r="E779" s="74"/>
      <c r="F779" s="48">
        <f>J779+H779+L779</f>
        <v>2349863</v>
      </c>
      <c r="G779" s="74"/>
      <c r="H779" s="48">
        <f>ROUNDDOWN(SUMIF(P778:P778,O779,H778:H778),0)</f>
        <v>2281421</v>
      </c>
      <c r="I779" s="74"/>
      <c r="J779" s="48">
        <f>ROUNDDOWN(SUMIF(P778:P778,O779,J778:J778),0)</f>
        <v>0</v>
      </c>
      <c r="K779" s="74"/>
      <c r="L779" s="48">
        <f>ROUNDDOWN(SUMIF(P778:P778,O779,L778:L778),0)</f>
        <v>68442</v>
      </c>
      <c r="M779" s="74"/>
      <c r="O779" s="7" t="s">
        <v>6406</v>
      </c>
    </row>
    <row r="780" spans="1:26" ht="28.7" customHeight="1" x14ac:dyDescent="0.3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</row>
    <row r="781" spans="1:26" ht="28.7" customHeight="1" x14ac:dyDescent="0.3">
      <c r="A781" s="136" t="s">
        <v>426</v>
      </c>
      <c r="B781" s="127"/>
      <c r="C781" s="127"/>
      <c r="D781" s="127"/>
      <c r="E781" s="127"/>
      <c r="F781" s="127"/>
      <c r="G781" s="127"/>
      <c r="H781" s="127"/>
      <c r="I781" s="127"/>
      <c r="J781" s="127"/>
      <c r="K781" s="127"/>
      <c r="L781" s="144"/>
      <c r="M781" s="22" t="s">
        <v>6996</v>
      </c>
      <c r="N781" s="84" t="str">
        <f>HYPERLINK("#N"&amp;ROW(N782),"_x0005_`BDCOD|B05239_x0007_`POSS|"&amp;ROW(N782)&amp;"_x0007_`POSE|"&amp;ROW(N782)&amp;"_x0007_`")</f>
        <v>_x0005_`BDCOD|B05239_x0007_`POSS|782_x0007_`POSE|782_x0007_`</v>
      </c>
      <c r="O781" s="7" t="s">
        <v>6997</v>
      </c>
    </row>
    <row r="782" spans="1:26" ht="28.7" customHeight="1" x14ac:dyDescent="0.3">
      <c r="A782" s="10" t="s">
        <v>1690</v>
      </c>
      <c r="B782" s="10" t="s">
        <v>1781</v>
      </c>
      <c r="C782" s="75">
        <v>1</v>
      </c>
      <c r="D782" s="31" t="s">
        <v>14</v>
      </c>
      <c r="E782" s="55">
        <f>I782+G782+K782</f>
        <v>2878650</v>
      </c>
      <c r="F782" s="76">
        <f>J782+H782+L782</f>
        <v>2878650</v>
      </c>
      <c r="G782" s="78">
        <f>일위대가목록표!F690</f>
        <v>2794806</v>
      </c>
      <c r="H782" s="80">
        <f>IF(C782=0,0,ROUNDDOWN(G782*C782,1))</f>
        <v>2794806</v>
      </c>
      <c r="I782" s="78">
        <f>일위대가목록표!G690</f>
        <v>0</v>
      </c>
      <c r="J782" s="80">
        <f>IF(C782=0,0,ROUNDDOWN(I782*C782,1))</f>
        <v>0</v>
      </c>
      <c r="K782" s="78">
        <f>일위대가목록표!H690</f>
        <v>83844</v>
      </c>
      <c r="L782" s="80">
        <f>IF(C782=0,0,ROUNDDOWN(K782*C782,1))</f>
        <v>83844</v>
      </c>
      <c r="M782" s="22" t="s">
        <v>6715</v>
      </c>
      <c r="N782" s="17" t="s">
        <v>6713</v>
      </c>
      <c r="O782" s="7" t="s">
        <v>6714</v>
      </c>
      <c r="P782" s="7" t="s">
        <v>6406</v>
      </c>
      <c r="Z782" s="3" t="str">
        <f ca="1">HYPERLINK("#"&amp;일위대가목록표!J2&amp;"!A"&amp;ROW(일위대가목록표!A690),"대가687 →")</f>
        <v>대가687 →</v>
      </c>
    </row>
    <row r="783" spans="1:26" ht="28.7" customHeight="1" x14ac:dyDescent="0.3">
      <c r="A783" s="22" t="s">
        <v>6</v>
      </c>
      <c r="B783" s="74"/>
      <c r="C783" s="74"/>
      <c r="D783" s="74"/>
      <c r="E783" s="74"/>
      <c r="F783" s="48">
        <f>J783+H783+L783</f>
        <v>2878650</v>
      </c>
      <c r="G783" s="74"/>
      <c r="H783" s="48">
        <f>ROUNDDOWN(SUMIF(P782:P782,O783,H782:H782),0)</f>
        <v>2794806</v>
      </c>
      <c r="I783" s="74"/>
      <c r="J783" s="48">
        <f>ROUNDDOWN(SUMIF(P782:P782,O783,J782:J782),0)</f>
        <v>0</v>
      </c>
      <c r="K783" s="74"/>
      <c r="L783" s="48">
        <f>ROUNDDOWN(SUMIF(P782:P782,O783,L782:L782),0)</f>
        <v>83844</v>
      </c>
      <c r="M783" s="74"/>
      <c r="O783" s="7" t="s">
        <v>6406</v>
      </c>
    </row>
    <row r="784" spans="1:26" ht="28.7" customHeight="1" x14ac:dyDescent="0.3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</row>
    <row r="785" spans="1:26" ht="28.7" customHeight="1" x14ac:dyDescent="0.3">
      <c r="A785" s="136" t="s">
        <v>428</v>
      </c>
      <c r="B785" s="127"/>
      <c r="C785" s="127"/>
      <c r="D785" s="127"/>
      <c r="E785" s="127"/>
      <c r="F785" s="127"/>
      <c r="G785" s="127"/>
      <c r="H785" s="127"/>
      <c r="I785" s="127"/>
      <c r="J785" s="127"/>
      <c r="K785" s="127"/>
      <c r="L785" s="144"/>
      <c r="M785" s="22" t="s">
        <v>6998</v>
      </c>
      <c r="N785" s="84" t="str">
        <f>HYPERLINK("#N"&amp;ROW(N786),"_x0005_`BDCOD|B05240_x0007_`POSS|"&amp;ROW(N786)&amp;"_x0007_`POSE|"&amp;ROW(N786)&amp;"_x0007_`")</f>
        <v>_x0005_`BDCOD|B05240_x0007_`POSS|786_x0007_`POSE|786_x0007_`</v>
      </c>
      <c r="O785" s="7" t="s">
        <v>6999</v>
      </c>
    </row>
    <row r="786" spans="1:26" ht="28.7" customHeight="1" x14ac:dyDescent="0.3">
      <c r="A786" s="10" t="s">
        <v>1686</v>
      </c>
      <c r="B786" s="10" t="s">
        <v>1687</v>
      </c>
      <c r="C786" s="75">
        <v>1</v>
      </c>
      <c r="D786" s="31" t="s">
        <v>14</v>
      </c>
      <c r="E786" s="55">
        <f>I786+G786+K786</f>
        <v>104363</v>
      </c>
      <c r="F786" s="76">
        <f>J786+H786+L786</f>
        <v>104363</v>
      </c>
      <c r="G786" s="78">
        <f>일위대가목록표!F659</f>
        <v>101324</v>
      </c>
      <c r="H786" s="80">
        <f>IF(C786=0,0,ROUNDDOWN(G786*C786,1))</f>
        <v>101324</v>
      </c>
      <c r="I786" s="78">
        <f>일위대가목록표!G659</f>
        <v>0</v>
      </c>
      <c r="J786" s="80">
        <f>IF(C786=0,0,ROUNDDOWN(I786*C786,1))</f>
        <v>0</v>
      </c>
      <c r="K786" s="78">
        <f>일위대가목록표!H659</f>
        <v>3039</v>
      </c>
      <c r="L786" s="80">
        <f>IF(C786=0,0,ROUNDDOWN(K786*C786,1))</f>
        <v>3039</v>
      </c>
      <c r="M786" s="22" t="s">
        <v>6540</v>
      </c>
      <c r="N786" s="17" t="s">
        <v>6538</v>
      </c>
      <c r="O786" s="7" t="s">
        <v>6539</v>
      </c>
      <c r="P786" s="7" t="s">
        <v>6406</v>
      </c>
      <c r="Z786" s="3" t="str">
        <f ca="1">HYPERLINK("#"&amp;일위대가목록표!J2&amp;"!A"&amp;ROW(일위대가목록표!A659),"대가656 →")</f>
        <v>대가656 →</v>
      </c>
    </row>
    <row r="787" spans="1:26" ht="28.7" customHeight="1" x14ac:dyDescent="0.3">
      <c r="A787" s="22" t="s">
        <v>6</v>
      </c>
      <c r="B787" s="74"/>
      <c r="C787" s="74"/>
      <c r="D787" s="74"/>
      <c r="E787" s="74"/>
      <c r="F787" s="48">
        <f>J787+H787+L787</f>
        <v>104363</v>
      </c>
      <c r="G787" s="74"/>
      <c r="H787" s="48">
        <f>ROUNDDOWN(SUMIF(P786:P786,O787,H786:H786),0)</f>
        <v>101324</v>
      </c>
      <c r="I787" s="74"/>
      <c r="J787" s="48">
        <f>ROUNDDOWN(SUMIF(P786:P786,O787,J786:J786),0)</f>
        <v>0</v>
      </c>
      <c r="K787" s="74"/>
      <c r="L787" s="48">
        <f>ROUNDDOWN(SUMIF(P786:P786,O787,L786:L786),0)</f>
        <v>3039</v>
      </c>
      <c r="M787" s="74"/>
      <c r="O787" s="7" t="s">
        <v>6406</v>
      </c>
    </row>
    <row r="788" spans="1:26" ht="28.7" customHeight="1" x14ac:dyDescent="0.3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</row>
    <row r="789" spans="1:26" ht="28.7" customHeight="1" x14ac:dyDescent="0.3">
      <c r="A789" s="136" t="s">
        <v>431</v>
      </c>
      <c r="B789" s="127"/>
      <c r="C789" s="127"/>
      <c r="D789" s="127"/>
      <c r="E789" s="127"/>
      <c r="F789" s="127"/>
      <c r="G789" s="127"/>
      <c r="H789" s="127"/>
      <c r="I789" s="127"/>
      <c r="J789" s="127"/>
      <c r="K789" s="127"/>
      <c r="L789" s="144"/>
      <c r="M789" s="22" t="s">
        <v>7000</v>
      </c>
      <c r="N789" s="84" t="str">
        <f>HYPERLINK("#N"&amp;ROW(N790),"_x0005_`BDCOD|B05241_x0007_`POSS|"&amp;ROW(N790)&amp;"_x0007_`POSE|"&amp;ROW(N790)&amp;"_x0007_`")</f>
        <v>_x0005_`BDCOD|B05241_x0007_`POSS|790_x0007_`POSE|790_x0007_`</v>
      </c>
      <c r="O789" s="7" t="s">
        <v>7001</v>
      </c>
    </row>
    <row r="790" spans="1:26" ht="28.7" customHeight="1" x14ac:dyDescent="0.3">
      <c r="A790" s="10" t="s">
        <v>1686</v>
      </c>
      <c r="B790" s="10" t="s">
        <v>1697</v>
      </c>
      <c r="C790" s="75">
        <v>1</v>
      </c>
      <c r="D790" s="31" t="s">
        <v>14</v>
      </c>
      <c r="E790" s="55">
        <f>I790+G790+K790</f>
        <v>120257</v>
      </c>
      <c r="F790" s="76">
        <f>J790+H790+L790</f>
        <v>120257</v>
      </c>
      <c r="G790" s="78">
        <f>일위대가목록표!F662</f>
        <v>116755</v>
      </c>
      <c r="H790" s="80">
        <f>IF(C790=0,0,ROUNDDOWN(G790*C790,1))</f>
        <v>116755</v>
      </c>
      <c r="I790" s="78">
        <f>일위대가목록표!G662</f>
        <v>0</v>
      </c>
      <c r="J790" s="80">
        <f>IF(C790=0,0,ROUNDDOWN(I790*C790,1))</f>
        <v>0</v>
      </c>
      <c r="K790" s="78">
        <f>일위대가목록표!H662</f>
        <v>3502</v>
      </c>
      <c r="L790" s="80">
        <f>IF(C790=0,0,ROUNDDOWN(K790*C790,1))</f>
        <v>3502</v>
      </c>
      <c r="M790" s="22" t="s">
        <v>6545</v>
      </c>
      <c r="N790" s="17" t="s">
        <v>6543</v>
      </c>
      <c r="O790" s="7" t="s">
        <v>6544</v>
      </c>
      <c r="P790" s="7" t="s">
        <v>6406</v>
      </c>
      <c r="Z790" s="3" t="str">
        <f ca="1">HYPERLINK("#"&amp;일위대가목록표!J2&amp;"!A"&amp;ROW(일위대가목록표!A662),"대가659 →")</f>
        <v>대가659 →</v>
      </c>
    </row>
    <row r="791" spans="1:26" ht="28.7" customHeight="1" x14ac:dyDescent="0.3">
      <c r="A791" s="22" t="s">
        <v>6</v>
      </c>
      <c r="B791" s="74"/>
      <c r="C791" s="74"/>
      <c r="D791" s="74"/>
      <c r="E791" s="74"/>
      <c r="F791" s="48">
        <f>J791+H791+L791</f>
        <v>120257</v>
      </c>
      <c r="G791" s="74"/>
      <c r="H791" s="48">
        <f>ROUNDDOWN(SUMIF(P790:P790,O791,H790:H790),0)</f>
        <v>116755</v>
      </c>
      <c r="I791" s="74"/>
      <c r="J791" s="48">
        <f>ROUNDDOWN(SUMIF(P790:P790,O791,J790:J790),0)</f>
        <v>0</v>
      </c>
      <c r="K791" s="74"/>
      <c r="L791" s="48">
        <f>ROUNDDOWN(SUMIF(P790:P790,O791,L790:L790),0)</f>
        <v>3502</v>
      </c>
      <c r="M791" s="74"/>
      <c r="O791" s="7" t="s">
        <v>6406</v>
      </c>
    </row>
    <row r="792" spans="1:26" ht="28.7" customHeight="1" x14ac:dyDescent="0.3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</row>
    <row r="793" spans="1:26" ht="28.7" customHeight="1" x14ac:dyDescent="0.3">
      <c r="A793" s="136" t="s">
        <v>433</v>
      </c>
      <c r="B793" s="127"/>
      <c r="C793" s="127"/>
      <c r="D793" s="127"/>
      <c r="E793" s="127"/>
      <c r="F793" s="127"/>
      <c r="G793" s="127"/>
      <c r="H793" s="127"/>
      <c r="I793" s="127"/>
      <c r="J793" s="127"/>
      <c r="K793" s="127"/>
      <c r="L793" s="144"/>
      <c r="M793" s="22" t="s">
        <v>7002</v>
      </c>
      <c r="N793" s="84" t="str">
        <f>HYPERLINK("#N"&amp;ROW(N794),"_x0005_`BDCOD|B05242_x0007_`POSS|"&amp;ROW(N794)&amp;"_x0007_`POSE|"&amp;ROW(N794)&amp;"_x0007_`")</f>
        <v>_x0005_`BDCOD|B05242_x0007_`POSS|794_x0007_`POSE|794_x0007_`</v>
      </c>
      <c r="O793" s="7" t="s">
        <v>7003</v>
      </c>
    </row>
    <row r="794" spans="1:26" ht="28.7" customHeight="1" x14ac:dyDescent="0.3">
      <c r="A794" s="10" t="s">
        <v>1686</v>
      </c>
      <c r="B794" s="10" t="s">
        <v>1706</v>
      </c>
      <c r="C794" s="75">
        <v>1</v>
      </c>
      <c r="D794" s="31" t="s">
        <v>14</v>
      </c>
      <c r="E794" s="55">
        <f>I794+G794+K794</f>
        <v>138099</v>
      </c>
      <c r="F794" s="76">
        <f>J794+H794+L794</f>
        <v>138099</v>
      </c>
      <c r="G794" s="78">
        <f>일위대가목록표!F665</f>
        <v>134077</v>
      </c>
      <c r="H794" s="80">
        <f>IF(C794=0,0,ROUNDDOWN(G794*C794,1))</f>
        <v>134077</v>
      </c>
      <c r="I794" s="78">
        <f>일위대가목록표!G665</f>
        <v>0</v>
      </c>
      <c r="J794" s="80">
        <f>IF(C794=0,0,ROUNDDOWN(I794*C794,1))</f>
        <v>0</v>
      </c>
      <c r="K794" s="78">
        <f>일위대가목록표!H665</f>
        <v>4022</v>
      </c>
      <c r="L794" s="80">
        <f>IF(C794=0,0,ROUNDDOWN(K794*C794,1))</f>
        <v>4022</v>
      </c>
      <c r="M794" s="22" t="s">
        <v>6550</v>
      </c>
      <c r="N794" s="17" t="s">
        <v>6548</v>
      </c>
      <c r="O794" s="7" t="s">
        <v>6549</v>
      </c>
      <c r="P794" s="7" t="s">
        <v>6406</v>
      </c>
      <c r="Z794" s="3" t="str">
        <f ca="1">HYPERLINK("#"&amp;일위대가목록표!J2&amp;"!A"&amp;ROW(일위대가목록표!A665),"대가662 →")</f>
        <v>대가662 →</v>
      </c>
    </row>
    <row r="795" spans="1:26" ht="28.7" customHeight="1" x14ac:dyDescent="0.3">
      <c r="A795" s="22" t="s">
        <v>6</v>
      </c>
      <c r="B795" s="74"/>
      <c r="C795" s="74"/>
      <c r="D795" s="74"/>
      <c r="E795" s="74"/>
      <c r="F795" s="48">
        <f>J795+H795+L795</f>
        <v>138099</v>
      </c>
      <c r="G795" s="74"/>
      <c r="H795" s="48">
        <f>ROUNDDOWN(SUMIF(P794:P794,O795,H794:H794),0)</f>
        <v>134077</v>
      </c>
      <c r="I795" s="74"/>
      <c r="J795" s="48">
        <f>ROUNDDOWN(SUMIF(P794:P794,O795,J794:J794),0)</f>
        <v>0</v>
      </c>
      <c r="K795" s="74"/>
      <c r="L795" s="48">
        <f>ROUNDDOWN(SUMIF(P794:P794,O795,L794:L794),0)</f>
        <v>4022</v>
      </c>
      <c r="M795" s="74"/>
      <c r="O795" s="7" t="s">
        <v>6406</v>
      </c>
    </row>
    <row r="796" spans="1:26" ht="28.7" customHeight="1" x14ac:dyDescent="0.3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</row>
    <row r="797" spans="1:26" ht="28.7" customHeight="1" x14ac:dyDescent="0.3">
      <c r="A797" s="136" t="s">
        <v>435</v>
      </c>
      <c r="B797" s="127"/>
      <c r="C797" s="127"/>
      <c r="D797" s="127"/>
      <c r="E797" s="127"/>
      <c r="F797" s="127"/>
      <c r="G797" s="127"/>
      <c r="H797" s="127"/>
      <c r="I797" s="127"/>
      <c r="J797" s="127"/>
      <c r="K797" s="127"/>
      <c r="L797" s="144"/>
      <c r="M797" s="22" t="s">
        <v>7004</v>
      </c>
      <c r="N797" s="84" t="str">
        <f>HYPERLINK("#N"&amp;ROW(N798),"_x0005_`BDCOD|B05244_x0007_`POSS|"&amp;ROW(N798)&amp;"_x0007_`POSE|"&amp;ROW(N798)&amp;"_x0007_`")</f>
        <v>_x0005_`BDCOD|B05244_x0007_`POSS|798_x0007_`POSE|798_x0007_`</v>
      </c>
      <c r="O797" s="7" t="s">
        <v>7005</v>
      </c>
    </row>
    <row r="798" spans="1:26" ht="28.7" customHeight="1" x14ac:dyDescent="0.3">
      <c r="A798" s="10" t="s">
        <v>1686</v>
      </c>
      <c r="B798" s="10" t="s">
        <v>1715</v>
      </c>
      <c r="C798" s="75">
        <v>1</v>
      </c>
      <c r="D798" s="31" t="s">
        <v>14</v>
      </c>
      <c r="E798" s="55">
        <f>I798+G798+K798</f>
        <v>166390</v>
      </c>
      <c r="F798" s="76">
        <f>J798+H798+L798</f>
        <v>166390</v>
      </c>
      <c r="G798" s="78">
        <f>일위대가목록표!F668</f>
        <v>161544</v>
      </c>
      <c r="H798" s="80">
        <f>IF(C798=0,0,ROUNDDOWN(G798*C798,1))</f>
        <v>161544</v>
      </c>
      <c r="I798" s="78">
        <f>일위대가목록표!G668</f>
        <v>0</v>
      </c>
      <c r="J798" s="80">
        <f>IF(C798=0,0,ROUNDDOWN(I798*C798,1))</f>
        <v>0</v>
      </c>
      <c r="K798" s="78">
        <f>일위대가목록표!H668</f>
        <v>4846</v>
      </c>
      <c r="L798" s="80">
        <f>IF(C798=0,0,ROUNDDOWN(K798*C798,1))</f>
        <v>4846</v>
      </c>
      <c r="M798" s="22" t="s">
        <v>6555</v>
      </c>
      <c r="N798" s="17" t="s">
        <v>6553</v>
      </c>
      <c r="O798" s="7" t="s">
        <v>6554</v>
      </c>
      <c r="P798" s="7" t="s">
        <v>6406</v>
      </c>
      <c r="Z798" s="3" t="str">
        <f ca="1">HYPERLINK("#"&amp;일위대가목록표!J2&amp;"!A"&amp;ROW(일위대가목록표!A668),"대가665 →")</f>
        <v>대가665 →</v>
      </c>
    </row>
    <row r="799" spans="1:26" ht="28.7" customHeight="1" x14ac:dyDescent="0.3">
      <c r="A799" s="22" t="s">
        <v>6</v>
      </c>
      <c r="B799" s="74"/>
      <c r="C799" s="74"/>
      <c r="D799" s="74"/>
      <c r="E799" s="74"/>
      <c r="F799" s="48">
        <f>J799+H799+L799</f>
        <v>166390</v>
      </c>
      <c r="G799" s="74"/>
      <c r="H799" s="48">
        <f>ROUNDDOWN(SUMIF(P798:P798,O799,H798:H798),0)</f>
        <v>161544</v>
      </c>
      <c r="I799" s="74"/>
      <c r="J799" s="48">
        <f>ROUNDDOWN(SUMIF(P798:P798,O799,J798:J798),0)</f>
        <v>0</v>
      </c>
      <c r="K799" s="74"/>
      <c r="L799" s="48">
        <f>ROUNDDOWN(SUMIF(P798:P798,O799,L798:L798),0)</f>
        <v>4846</v>
      </c>
      <c r="M799" s="74"/>
      <c r="O799" s="7" t="s">
        <v>6406</v>
      </c>
    </row>
    <row r="800" spans="1:26" ht="28.7" customHeight="1" x14ac:dyDescent="0.3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</row>
    <row r="801" spans="1:26" ht="28.7" customHeight="1" x14ac:dyDescent="0.3">
      <c r="A801" s="136" t="s">
        <v>437</v>
      </c>
      <c r="B801" s="127"/>
      <c r="C801" s="127"/>
      <c r="D801" s="127"/>
      <c r="E801" s="127"/>
      <c r="F801" s="127"/>
      <c r="G801" s="127"/>
      <c r="H801" s="127"/>
      <c r="I801" s="127"/>
      <c r="J801" s="127"/>
      <c r="K801" s="127"/>
      <c r="L801" s="144"/>
      <c r="M801" s="22" t="s">
        <v>7006</v>
      </c>
      <c r="N801" s="84" t="str">
        <f>HYPERLINK("#N"&amp;ROW(N802),"_x0005_`BDCOD|B05245_x0007_`POSS|"&amp;ROW(N802)&amp;"_x0007_`POSE|"&amp;ROW(N802)&amp;"_x0007_`")</f>
        <v>_x0005_`BDCOD|B05245_x0007_`POSS|802_x0007_`POSE|802_x0007_`</v>
      </c>
      <c r="O801" s="7" t="s">
        <v>7007</v>
      </c>
    </row>
    <row r="802" spans="1:26" ht="28.7" customHeight="1" x14ac:dyDescent="0.3">
      <c r="A802" s="10" t="s">
        <v>1686</v>
      </c>
      <c r="B802" s="10" t="s">
        <v>1724</v>
      </c>
      <c r="C802" s="75">
        <v>1</v>
      </c>
      <c r="D802" s="31" t="s">
        <v>14</v>
      </c>
      <c r="E802" s="55">
        <f>I802+G802+K802</f>
        <v>209936</v>
      </c>
      <c r="F802" s="76">
        <f>J802+H802+L802</f>
        <v>209936</v>
      </c>
      <c r="G802" s="78">
        <f>일위대가목록표!F671</f>
        <v>203822</v>
      </c>
      <c r="H802" s="80">
        <f>IF(C802=0,0,ROUNDDOWN(G802*C802,1))</f>
        <v>203822</v>
      </c>
      <c r="I802" s="78">
        <f>일위대가목록표!G671</f>
        <v>0</v>
      </c>
      <c r="J802" s="80">
        <f>IF(C802=0,0,ROUNDDOWN(I802*C802,1))</f>
        <v>0</v>
      </c>
      <c r="K802" s="78">
        <f>일위대가목록표!H671</f>
        <v>6114</v>
      </c>
      <c r="L802" s="80">
        <f>IF(C802=0,0,ROUNDDOWN(K802*C802,1))</f>
        <v>6114</v>
      </c>
      <c r="M802" s="22" t="s">
        <v>6560</v>
      </c>
      <c r="N802" s="17" t="s">
        <v>6558</v>
      </c>
      <c r="O802" s="7" t="s">
        <v>6559</v>
      </c>
      <c r="P802" s="7" t="s">
        <v>6406</v>
      </c>
      <c r="Z802" s="3" t="str">
        <f ca="1">HYPERLINK("#"&amp;일위대가목록표!J2&amp;"!A"&amp;ROW(일위대가목록표!A671),"대가668 →")</f>
        <v>대가668 →</v>
      </c>
    </row>
    <row r="803" spans="1:26" ht="28.7" customHeight="1" x14ac:dyDescent="0.3">
      <c r="A803" s="22" t="s">
        <v>6</v>
      </c>
      <c r="B803" s="74"/>
      <c r="C803" s="74"/>
      <c r="D803" s="74"/>
      <c r="E803" s="74"/>
      <c r="F803" s="48">
        <f>J803+H803+L803</f>
        <v>209936</v>
      </c>
      <c r="G803" s="74"/>
      <c r="H803" s="48">
        <f>ROUNDDOWN(SUMIF(P802:P802,O803,H802:H802),0)</f>
        <v>203822</v>
      </c>
      <c r="I803" s="74"/>
      <c r="J803" s="48">
        <f>ROUNDDOWN(SUMIF(P802:P802,O803,J802:J802),0)</f>
        <v>0</v>
      </c>
      <c r="K803" s="74"/>
      <c r="L803" s="48">
        <f>ROUNDDOWN(SUMIF(P802:P802,O803,L802:L802),0)</f>
        <v>6114</v>
      </c>
      <c r="M803" s="74"/>
      <c r="O803" s="7" t="s">
        <v>6406</v>
      </c>
    </row>
    <row r="804" spans="1:26" ht="28.7" customHeight="1" x14ac:dyDescent="0.3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</row>
    <row r="805" spans="1:26" ht="28.7" customHeight="1" x14ac:dyDescent="0.3">
      <c r="A805" s="136" t="s">
        <v>439</v>
      </c>
      <c r="B805" s="127"/>
      <c r="C805" s="127"/>
      <c r="D805" s="127"/>
      <c r="E805" s="127"/>
      <c r="F805" s="127"/>
      <c r="G805" s="127"/>
      <c r="H805" s="127"/>
      <c r="I805" s="127"/>
      <c r="J805" s="127"/>
      <c r="K805" s="127"/>
      <c r="L805" s="144"/>
      <c r="M805" s="22" t="s">
        <v>7008</v>
      </c>
      <c r="N805" s="84" t="str">
        <f>HYPERLINK("#N"&amp;ROW(N806),"_x0005_`BDCOD|B05246_x0007_`POSS|"&amp;ROW(N806)&amp;"_x0007_`POSE|"&amp;ROW(N806)&amp;"_x0007_`")</f>
        <v>_x0005_`BDCOD|B05246_x0007_`POSS|806_x0007_`POSE|806_x0007_`</v>
      </c>
      <c r="O805" s="7" t="s">
        <v>7009</v>
      </c>
    </row>
    <row r="806" spans="1:26" ht="28.7" customHeight="1" x14ac:dyDescent="0.3">
      <c r="A806" s="10" t="s">
        <v>1686</v>
      </c>
      <c r="B806" s="10" t="s">
        <v>1742</v>
      </c>
      <c r="C806" s="75">
        <v>1</v>
      </c>
      <c r="D806" s="31" t="s">
        <v>14</v>
      </c>
      <c r="E806" s="55">
        <f>I806+G806+K806</f>
        <v>280095</v>
      </c>
      <c r="F806" s="76">
        <f>J806+H806+L806</f>
        <v>280095</v>
      </c>
      <c r="G806" s="78">
        <f>일위대가목록표!F677</f>
        <v>271937</v>
      </c>
      <c r="H806" s="80">
        <f>IF(C806=0,0,ROUNDDOWN(G806*C806,1))</f>
        <v>271937</v>
      </c>
      <c r="I806" s="78">
        <f>일위대가목록표!G677</f>
        <v>0</v>
      </c>
      <c r="J806" s="80">
        <f>IF(C806=0,0,ROUNDDOWN(I806*C806,1))</f>
        <v>0</v>
      </c>
      <c r="K806" s="78">
        <f>일위대가목록표!H677</f>
        <v>8158</v>
      </c>
      <c r="L806" s="80">
        <f>IF(C806=0,0,ROUNDDOWN(K806*C806,1))</f>
        <v>8158</v>
      </c>
      <c r="M806" s="22" t="s">
        <v>6570</v>
      </c>
      <c r="N806" s="17" t="s">
        <v>6568</v>
      </c>
      <c r="O806" s="7" t="s">
        <v>6569</v>
      </c>
      <c r="P806" s="7" t="s">
        <v>6406</v>
      </c>
      <c r="Z806" s="3" t="str">
        <f ca="1">HYPERLINK("#"&amp;일위대가목록표!J2&amp;"!A"&amp;ROW(일위대가목록표!A677),"대가674 →")</f>
        <v>대가674 →</v>
      </c>
    </row>
    <row r="807" spans="1:26" ht="28.7" customHeight="1" x14ac:dyDescent="0.3">
      <c r="A807" s="22" t="s">
        <v>6</v>
      </c>
      <c r="B807" s="74"/>
      <c r="C807" s="74"/>
      <c r="D807" s="74"/>
      <c r="E807" s="74"/>
      <c r="F807" s="48">
        <f>J807+H807+L807</f>
        <v>280095</v>
      </c>
      <c r="G807" s="74"/>
      <c r="H807" s="48">
        <f>ROUNDDOWN(SUMIF(P806:P806,O807,H806:H806),0)</f>
        <v>271937</v>
      </c>
      <c r="I807" s="74"/>
      <c r="J807" s="48">
        <f>ROUNDDOWN(SUMIF(P806:P806,O807,J806:J806),0)</f>
        <v>0</v>
      </c>
      <c r="K807" s="74"/>
      <c r="L807" s="48">
        <f>ROUNDDOWN(SUMIF(P806:P806,O807,L806:L806),0)</f>
        <v>8158</v>
      </c>
      <c r="M807" s="74"/>
      <c r="O807" s="7" t="s">
        <v>6406</v>
      </c>
    </row>
    <row r="808" spans="1:26" ht="28.7" customHeight="1" x14ac:dyDescent="0.3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</row>
    <row r="809" spans="1:26" ht="28.7" customHeight="1" x14ac:dyDescent="0.3">
      <c r="A809" s="136" t="s">
        <v>441</v>
      </c>
      <c r="B809" s="127"/>
      <c r="C809" s="127"/>
      <c r="D809" s="127"/>
      <c r="E809" s="127"/>
      <c r="F809" s="127"/>
      <c r="G809" s="127"/>
      <c r="H809" s="127"/>
      <c r="I809" s="127"/>
      <c r="J809" s="127"/>
      <c r="K809" s="127"/>
      <c r="L809" s="144"/>
      <c r="M809" s="22" t="s">
        <v>7010</v>
      </c>
      <c r="N809" s="84" t="str">
        <f>HYPERLINK("#N"&amp;ROW(N810),"_x0005_`BDCOD|B05247_x0007_`POSS|"&amp;ROW(N810)&amp;"_x0007_`POSE|"&amp;ROW(N810)&amp;"_x0007_`")</f>
        <v>_x0005_`BDCOD|B05247_x0007_`POSS|810_x0007_`POSE|810_x0007_`</v>
      </c>
      <c r="O809" s="7" t="s">
        <v>7011</v>
      </c>
    </row>
    <row r="810" spans="1:26" ht="28.7" customHeight="1" x14ac:dyDescent="0.3">
      <c r="A810" s="10" t="s">
        <v>1686</v>
      </c>
      <c r="B810" s="10" t="s">
        <v>1742</v>
      </c>
      <c r="C810" s="75">
        <v>1</v>
      </c>
      <c r="D810" s="31" t="s">
        <v>14</v>
      </c>
      <c r="E810" s="55">
        <f>I810+G810+K810</f>
        <v>280095</v>
      </c>
      <c r="F810" s="76">
        <f>J810+H810+L810</f>
        <v>280095</v>
      </c>
      <c r="G810" s="78">
        <f>일위대가목록표!F677</f>
        <v>271937</v>
      </c>
      <c r="H810" s="80">
        <f>IF(C810=0,0,ROUNDDOWN(G810*C810,1))</f>
        <v>271937</v>
      </c>
      <c r="I810" s="78">
        <f>일위대가목록표!G677</f>
        <v>0</v>
      </c>
      <c r="J810" s="80">
        <f>IF(C810=0,0,ROUNDDOWN(I810*C810,1))</f>
        <v>0</v>
      </c>
      <c r="K810" s="78">
        <f>일위대가목록표!H677</f>
        <v>8158</v>
      </c>
      <c r="L810" s="80">
        <f>IF(C810=0,0,ROUNDDOWN(K810*C810,1))</f>
        <v>8158</v>
      </c>
      <c r="M810" s="22" t="s">
        <v>6570</v>
      </c>
      <c r="N810" s="17" t="s">
        <v>6568</v>
      </c>
      <c r="O810" s="7" t="s">
        <v>6569</v>
      </c>
      <c r="P810" s="7" t="s">
        <v>6406</v>
      </c>
      <c r="Z810" s="3" t="str">
        <f ca="1">HYPERLINK("#"&amp;일위대가목록표!J2&amp;"!A"&amp;ROW(일위대가목록표!A677),"대가674 →")</f>
        <v>대가674 →</v>
      </c>
    </row>
    <row r="811" spans="1:26" ht="28.7" customHeight="1" x14ac:dyDescent="0.3">
      <c r="A811" s="22" t="s">
        <v>6</v>
      </c>
      <c r="B811" s="74"/>
      <c r="C811" s="74"/>
      <c r="D811" s="74"/>
      <c r="E811" s="74"/>
      <c r="F811" s="48">
        <f>J811+H811+L811</f>
        <v>280095</v>
      </c>
      <c r="G811" s="74"/>
      <c r="H811" s="48">
        <f>ROUNDDOWN(SUMIF(P810:P810,O811,H810:H810),0)</f>
        <v>271937</v>
      </c>
      <c r="I811" s="74"/>
      <c r="J811" s="48">
        <f>ROUNDDOWN(SUMIF(P810:P810,O811,J810:J810),0)</f>
        <v>0</v>
      </c>
      <c r="K811" s="74"/>
      <c r="L811" s="48">
        <f>ROUNDDOWN(SUMIF(P810:P810,O811,L810:L810),0)</f>
        <v>8158</v>
      </c>
      <c r="M811" s="74"/>
      <c r="O811" s="7" t="s">
        <v>6406</v>
      </c>
    </row>
    <row r="812" spans="1:26" ht="28.7" customHeight="1" x14ac:dyDescent="0.3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</row>
    <row r="813" spans="1:26" ht="28.7" customHeight="1" x14ac:dyDescent="0.3">
      <c r="A813" s="136" t="s">
        <v>443</v>
      </c>
      <c r="B813" s="127"/>
      <c r="C813" s="127"/>
      <c r="D813" s="127"/>
      <c r="E813" s="127"/>
      <c r="F813" s="127"/>
      <c r="G813" s="127"/>
      <c r="H813" s="127"/>
      <c r="I813" s="127"/>
      <c r="J813" s="127"/>
      <c r="K813" s="127"/>
      <c r="L813" s="144"/>
      <c r="M813" s="22" t="s">
        <v>7012</v>
      </c>
      <c r="N813" s="84" t="str">
        <f>HYPERLINK("#N"&amp;ROW(N814),"_x0005_`BDCOD|B05248_x0007_`POSS|"&amp;ROW(N814)&amp;"_x0007_`POSE|"&amp;ROW(N814)&amp;"_x0007_`")</f>
        <v>_x0005_`BDCOD|B05248_x0007_`POSS|814_x0007_`POSE|814_x0007_`</v>
      </c>
      <c r="O813" s="7" t="s">
        <v>7013</v>
      </c>
    </row>
    <row r="814" spans="1:26" ht="28.7" customHeight="1" x14ac:dyDescent="0.3">
      <c r="A814" s="10" t="s">
        <v>1686</v>
      </c>
      <c r="B814" s="10" t="s">
        <v>1751</v>
      </c>
      <c r="C814" s="75">
        <v>1</v>
      </c>
      <c r="D814" s="31" t="s">
        <v>14</v>
      </c>
      <c r="E814" s="55">
        <f>I814+G814+K814</f>
        <v>452499</v>
      </c>
      <c r="F814" s="76">
        <f>J814+H814+L814</f>
        <v>452499</v>
      </c>
      <c r="G814" s="78">
        <f>일위대가목록표!F680</f>
        <v>439320</v>
      </c>
      <c r="H814" s="80">
        <f>IF(C814=0,0,ROUNDDOWN(G814*C814,1))</f>
        <v>439320</v>
      </c>
      <c r="I814" s="78">
        <f>일위대가목록표!G680</f>
        <v>0</v>
      </c>
      <c r="J814" s="80">
        <f>IF(C814=0,0,ROUNDDOWN(I814*C814,1))</f>
        <v>0</v>
      </c>
      <c r="K814" s="78">
        <f>일위대가목록표!H680</f>
        <v>13179</v>
      </c>
      <c r="L814" s="80">
        <f>IF(C814=0,0,ROUNDDOWN(K814*C814,1))</f>
        <v>13179</v>
      </c>
      <c r="M814" s="22" t="s">
        <v>6575</v>
      </c>
      <c r="N814" s="17" t="s">
        <v>6573</v>
      </c>
      <c r="O814" s="7" t="s">
        <v>6574</v>
      </c>
      <c r="P814" s="7" t="s">
        <v>6406</v>
      </c>
      <c r="Z814" s="3" t="str">
        <f ca="1">HYPERLINK("#"&amp;일위대가목록표!J2&amp;"!A"&amp;ROW(일위대가목록표!A680),"대가677 →")</f>
        <v>대가677 →</v>
      </c>
    </row>
    <row r="815" spans="1:26" ht="28.7" customHeight="1" x14ac:dyDescent="0.3">
      <c r="A815" s="22" t="s">
        <v>6</v>
      </c>
      <c r="B815" s="74"/>
      <c r="C815" s="74"/>
      <c r="D815" s="74"/>
      <c r="E815" s="74"/>
      <c r="F815" s="48">
        <f>J815+H815+L815</f>
        <v>452499</v>
      </c>
      <c r="G815" s="74"/>
      <c r="H815" s="48">
        <f>ROUNDDOWN(SUMIF(P814:P814,O815,H814:H814),0)</f>
        <v>439320</v>
      </c>
      <c r="I815" s="74"/>
      <c r="J815" s="48">
        <f>ROUNDDOWN(SUMIF(P814:P814,O815,J814:J814),0)</f>
        <v>0</v>
      </c>
      <c r="K815" s="74"/>
      <c r="L815" s="48">
        <f>ROUNDDOWN(SUMIF(P814:P814,O815,L814:L814),0)</f>
        <v>13179</v>
      </c>
      <c r="M815" s="74"/>
      <c r="O815" s="7" t="s">
        <v>6406</v>
      </c>
    </row>
    <row r="816" spans="1:26" ht="28.7" customHeight="1" x14ac:dyDescent="0.3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</row>
    <row r="817" spans="1:26" ht="28.7" customHeight="1" x14ac:dyDescent="0.3">
      <c r="A817" s="136" t="s">
        <v>445</v>
      </c>
      <c r="B817" s="127"/>
      <c r="C817" s="127"/>
      <c r="D817" s="127"/>
      <c r="E817" s="127"/>
      <c r="F817" s="127"/>
      <c r="G817" s="127"/>
      <c r="H817" s="127"/>
      <c r="I817" s="127"/>
      <c r="J817" s="127"/>
      <c r="K817" s="127"/>
      <c r="L817" s="144"/>
      <c r="M817" s="22" t="s">
        <v>7014</v>
      </c>
      <c r="N817" s="84" t="str">
        <f>HYPERLINK("#N"&amp;ROW(N818),"_x0005_`BDCOD|B05235_x0007_`POSS|"&amp;ROW(N818)&amp;"_x0007_`POSE|"&amp;ROW(N818)&amp;"_x0007_`")</f>
        <v>_x0005_`BDCOD|B05235_x0007_`POSS|818_x0007_`POSE|818_x0007_`</v>
      </c>
      <c r="O817" s="7" t="s">
        <v>7015</v>
      </c>
    </row>
    <row r="818" spans="1:26" ht="28.7" customHeight="1" x14ac:dyDescent="0.3">
      <c r="A818" s="10" t="s">
        <v>1686</v>
      </c>
      <c r="B818" s="10" t="s">
        <v>1751</v>
      </c>
      <c r="C818" s="75">
        <v>1</v>
      </c>
      <c r="D818" s="31" t="s">
        <v>14</v>
      </c>
      <c r="E818" s="55">
        <f>I818+G818+K818</f>
        <v>452499</v>
      </c>
      <c r="F818" s="76">
        <f>J818+H818+L818</f>
        <v>452499</v>
      </c>
      <c r="G818" s="78">
        <f>일위대가목록표!F680</f>
        <v>439320</v>
      </c>
      <c r="H818" s="80">
        <f>IF(C818=0,0,ROUNDDOWN(G818*C818,1))</f>
        <v>439320</v>
      </c>
      <c r="I818" s="78">
        <f>일위대가목록표!G680</f>
        <v>0</v>
      </c>
      <c r="J818" s="80">
        <f>IF(C818=0,0,ROUNDDOWN(I818*C818,1))</f>
        <v>0</v>
      </c>
      <c r="K818" s="78">
        <f>일위대가목록표!H680</f>
        <v>13179</v>
      </c>
      <c r="L818" s="80">
        <f>IF(C818=0,0,ROUNDDOWN(K818*C818,1))</f>
        <v>13179</v>
      </c>
      <c r="M818" s="22" t="s">
        <v>6575</v>
      </c>
      <c r="N818" s="17" t="s">
        <v>6573</v>
      </c>
      <c r="O818" s="7" t="s">
        <v>6574</v>
      </c>
      <c r="P818" s="7" t="s">
        <v>6406</v>
      </c>
      <c r="Z818" s="3" t="str">
        <f ca="1">HYPERLINK("#"&amp;일위대가목록표!J2&amp;"!A"&amp;ROW(일위대가목록표!A680),"대가677 →")</f>
        <v>대가677 →</v>
      </c>
    </row>
    <row r="819" spans="1:26" ht="28.7" customHeight="1" x14ac:dyDescent="0.3">
      <c r="A819" s="22" t="s">
        <v>6</v>
      </c>
      <c r="B819" s="74"/>
      <c r="C819" s="74"/>
      <c r="D819" s="74"/>
      <c r="E819" s="74"/>
      <c r="F819" s="48">
        <f>J819+H819+L819</f>
        <v>452499</v>
      </c>
      <c r="G819" s="74"/>
      <c r="H819" s="48">
        <f>ROUNDDOWN(SUMIF(P818:P818,O819,H818:H818),0)</f>
        <v>439320</v>
      </c>
      <c r="I819" s="74"/>
      <c r="J819" s="48">
        <f>ROUNDDOWN(SUMIF(P818:P818,O819,J818:J818),0)</f>
        <v>0</v>
      </c>
      <c r="K819" s="74"/>
      <c r="L819" s="48">
        <f>ROUNDDOWN(SUMIF(P818:P818,O819,L818:L818),0)</f>
        <v>13179</v>
      </c>
      <c r="M819" s="74"/>
      <c r="O819" s="7" t="s">
        <v>6406</v>
      </c>
    </row>
    <row r="820" spans="1:26" ht="28.7" customHeight="1" x14ac:dyDescent="0.3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</row>
    <row r="821" spans="1:26" ht="28.7" customHeight="1" x14ac:dyDescent="0.3">
      <c r="A821" s="136" t="s">
        <v>447</v>
      </c>
      <c r="B821" s="127"/>
      <c r="C821" s="127"/>
      <c r="D821" s="127"/>
      <c r="E821" s="127"/>
      <c r="F821" s="127"/>
      <c r="G821" s="127"/>
      <c r="H821" s="127"/>
      <c r="I821" s="127"/>
      <c r="J821" s="127"/>
      <c r="K821" s="127"/>
      <c r="L821" s="144"/>
      <c r="M821" s="22" t="s">
        <v>7016</v>
      </c>
      <c r="N821" s="84" t="str">
        <f>HYPERLINK("#N"&amp;ROW(N822),"_x0005_`BDCOD|B05250_x0007_`POSS|"&amp;ROW(N822)&amp;"_x0007_`POSE|"&amp;ROW(N822)&amp;"_x0007_`")</f>
        <v>_x0005_`BDCOD|B05250_x0007_`POSS|822_x0007_`POSE|822_x0007_`</v>
      </c>
      <c r="O821" s="7" t="s">
        <v>7017</v>
      </c>
    </row>
    <row r="822" spans="1:26" ht="28.7" customHeight="1" x14ac:dyDescent="0.3">
      <c r="A822" s="10" t="s">
        <v>1686</v>
      </c>
      <c r="B822" s="10" t="s">
        <v>1751</v>
      </c>
      <c r="C822" s="75">
        <v>1</v>
      </c>
      <c r="D822" s="31" t="s">
        <v>14</v>
      </c>
      <c r="E822" s="55">
        <f>I822+G822+K822</f>
        <v>452499</v>
      </c>
      <c r="F822" s="76">
        <f>J822+H822+L822</f>
        <v>452499</v>
      </c>
      <c r="G822" s="78">
        <f>일위대가목록표!F680</f>
        <v>439320</v>
      </c>
      <c r="H822" s="80">
        <f>IF(C822=0,0,ROUNDDOWN(G822*C822,1))</f>
        <v>439320</v>
      </c>
      <c r="I822" s="78">
        <f>일위대가목록표!G680</f>
        <v>0</v>
      </c>
      <c r="J822" s="80">
        <f>IF(C822=0,0,ROUNDDOWN(I822*C822,1))</f>
        <v>0</v>
      </c>
      <c r="K822" s="78">
        <f>일위대가목록표!H680</f>
        <v>13179</v>
      </c>
      <c r="L822" s="80">
        <f>IF(C822=0,0,ROUNDDOWN(K822*C822,1))</f>
        <v>13179</v>
      </c>
      <c r="M822" s="22" t="s">
        <v>6575</v>
      </c>
      <c r="N822" s="17" t="s">
        <v>6573</v>
      </c>
      <c r="O822" s="7" t="s">
        <v>6574</v>
      </c>
      <c r="P822" s="7" t="s">
        <v>6406</v>
      </c>
      <c r="Z822" s="3" t="str">
        <f ca="1">HYPERLINK("#"&amp;일위대가목록표!J2&amp;"!A"&amp;ROW(일위대가목록표!A680),"대가677 →")</f>
        <v>대가677 →</v>
      </c>
    </row>
    <row r="823" spans="1:26" ht="28.7" customHeight="1" x14ac:dyDescent="0.3">
      <c r="A823" s="22" t="s">
        <v>6</v>
      </c>
      <c r="B823" s="74"/>
      <c r="C823" s="74"/>
      <c r="D823" s="74"/>
      <c r="E823" s="74"/>
      <c r="F823" s="48">
        <f>J823+H823+L823</f>
        <v>452499</v>
      </c>
      <c r="G823" s="74"/>
      <c r="H823" s="48">
        <f>ROUNDDOWN(SUMIF(P822:P822,O823,H822:H822),0)</f>
        <v>439320</v>
      </c>
      <c r="I823" s="74"/>
      <c r="J823" s="48">
        <f>ROUNDDOWN(SUMIF(P822:P822,O823,J822:J822),0)</f>
        <v>0</v>
      </c>
      <c r="K823" s="74"/>
      <c r="L823" s="48">
        <f>ROUNDDOWN(SUMIF(P822:P822,O823,L822:L822),0)</f>
        <v>13179</v>
      </c>
      <c r="M823" s="74"/>
      <c r="O823" s="7" t="s">
        <v>6406</v>
      </c>
    </row>
    <row r="824" spans="1:26" ht="28.7" customHeight="1" x14ac:dyDescent="0.3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</row>
    <row r="825" spans="1:26" ht="28.7" customHeight="1" x14ac:dyDescent="0.3">
      <c r="A825" s="136" t="s">
        <v>449</v>
      </c>
      <c r="B825" s="127"/>
      <c r="C825" s="127"/>
      <c r="D825" s="127"/>
      <c r="E825" s="127"/>
      <c r="F825" s="127"/>
      <c r="G825" s="127"/>
      <c r="H825" s="127"/>
      <c r="I825" s="127"/>
      <c r="J825" s="127"/>
      <c r="K825" s="127"/>
      <c r="L825" s="144"/>
      <c r="M825" s="22" t="s">
        <v>7018</v>
      </c>
      <c r="N825" s="84" t="str">
        <f>HYPERLINK("#N"&amp;ROW(N826),"_x0005_`BDCOD|B05251_x0007_`POSS|"&amp;ROW(N826)&amp;"_x0007_`POSE|"&amp;ROW(N826)&amp;"_x0007_`")</f>
        <v>_x0005_`BDCOD|B05251_x0007_`POSS|826_x0007_`POSE|826_x0007_`</v>
      </c>
      <c r="O825" s="7" t="s">
        <v>7019</v>
      </c>
    </row>
    <row r="826" spans="1:26" ht="28.7" customHeight="1" x14ac:dyDescent="0.3">
      <c r="A826" s="10" t="s">
        <v>1686</v>
      </c>
      <c r="B826" s="10" t="s">
        <v>1760</v>
      </c>
      <c r="C826" s="75">
        <v>1</v>
      </c>
      <c r="D826" s="31" t="s">
        <v>14</v>
      </c>
      <c r="E826" s="55">
        <f>I826+G826+K826</f>
        <v>584244</v>
      </c>
      <c r="F826" s="76">
        <f>J826+H826+L826</f>
        <v>584244</v>
      </c>
      <c r="G826" s="78">
        <f>일위대가목록표!F683</f>
        <v>567228</v>
      </c>
      <c r="H826" s="80">
        <f>IF(C826=0,0,ROUNDDOWN(G826*C826,1))</f>
        <v>567228</v>
      </c>
      <c r="I826" s="78">
        <f>일위대가목록표!G683</f>
        <v>0</v>
      </c>
      <c r="J826" s="80">
        <f>IF(C826=0,0,ROUNDDOWN(I826*C826,1))</f>
        <v>0</v>
      </c>
      <c r="K826" s="78">
        <f>일위대가목록표!H683</f>
        <v>17016</v>
      </c>
      <c r="L826" s="80">
        <f>IF(C826=0,0,ROUNDDOWN(K826*C826,1))</f>
        <v>17016</v>
      </c>
      <c r="M826" s="22" t="s">
        <v>6580</v>
      </c>
      <c r="N826" s="17" t="s">
        <v>6578</v>
      </c>
      <c r="O826" s="7" t="s">
        <v>6579</v>
      </c>
      <c r="P826" s="7" t="s">
        <v>6406</v>
      </c>
      <c r="Z826" s="3" t="str">
        <f ca="1">HYPERLINK("#"&amp;일위대가목록표!J2&amp;"!A"&amp;ROW(일위대가목록표!A683),"대가680 →")</f>
        <v>대가680 →</v>
      </c>
    </row>
    <row r="827" spans="1:26" ht="28.7" customHeight="1" x14ac:dyDescent="0.3">
      <c r="A827" s="22" t="s">
        <v>6</v>
      </c>
      <c r="B827" s="74"/>
      <c r="C827" s="74"/>
      <c r="D827" s="74"/>
      <c r="E827" s="74"/>
      <c r="F827" s="48">
        <f>J827+H827+L827</f>
        <v>584244</v>
      </c>
      <c r="G827" s="74"/>
      <c r="H827" s="48">
        <f>ROUNDDOWN(SUMIF(P826:P826,O827,H826:H826),0)</f>
        <v>567228</v>
      </c>
      <c r="I827" s="74"/>
      <c r="J827" s="48">
        <f>ROUNDDOWN(SUMIF(P826:P826,O827,J826:J826),0)</f>
        <v>0</v>
      </c>
      <c r="K827" s="74"/>
      <c r="L827" s="48">
        <f>ROUNDDOWN(SUMIF(P826:P826,O827,L826:L826),0)</f>
        <v>17016</v>
      </c>
      <c r="M827" s="74"/>
      <c r="O827" s="7" t="s">
        <v>6406</v>
      </c>
    </row>
    <row r="828" spans="1:26" ht="28.7" customHeight="1" x14ac:dyDescent="0.3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</row>
    <row r="829" spans="1:26" ht="28.7" customHeight="1" x14ac:dyDescent="0.3">
      <c r="A829" s="136" t="s">
        <v>451</v>
      </c>
      <c r="B829" s="127"/>
      <c r="C829" s="127"/>
      <c r="D829" s="127"/>
      <c r="E829" s="127"/>
      <c r="F829" s="127"/>
      <c r="G829" s="127"/>
      <c r="H829" s="127"/>
      <c r="I829" s="127"/>
      <c r="J829" s="127"/>
      <c r="K829" s="127"/>
      <c r="L829" s="144"/>
      <c r="M829" s="22" t="s">
        <v>7020</v>
      </c>
      <c r="N829" s="84" t="str">
        <f>HYPERLINK("#N"&amp;ROW(N830),"_x0005_`BDCOD|B05252_x0007_`POSS|"&amp;ROW(N830)&amp;"_x0007_`POSE|"&amp;ROW(N830)&amp;"_x0007_`")</f>
        <v>_x0005_`BDCOD|B05252_x0007_`POSS|830_x0007_`POSE|830_x0007_`</v>
      </c>
      <c r="O829" s="7" t="s">
        <v>7021</v>
      </c>
    </row>
    <row r="830" spans="1:26" ht="28.7" customHeight="1" x14ac:dyDescent="0.3">
      <c r="A830" s="10" t="s">
        <v>1686</v>
      </c>
      <c r="B830" s="10" t="s">
        <v>1769</v>
      </c>
      <c r="C830" s="75">
        <v>1</v>
      </c>
      <c r="D830" s="31" t="s">
        <v>14</v>
      </c>
      <c r="E830" s="55">
        <f>I830+G830+K830</f>
        <v>939944</v>
      </c>
      <c r="F830" s="76">
        <f>J830+H830+L830</f>
        <v>939944</v>
      </c>
      <c r="G830" s="78">
        <f>일위대가목록표!F686</f>
        <v>912568</v>
      </c>
      <c r="H830" s="80">
        <f>IF(C830=0,0,ROUNDDOWN(G830*C830,1))</f>
        <v>912568</v>
      </c>
      <c r="I830" s="78">
        <f>일위대가목록표!G686</f>
        <v>0</v>
      </c>
      <c r="J830" s="80">
        <f>IF(C830=0,0,ROUNDDOWN(I830*C830,1))</f>
        <v>0</v>
      </c>
      <c r="K830" s="78">
        <f>일위대가목록표!H686</f>
        <v>27376</v>
      </c>
      <c r="L830" s="80">
        <f>IF(C830=0,0,ROUNDDOWN(K830*C830,1))</f>
        <v>27376</v>
      </c>
      <c r="M830" s="22" t="s">
        <v>6585</v>
      </c>
      <c r="N830" s="17" t="s">
        <v>6583</v>
      </c>
      <c r="O830" s="7" t="s">
        <v>6584</v>
      </c>
      <c r="P830" s="7" t="s">
        <v>6406</v>
      </c>
      <c r="Z830" s="3" t="str">
        <f ca="1">HYPERLINK("#"&amp;일위대가목록표!J2&amp;"!A"&amp;ROW(일위대가목록표!A686),"대가683 →")</f>
        <v>대가683 →</v>
      </c>
    </row>
    <row r="831" spans="1:26" ht="28.7" customHeight="1" x14ac:dyDescent="0.3">
      <c r="A831" s="22" t="s">
        <v>6</v>
      </c>
      <c r="B831" s="74"/>
      <c r="C831" s="74"/>
      <c r="D831" s="74"/>
      <c r="E831" s="74"/>
      <c r="F831" s="48">
        <f>J831+H831+L831</f>
        <v>939944</v>
      </c>
      <c r="G831" s="74"/>
      <c r="H831" s="48">
        <f>ROUNDDOWN(SUMIF(P830:P830,O831,H830:H830),0)</f>
        <v>912568</v>
      </c>
      <c r="I831" s="74"/>
      <c r="J831" s="48">
        <f>ROUNDDOWN(SUMIF(P830:P830,O831,J830:J830),0)</f>
        <v>0</v>
      </c>
      <c r="K831" s="74"/>
      <c r="L831" s="48">
        <f>ROUNDDOWN(SUMIF(P830:P830,O831,L830:L830),0)</f>
        <v>27376</v>
      </c>
      <c r="M831" s="74"/>
      <c r="O831" s="7" t="s">
        <v>6406</v>
      </c>
    </row>
    <row r="832" spans="1:26" ht="28.7" customHeight="1" x14ac:dyDescent="0.3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</row>
    <row r="833" spans="1:26" ht="28.7" customHeight="1" x14ac:dyDescent="0.3">
      <c r="A833" s="136" t="s">
        <v>453</v>
      </c>
      <c r="B833" s="127"/>
      <c r="C833" s="127"/>
      <c r="D833" s="127"/>
      <c r="E833" s="127"/>
      <c r="F833" s="127"/>
      <c r="G833" s="127"/>
      <c r="H833" s="127"/>
      <c r="I833" s="127"/>
      <c r="J833" s="127"/>
      <c r="K833" s="127"/>
      <c r="L833" s="144"/>
      <c r="M833" s="22" t="s">
        <v>7022</v>
      </c>
      <c r="N833" s="84" t="str">
        <f>HYPERLINK("#N"&amp;ROW(N834),"_x0005_`BDCOD|B05253_x0007_`POSS|"&amp;ROW(N834)&amp;"_x0007_`POSE|"&amp;ROW(N834)&amp;"_x0007_`")</f>
        <v>_x0005_`BDCOD|B05253_x0007_`POSS|834_x0007_`POSE|834_x0007_`</v>
      </c>
      <c r="O833" s="7" t="s">
        <v>7023</v>
      </c>
    </row>
    <row r="834" spans="1:26" ht="28.7" customHeight="1" x14ac:dyDescent="0.3">
      <c r="A834" s="10" t="s">
        <v>1686</v>
      </c>
      <c r="B834" s="10" t="s">
        <v>1778</v>
      </c>
      <c r="C834" s="75">
        <v>1</v>
      </c>
      <c r="D834" s="31" t="s">
        <v>14</v>
      </c>
      <c r="E834" s="55">
        <f>I834+G834+K834</f>
        <v>1151459</v>
      </c>
      <c r="F834" s="76">
        <f>J834+H834+L834</f>
        <v>1151459</v>
      </c>
      <c r="G834" s="78">
        <f>일위대가목록표!F689</f>
        <v>1117922</v>
      </c>
      <c r="H834" s="80">
        <f>IF(C834=0,0,ROUNDDOWN(G834*C834,1))</f>
        <v>1117922</v>
      </c>
      <c r="I834" s="78">
        <f>일위대가목록표!G689</f>
        <v>0</v>
      </c>
      <c r="J834" s="80">
        <f>IF(C834=0,0,ROUNDDOWN(I834*C834,1))</f>
        <v>0</v>
      </c>
      <c r="K834" s="78">
        <f>일위대가목록표!H689</f>
        <v>33537</v>
      </c>
      <c r="L834" s="80">
        <f>IF(C834=0,0,ROUNDDOWN(K834*C834,1))</f>
        <v>33537</v>
      </c>
      <c r="M834" s="22" t="s">
        <v>6592</v>
      </c>
      <c r="N834" s="17" t="s">
        <v>6590</v>
      </c>
      <c r="O834" s="7" t="s">
        <v>6591</v>
      </c>
      <c r="P834" s="7" t="s">
        <v>6406</v>
      </c>
      <c r="Z834" s="3" t="str">
        <f ca="1">HYPERLINK("#"&amp;일위대가목록표!J2&amp;"!A"&amp;ROW(일위대가목록표!A689),"대가686 →")</f>
        <v>대가686 →</v>
      </c>
    </row>
    <row r="835" spans="1:26" ht="28.7" customHeight="1" x14ac:dyDescent="0.3">
      <c r="A835" s="22" t="s">
        <v>6</v>
      </c>
      <c r="B835" s="74"/>
      <c r="C835" s="74"/>
      <c r="D835" s="74"/>
      <c r="E835" s="74"/>
      <c r="F835" s="48">
        <f>J835+H835+L835</f>
        <v>1151459</v>
      </c>
      <c r="G835" s="74"/>
      <c r="H835" s="48">
        <f>ROUNDDOWN(SUMIF(P834:P834,O835,H834:H834),0)</f>
        <v>1117922</v>
      </c>
      <c r="I835" s="74"/>
      <c r="J835" s="48">
        <f>ROUNDDOWN(SUMIF(P834:P834,O835,J834:J834),0)</f>
        <v>0</v>
      </c>
      <c r="K835" s="74"/>
      <c r="L835" s="48">
        <f>ROUNDDOWN(SUMIF(P834:P834,O835,L834:L834),0)</f>
        <v>33537</v>
      </c>
      <c r="M835" s="74"/>
      <c r="O835" s="7" t="s">
        <v>6406</v>
      </c>
    </row>
    <row r="836" spans="1:26" ht="28.7" customHeight="1" x14ac:dyDescent="0.3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</row>
    <row r="837" spans="1:26" ht="28.7" customHeight="1" x14ac:dyDescent="0.3">
      <c r="A837" s="136" t="s">
        <v>455</v>
      </c>
      <c r="B837" s="127"/>
      <c r="C837" s="127"/>
      <c r="D837" s="127"/>
      <c r="E837" s="127"/>
      <c r="F837" s="127"/>
      <c r="G837" s="127"/>
      <c r="H837" s="127"/>
      <c r="I837" s="127"/>
      <c r="J837" s="127"/>
      <c r="K837" s="127"/>
      <c r="L837" s="144"/>
      <c r="M837" s="22" t="s">
        <v>7024</v>
      </c>
      <c r="N837" s="84" t="str">
        <f>HYPERLINK("#N"&amp;ROW(N839),"_x0005_`BDCOD|B05060_x0007_`POSS|"&amp;ROW(N838)&amp;"_x0007_`POSE|"&amp;ROW(N839)&amp;"_x0007_`")</f>
        <v>_x0005_`BDCOD|B05060_x0007_`POSS|838_x0007_`POSE|839_x0007_`</v>
      </c>
      <c r="O837" s="7" t="s">
        <v>7025</v>
      </c>
    </row>
    <row r="838" spans="1:26" ht="28.7" customHeight="1" x14ac:dyDescent="0.3">
      <c r="A838" s="10" t="s">
        <v>1682</v>
      </c>
      <c r="B838" s="10" t="s">
        <v>1784</v>
      </c>
      <c r="C838" s="75">
        <v>1</v>
      </c>
      <c r="D838" s="31" t="s">
        <v>14</v>
      </c>
      <c r="E838" s="55">
        <f>I838+G838+K838</f>
        <v>329994</v>
      </c>
      <c r="F838" s="76">
        <f>J838+H838+L838</f>
        <v>329994</v>
      </c>
      <c r="G838" s="78">
        <f>일위대가목록표!F691</f>
        <v>320383</v>
      </c>
      <c r="H838" s="80">
        <f>IF(C838=0,0,ROUNDDOWN(G838*C838,1))</f>
        <v>320383</v>
      </c>
      <c r="I838" s="78">
        <f>일위대가목록표!G691</f>
        <v>0</v>
      </c>
      <c r="J838" s="80">
        <f>IF(C838=0,0,ROUNDDOWN(I838*C838,1))</f>
        <v>0</v>
      </c>
      <c r="K838" s="78">
        <f>일위대가목록표!H691</f>
        <v>9611</v>
      </c>
      <c r="L838" s="80">
        <f>IF(C838=0,0,ROUNDDOWN(K838*C838,1))</f>
        <v>9611</v>
      </c>
      <c r="M838" s="22" t="s">
        <v>7028</v>
      </c>
      <c r="N838" s="17" t="s">
        <v>7026</v>
      </c>
      <c r="O838" s="7" t="s">
        <v>7027</v>
      </c>
      <c r="P838" s="7" t="s">
        <v>6406</v>
      </c>
      <c r="Z838" s="3" t="str">
        <f ca="1">HYPERLINK("#"&amp;일위대가목록표!J2&amp;"!A"&amp;ROW(일위대가목록표!A691),"대가688 →")</f>
        <v>대가688 →</v>
      </c>
    </row>
    <row r="839" spans="1:26" ht="28.7" customHeight="1" x14ac:dyDescent="0.3">
      <c r="A839" s="10" t="s">
        <v>457</v>
      </c>
      <c r="B839" s="10" t="s">
        <v>2042</v>
      </c>
      <c r="C839" s="75">
        <v>1</v>
      </c>
      <c r="D839" s="31" t="s">
        <v>14</v>
      </c>
      <c r="E839" s="55">
        <f>I839+G839+K839</f>
        <v>450000</v>
      </c>
      <c r="F839" s="77">
        <f>J839+H839+L839</f>
        <v>450000</v>
      </c>
      <c r="G839" s="51">
        <v>0</v>
      </c>
      <c r="H839" s="76">
        <f>IF(C839=0,0,ROUNDDOWN(G839*C839,1))</f>
        <v>0</v>
      </c>
      <c r="I839" s="78">
        <f>재료비목록표!E5</f>
        <v>450000</v>
      </c>
      <c r="J839" s="81">
        <f>IF(C839=0,0,ROUNDDOWN(I839*C839,1))</f>
        <v>450000</v>
      </c>
      <c r="K839" s="51">
        <v>0</v>
      </c>
      <c r="L839" s="76">
        <f>IF(C839=0,0,ROUNDDOWN(K839*C839,1))</f>
        <v>0</v>
      </c>
      <c r="M839" s="22" t="s">
        <v>7030</v>
      </c>
      <c r="N839" s="17" t="s">
        <v>7029</v>
      </c>
      <c r="O839" s="7" t="s">
        <v>5505</v>
      </c>
      <c r="P839" s="7" t="s">
        <v>6406</v>
      </c>
      <c r="Z839" s="3" t="str">
        <f ca="1">HYPERLINK("#"&amp;재료비목록표!G2&amp;"!A"&amp;ROW(재료비목록표!A5),"자재2 →")</f>
        <v>자재2 →</v>
      </c>
    </row>
    <row r="840" spans="1:26" ht="28.7" customHeight="1" x14ac:dyDescent="0.3">
      <c r="A840" s="22" t="s">
        <v>6</v>
      </c>
      <c r="B840" s="74"/>
      <c r="C840" s="74"/>
      <c r="D840" s="74"/>
      <c r="E840" s="74"/>
      <c r="F840" s="48">
        <f>J840+H840+L840</f>
        <v>779994</v>
      </c>
      <c r="G840" s="74"/>
      <c r="H840" s="48">
        <f>ROUNDDOWN(SUMIF(P838:P839,O840,H838:H839),0)</f>
        <v>320383</v>
      </c>
      <c r="I840" s="74"/>
      <c r="J840" s="48">
        <f>ROUNDDOWN(SUMIF(P838:P839,O840,J838:J839),0)</f>
        <v>450000</v>
      </c>
      <c r="K840" s="74"/>
      <c r="L840" s="48">
        <f>ROUNDDOWN(SUMIF(P838:P839,O840,L838:L839),0)</f>
        <v>9611</v>
      </c>
      <c r="M840" s="74"/>
      <c r="O840" s="7" t="s">
        <v>6406</v>
      </c>
    </row>
    <row r="841" spans="1:26" ht="28.7" customHeight="1" x14ac:dyDescent="0.3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</row>
    <row r="842" spans="1:26" ht="28.7" customHeight="1" x14ac:dyDescent="0.3">
      <c r="A842" s="136" t="s">
        <v>459</v>
      </c>
      <c r="B842" s="127"/>
      <c r="C842" s="127"/>
      <c r="D842" s="127"/>
      <c r="E842" s="127"/>
      <c r="F842" s="127"/>
      <c r="G842" s="127"/>
      <c r="H842" s="127"/>
      <c r="I842" s="127"/>
      <c r="J842" s="127"/>
      <c r="K842" s="127"/>
      <c r="L842" s="144"/>
      <c r="M842" s="22" t="s">
        <v>7031</v>
      </c>
      <c r="N842" s="84" t="str">
        <f>HYPERLINK("#N"&amp;ROW(N844),"_x0005_`BDCOD|B04947_x0007_`POSS|"&amp;ROW(N843)&amp;"_x0007_`POSE|"&amp;ROW(N844)&amp;"_x0007_`")</f>
        <v>_x0005_`BDCOD|B04947_x0007_`POSS|843_x0007_`POSE|844_x0007_`</v>
      </c>
      <c r="O842" s="7" t="s">
        <v>7032</v>
      </c>
    </row>
    <row r="843" spans="1:26" ht="28.7" customHeight="1" x14ac:dyDescent="0.3">
      <c r="A843" s="10" t="s">
        <v>1682</v>
      </c>
      <c r="B843" s="10" t="s">
        <v>1784</v>
      </c>
      <c r="C843" s="75">
        <v>1</v>
      </c>
      <c r="D843" s="31" t="s">
        <v>14</v>
      </c>
      <c r="E843" s="55">
        <f>I843+G843+K843</f>
        <v>329994</v>
      </c>
      <c r="F843" s="76">
        <f>J843+H843+L843</f>
        <v>329994</v>
      </c>
      <c r="G843" s="78">
        <f>일위대가목록표!F691</f>
        <v>320383</v>
      </c>
      <c r="H843" s="80">
        <f>IF(C843=0,0,ROUNDDOWN(G843*C843,1))</f>
        <v>320383</v>
      </c>
      <c r="I843" s="78">
        <f>일위대가목록표!G691</f>
        <v>0</v>
      </c>
      <c r="J843" s="80">
        <f>IF(C843=0,0,ROUNDDOWN(I843*C843,1))</f>
        <v>0</v>
      </c>
      <c r="K843" s="78">
        <f>일위대가목록표!H691</f>
        <v>9611</v>
      </c>
      <c r="L843" s="80">
        <f>IF(C843=0,0,ROUNDDOWN(K843*C843,1))</f>
        <v>9611</v>
      </c>
      <c r="M843" s="22" t="s">
        <v>7028</v>
      </c>
      <c r="N843" s="17" t="s">
        <v>7026</v>
      </c>
      <c r="O843" s="7" t="s">
        <v>7027</v>
      </c>
      <c r="P843" s="7" t="s">
        <v>6406</v>
      </c>
      <c r="Z843" s="3" t="str">
        <f ca="1">HYPERLINK("#"&amp;일위대가목록표!J2&amp;"!A"&amp;ROW(일위대가목록표!A691),"대가688 →")</f>
        <v>대가688 →</v>
      </c>
    </row>
    <row r="844" spans="1:26" ht="28.7" customHeight="1" x14ac:dyDescent="0.3">
      <c r="A844" s="10" t="s">
        <v>457</v>
      </c>
      <c r="B844" s="10" t="s">
        <v>2048</v>
      </c>
      <c r="C844" s="75">
        <v>1</v>
      </c>
      <c r="D844" s="31" t="s">
        <v>14</v>
      </c>
      <c r="E844" s="55">
        <f>I844+G844+K844</f>
        <v>930000</v>
      </c>
      <c r="F844" s="77">
        <f>J844+H844+L844</f>
        <v>930000</v>
      </c>
      <c r="G844" s="51">
        <v>0</v>
      </c>
      <c r="H844" s="76">
        <f>IF(C844=0,0,ROUNDDOWN(G844*C844,1))</f>
        <v>0</v>
      </c>
      <c r="I844" s="78">
        <f>재료비목록표!E7</f>
        <v>930000</v>
      </c>
      <c r="J844" s="81">
        <f>IF(C844=0,0,ROUNDDOWN(I844*C844,1))</f>
        <v>930000</v>
      </c>
      <c r="K844" s="51">
        <v>0</v>
      </c>
      <c r="L844" s="76">
        <f>IF(C844=0,0,ROUNDDOWN(K844*C844,1))</f>
        <v>0</v>
      </c>
      <c r="M844" s="22" t="s">
        <v>7034</v>
      </c>
      <c r="N844" s="17" t="s">
        <v>7033</v>
      </c>
      <c r="O844" s="7" t="s">
        <v>5508</v>
      </c>
      <c r="P844" s="7" t="s">
        <v>6406</v>
      </c>
      <c r="Z844" s="3" t="str">
        <f ca="1">HYPERLINK("#"&amp;재료비목록표!G2&amp;"!A"&amp;ROW(재료비목록표!A7),"자재4 →")</f>
        <v>자재4 →</v>
      </c>
    </row>
    <row r="845" spans="1:26" ht="28.7" customHeight="1" x14ac:dyDescent="0.3">
      <c r="A845" s="22" t="s">
        <v>6</v>
      </c>
      <c r="B845" s="74"/>
      <c r="C845" s="74"/>
      <c r="D845" s="74"/>
      <c r="E845" s="74"/>
      <c r="F845" s="48">
        <f>J845+H845+L845</f>
        <v>1259994</v>
      </c>
      <c r="G845" s="74"/>
      <c r="H845" s="48">
        <f>ROUNDDOWN(SUMIF(P843:P844,O845,H843:H844),0)</f>
        <v>320383</v>
      </c>
      <c r="I845" s="74"/>
      <c r="J845" s="48">
        <f>ROUNDDOWN(SUMIF(P843:P844,O845,J843:J844),0)</f>
        <v>930000</v>
      </c>
      <c r="K845" s="74"/>
      <c r="L845" s="48">
        <f>ROUNDDOWN(SUMIF(P843:P844,O845,L843:L844),0)</f>
        <v>9611</v>
      </c>
      <c r="M845" s="74"/>
      <c r="O845" s="7" t="s">
        <v>6406</v>
      </c>
    </row>
    <row r="846" spans="1:26" ht="28.7" customHeight="1" x14ac:dyDescent="0.3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</row>
    <row r="847" spans="1:26" ht="28.7" customHeight="1" x14ac:dyDescent="0.3">
      <c r="A847" s="136" t="s">
        <v>462</v>
      </c>
      <c r="B847" s="127"/>
      <c r="C847" s="127"/>
      <c r="D847" s="127"/>
      <c r="E847" s="127"/>
      <c r="F847" s="127"/>
      <c r="G847" s="127"/>
      <c r="H847" s="127"/>
      <c r="I847" s="127"/>
      <c r="J847" s="127"/>
      <c r="K847" s="127"/>
      <c r="L847" s="144"/>
      <c r="M847" s="22" t="s">
        <v>7035</v>
      </c>
      <c r="N847" s="84" t="str">
        <f>HYPERLINK("#N"&amp;ROW(N849),"_x0005_`BDCOD|B05061_x0007_`POSS|"&amp;ROW(N848)&amp;"_x0007_`POSE|"&amp;ROW(N849)&amp;"_x0007_`")</f>
        <v>_x0005_`BDCOD|B05061_x0007_`POSS|848_x0007_`POSE|849_x0007_`</v>
      </c>
      <c r="O847" s="7" t="s">
        <v>7036</v>
      </c>
    </row>
    <row r="848" spans="1:26" ht="28.7" customHeight="1" x14ac:dyDescent="0.3">
      <c r="A848" s="10" t="s">
        <v>1682</v>
      </c>
      <c r="B848" s="10" t="s">
        <v>1683</v>
      </c>
      <c r="C848" s="75">
        <v>1</v>
      </c>
      <c r="D848" s="31" t="s">
        <v>14</v>
      </c>
      <c r="E848" s="55">
        <f>I848+G848+K848</f>
        <v>365273</v>
      </c>
      <c r="F848" s="76">
        <f>J848+H848+L848</f>
        <v>365273</v>
      </c>
      <c r="G848" s="78">
        <f>일위대가목록표!F658</f>
        <v>354635</v>
      </c>
      <c r="H848" s="80">
        <f>IF(C848=0,0,ROUNDDOWN(G848*C848,1))</f>
        <v>354635</v>
      </c>
      <c r="I848" s="78">
        <f>일위대가목록표!G658</f>
        <v>0</v>
      </c>
      <c r="J848" s="80">
        <f>IF(C848=0,0,ROUNDDOWN(I848*C848,1))</f>
        <v>0</v>
      </c>
      <c r="K848" s="78">
        <f>일위대가목록표!H658</f>
        <v>10638</v>
      </c>
      <c r="L848" s="80">
        <f>IF(C848=0,0,ROUNDDOWN(K848*C848,1))</f>
        <v>10638</v>
      </c>
      <c r="M848" s="22" t="s">
        <v>6403</v>
      </c>
      <c r="N848" s="17" t="s">
        <v>6400</v>
      </c>
      <c r="O848" s="7" t="s">
        <v>6401</v>
      </c>
      <c r="P848" s="7" t="s">
        <v>6406</v>
      </c>
      <c r="Z848" s="3" t="str">
        <f ca="1">HYPERLINK("#"&amp;일위대가목록표!J2&amp;"!A"&amp;ROW(일위대가목록표!A658),"대가655 →")</f>
        <v>대가655 →</v>
      </c>
    </row>
    <row r="849" spans="1:26" ht="28.7" customHeight="1" x14ac:dyDescent="0.3">
      <c r="A849" s="10" t="s">
        <v>457</v>
      </c>
      <c r="B849" s="10" t="s">
        <v>2045</v>
      </c>
      <c r="C849" s="75">
        <v>1</v>
      </c>
      <c r="D849" s="31" t="s">
        <v>14</v>
      </c>
      <c r="E849" s="55">
        <f>I849+G849+K849</f>
        <v>1280000</v>
      </c>
      <c r="F849" s="77">
        <f>J849+H849+L849</f>
        <v>1280000</v>
      </c>
      <c r="G849" s="51">
        <v>0</v>
      </c>
      <c r="H849" s="76">
        <f>IF(C849=0,0,ROUNDDOWN(G849*C849,1))</f>
        <v>0</v>
      </c>
      <c r="I849" s="78">
        <f>재료비목록표!E6</f>
        <v>1280000</v>
      </c>
      <c r="J849" s="81">
        <f>IF(C849=0,0,ROUNDDOWN(I849*C849,1))</f>
        <v>1280000</v>
      </c>
      <c r="K849" s="51">
        <v>0</v>
      </c>
      <c r="L849" s="76">
        <f>IF(C849=0,0,ROUNDDOWN(K849*C849,1))</f>
        <v>0</v>
      </c>
      <c r="M849" s="22" t="s">
        <v>7038</v>
      </c>
      <c r="N849" s="17" t="s">
        <v>7037</v>
      </c>
      <c r="O849" s="7" t="s">
        <v>5511</v>
      </c>
      <c r="P849" s="7" t="s">
        <v>6406</v>
      </c>
      <c r="Z849" s="3" t="str">
        <f ca="1">HYPERLINK("#"&amp;재료비목록표!G2&amp;"!A"&amp;ROW(재료비목록표!A6),"자재3 →")</f>
        <v>자재3 →</v>
      </c>
    </row>
    <row r="850" spans="1:26" ht="28.7" customHeight="1" x14ac:dyDescent="0.3">
      <c r="A850" s="22" t="s">
        <v>6</v>
      </c>
      <c r="B850" s="74"/>
      <c r="C850" s="74"/>
      <c r="D850" s="74"/>
      <c r="E850" s="74"/>
      <c r="F850" s="48">
        <f>J850+H850+L850</f>
        <v>1645273</v>
      </c>
      <c r="G850" s="74"/>
      <c r="H850" s="48">
        <f>ROUNDDOWN(SUMIF(P848:P849,O850,H848:H849),0)</f>
        <v>354635</v>
      </c>
      <c r="I850" s="74"/>
      <c r="J850" s="48">
        <f>ROUNDDOWN(SUMIF(P848:P849,O850,J848:J849),0)</f>
        <v>1280000</v>
      </c>
      <c r="K850" s="74"/>
      <c r="L850" s="48">
        <f>ROUNDDOWN(SUMIF(P848:P849,O850,L848:L849),0)</f>
        <v>10638</v>
      </c>
      <c r="M850" s="74"/>
      <c r="O850" s="7" t="s">
        <v>6406</v>
      </c>
    </row>
    <row r="851" spans="1:26" ht="28.7" customHeight="1" x14ac:dyDescent="0.3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</row>
    <row r="852" spans="1:26" ht="28.7" customHeight="1" x14ac:dyDescent="0.3">
      <c r="A852" s="136" t="s">
        <v>465</v>
      </c>
      <c r="B852" s="127"/>
      <c r="C852" s="127"/>
      <c r="D852" s="127"/>
      <c r="E852" s="127"/>
      <c r="F852" s="127"/>
      <c r="G852" s="127"/>
      <c r="H852" s="127"/>
      <c r="I852" s="127"/>
      <c r="J852" s="127"/>
      <c r="K852" s="127"/>
      <c r="L852" s="144"/>
      <c r="M852" s="22" t="s">
        <v>7039</v>
      </c>
      <c r="N852" s="84" t="str">
        <f>HYPERLINK("#N"&amp;ROW(N854),"_x0005_`BDCOD|B05062_x0007_`POSS|"&amp;ROW(N853)&amp;"_x0007_`POSE|"&amp;ROW(N854)&amp;"_x0007_`")</f>
        <v>_x0005_`BDCOD|B05062_x0007_`POSS|853_x0007_`POSE|854_x0007_`</v>
      </c>
      <c r="O852" s="7" t="s">
        <v>7040</v>
      </c>
    </row>
    <row r="853" spans="1:26" ht="28.7" customHeight="1" x14ac:dyDescent="0.3">
      <c r="A853" s="10" t="s">
        <v>1682</v>
      </c>
      <c r="B853" s="10" t="s">
        <v>1694</v>
      </c>
      <c r="C853" s="75">
        <v>1</v>
      </c>
      <c r="D853" s="31" t="s">
        <v>14</v>
      </c>
      <c r="E853" s="55">
        <f>I853+G853+K853</f>
        <v>420901</v>
      </c>
      <c r="F853" s="76">
        <f>J853+H853+L853</f>
        <v>420901</v>
      </c>
      <c r="G853" s="78">
        <f>일위대가목록표!F661</f>
        <v>408643</v>
      </c>
      <c r="H853" s="80">
        <f>IF(C853=0,0,ROUNDDOWN(G853*C853,1))</f>
        <v>408643</v>
      </c>
      <c r="I853" s="78">
        <f>일위대가목록표!G661</f>
        <v>0</v>
      </c>
      <c r="J853" s="80">
        <f>IF(C853=0,0,ROUNDDOWN(I853*C853,1))</f>
        <v>0</v>
      </c>
      <c r="K853" s="78">
        <f>일위대가목록표!H661</f>
        <v>12258</v>
      </c>
      <c r="L853" s="80">
        <f>IF(C853=0,0,ROUNDDOWN(K853*C853,1))</f>
        <v>12258</v>
      </c>
      <c r="M853" s="22" t="s">
        <v>6411</v>
      </c>
      <c r="N853" s="17" t="s">
        <v>6408</v>
      </c>
      <c r="O853" s="7" t="s">
        <v>6409</v>
      </c>
      <c r="P853" s="7" t="s">
        <v>6406</v>
      </c>
      <c r="Z853" s="3" t="str">
        <f ca="1">HYPERLINK("#"&amp;일위대가목록표!J2&amp;"!A"&amp;ROW(일위대가목록표!A661),"대가658 →")</f>
        <v>대가658 →</v>
      </c>
    </row>
    <row r="854" spans="1:26" ht="28.7" customHeight="1" x14ac:dyDescent="0.3">
      <c r="A854" s="10" t="s">
        <v>3037</v>
      </c>
      <c r="B854" s="10" t="s">
        <v>467</v>
      </c>
      <c r="C854" s="75">
        <v>1</v>
      </c>
      <c r="D854" s="31" t="s">
        <v>14</v>
      </c>
      <c r="E854" s="55">
        <f>I854+G854+K854</f>
        <v>1871000</v>
      </c>
      <c r="F854" s="77">
        <f>J854+H854+L854</f>
        <v>1871000</v>
      </c>
      <c r="G854" s="51">
        <v>0</v>
      </c>
      <c r="H854" s="76">
        <f>IF(C854=0,0,ROUNDDOWN(G854*C854,1))</f>
        <v>0</v>
      </c>
      <c r="I854" s="78">
        <f>재료비목록표!E361</f>
        <v>1871000</v>
      </c>
      <c r="J854" s="81">
        <f>IF(C854=0,0,ROUNDDOWN(I854*C854,1))</f>
        <v>1871000</v>
      </c>
      <c r="K854" s="51">
        <v>0</v>
      </c>
      <c r="L854" s="76">
        <f>IF(C854=0,0,ROUNDDOWN(K854*C854,1))</f>
        <v>0</v>
      </c>
      <c r="M854" s="22" t="s">
        <v>7042</v>
      </c>
      <c r="N854" s="17" t="s">
        <v>7041</v>
      </c>
      <c r="O854" s="7" t="s">
        <v>5526</v>
      </c>
      <c r="P854" s="7" t="s">
        <v>6406</v>
      </c>
      <c r="Z854" s="3" t="str">
        <f ca="1">HYPERLINK("#"&amp;재료비목록표!G2&amp;"!A"&amp;ROW(재료비목록표!A361),"자재358 →")</f>
        <v>자재358 →</v>
      </c>
    </row>
    <row r="855" spans="1:26" ht="28.7" customHeight="1" x14ac:dyDescent="0.3">
      <c r="A855" s="22" t="s">
        <v>6</v>
      </c>
      <c r="B855" s="74"/>
      <c r="C855" s="74"/>
      <c r="D855" s="74"/>
      <c r="E855" s="74"/>
      <c r="F855" s="48">
        <f>J855+H855+L855</f>
        <v>2291901</v>
      </c>
      <c r="G855" s="74"/>
      <c r="H855" s="48">
        <f>ROUNDDOWN(SUMIF(P853:P854,O855,H853:H854),0)</f>
        <v>408643</v>
      </c>
      <c r="I855" s="74"/>
      <c r="J855" s="48">
        <f>ROUNDDOWN(SUMIF(P853:P854,O855,J853:J854),0)</f>
        <v>1871000</v>
      </c>
      <c r="K855" s="74"/>
      <c r="L855" s="48">
        <f>ROUNDDOWN(SUMIF(P853:P854,O855,L853:L854),0)</f>
        <v>12258</v>
      </c>
      <c r="M855" s="74"/>
      <c r="O855" s="7" t="s">
        <v>6406</v>
      </c>
    </row>
    <row r="856" spans="1:26" ht="28.7" customHeight="1" x14ac:dyDescent="0.3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</row>
    <row r="857" spans="1:26" ht="28.7" customHeight="1" x14ac:dyDescent="0.3">
      <c r="A857" s="136" t="s">
        <v>468</v>
      </c>
      <c r="B857" s="127"/>
      <c r="C857" s="127"/>
      <c r="D857" s="127"/>
      <c r="E857" s="127"/>
      <c r="F857" s="127"/>
      <c r="G857" s="127"/>
      <c r="H857" s="127"/>
      <c r="I857" s="127"/>
      <c r="J857" s="127"/>
      <c r="K857" s="127"/>
      <c r="L857" s="144"/>
      <c r="M857" s="22" t="s">
        <v>7043</v>
      </c>
      <c r="N857" s="84" t="str">
        <f>HYPERLINK("#N"&amp;ROW(N858),"_x0005_`BDCOD|B05243_x0007_`POSS|"&amp;ROW(N858)&amp;"_x0007_`POSE|"&amp;ROW(N858)&amp;"_x0007_`")</f>
        <v>_x0005_`BDCOD|B05243_x0007_`POSS|858_x0007_`POSE|858_x0007_`</v>
      </c>
      <c r="O857" s="7" t="s">
        <v>7044</v>
      </c>
    </row>
    <row r="858" spans="1:26" ht="28.7" customHeight="1" x14ac:dyDescent="0.3">
      <c r="A858" s="10" t="s">
        <v>1682</v>
      </c>
      <c r="B858" s="10" t="s">
        <v>1784</v>
      </c>
      <c r="C858" s="75">
        <v>1</v>
      </c>
      <c r="D858" s="31" t="s">
        <v>14</v>
      </c>
      <c r="E858" s="55">
        <f>I858+G858+K858</f>
        <v>329994</v>
      </c>
      <c r="F858" s="76">
        <f>J858+H858+L858</f>
        <v>329994</v>
      </c>
      <c r="G858" s="78">
        <f>일위대가목록표!F691</f>
        <v>320383</v>
      </c>
      <c r="H858" s="80">
        <f>IF(C858=0,0,ROUNDDOWN(G858*C858,1))</f>
        <v>320383</v>
      </c>
      <c r="I858" s="78">
        <f>일위대가목록표!G691</f>
        <v>0</v>
      </c>
      <c r="J858" s="80">
        <f>IF(C858=0,0,ROUNDDOWN(I858*C858,1))</f>
        <v>0</v>
      </c>
      <c r="K858" s="78">
        <f>일위대가목록표!H691</f>
        <v>9611</v>
      </c>
      <c r="L858" s="80">
        <f>IF(C858=0,0,ROUNDDOWN(K858*C858,1))</f>
        <v>9611</v>
      </c>
      <c r="M858" s="22" t="s">
        <v>7028</v>
      </c>
      <c r="N858" s="17" t="s">
        <v>7026</v>
      </c>
      <c r="O858" s="7" t="s">
        <v>7027</v>
      </c>
      <c r="P858" s="7" t="s">
        <v>6406</v>
      </c>
      <c r="Z858" s="3" t="str">
        <f ca="1">HYPERLINK("#"&amp;일위대가목록표!J2&amp;"!A"&amp;ROW(일위대가목록표!A691),"대가688 →")</f>
        <v>대가688 →</v>
      </c>
    </row>
    <row r="859" spans="1:26" ht="28.7" customHeight="1" x14ac:dyDescent="0.3">
      <c r="A859" s="22" t="s">
        <v>6</v>
      </c>
      <c r="B859" s="74"/>
      <c r="C859" s="74"/>
      <c r="D859" s="74"/>
      <c r="E859" s="74"/>
      <c r="F859" s="48">
        <f>J859+H859+L859</f>
        <v>329994</v>
      </c>
      <c r="G859" s="74"/>
      <c r="H859" s="48">
        <f>ROUNDDOWN(SUMIF(P858:P858,O859,H858:H858),0)</f>
        <v>320383</v>
      </c>
      <c r="I859" s="74"/>
      <c r="J859" s="48">
        <f>ROUNDDOWN(SUMIF(P858:P858,O859,J858:J858),0)</f>
        <v>0</v>
      </c>
      <c r="K859" s="74"/>
      <c r="L859" s="48">
        <f>ROUNDDOWN(SUMIF(P858:P858,O859,L858:L858),0)</f>
        <v>9611</v>
      </c>
      <c r="M859" s="74"/>
      <c r="O859" s="7" t="s">
        <v>6406</v>
      </c>
    </row>
    <row r="860" spans="1:26" ht="28.7" customHeight="1" x14ac:dyDescent="0.3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</row>
    <row r="861" spans="1:26" ht="28.7" customHeight="1" x14ac:dyDescent="0.3">
      <c r="A861" s="136" t="s">
        <v>471</v>
      </c>
      <c r="B861" s="127"/>
      <c r="C861" s="127"/>
      <c r="D861" s="127"/>
      <c r="E861" s="127"/>
      <c r="F861" s="127"/>
      <c r="G861" s="127"/>
      <c r="H861" s="127"/>
      <c r="I861" s="127"/>
      <c r="J861" s="127"/>
      <c r="K861" s="127"/>
      <c r="L861" s="144"/>
      <c r="M861" s="22" t="s">
        <v>7045</v>
      </c>
      <c r="N861" s="84" t="str">
        <f>HYPERLINK("#N"&amp;ROW(N862),"_x0005_`BDCOD|B05254_x0007_`POSS|"&amp;ROW(N862)&amp;"_x0007_`POSE|"&amp;ROW(N862)&amp;"_x0007_`")</f>
        <v>_x0005_`BDCOD|B05254_x0007_`POSS|862_x0007_`POSE|862_x0007_`</v>
      </c>
      <c r="O861" s="7" t="s">
        <v>7046</v>
      </c>
    </row>
    <row r="862" spans="1:26" ht="28.7" customHeight="1" x14ac:dyDescent="0.3">
      <c r="A862" s="10" t="s">
        <v>1682</v>
      </c>
      <c r="B862" s="10" t="s">
        <v>1784</v>
      </c>
      <c r="C862" s="75">
        <v>1</v>
      </c>
      <c r="D862" s="31" t="s">
        <v>14</v>
      </c>
      <c r="E862" s="55">
        <f>I862+G862+K862</f>
        <v>329994</v>
      </c>
      <c r="F862" s="76">
        <f>J862+H862+L862</f>
        <v>329994</v>
      </c>
      <c r="G862" s="78">
        <f>일위대가목록표!F691</f>
        <v>320383</v>
      </c>
      <c r="H862" s="80">
        <f>IF(C862=0,0,ROUNDDOWN(G862*C862,1))</f>
        <v>320383</v>
      </c>
      <c r="I862" s="78">
        <f>일위대가목록표!G691</f>
        <v>0</v>
      </c>
      <c r="J862" s="80">
        <f>IF(C862=0,0,ROUNDDOWN(I862*C862,1))</f>
        <v>0</v>
      </c>
      <c r="K862" s="78">
        <f>일위대가목록표!H691</f>
        <v>9611</v>
      </c>
      <c r="L862" s="80">
        <f>IF(C862=0,0,ROUNDDOWN(K862*C862,1))</f>
        <v>9611</v>
      </c>
      <c r="M862" s="22" t="s">
        <v>7028</v>
      </c>
      <c r="N862" s="17" t="s">
        <v>7026</v>
      </c>
      <c r="O862" s="7" t="s">
        <v>7027</v>
      </c>
      <c r="P862" s="7" t="s">
        <v>6406</v>
      </c>
      <c r="Z862" s="3" t="str">
        <f ca="1">HYPERLINK("#"&amp;일위대가목록표!J2&amp;"!A"&amp;ROW(일위대가목록표!A691),"대가688 →")</f>
        <v>대가688 →</v>
      </c>
    </row>
    <row r="863" spans="1:26" ht="28.7" customHeight="1" x14ac:dyDescent="0.3">
      <c r="A863" s="22" t="s">
        <v>6</v>
      </c>
      <c r="B863" s="74"/>
      <c r="C863" s="74"/>
      <c r="D863" s="74"/>
      <c r="E863" s="74"/>
      <c r="F863" s="48">
        <f>J863+H863+L863</f>
        <v>329994</v>
      </c>
      <c r="G863" s="74"/>
      <c r="H863" s="48">
        <f>ROUNDDOWN(SUMIF(P862:P862,O863,H862:H862),0)</f>
        <v>320383</v>
      </c>
      <c r="I863" s="74"/>
      <c r="J863" s="48">
        <f>ROUNDDOWN(SUMIF(P862:P862,O863,J862:J862),0)</f>
        <v>0</v>
      </c>
      <c r="K863" s="74"/>
      <c r="L863" s="48">
        <f>ROUNDDOWN(SUMIF(P862:P862,O863,L862:L862),0)</f>
        <v>9611</v>
      </c>
      <c r="M863" s="74"/>
      <c r="O863" s="7" t="s">
        <v>6406</v>
      </c>
    </row>
    <row r="864" spans="1:26" ht="28.7" customHeight="1" x14ac:dyDescent="0.3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</row>
    <row r="865" spans="1:26" ht="28.7" customHeight="1" x14ac:dyDescent="0.3">
      <c r="A865" s="136" t="s">
        <v>473</v>
      </c>
      <c r="B865" s="127"/>
      <c r="C865" s="127"/>
      <c r="D865" s="127"/>
      <c r="E865" s="127"/>
      <c r="F865" s="127"/>
      <c r="G865" s="127"/>
      <c r="H865" s="127"/>
      <c r="I865" s="127"/>
      <c r="J865" s="127"/>
      <c r="K865" s="127"/>
      <c r="L865" s="144"/>
      <c r="M865" s="22" t="s">
        <v>7047</v>
      </c>
      <c r="N865" s="84" t="str">
        <f>HYPERLINK("#N"&amp;ROW(N866),"_x0005_`BDCOD|B05249_x0007_`POSS|"&amp;ROW(N866)&amp;"_x0007_`POSE|"&amp;ROW(N866)&amp;"_x0007_`")</f>
        <v>_x0005_`BDCOD|B05249_x0007_`POSS|866_x0007_`POSE|866_x0007_`</v>
      </c>
      <c r="O865" s="7" t="s">
        <v>7048</v>
      </c>
    </row>
    <row r="866" spans="1:26" ht="28.7" customHeight="1" x14ac:dyDescent="0.3">
      <c r="A866" s="10" t="s">
        <v>1682</v>
      </c>
      <c r="B866" s="10" t="s">
        <v>1683</v>
      </c>
      <c r="C866" s="75">
        <v>1</v>
      </c>
      <c r="D866" s="31" t="s">
        <v>14</v>
      </c>
      <c r="E866" s="55">
        <f>I866+G866+K866</f>
        <v>365273</v>
      </c>
      <c r="F866" s="76">
        <f>J866+H866+L866</f>
        <v>365273</v>
      </c>
      <c r="G866" s="78">
        <f>일위대가목록표!F658</f>
        <v>354635</v>
      </c>
      <c r="H866" s="80">
        <f>IF(C866=0,0,ROUNDDOWN(G866*C866,1))</f>
        <v>354635</v>
      </c>
      <c r="I866" s="78">
        <f>일위대가목록표!G658</f>
        <v>0</v>
      </c>
      <c r="J866" s="80">
        <f>IF(C866=0,0,ROUNDDOWN(I866*C866,1))</f>
        <v>0</v>
      </c>
      <c r="K866" s="78">
        <f>일위대가목록표!H658</f>
        <v>10638</v>
      </c>
      <c r="L866" s="80">
        <f>IF(C866=0,0,ROUNDDOWN(K866*C866,1))</f>
        <v>10638</v>
      </c>
      <c r="M866" s="22" t="s">
        <v>6403</v>
      </c>
      <c r="N866" s="17" t="s">
        <v>6400</v>
      </c>
      <c r="O866" s="7" t="s">
        <v>6401</v>
      </c>
      <c r="P866" s="7" t="s">
        <v>6406</v>
      </c>
      <c r="Z866" s="3" t="str">
        <f ca="1">HYPERLINK("#"&amp;일위대가목록표!J2&amp;"!A"&amp;ROW(일위대가목록표!A658),"대가655 →")</f>
        <v>대가655 →</v>
      </c>
    </row>
    <row r="867" spans="1:26" ht="28.7" customHeight="1" x14ac:dyDescent="0.3">
      <c r="A867" s="22" t="s">
        <v>6</v>
      </c>
      <c r="B867" s="74"/>
      <c r="C867" s="74"/>
      <c r="D867" s="74"/>
      <c r="E867" s="74"/>
      <c r="F867" s="48">
        <f>J867+H867+L867</f>
        <v>365273</v>
      </c>
      <c r="G867" s="74"/>
      <c r="H867" s="48">
        <f>ROUNDDOWN(SUMIF(P866:P866,O867,H866:H866),0)</f>
        <v>354635</v>
      </c>
      <c r="I867" s="74"/>
      <c r="J867" s="48">
        <f>ROUNDDOWN(SUMIF(P866:P866,O867,J866:J866),0)</f>
        <v>0</v>
      </c>
      <c r="K867" s="74"/>
      <c r="L867" s="48">
        <f>ROUNDDOWN(SUMIF(P866:P866,O867,L866:L866),0)</f>
        <v>10638</v>
      </c>
      <c r="M867" s="74"/>
      <c r="O867" s="7" t="s">
        <v>6406</v>
      </c>
    </row>
    <row r="868" spans="1:26" ht="28.7" customHeight="1" x14ac:dyDescent="0.3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</row>
    <row r="869" spans="1:26" ht="28.7" customHeight="1" x14ac:dyDescent="0.3">
      <c r="A869" s="136" t="s">
        <v>476</v>
      </c>
      <c r="B869" s="127"/>
      <c r="C869" s="127"/>
      <c r="D869" s="127"/>
      <c r="E869" s="127"/>
      <c r="F869" s="127"/>
      <c r="G869" s="127"/>
      <c r="H869" s="127"/>
      <c r="I869" s="127"/>
      <c r="J869" s="127"/>
      <c r="K869" s="127"/>
      <c r="L869" s="144"/>
      <c r="M869" s="22" t="s">
        <v>7049</v>
      </c>
      <c r="N869" s="84" t="str">
        <f>HYPERLINK("#N"&amp;ROW(N870),"_x0005_`BDCOD|B05255_x0007_`POSS|"&amp;ROW(N870)&amp;"_x0007_`POSE|"&amp;ROW(N870)&amp;"_x0007_`")</f>
        <v>_x0005_`BDCOD|B05255_x0007_`POSS|870_x0007_`POSE|870_x0007_`</v>
      </c>
      <c r="O869" s="7" t="s">
        <v>7050</v>
      </c>
    </row>
    <row r="870" spans="1:26" ht="28.7" customHeight="1" x14ac:dyDescent="0.3">
      <c r="A870" s="10" t="s">
        <v>1682</v>
      </c>
      <c r="B870" s="10" t="s">
        <v>1694</v>
      </c>
      <c r="C870" s="75">
        <v>1</v>
      </c>
      <c r="D870" s="31" t="s">
        <v>14</v>
      </c>
      <c r="E870" s="55">
        <f>I870+G870+K870</f>
        <v>420901</v>
      </c>
      <c r="F870" s="76">
        <f>J870+H870+L870</f>
        <v>420901</v>
      </c>
      <c r="G870" s="78">
        <f>일위대가목록표!F661</f>
        <v>408643</v>
      </c>
      <c r="H870" s="80">
        <f>IF(C870=0,0,ROUNDDOWN(G870*C870,1))</f>
        <v>408643</v>
      </c>
      <c r="I870" s="78">
        <f>일위대가목록표!G661</f>
        <v>0</v>
      </c>
      <c r="J870" s="80">
        <f>IF(C870=0,0,ROUNDDOWN(I870*C870,1))</f>
        <v>0</v>
      </c>
      <c r="K870" s="78">
        <f>일위대가목록표!H661</f>
        <v>12258</v>
      </c>
      <c r="L870" s="80">
        <f>IF(C870=0,0,ROUNDDOWN(K870*C870,1))</f>
        <v>12258</v>
      </c>
      <c r="M870" s="22" t="s">
        <v>6411</v>
      </c>
      <c r="N870" s="17" t="s">
        <v>6408</v>
      </c>
      <c r="O870" s="7" t="s">
        <v>6409</v>
      </c>
      <c r="P870" s="7" t="s">
        <v>6406</v>
      </c>
      <c r="Z870" s="3" t="str">
        <f ca="1">HYPERLINK("#"&amp;일위대가목록표!J2&amp;"!A"&amp;ROW(일위대가목록표!A661),"대가658 →")</f>
        <v>대가658 →</v>
      </c>
    </row>
    <row r="871" spans="1:26" ht="28.7" customHeight="1" x14ac:dyDescent="0.3">
      <c r="A871" s="22" t="s">
        <v>6</v>
      </c>
      <c r="B871" s="74"/>
      <c r="C871" s="74"/>
      <c r="D871" s="74"/>
      <c r="E871" s="74"/>
      <c r="F871" s="48">
        <f>J871+H871+L871</f>
        <v>420901</v>
      </c>
      <c r="G871" s="74"/>
      <c r="H871" s="48">
        <f>ROUNDDOWN(SUMIF(P870:P870,O871,H870:H870),0)</f>
        <v>408643</v>
      </c>
      <c r="I871" s="74"/>
      <c r="J871" s="48">
        <f>ROUNDDOWN(SUMIF(P870:P870,O871,J870:J870),0)</f>
        <v>0</v>
      </c>
      <c r="K871" s="74"/>
      <c r="L871" s="48">
        <f>ROUNDDOWN(SUMIF(P870:P870,O871,L870:L870),0)</f>
        <v>12258</v>
      </c>
      <c r="M871" s="74"/>
      <c r="O871" s="7" t="s">
        <v>6406</v>
      </c>
    </row>
    <row r="872" spans="1:26" ht="28.7" customHeight="1" x14ac:dyDescent="0.3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</row>
    <row r="873" spans="1:26" ht="28.7" customHeight="1" x14ac:dyDescent="0.3">
      <c r="A873" s="136" t="s">
        <v>478</v>
      </c>
      <c r="B873" s="127"/>
      <c r="C873" s="127"/>
      <c r="D873" s="127"/>
      <c r="E873" s="127"/>
      <c r="F873" s="127"/>
      <c r="G873" s="127"/>
      <c r="H873" s="127"/>
      <c r="I873" s="127"/>
      <c r="J873" s="127"/>
      <c r="K873" s="127"/>
      <c r="L873" s="144"/>
      <c r="M873" s="22" t="s">
        <v>7051</v>
      </c>
      <c r="N873" s="84" t="str">
        <f>HYPERLINK("#N"&amp;ROW(N874),"_x0005_`BDCOD|B05256_x0007_`POSS|"&amp;ROW(N874)&amp;"_x0007_`POSE|"&amp;ROW(N874)&amp;"_x0007_`")</f>
        <v>_x0005_`BDCOD|B05256_x0007_`POSS|874_x0007_`POSE|874_x0007_`</v>
      </c>
      <c r="O873" s="7" t="s">
        <v>7052</v>
      </c>
    </row>
    <row r="874" spans="1:26" ht="28.7" customHeight="1" x14ac:dyDescent="0.3">
      <c r="A874" s="10" t="s">
        <v>1690</v>
      </c>
      <c r="B874" s="10" t="s">
        <v>1790</v>
      </c>
      <c r="C874" s="75">
        <v>1</v>
      </c>
      <c r="D874" s="31" t="s">
        <v>14</v>
      </c>
      <c r="E874" s="55">
        <f>I874+G874+K874</f>
        <v>235710</v>
      </c>
      <c r="F874" s="76">
        <f>J874+H874+L874</f>
        <v>235710</v>
      </c>
      <c r="G874" s="78">
        <f>일위대가목록표!F693</f>
        <v>228845</v>
      </c>
      <c r="H874" s="80">
        <f>IF(C874=0,0,ROUNDDOWN(G874*C874,1))</f>
        <v>228845</v>
      </c>
      <c r="I874" s="78">
        <f>일위대가목록표!G693</f>
        <v>0</v>
      </c>
      <c r="J874" s="80">
        <f>IF(C874=0,0,ROUNDDOWN(I874*C874,1))</f>
        <v>0</v>
      </c>
      <c r="K874" s="78">
        <f>일위대가목록표!H693</f>
        <v>6865</v>
      </c>
      <c r="L874" s="80">
        <f>IF(C874=0,0,ROUNDDOWN(K874*C874,1))</f>
        <v>6865</v>
      </c>
      <c r="M874" s="22" t="s">
        <v>7055</v>
      </c>
      <c r="N874" s="17" t="s">
        <v>7053</v>
      </c>
      <c r="O874" s="7" t="s">
        <v>7054</v>
      </c>
      <c r="P874" s="7" t="s">
        <v>6406</v>
      </c>
      <c r="Z874" s="3" t="str">
        <f ca="1">HYPERLINK("#"&amp;일위대가목록표!J2&amp;"!A"&amp;ROW(일위대가목록표!A693),"대가690 →")</f>
        <v>대가690 →</v>
      </c>
    </row>
    <row r="875" spans="1:26" ht="28.7" customHeight="1" x14ac:dyDescent="0.3">
      <c r="A875" s="22" t="s">
        <v>6</v>
      </c>
      <c r="B875" s="74"/>
      <c r="C875" s="74"/>
      <c r="D875" s="74"/>
      <c r="E875" s="74"/>
      <c r="F875" s="48">
        <f>J875+H875+L875</f>
        <v>235710</v>
      </c>
      <c r="G875" s="74"/>
      <c r="H875" s="48">
        <f>ROUNDDOWN(SUMIF(P874:P874,O875,H874:H874),0)</f>
        <v>228845</v>
      </c>
      <c r="I875" s="74"/>
      <c r="J875" s="48">
        <f>ROUNDDOWN(SUMIF(P874:P874,O875,J874:J874),0)</f>
        <v>0</v>
      </c>
      <c r="K875" s="74"/>
      <c r="L875" s="48">
        <f>ROUNDDOWN(SUMIF(P874:P874,O875,L874:L874),0)</f>
        <v>6865</v>
      </c>
      <c r="M875" s="74"/>
      <c r="O875" s="7" t="s">
        <v>6406</v>
      </c>
    </row>
    <row r="876" spans="1:26" ht="28.7" customHeight="1" x14ac:dyDescent="0.3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</row>
    <row r="877" spans="1:26" ht="28.7" customHeight="1" x14ac:dyDescent="0.3">
      <c r="A877" s="136" t="s">
        <v>481</v>
      </c>
      <c r="B877" s="127"/>
      <c r="C877" s="127"/>
      <c r="D877" s="127"/>
      <c r="E877" s="127"/>
      <c r="F877" s="127"/>
      <c r="G877" s="127"/>
      <c r="H877" s="127"/>
      <c r="I877" s="127"/>
      <c r="J877" s="127"/>
      <c r="K877" s="127"/>
      <c r="L877" s="144"/>
      <c r="M877" s="22" t="s">
        <v>7056</v>
      </c>
      <c r="N877" s="84" t="str">
        <f>HYPERLINK("#N"&amp;ROW(N878),"_x0005_`BDCOD|B05258_x0007_`POSS|"&amp;ROW(N878)&amp;"_x0007_`POSE|"&amp;ROW(N878)&amp;"_x0007_`")</f>
        <v>_x0005_`BDCOD|B05258_x0007_`POSS|878_x0007_`POSE|878_x0007_`</v>
      </c>
      <c r="O877" s="7" t="s">
        <v>7057</v>
      </c>
    </row>
    <row r="878" spans="1:26" ht="28.7" customHeight="1" x14ac:dyDescent="0.3">
      <c r="A878" s="10" t="s">
        <v>1690</v>
      </c>
      <c r="B878" s="10" t="s">
        <v>1790</v>
      </c>
      <c r="C878" s="75">
        <v>1</v>
      </c>
      <c r="D878" s="31" t="s">
        <v>14</v>
      </c>
      <c r="E878" s="55">
        <f>I878+G878+K878</f>
        <v>235710</v>
      </c>
      <c r="F878" s="76">
        <f>J878+H878+L878</f>
        <v>235710</v>
      </c>
      <c r="G878" s="78">
        <f>일위대가목록표!F693</f>
        <v>228845</v>
      </c>
      <c r="H878" s="80">
        <f>IF(C878=0,0,ROUNDDOWN(G878*C878,1))</f>
        <v>228845</v>
      </c>
      <c r="I878" s="78">
        <f>일위대가목록표!G693</f>
        <v>0</v>
      </c>
      <c r="J878" s="80">
        <f>IF(C878=0,0,ROUNDDOWN(I878*C878,1))</f>
        <v>0</v>
      </c>
      <c r="K878" s="78">
        <f>일위대가목록표!H693</f>
        <v>6865</v>
      </c>
      <c r="L878" s="80">
        <f>IF(C878=0,0,ROUNDDOWN(K878*C878,1))</f>
        <v>6865</v>
      </c>
      <c r="M878" s="22" t="s">
        <v>7055</v>
      </c>
      <c r="N878" s="17" t="s">
        <v>7053</v>
      </c>
      <c r="O878" s="7" t="s">
        <v>7054</v>
      </c>
      <c r="P878" s="7" t="s">
        <v>6406</v>
      </c>
      <c r="Z878" s="3" t="str">
        <f ca="1">HYPERLINK("#"&amp;일위대가목록표!J2&amp;"!A"&amp;ROW(일위대가목록표!A693),"대가690 →")</f>
        <v>대가690 →</v>
      </c>
    </row>
    <row r="879" spans="1:26" ht="28.7" customHeight="1" x14ac:dyDescent="0.3">
      <c r="A879" s="22" t="s">
        <v>6</v>
      </c>
      <c r="B879" s="74"/>
      <c r="C879" s="74"/>
      <c r="D879" s="74"/>
      <c r="E879" s="74"/>
      <c r="F879" s="48">
        <f>J879+H879+L879</f>
        <v>235710</v>
      </c>
      <c r="G879" s="74"/>
      <c r="H879" s="48">
        <f>ROUNDDOWN(SUMIF(P878:P878,O879,H878:H878),0)</f>
        <v>228845</v>
      </c>
      <c r="I879" s="74"/>
      <c r="J879" s="48">
        <f>ROUNDDOWN(SUMIF(P878:P878,O879,J878:J878),0)</f>
        <v>0</v>
      </c>
      <c r="K879" s="74"/>
      <c r="L879" s="48">
        <f>ROUNDDOWN(SUMIF(P878:P878,O879,L878:L878),0)</f>
        <v>6865</v>
      </c>
      <c r="M879" s="74"/>
      <c r="O879" s="7" t="s">
        <v>6406</v>
      </c>
    </row>
    <row r="880" spans="1:26" ht="28.7" customHeight="1" x14ac:dyDescent="0.3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</row>
    <row r="881" spans="1:26" ht="28.7" customHeight="1" x14ac:dyDescent="0.3">
      <c r="A881" s="136" t="s">
        <v>483</v>
      </c>
      <c r="B881" s="127"/>
      <c r="C881" s="127"/>
      <c r="D881" s="127"/>
      <c r="E881" s="127"/>
      <c r="F881" s="127"/>
      <c r="G881" s="127"/>
      <c r="H881" s="127"/>
      <c r="I881" s="127"/>
      <c r="J881" s="127"/>
      <c r="K881" s="127"/>
      <c r="L881" s="144"/>
      <c r="M881" s="22" t="s">
        <v>7058</v>
      </c>
      <c r="N881" s="84" t="str">
        <f>HYPERLINK("#N"&amp;ROW(N883),"_x0005_`BDCOD|B05257_x0007_`POSS|"&amp;ROW(N882)&amp;"_x0007_`POSE|"&amp;ROW(N883)&amp;"_x0007_`")</f>
        <v>_x0005_`BDCOD|B05257_x0007_`POSS|882_x0007_`POSE|883_x0007_`</v>
      </c>
      <c r="O881" s="7" t="s">
        <v>7059</v>
      </c>
    </row>
    <row r="882" spans="1:26" ht="28.7" customHeight="1" x14ac:dyDescent="0.3">
      <c r="A882" s="10" t="s">
        <v>1690</v>
      </c>
      <c r="B882" s="10" t="s">
        <v>1691</v>
      </c>
      <c r="C882" s="75">
        <v>1</v>
      </c>
      <c r="D882" s="31" t="s">
        <v>14</v>
      </c>
      <c r="E882" s="55">
        <f>I882+G882+K882</f>
        <v>260910</v>
      </c>
      <c r="F882" s="76">
        <f>J882+H882+L882</f>
        <v>260910</v>
      </c>
      <c r="G882" s="78">
        <f>일위대가목록표!F660</f>
        <v>253311</v>
      </c>
      <c r="H882" s="80">
        <f>IF(C882=0,0,ROUNDDOWN(G882*C882,1))</f>
        <v>253311</v>
      </c>
      <c r="I882" s="78">
        <f>일위대가목록표!G660</f>
        <v>0</v>
      </c>
      <c r="J882" s="80">
        <f>IF(C882=0,0,ROUNDDOWN(I882*C882,1))</f>
        <v>0</v>
      </c>
      <c r="K882" s="78">
        <f>일위대가목록표!H660</f>
        <v>7599</v>
      </c>
      <c r="L882" s="80">
        <f>IF(C882=0,0,ROUNDDOWN(K882*C882,1))</f>
        <v>7599</v>
      </c>
      <c r="M882" s="22" t="s">
        <v>6512</v>
      </c>
      <c r="N882" s="17" t="s">
        <v>7060</v>
      </c>
      <c r="O882" s="7" t="s">
        <v>6511</v>
      </c>
      <c r="P882" s="7" t="s">
        <v>6406</v>
      </c>
      <c r="Q882" s="7" t="s">
        <v>7061</v>
      </c>
      <c r="Z882" s="3" t="str">
        <f ca="1">HYPERLINK("#"&amp;일위대가목록표!J2&amp;"!A"&amp;ROW(일위대가목록표!A660),"대가657 →")</f>
        <v>대가657 →</v>
      </c>
    </row>
    <row r="883" spans="1:26" ht="28.7" customHeight="1" x14ac:dyDescent="0.3">
      <c r="A883" s="10" t="s">
        <v>7062</v>
      </c>
      <c r="B883" s="10" t="s">
        <v>7063</v>
      </c>
      <c r="C883" s="75">
        <v>10</v>
      </c>
      <c r="D883" s="31" t="s">
        <v>7064</v>
      </c>
      <c r="E883" s="55">
        <f>I883+G883+K883</f>
        <v>253311</v>
      </c>
      <c r="F883" s="77">
        <f>J883+H883+L883</f>
        <v>25331.1</v>
      </c>
      <c r="G883" s="13">
        <v>0</v>
      </c>
      <c r="H883" s="77">
        <f>IF(C883=0,0,ROUNDDOWN(G883*C883/100,1))</f>
        <v>0</v>
      </c>
      <c r="I883" s="13">
        <v>0</v>
      </c>
      <c r="J883" s="76">
        <f>IF(C883=0,0,ROUNDDOWN(I883*C883/100,1))</f>
        <v>0</v>
      </c>
      <c r="K883" s="82">
        <f>H882</f>
        <v>253311</v>
      </c>
      <c r="L883" s="76">
        <f>IF(C883=0,0,ROUNDDOWN(K883*C883/100,1))</f>
        <v>25331.1</v>
      </c>
      <c r="M883" s="22"/>
      <c r="N883" s="17" t="s">
        <v>7065</v>
      </c>
      <c r="O883" s="7" t="s">
        <v>7066</v>
      </c>
      <c r="P883" s="7" t="s">
        <v>6406</v>
      </c>
    </row>
    <row r="884" spans="1:26" ht="28.7" customHeight="1" x14ac:dyDescent="0.3">
      <c r="A884" s="22" t="s">
        <v>6</v>
      </c>
      <c r="B884" s="74"/>
      <c r="C884" s="74"/>
      <c r="D884" s="74"/>
      <c r="E884" s="74"/>
      <c r="F884" s="48">
        <f>J884+H884+L884</f>
        <v>286241</v>
      </c>
      <c r="G884" s="74"/>
      <c r="H884" s="48">
        <f>ROUNDDOWN(SUMIF(P882:P883,O884,H882:H883),0)</f>
        <v>253311</v>
      </c>
      <c r="I884" s="74"/>
      <c r="J884" s="48">
        <f>ROUNDDOWN(SUMIF(P882:P883,O884,J882:J883),0)</f>
        <v>0</v>
      </c>
      <c r="K884" s="74"/>
      <c r="L884" s="48">
        <f>ROUNDDOWN(SUMIF(P882:P883,O884,L882:L883),0)</f>
        <v>32930</v>
      </c>
      <c r="M884" s="74"/>
      <c r="O884" s="7" t="s">
        <v>6406</v>
      </c>
    </row>
    <row r="885" spans="1:26" ht="28.7" customHeight="1" x14ac:dyDescent="0.3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</row>
    <row r="886" spans="1:26" ht="28.7" customHeight="1" x14ac:dyDescent="0.3">
      <c r="A886" s="136" t="s">
        <v>486</v>
      </c>
      <c r="B886" s="127"/>
      <c r="C886" s="127"/>
      <c r="D886" s="127"/>
      <c r="E886" s="127"/>
      <c r="F886" s="127"/>
      <c r="G886" s="127"/>
      <c r="H886" s="127"/>
      <c r="I886" s="127"/>
      <c r="J886" s="127"/>
      <c r="K886" s="127"/>
      <c r="L886" s="144"/>
      <c r="M886" s="22" t="s">
        <v>7067</v>
      </c>
      <c r="N886" s="84" t="str">
        <f>HYPERLINK("#N"&amp;ROW(N887),"_x0005_`BDCOD|B05259_x0007_`POSS|"&amp;ROW(N887)&amp;"_x0007_`POSE|"&amp;ROW(N887)&amp;"_x0007_`")</f>
        <v>_x0005_`BDCOD|B05259_x0007_`POSS|887_x0007_`POSE|887_x0007_`</v>
      </c>
      <c r="O886" s="7" t="s">
        <v>7068</v>
      </c>
    </row>
    <row r="887" spans="1:26" ht="28.7" customHeight="1" x14ac:dyDescent="0.3">
      <c r="A887" s="10" t="s">
        <v>1690</v>
      </c>
      <c r="B887" s="10" t="s">
        <v>1700</v>
      </c>
      <c r="C887" s="75">
        <v>1</v>
      </c>
      <c r="D887" s="31" t="s">
        <v>14</v>
      </c>
      <c r="E887" s="55">
        <f>I887+G887+K887</f>
        <v>300644</v>
      </c>
      <c r="F887" s="76">
        <f>J887+H887+L887</f>
        <v>300644</v>
      </c>
      <c r="G887" s="78">
        <f>일위대가목록표!F663</f>
        <v>291888</v>
      </c>
      <c r="H887" s="80">
        <f>IF(C887=0,0,ROUNDDOWN(G887*C887,1))</f>
        <v>291888</v>
      </c>
      <c r="I887" s="78">
        <f>일위대가목록표!G663</f>
        <v>0</v>
      </c>
      <c r="J887" s="80">
        <f>IF(C887=0,0,ROUNDDOWN(I887*C887,1))</f>
        <v>0</v>
      </c>
      <c r="K887" s="78">
        <f>일위대가목록표!H663</f>
        <v>8756</v>
      </c>
      <c r="L887" s="80">
        <f>IF(C887=0,0,ROUNDDOWN(K887*C887,1))</f>
        <v>8756</v>
      </c>
      <c r="M887" s="22" t="s">
        <v>6517</v>
      </c>
      <c r="N887" s="17" t="s">
        <v>6515</v>
      </c>
      <c r="O887" s="7" t="s">
        <v>6516</v>
      </c>
      <c r="P887" s="7" t="s">
        <v>6406</v>
      </c>
      <c r="Z887" s="3" t="str">
        <f ca="1">HYPERLINK("#"&amp;일위대가목록표!J2&amp;"!A"&amp;ROW(일위대가목록표!A663),"대가660 →")</f>
        <v>대가660 →</v>
      </c>
    </row>
    <row r="888" spans="1:26" ht="28.7" customHeight="1" x14ac:dyDescent="0.3">
      <c r="A888" s="22" t="s">
        <v>6</v>
      </c>
      <c r="B888" s="74"/>
      <c r="C888" s="74"/>
      <c r="D888" s="74"/>
      <c r="E888" s="74"/>
      <c r="F888" s="48">
        <f>J888+H888+L888</f>
        <v>300644</v>
      </c>
      <c r="G888" s="74"/>
      <c r="H888" s="48">
        <f>ROUNDDOWN(SUMIF(P887:P887,O888,H887:H887),0)</f>
        <v>291888</v>
      </c>
      <c r="I888" s="74"/>
      <c r="J888" s="48">
        <f>ROUNDDOWN(SUMIF(P887:P887,O888,J887:J887),0)</f>
        <v>0</v>
      </c>
      <c r="K888" s="74"/>
      <c r="L888" s="48">
        <f>ROUNDDOWN(SUMIF(P887:P887,O888,L887:L887),0)</f>
        <v>8756</v>
      </c>
      <c r="M888" s="74"/>
      <c r="O888" s="7" t="s">
        <v>6406</v>
      </c>
    </row>
    <row r="889" spans="1:26" ht="28.7" customHeight="1" x14ac:dyDescent="0.3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</row>
    <row r="890" spans="1:26" ht="28.7" customHeight="1" x14ac:dyDescent="0.3">
      <c r="A890" s="136" t="s">
        <v>489</v>
      </c>
      <c r="B890" s="127"/>
      <c r="C890" s="127"/>
      <c r="D890" s="127"/>
      <c r="E890" s="127"/>
      <c r="F890" s="127"/>
      <c r="G890" s="127"/>
      <c r="H890" s="127"/>
      <c r="I890" s="127"/>
      <c r="J890" s="127"/>
      <c r="K890" s="127"/>
      <c r="L890" s="144"/>
      <c r="M890" s="22" t="s">
        <v>7069</v>
      </c>
      <c r="N890" s="84" t="str">
        <f>HYPERLINK("#N"&amp;ROW(N891),"_x0005_`BDCOD|B05260_x0007_`POSS|"&amp;ROW(N891)&amp;"_x0007_`POSE|"&amp;ROW(N891)&amp;"_x0007_`")</f>
        <v>_x0005_`BDCOD|B05260_x0007_`POSS|891_x0007_`POSE|891_x0007_`</v>
      </c>
      <c r="O890" s="7" t="s">
        <v>7070</v>
      </c>
    </row>
    <row r="891" spans="1:26" ht="28.7" customHeight="1" x14ac:dyDescent="0.3">
      <c r="A891" s="10" t="s">
        <v>1686</v>
      </c>
      <c r="B891" s="10" t="s">
        <v>1787</v>
      </c>
      <c r="C891" s="75">
        <v>1</v>
      </c>
      <c r="D891" s="31" t="s">
        <v>14</v>
      </c>
      <c r="E891" s="55">
        <f>I891+G891+K891</f>
        <v>94284</v>
      </c>
      <c r="F891" s="76">
        <f>J891+H891+L891</f>
        <v>94284</v>
      </c>
      <c r="G891" s="78">
        <f>일위대가목록표!F692</f>
        <v>91538</v>
      </c>
      <c r="H891" s="80">
        <f>IF(C891=0,0,ROUNDDOWN(G891*C891,1))</f>
        <v>91538</v>
      </c>
      <c r="I891" s="78">
        <f>일위대가목록표!G692</f>
        <v>0</v>
      </c>
      <c r="J891" s="80">
        <f>IF(C891=0,0,ROUNDDOWN(I891*C891,1))</f>
        <v>0</v>
      </c>
      <c r="K891" s="78">
        <f>일위대가목록표!H692</f>
        <v>2746</v>
      </c>
      <c r="L891" s="80">
        <f>IF(C891=0,0,ROUNDDOWN(K891*C891,1))</f>
        <v>2746</v>
      </c>
      <c r="M891" s="22" t="s">
        <v>7073</v>
      </c>
      <c r="N891" s="17" t="s">
        <v>7071</v>
      </c>
      <c r="O891" s="7" t="s">
        <v>7072</v>
      </c>
      <c r="P891" s="7" t="s">
        <v>6406</v>
      </c>
      <c r="Z891" s="3" t="str">
        <f ca="1">HYPERLINK("#"&amp;일위대가목록표!J2&amp;"!A"&amp;ROW(일위대가목록표!A692),"대가689 →")</f>
        <v>대가689 →</v>
      </c>
    </row>
    <row r="892" spans="1:26" ht="28.7" customHeight="1" x14ac:dyDescent="0.3">
      <c r="A892" s="22" t="s">
        <v>6</v>
      </c>
      <c r="B892" s="74"/>
      <c r="C892" s="74"/>
      <c r="D892" s="74"/>
      <c r="E892" s="74"/>
      <c r="F892" s="48">
        <f>J892+H892+L892</f>
        <v>94284</v>
      </c>
      <c r="G892" s="74"/>
      <c r="H892" s="48">
        <f>ROUNDDOWN(SUMIF(P891:P891,O892,H891:H891),0)</f>
        <v>91538</v>
      </c>
      <c r="I892" s="74"/>
      <c r="J892" s="48">
        <f>ROUNDDOWN(SUMIF(P891:P891,O892,J891:J891),0)</f>
        <v>0</v>
      </c>
      <c r="K892" s="74"/>
      <c r="L892" s="48">
        <f>ROUNDDOWN(SUMIF(P891:P891,O892,L891:L891),0)</f>
        <v>2746</v>
      </c>
      <c r="M892" s="74"/>
      <c r="O892" s="7" t="s">
        <v>6406</v>
      </c>
    </row>
    <row r="893" spans="1:26" ht="28.7" customHeight="1" x14ac:dyDescent="0.3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</row>
    <row r="894" spans="1:26" ht="28.7" customHeight="1" x14ac:dyDescent="0.3">
      <c r="A894" s="136" t="s">
        <v>492</v>
      </c>
      <c r="B894" s="127"/>
      <c r="C894" s="127"/>
      <c r="D894" s="127"/>
      <c r="E894" s="127"/>
      <c r="F894" s="127"/>
      <c r="G894" s="127"/>
      <c r="H894" s="127"/>
      <c r="I894" s="127"/>
      <c r="J894" s="127"/>
      <c r="K894" s="127"/>
      <c r="L894" s="144"/>
      <c r="M894" s="22" t="s">
        <v>7074</v>
      </c>
      <c r="N894" s="84" t="str">
        <f>HYPERLINK("#N"&amp;ROW(N895),"_x0005_`BDCOD|B05262_x0007_`POSS|"&amp;ROW(N895)&amp;"_x0007_`POSE|"&amp;ROW(N895)&amp;"_x0007_`")</f>
        <v>_x0005_`BDCOD|B05262_x0007_`POSS|895_x0007_`POSE|895_x0007_`</v>
      </c>
      <c r="O894" s="7" t="s">
        <v>7075</v>
      </c>
    </row>
    <row r="895" spans="1:26" ht="28.7" customHeight="1" x14ac:dyDescent="0.3">
      <c r="A895" s="10" t="s">
        <v>1686</v>
      </c>
      <c r="B895" s="10" t="s">
        <v>1787</v>
      </c>
      <c r="C895" s="75">
        <v>1</v>
      </c>
      <c r="D895" s="31" t="s">
        <v>14</v>
      </c>
      <c r="E895" s="55">
        <f>I895+G895+K895</f>
        <v>94284</v>
      </c>
      <c r="F895" s="76">
        <f>J895+H895+L895</f>
        <v>94284</v>
      </c>
      <c r="G895" s="78">
        <f>일위대가목록표!F692</f>
        <v>91538</v>
      </c>
      <c r="H895" s="80">
        <f>IF(C895=0,0,ROUNDDOWN(G895*C895,1))</f>
        <v>91538</v>
      </c>
      <c r="I895" s="78">
        <f>일위대가목록표!G692</f>
        <v>0</v>
      </c>
      <c r="J895" s="80">
        <f>IF(C895=0,0,ROUNDDOWN(I895*C895,1))</f>
        <v>0</v>
      </c>
      <c r="K895" s="78">
        <f>일위대가목록표!H692</f>
        <v>2746</v>
      </c>
      <c r="L895" s="80">
        <f>IF(C895=0,0,ROUNDDOWN(K895*C895,1))</f>
        <v>2746</v>
      </c>
      <c r="M895" s="22" t="s">
        <v>7073</v>
      </c>
      <c r="N895" s="17" t="s">
        <v>7071</v>
      </c>
      <c r="O895" s="7" t="s">
        <v>7072</v>
      </c>
      <c r="P895" s="7" t="s">
        <v>6406</v>
      </c>
      <c r="Z895" s="3" t="str">
        <f ca="1">HYPERLINK("#"&amp;일위대가목록표!J2&amp;"!A"&amp;ROW(일위대가목록표!A692),"대가689 →")</f>
        <v>대가689 →</v>
      </c>
    </row>
    <row r="896" spans="1:26" ht="28.7" customHeight="1" x14ac:dyDescent="0.3">
      <c r="A896" s="22" t="s">
        <v>6</v>
      </c>
      <c r="B896" s="74"/>
      <c r="C896" s="74"/>
      <c r="D896" s="74"/>
      <c r="E896" s="74"/>
      <c r="F896" s="48">
        <f>J896+H896+L896</f>
        <v>94284</v>
      </c>
      <c r="G896" s="74"/>
      <c r="H896" s="48">
        <f>ROUNDDOWN(SUMIF(P895:P895,O896,H895:H895),0)</f>
        <v>91538</v>
      </c>
      <c r="I896" s="74"/>
      <c r="J896" s="48">
        <f>ROUNDDOWN(SUMIF(P895:P895,O896,J895:J895),0)</f>
        <v>0</v>
      </c>
      <c r="K896" s="74"/>
      <c r="L896" s="48">
        <f>ROUNDDOWN(SUMIF(P895:P895,O896,L895:L895),0)</f>
        <v>2746</v>
      </c>
      <c r="M896" s="74"/>
      <c r="O896" s="7" t="s">
        <v>6406</v>
      </c>
    </row>
    <row r="897" spans="1:26" ht="28.7" customHeight="1" x14ac:dyDescent="0.3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</row>
    <row r="898" spans="1:26" ht="28.7" customHeight="1" x14ac:dyDescent="0.3">
      <c r="A898" s="136" t="s">
        <v>494</v>
      </c>
      <c r="B898" s="127"/>
      <c r="C898" s="127"/>
      <c r="D898" s="127"/>
      <c r="E898" s="127"/>
      <c r="F898" s="127"/>
      <c r="G898" s="127"/>
      <c r="H898" s="127"/>
      <c r="I898" s="127"/>
      <c r="J898" s="127"/>
      <c r="K898" s="127"/>
      <c r="L898" s="144"/>
      <c r="M898" s="22" t="s">
        <v>7076</v>
      </c>
      <c r="N898" s="84" t="str">
        <f>HYPERLINK("#N"&amp;ROW(N899),"_x0005_`BDCOD|B05261_x0007_`POSS|"&amp;ROW(N899)&amp;"_x0007_`POSE|"&amp;ROW(N899)&amp;"_x0007_`")</f>
        <v>_x0005_`BDCOD|B05261_x0007_`POSS|899_x0007_`POSE|899_x0007_`</v>
      </c>
      <c r="O898" s="7" t="s">
        <v>7077</v>
      </c>
    </row>
    <row r="899" spans="1:26" ht="28.7" customHeight="1" x14ac:dyDescent="0.3">
      <c r="A899" s="10" t="s">
        <v>1686</v>
      </c>
      <c r="B899" s="10" t="s">
        <v>1687</v>
      </c>
      <c r="C899" s="75">
        <v>1</v>
      </c>
      <c r="D899" s="31" t="s">
        <v>14</v>
      </c>
      <c r="E899" s="55">
        <f>I899+G899+K899</f>
        <v>104363</v>
      </c>
      <c r="F899" s="76">
        <f>J899+H899+L899</f>
        <v>104363</v>
      </c>
      <c r="G899" s="78">
        <f>일위대가목록표!F659</f>
        <v>101324</v>
      </c>
      <c r="H899" s="80">
        <f>IF(C899=0,0,ROUNDDOWN(G899*C899,1))</f>
        <v>101324</v>
      </c>
      <c r="I899" s="78">
        <f>일위대가목록표!G659</f>
        <v>0</v>
      </c>
      <c r="J899" s="80">
        <f>IF(C899=0,0,ROUNDDOWN(I899*C899,1))</f>
        <v>0</v>
      </c>
      <c r="K899" s="78">
        <f>일위대가목록표!H659</f>
        <v>3039</v>
      </c>
      <c r="L899" s="80">
        <f>IF(C899=0,0,ROUNDDOWN(K899*C899,1))</f>
        <v>3039</v>
      </c>
      <c r="M899" s="22" t="s">
        <v>6540</v>
      </c>
      <c r="N899" s="17" t="s">
        <v>6538</v>
      </c>
      <c r="O899" s="7" t="s">
        <v>6539</v>
      </c>
      <c r="P899" s="7" t="s">
        <v>6406</v>
      </c>
      <c r="Z899" s="3" t="str">
        <f ca="1">HYPERLINK("#"&amp;일위대가목록표!J2&amp;"!A"&amp;ROW(일위대가목록표!A659),"대가656 →")</f>
        <v>대가656 →</v>
      </c>
    </row>
    <row r="900" spans="1:26" ht="28.7" customHeight="1" x14ac:dyDescent="0.3">
      <c r="A900" s="22" t="s">
        <v>6</v>
      </c>
      <c r="B900" s="74"/>
      <c r="C900" s="74"/>
      <c r="D900" s="74"/>
      <c r="E900" s="74"/>
      <c r="F900" s="48">
        <f>J900+H900+L900</f>
        <v>104363</v>
      </c>
      <c r="G900" s="74"/>
      <c r="H900" s="48">
        <f>ROUNDDOWN(SUMIF(P899:P899,O900,H899:H899),0)</f>
        <v>101324</v>
      </c>
      <c r="I900" s="74"/>
      <c r="J900" s="48">
        <f>ROUNDDOWN(SUMIF(P899:P899,O900,J899:J899),0)</f>
        <v>0</v>
      </c>
      <c r="K900" s="74"/>
      <c r="L900" s="48">
        <f>ROUNDDOWN(SUMIF(P899:P899,O900,L899:L899),0)</f>
        <v>3039</v>
      </c>
      <c r="M900" s="74"/>
      <c r="O900" s="7" t="s">
        <v>6406</v>
      </c>
    </row>
    <row r="901" spans="1:26" ht="28.7" customHeight="1" x14ac:dyDescent="0.3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</row>
    <row r="902" spans="1:26" ht="28.7" customHeight="1" x14ac:dyDescent="0.3">
      <c r="A902" s="136" t="s">
        <v>496</v>
      </c>
      <c r="B902" s="127"/>
      <c r="C902" s="127"/>
      <c r="D902" s="127"/>
      <c r="E902" s="127"/>
      <c r="F902" s="127"/>
      <c r="G902" s="127"/>
      <c r="H902" s="127"/>
      <c r="I902" s="127"/>
      <c r="J902" s="127"/>
      <c r="K902" s="127"/>
      <c r="L902" s="144"/>
      <c r="M902" s="22" t="s">
        <v>7078</v>
      </c>
      <c r="N902" s="84" t="str">
        <f>HYPERLINK("#N"&amp;ROW(N903),"_x0005_`BDCOD|B05263_x0007_`POSS|"&amp;ROW(N903)&amp;"_x0007_`POSE|"&amp;ROW(N903)&amp;"_x0007_`")</f>
        <v>_x0005_`BDCOD|B05263_x0007_`POSS|903_x0007_`POSE|903_x0007_`</v>
      </c>
      <c r="O902" s="7" t="s">
        <v>7079</v>
      </c>
    </row>
    <row r="903" spans="1:26" ht="28.7" customHeight="1" x14ac:dyDescent="0.3">
      <c r="A903" s="10" t="s">
        <v>1686</v>
      </c>
      <c r="B903" s="10" t="s">
        <v>1697</v>
      </c>
      <c r="C903" s="75">
        <v>1</v>
      </c>
      <c r="D903" s="31" t="s">
        <v>14</v>
      </c>
      <c r="E903" s="55">
        <f>I903+G903+K903</f>
        <v>120257</v>
      </c>
      <c r="F903" s="76">
        <f>J903+H903+L903</f>
        <v>120257</v>
      </c>
      <c r="G903" s="78">
        <f>일위대가목록표!F662</f>
        <v>116755</v>
      </c>
      <c r="H903" s="80">
        <f>IF(C903=0,0,ROUNDDOWN(G903*C903,1))</f>
        <v>116755</v>
      </c>
      <c r="I903" s="78">
        <f>일위대가목록표!G662</f>
        <v>0</v>
      </c>
      <c r="J903" s="80">
        <f>IF(C903=0,0,ROUNDDOWN(I903*C903,1))</f>
        <v>0</v>
      </c>
      <c r="K903" s="78">
        <f>일위대가목록표!H662</f>
        <v>3502</v>
      </c>
      <c r="L903" s="80">
        <f>IF(C903=0,0,ROUNDDOWN(K903*C903,1))</f>
        <v>3502</v>
      </c>
      <c r="M903" s="22" t="s">
        <v>6545</v>
      </c>
      <c r="N903" s="17" t="s">
        <v>6543</v>
      </c>
      <c r="O903" s="7" t="s">
        <v>6544</v>
      </c>
      <c r="P903" s="7" t="s">
        <v>6406</v>
      </c>
      <c r="Z903" s="3" t="str">
        <f ca="1">HYPERLINK("#"&amp;일위대가목록표!J2&amp;"!A"&amp;ROW(일위대가목록표!A662),"대가659 →")</f>
        <v>대가659 →</v>
      </c>
    </row>
    <row r="904" spans="1:26" ht="28.7" customHeight="1" x14ac:dyDescent="0.3">
      <c r="A904" s="22" t="s">
        <v>6</v>
      </c>
      <c r="B904" s="74"/>
      <c r="C904" s="74"/>
      <c r="D904" s="74"/>
      <c r="E904" s="74"/>
      <c r="F904" s="48">
        <f>J904+H904+L904</f>
        <v>120257</v>
      </c>
      <c r="G904" s="74"/>
      <c r="H904" s="48">
        <f>ROUNDDOWN(SUMIF(P903:P903,O904,H903:H903),0)</f>
        <v>116755</v>
      </c>
      <c r="I904" s="74"/>
      <c r="J904" s="48">
        <f>ROUNDDOWN(SUMIF(P903:P903,O904,J903:J903),0)</f>
        <v>0</v>
      </c>
      <c r="K904" s="74"/>
      <c r="L904" s="48">
        <f>ROUNDDOWN(SUMIF(P903:P903,O904,L903:L903),0)</f>
        <v>3502</v>
      </c>
      <c r="M904" s="74"/>
      <c r="O904" s="7" t="s">
        <v>6406</v>
      </c>
    </row>
    <row r="905" spans="1:26" ht="28.7" customHeight="1" x14ac:dyDescent="0.3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</row>
    <row r="906" spans="1:26" ht="28.7" customHeight="1" x14ac:dyDescent="0.3">
      <c r="A906" s="136" t="s">
        <v>498</v>
      </c>
      <c r="B906" s="127"/>
      <c r="C906" s="127"/>
      <c r="D906" s="127"/>
      <c r="E906" s="127"/>
      <c r="F906" s="127"/>
      <c r="G906" s="127"/>
      <c r="H906" s="127"/>
      <c r="I906" s="127"/>
      <c r="J906" s="127"/>
      <c r="K906" s="127"/>
      <c r="L906" s="144"/>
      <c r="M906" s="22" t="s">
        <v>7080</v>
      </c>
      <c r="N906" s="84" t="str">
        <f>HYPERLINK("#N"&amp;ROW(N908),"_x0005_`BDCOD|B04948_x0007_`POSS|"&amp;ROW(N907)&amp;"_x0007_`POSE|"&amp;ROW(N908)&amp;"_x0007_`")</f>
        <v>_x0005_`BDCOD|B04948_x0007_`POSS|907_x0007_`POSE|908_x0007_`</v>
      </c>
      <c r="O906" s="7" t="s">
        <v>7081</v>
      </c>
    </row>
    <row r="907" spans="1:26" ht="28.7" customHeight="1" x14ac:dyDescent="0.3">
      <c r="A907" s="10" t="s">
        <v>1682</v>
      </c>
      <c r="B907" s="10" t="s">
        <v>1683</v>
      </c>
      <c r="C907" s="75">
        <v>1</v>
      </c>
      <c r="D907" s="31" t="s">
        <v>14</v>
      </c>
      <c r="E907" s="55">
        <f>I907+G907+K907</f>
        <v>365273</v>
      </c>
      <c r="F907" s="76">
        <f>J907+H907+L907</f>
        <v>365273</v>
      </c>
      <c r="G907" s="78">
        <f>일위대가목록표!F658</f>
        <v>354635</v>
      </c>
      <c r="H907" s="80">
        <f>IF(C907=0,0,ROUNDDOWN(G907*C907,1))</f>
        <v>354635</v>
      </c>
      <c r="I907" s="78">
        <f>일위대가목록표!G658</f>
        <v>0</v>
      </c>
      <c r="J907" s="80">
        <f>IF(C907=0,0,ROUNDDOWN(I907*C907,1))</f>
        <v>0</v>
      </c>
      <c r="K907" s="78">
        <f>일위대가목록표!H658</f>
        <v>10638</v>
      </c>
      <c r="L907" s="80">
        <f>IF(C907=0,0,ROUNDDOWN(K907*C907,1))</f>
        <v>10638</v>
      </c>
      <c r="M907" s="22" t="s">
        <v>6403</v>
      </c>
      <c r="N907" s="17" t="s">
        <v>6400</v>
      </c>
      <c r="O907" s="7" t="s">
        <v>6401</v>
      </c>
      <c r="P907" s="7" t="s">
        <v>6406</v>
      </c>
      <c r="Z907" s="3" t="str">
        <f ca="1">HYPERLINK("#"&amp;일위대가목록표!J2&amp;"!A"&amp;ROW(일위대가목록표!A658),"대가655 →")</f>
        <v>대가655 →</v>
      </c>
    </row>
    <row r="908" spans="1:26" ht="28.7" customHeight="1" x14ac:dyDescent="0.3">
      <c r="A908" s="10" t="s">
        <v>3028</v>
      </c>
      <c r="B908" s="10" t="s">
        <v>501</v>
      </c>
      <c r="C908" s="75">
        <v>1</v>
      </c>
      <c r="D908" s="31" t="s">
        <v>14</v>
      </c>
      <c r="E908" s="55">
        <f>I908+G908+K908</f>
        <v>1906000</v>
      </c>
      <c r="F908" s="77">
        <f>J908+H908+L908</f>
        <v>1906000</v>
      </c>
      <c r="G908" s="51">
        <v>0</v>
      </c>
      <c r="H908" s="76">
        <f>IF(C908=0,0,ROUNDDOWN(G908*C908,1))</f>
        <v>0</v>
      </c>
      <c r="I908" s="78">
        <f>재료비목록표!E357</f>
        <v>1906000</v>
      </c>
      <c r="J908" s="81">
        <f>IF(C908=0,0,ROUNDDOWN(I908*C908,1))</f>
        <v>1906000</v>
      </c>
      <c r="K908" s="51">
        <v>0</v>
      </c>
      <c r="L908" s="76">
        <f>IF(C908=0,0,ROUNDDOWN(K908*C908,1))</f>
        <v>0</v>
      </c>
      <c r="M908" s="22" t="s">
        <v>7083</v>
      </c>
      <c r="N908" s="17" t="s">
        <v>7082</v>
      </c>
      <c r="O908" s="7" t="s">
        <v>5514</v>
      </c>
      <c r="P908" s="7" t="s">
        <v>6406</v>
      </c>
      <c r="Z908" s="3" t="str">
        <f ca="1">HYPERLINK("#"&amp;재료비목록표!G2&amp;"!A"&amp;ROW(재료비목록표!A357),"자재354 →")</f>
        <v>자재354 →</v>
      </c>
    </row>
    <row r="909" spans="1:26" ht="28.7" customHeight="1" x14ac:dyDescent="0.3">
      <c r="A909" s="22" t="s">
        <v>6</v>
      </c>
      <c r="B909" s="74"/>
      <c r="C909" s="74"/>
      <c r="D909" s="74"/>
      <c r="E909" s="74"/>
      <c r="F909" s="48">
        <f>J909+H909+L909</f>
        <v>2271273</v>
      </c>
      <c r="G909" s="74"/>
      <c r="H909" s="48">
        <f>ROUNDDOWN(SUMIF(P907:P908,O909,H907:H908),0)</f>
        <v>354635</v>
      </c>
      <c r="I909" s="74"/>
      <c r="J909" s="48">
        <f>ROUNDDOWN(SUMIF(P907:P908,O909,J907:J908),0)</f>
        <v>1906000</v>
      </c>
      <c r="K909" s="74"/>
      <c r="L909" s="48">
        <f>ROUNDDOWN(SUMIF(P907:P908,O909,L907:L908),0)</f>
        <v>10638</v>
      </c>
      <c r="M909" s="74"/>
      <c r="O909" s="7" t="s">
        <v>6406</v>
      </c>
    </row>
    <row r="910" spans="1:26" ht="28.7" customHeight="1" x14ac:dyDescent="0.3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</row>
    <row r="911" spans="1:26" ht="28.7" customHeight="1" x14ac:dyDescent="0.3">
      <c r="A911" s="136" t="s">
        <v>502</v>
      </c>
      <c r="B911" s="127"/>
      <c r="C911" s="127"/>
      <c r="D911" s="127"/>
      <c r="E911" s="127"/>
      <c r="F911" s="127"/>
      <c r="G911" s="127"/>
      <c r="H911" s="127"/>
      <c r="I911" s="127"/>
      <c r="J911" s="127"/>
      <c r="K911" s="127"/>
      <c r="L911" s="144"/>
      <c r="M911" s="22" t="s">
        <v>7084</v>
      </c>
      <c r="N911" s="84" t="str">
        <f>HYPERLINK("#N"&amp;ROW(N913),"_x0005_`BDCOD|B04949_x0007_`POSS|"&amp;ROW(N912)&amp;"_x0007_`POSE|"&amp;ROW(N913)&amp;"_x0007_`")</f>
        <v>_x0005_`BDCOD|B04949_x0007_`POSS|912_x0007_`POSE|913_x0007_`</v>
      </c>
      <c r="O911" s="7" t="s">
        <v>7085</v>
      </c>
    </row>
    <row r="912" spans="1:26" ht="28.7" customHeight="1" x14ac:dyDescent="0.3">
      <c r="A912" s="10" t="s">
        <v>1682</v>
      </c>
      <c r="B912" s="10" t="s">
        <v>1683</v>
      </c>
      <c r="C912" s="75">
        <v>1</v>
      </c>
      <c r="D912" s="31" t="s">
        <v>14</v>
      </c>
      <c r="E912" s="55">
        <f>I912+G912+K912</f>
        <v>365273</v>
      </c>
      <c r="F912" s="76">
        <f>J912+H912+L912</f>
        <v>365273</v>
      </c>
      <c r="G912" s="78">
        <f>일위대가목록표!F658</f>
        <v>354635</v>
      </c>
      <c r="H912" s="80">
        <f>IF(C912=0,0,ROUNDDOWN(G912*C912,1))</f>
        <v>354635</v>
      </c>
      <c r="I912" s="78">
        <f>일위대가목록표!G658</f>
        <v>0</v>
      </c>
      <c r="J912" s="80">
        <f>IF(C912=0,0,ROUNDDOWN(I912*C912,1))</f>
        <v>0</v>
      </c>
      <c r="K912" s="78">
        <f>일위대가목록표!H658</f>
        <v>10638</v>
      </c>
      <c r="L912" s="80">
        <f>IF(C912=0,0,ROUNDDOWN(K912*C912,1))</f>
        <v>10638</v>
      </c>
      <c r="M912" s="22" t="s">
        <v>6403</v>
      </c>
      <c r="N912" s="17" t="s">
        <v>6400</v>
      </c>
      <c r="O912" s="7" t="s">
        <v>6401</v>
      </c>
      <c r="P912" s="7" t="s">
        <v>6406</v>
      </c>
      <c r="Z912" s="3" t="str">
        <f ca="1">HYPERLINK("#"&amp;일위대가목록표!J2&amp;"!A"&amp;ROW(일위대가목록표!A658),"대가655 →")</f>
        <v>대가655 →</v>
      </c>
    </row>
    <row r="913" spans="1:26" ht="28.7" customHeight="1" x14ac:dyDescent="0.3">
      <c r="A913" s="10" t="s">
        <v>3028</v>
      </c>
      <c r="B913" s="10" t="s">
        <v>3031</v>
      </c>
      <c r="C913" s="75">
        <v>1</v>
      </c>
      <c r="D913" s="31" t="s">
        <v>14</v>
      </c>
      <c r="E913" s="55">
        <f>I913+G913+K913</f>
        <v>2296000</v>
      </c>
      <c r="F913" s="77">
        <f>J913+H913+L913</f>
        <v>2296000</v>
      </c>
      <c r="G913" s="51">
        <v>0</v>
      </c>
      <c r="H913" s="76">
        <f>IF(C913=0,0,ROUNDDOWN(G913*C913,1))</f>
        <v>0</v>
      </c>
      <c r="I913" s="78">
        <f>재료비목록표!E358</f>
        <v>2296000</v>
      </c>
      <c r="J913" s="81">
        <f>IF(C913=0,0,ROUNDDOWN(I913*C913,1))</f>
        <v>2296000</v>
      </c>
      <c r="K913" s="51">
        <v>0</v>
      </c>
      <c r="L913" s="76">
        <f>IF(C913=0,0,ROUNDDOWN(K913*C913,1))</f>
        <v>0</v>
      </c>
      <c r="M913" s="22" t="s">
        <v>7087</v>
      </c>
      <c r="N913" s="17" t="s">
        <v>7086</v>
      </c>
      <c r="O913" s="7" t="s">
        <v>5517</v>
      </c>
      <c r="P913" s="7" t="s">
        <v>6406</v>
      </c>
      <c r="Z913" s="3" t="str">
        <f ca="1">HYPERLINK("#"&amp;재료비목록표!G2&amp;"!A"&amp;ROW(재료비목록표!A358),"자재355 →")</f>
        <v>자재355 →</v>
      </c>
    </row>
    <row r="914" spans="1:26" ht="28.7" customHeight="1" x14ac:dyDescent="0.3">
      <c r="A914" s="22" t="s">
        <v>6</v>
      </c>
      <c r="B914" s="74"/>
      <c r="C914" s="74"/>
      <c r="D914" s="74"/>
      <c r="E914" s="74"/>
      <c r="F914" s="48">
        <f>J914+H914+L914</f>
        <v>2661273</v>
      </c>
      <c r="G914" s="74"/>
      <c r="H914" s="48">
        <f>ROUNDDOWN(SUMIF(P912:P913,O914,H912:H913),0)</f>
        <v>354635</v>
      </c>
      <c r="I914" s="74"/>
      <c r="J914" s="48">
        <f>ROUNDDOWN(SUMIF(P912:P913,O914,J912:J913),0)</f>
        <v>2296000</v>
      </c>
      <c r="K914" s="74"/>
      <c r="L914" s="48">
        <f>ROUNDDOWN(SUMIF(P912:P913,O914,L912:L913),0)</f>
        <v>10638</v>
      </c>
      <c r="M914" s="74"/>
      <c r="O914" s="7" t="s">
        <v>6406</v>
      </c>
    </row>
    <row r="915" spans="1:26" ht="28.7" customHeight="1" x14ac:dyDescent="0.3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</row>
    <row r="916" spans="1:26" ht="28.7" customHeight="1" x14ac:dyDescent="0.3">
      <c r="A916" s="136" t="s">
        <v>505</v>
      </c>
      <c r="B916" s="127"/>
      <c r="C916" s="127"/>
      <c r="D916" s="127"/>
      <c r="E916" s="127"/>
      <c r="F916" s="127"/>
      <c r="G916" s="127"/>
      <c r="H916" s="127"/>
      <c r="I916" s="127"/>
      <c r="J916" s="127"/>
      <c r="K916" s="127"/>
      <c r="L916" s="144"/>
      <c r="M916" s="22" t="s">
        <v>7088</v>
      </c>
      <c r="N916" s="84" t="str">
        <f>HYPERLINK("#N"&amp;ROW(N918),"_x0005_`BDCOD|B04950_x0007_`POSS|"&amp;ROW(N917)&amp;"_x0007_`POSE|"&amp;ROW(N918)&amp;"_x0007_`")</f>
        <v>_x0005_`BDCOD|B04950_x0007_`POSS|917_x0007_`POSE|918_x0007_`</v>
      </c>
      <c r="O916" s="7" t="s">
        <v>7089</v>
      </c>
    </row>
    <row r="917" spans="1:26" ht="28.7" customHeight="1" x14ac:dyDescent="0.3">
      <c r="A917" s="10" t="s">
        <v>1682</v>
      </c>
      <c r="B917" s="10" t="s">
        <v>1694</v>
      </c>
      <c r="C917" s="75">
        <v>1</v>
      </c>
      <c r="D917" s="31" t="s">
        <v>14</v>
      </c>
      <c r="E917" s="55">
        <f>I917+G917+K917</f>
        <v>420901</v>
      </c>
      <c r="F917" s="76">
        <f>J917+H917+L917</f>
        <v>420901</v>
      </c>
      <c r="G917" s="78">
        <f>일위대가목록표!F661</f>
        <v>408643</v>
      </c>
      <c r="H917" s="80">
        <f>IF(C917=0,0,ROUNDDOWN(G917*C917,1))</f>
        <v>408643</v>
      </c>
      <c r="I917" s="78">
        <f>일위대가목록표!G661</f>
        <v>0</v>
      </c>
      <c r="J917" s="80">
        <f>IF(C917=0,0,ROUNDDOWN(I917*C917,1))</f>
        <v>0</v>
      </c>
      <c r="K917" s="78">
        <f>일위대가목록표!H661</f>
        <v>12258</v>
      </c>
      <c r="L917" s="80">
        <f>IF(C917=0,0,ROUNDDOWN(K917*C917,1))</f>
        <v>12258</v>
      </c>
      <c r="M917" s="22" t="s">
        <v>6411</v>
      </c>
      <c r="N917" s="17" t="s">
        <v>6408</v>
      </c>
      <c r="O917" s="7" t="s">
        <v>6409</v>
      </c>
      <c r="P917" s="7" t="s">
        <v>6406</v>
      </c>
      <c r="Z917" s="3" t="str">
        <f ca="1">HYPERLINK("#"&amp;일위대가목록표!J2&amp;"!A"&amp;ROW(일위대가목록표!A661),"대가658 →")</f>
        <v>대가658 →</v>
      </c>
    </row>
    <row r="918" spans="1:26" ht="28.7" customHeight="1" x14ac:dyDescent="0.3">
      <c r="A918" s="10" t="s">
        <v>3028</v>
      </c>
      <c r="B918" s="10" t="s">
        <v>3034</v>
      </c>
      <c r="C918" s="75">
        <v>1</v>
      </c>
      <c r="D918" s="31" t="s">
        <v>14</v>
      </c>
      <c r="E918" s="55">
        <f>I918+G918+K918</f>
        <v>2512000</v>
      </c>
      <c r="F918" s="77">
        <f>J918+H918+L918</f>
        <v>2512000</v>
      </c>
      <c r="G918" s="51">
        <v>0</v>
      </c>
      <c r="H918" s="76">
        <f>IF(C918=0,0,ROUNDDOWN(G918*C918,1))</f>
        <v>0</v>
      </c>
      <c r="I918" s="78">
        <f>재료비목록표!E359</f>
        <v>2512000</v>
      </c>
      <c r="J918" s="81">
        <f>IF(C918=0,0,ROUNDDOWN(I918*C918,1))</f>
        <v>2512000</v>
      </c>
      <c r="K918" s="51">
        <v>0</v>
      </c>
      <c r="L918" s="76">
        <f>IF(C918=0,0,ROUNDDOWN(K918*C918,1))</f>
        <v>0</v>
      </c>
      <c r="M918" s="22" t="s">
        <v>7091</v>
      </c>
      <c r="N918" s="17" t="s">
        <v>7090</v>
      </c>
      <c r="O918" s="7" t="s">
        <v>5520</v>
      </c>
      <c r="P918" s="7" t="s">
        <v>6406</v>
      </c>
      <c r="Z918" s="3" t="str">
        <f ca="1">HYPERLINK("#"&amp;재료비목록표!G2&amp;"!A"&amp;ROW(재료비목록표!A359),"자재356 →")</f>
        <v>자재356 →</v>
      </c>
    </row>
    <row r="919" spans="1:26" ht="28.7" customHeight="1" x14ac:dyDescent="0.3">
      <c r="A919" s="22" t="s">
        <v>6</v>
      </c>
      <c r="B919" s="74"/>
      <c r="C919" s="74"/>
      <c r="D919" s="74"/>
      <c r="E919" s="74"/>
      <c r="F919" s="48">
        <f>J919+H919+L919</f>
        <v>2932901</v>
      </c>
      <c r="G919" s="74"/>
      <c r="H919" s="48">
        <f>ROUNDDOWN(SUMIF(P917:P918,O919,H917:H918),0)</f>
        <v>408643</v>
      </c>
      <c r="I919" s="74"/>
      <c r="J919" s="48">
        <f>ROUNDDOWN(SUMIF(P917:P918,O919,J917:J918),0)</f>
        <v>2512000</v>
      </c>
      <c r="K919" s="74"/>
      <c r="L919" s="48">
        <f>ROUNDDOWN(SUMIF(P917:P918,O919,L917:L918),0)</f>
        <v>12258</v>
      </c>
      <c r="M919" s="74"/>
      <c r="O919" s="7" t="s">
        <v>6406</v>
      </c>
    </row>
    <row r="920" spans="1:26" ht="28.7" customHeight="1" x14ac:dyDescent="0.3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</row>
    <row r="921" spans="1:26" ht="28.7" customHeight="1" x14ac:dyDescent="0.3">
      <c r="A921" s="136" t="s">
        <v>508</v>
      </c>
      <c r="B921" s="127"/>
      <c r="C921" s="127"/>
      <c r="D921" s="127"/>
      <c r="E921" s="127"/>
      <c r="F921" s="127"/>
      <c r="G921" s="127"/>
      <c r="H921" s="127"/>
      <c r="I921" s="127"/>
      <c r="J921" s="127"/>
      <c r="K921" s="127"/>
      <c r="L921" s="144"/>
      <c r="M921" s="22" t="s">
        <v>7092</v>
      </c>
      <c r="N921" s="84" t="str">
        <f>HYPERLINK("#N"&amp;ROW(N922),"_x0005_`BDCOD|B04951_x0007_`POSS|"&amp;ROW(N922)&amp;"_x0007_`POSE|"&amp;ROW(N922)&amp;"_x0007_`")</f>
        <v>_x0005_`BDCOD|B04951_x0007_`POSS|922_x0007_`POSE|922_x0007_`</v>
      </c>
      <c r="O921" s="7" t="s">
        <v>7093</v>
      </c>
    </row>
    <row r="922" spans="1:26" ht="28.7" customHeight="1" x14ac:dyDescent="0.3">
      <c r="A922" s="10" t="s">
        <v>1682</v>
      </c>
      <c r="B922" s="10" t="s">
        <v>1683</v>
      </c>
      <c r="C922" s="75">
        <v>1</v>
      </c>
      <c r="D922" s="31" t="s">
        <v>14</v>
      </c>
      <c r="E922" s="55">
        <f>I922+G922+K922</f>
        <v>365273</v>
      </c>
      <c r="F922" s="76">
        <f>J922+H922+L922</f>
        <v>365273</v>
      </c>
      <c r="G922" s="78">
        <f>일위대가목록표!F658</f>
        <v>354635</v>
      </c>
      <c r="H922" s="80">
        <f>IF(C922=0,0,ROUNDDOWN(G922*C922,1))</f>
        <v>354635</v>
      </c>
      <c r="I922" s="78">
        <f>일위대가목록표!G658</f>
        <v>0</v>
      </c>
      <c r="J922" s="80">
        <f>IF(C922=0,0,ROUNDDOWN(I922*C922,1))</f>
        <v>0</v>
      </c>
      <c r="K922" s="78">
        <f>일위대가목록표!H658</f>
        <v>10638</v>
      </c>
      <c r="L922" s="80">
        <f>IF(C922=0,0,ROUNDDOWN(K922*C922,1))</f>
        <v>10638</v>
      </c>
      <c r="M922" s="22" t="s">
        <v>6403</v>
      </c>
      <c r="N922" s="17" t="s">
        <v>6400</v>
      </c>
      <c r="O922" s="7" t="s">
        <v>6401</v>
      </c>
      <c r="P922" s="7" t="s">
        <v>6406</v>
      </c>
      <c r="Z922" s="3" t="str">
        <f ca="1">HYPERLINK("#"&amp;일위대가목록표!J2&amp;"!A"&amp;ROW(일위대가목록표!A658),"대가655 →")</f>
        <v>대가655 →</v>
      </c>
    </row>
    <row r="923" spans="1:26" ht="28.7" customHeight="1" x14ac:dyDescent="0.3">
      <c r="A923" s="22" t="s">
        <v>6</v>
      </c>
      <c r="B923" s="74"/>
      <c r="C923" s="74"/>
      <c r="D923" s="74"/>
      <c r="E923" s="74"/>
      <c r="F923" s="48">
        <f>J923+H923+L923</f>
        <v>365273</v>
      </c>
      <c r="G923" s="74"/>
      <c r="H923" s="48">
        <f>ROUNDDOWN(SUMIF(P922:P922,O923,H922:H922),0)</f>
        <v>354635</v>
      </c>
      <c r="I923" s="74"/>
      <c r="J923" s="48">
        <f>ROUNDDOWN(SUMIF(P922:P922,O923,J922:J922),0)</f>
        <v>0</v>
      </c>
      <c r="K923" s="74"/>
      <c r="L923" s="48">
        <f>ROUNDDOWN(SUMIF(P922:P922,O923,L922:L922),0)</f>
        <v>10638</v>
      </c>
      <c r="M923" s="74"/>
      <c r="O923" s="7" t="s">
        <v>6406</v>
      </c>
    </row>
    <row r="924" spans="1:26" ht="28.7" customHeight="1" x14ac:dyDescent="0.3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</row>
    <row r="925" spans="1:26" ht="28.7" customHeight="1" x14ac:dyDescent="0.3">
      <c r="A925" s="136" t="s">
        <v>511</v>
      </c>
      <c r="B925" s="127"/>
      <c r="C925" s="127"/>
      <c r="D925" s="127"/>
      <c r="E925" s="127"/>
      <c r="F925" s="127"/>
      <c r="G925" s="127"/>
      <c r="H925" s="127"/>
      <c r="I925" s="127"/>
      <c r="J925" s="127"/>
      <c r="K925" s="127"/>
      <c r="L925" s="144"/>
      <c r="M925" s="22" t="s">
        <v>7094</v>
      </c>
      <c r="N925" s="84" t="str">
        <f>HYPERLINK("#N"&amp;ROW(N926),"_x0005_`BDCOD|B05264_x0007_`POSS|"&amp;ROW(N926)&amp;"_x0007_`POSE|"&amp;ROW(N926)&amp;"_x0007_`")</f>
        <v>_x0005_`BDCOD|B05264_x0007_`POSS|926_x0007_`POSE|926_x0007_`</v>
      </c>
      <c r="O925" s="7" t="s">
        <v>7095</v>
      </c>
    </row>
    <row r="926" spans="1:26" ht="28.7" customHeight="1" x14ac:dyDescent="0.3">
      <c r="A926" s="10" t="s">
        <v>1682</v>
      </c>
      <c r="B926" s="10" t="s">
        <v>1683</v>
      </c>
      <c r="C926" s="75">
        <v>1</v>
      </c>
      <c r="D926" s="31" t="s">
        <v>14</v>
      </c>
      <c r="E926" s="55">
        <f>I926+G926+K926</f>
        <v>365273</v>
      </c>
      <c r="F926" s="76">
        <f>J926+H926+L926</f>
        <v>365273</v>
      </c>
      <c r="G926" s="78">
        <f>일위대가목록표!F658</f>
        <v>354635</v>
      </c>
      <c r="H926" s="80">
        <f>IF(C926=0,0,ROUNDDOWN(G926*C926,1))</f>
        <v>354635</v>
      </c>
      <c r="I926" s="78">
        <f>일위대가목록표!G658</f>
        <v>0</v>
      </c>
      <c r="J926" s="80">
        <f>IF(C926=0,0,ROUNDDOWN(I926*C926,1))</f>
        <v>0</v>
      </c>
      <c r="K926" s="78">
        <f>일위대가목록표!H658</f>
        <v>10638</v>
      </c>
      <c r="L926" s="80">
        <f>IF(C926=0,0,ROUNDDOWN(K926*C926,1))</f>
        <v>10638</v>
      </c>
      <c r="M926" s="22" t="s">
        <v>6403</v>
      </c>
      <c r="N926" s="17" t="s">
        <v>6400</v>
      </c>
      <c r="O926" s="7" t="s">
        <v>6401</v>
      </c>
      <c r="P926" s="7" t="s">
        <v>6406</v>
      </c>
      <c r="Z926" s="3" t="str">
        <f ca="1">HYPERLINK("#"&amp;일위대가목록표!J2&amp;"!A"&amp;ROW(일위대가목록표!A658),"대가655 →")</f>
        <v>대가655 →</v>
      </c>
    </row>
    <row r="927" spans="1:26" ht="28.7" customHeight="1" x14ac:dyDescent="0.3">
      <c r="A927" s="22" t="s">
        <v>6</v>
      </c>
      <c r="B927" s="74"/>
      <c r="C927" s="74"/>
      <c r="D927" s="74"/>
      <c r="E927" s="74"/>
      <c r="F927" s="48">
        <f>J927+H927+L927</f>
        <v>365273</v>
      </c>
      <c r="G927" s="74"/>
      <c r="H927" s="48">
        <f>ROUNDDOWN(SUMIF(P926:P926,O927,H926:H926),0)</f>
        <v>354635</v>
      </c>
      <c r="I927" s="74"/>
      <c r="J927" s="48">
        <f>ROUNDDOWN(SUMIF(P926:P926,O927,J926:J926),0)</f>
        <v>0</v>
      </c>
      <c r="K927" s="74"/>
      <c r="L927" s="48">
        <f>ROUNDDOWN(SUMIF(P926:P926,O927,L926:L926),0)</f>
        <v>10638</v>
      </c>
      <c r="M927" s="74"/>
      <c r="O927" s="7" t="s">
        <v>6406</v>
      </c>
    </row>
    <row r="928" spans="1:26" ht="28.7" customHeight="1" x14ac:dyDescent="0.3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</row>
    <row r="929" spans="1:26" ht="28.7" customHeight="1" x14ac:dyDescent="0.3">
      <c r="A929" s="136" t="s">
        <v>513</v>
      </c>
      <c r="B929" s="127"/>
      <c r="C929" s="127"/>
      <c r="D929" s="127"/>
      <c r="E929" s="127"/>
      <c r="F929" s="127"/>
      <c r="G929" s="127"/>
      <c r="H929" s="127"/>
      <c r="I929" s="127"/>
      <c r="J929" s="127"/>
      <c r="K929" s="127"/>
      <c r="L929" s="144"/>
      <c r="M929" s="22" t="s">
        <v>7096</v>
      </c>
      <c r="N929" s="84" t="str">
        <f>HYPERLINK("#N"&amp;ROW(N930),"_x0005_`BDCOD|B05265_x0007_`POSS|"&amp;ROW(N930)&amp;"_x0007_`POSE|"&amp;ROW(N930)&amp;"_x0007_`")</f>
        <v>_x0005_`BDCOD|B05265_x0007_`POSS|930_x0007_`POSE|930_x0007_`</v>
      </c>
      <c r="O929" s="7" t="s">
        <v>7097</v>
      </c>
    </row>
    <row r="930" spans="1:26" ht="28.7" customHeight="1" x14ac:dyDescent="0.3">
      <c r="A930" s="10" t="s">
        <v>1682</v>
      </c>
      <c r="B930" s="10" t="s">
        <v>1694</v>
      </c>
      <c r="C930" s="75">
        <v>1</v>
      </c>
      <c r="D930" s="31" t="s">
        <v>14</v>
      </c>
      <c r="E930" s="55">
        <f>I930+G930+K930</f>
        <v>420901</v>
      </c>
      <c r="F930" s="76">
        <f>J930+H930+L930</f>
        <v>420901</v>
      </c>
      <c r="G930" s="78">
        <f>일위대가목록표!F661</f>
        <v>408643</v>
      </c>
      <c r="H930" s="80">
        <f>IF(C930=0,0,ROUNDDOWN(G930*C930,1))</f>
        <v>408643</v>
      </c>
      <c r="I930" s="78">
        <f>일위대가목록표!G661</f>
        <v>0</v>
      </c>
      <c r="J930" s="80">
        <f>IF(C930=0,0,ROUNDDOWN(I930*C930,1))</f>
        <v>0</v>
      </c>
      <c r="K930" s="78">
        <f>일위대가목록표!H661</f>
        <v>12258</v>
      </c>
      <c r="L930" s="80">
        <f>IF(C930=0,0,ROUNDDOWN(K930*C930,1))</f>
        <v>12258</v>
      </c>
      <c r="M930" s="22" t="s">
        <v>6411</v>
      </c>
      <c r="N930" s="17" t="s">
        <v>6408</v>
      </c>
      <c r="O930" s="7" t="s">
        <v>6409</v>
      </c>
      <c r="P930" s="7" t="s">
        <v>6406</v>
      </c>
      <c r="Z930" s="3" t="str">
        <f ca="1">HYPERLINK("#"&amp;일위대가목록표!J2&amp;"!A"&amp;ROW(일위대가목록표!A661),"대가658 →")</f>
        <v>대가658 →</v>
      </c>
    </row>
    <row r="931" spans="1:26" ht="28.7" customHeight="1" x14ac:dyDescent="0.3">
      <c r="A931" s="22" t="s">
        <v>6</v>
      </c>
      <c r="B931" s="74"/>
      <c r="C931" s="74"/>
      <c r="D931" s="74"/>
      <c r="E931" s="74"/>
      <c r="F931" s="48">
        <f>J931+H931+L931</f>
        <v>420901</v>
      </c>
      <c r="G931" s="74"/>
      <c r="H931" s="48">
        <f>ROUNDDOWN(SUMIF(P930:P930,O931,H930:H930),0)</f>
        <v>408643</v>
      </c>
      <c r="I931" s="74"/>
      <c r="J931" s="48">
        <f>ROUNDDOWN(SUMIF(P930:P930,O931,J930:J930),0)</f>
        <v>0</v>
      </c>
      <c r="K931" s="74"/>
      <c r="L931" s="48">
        <f>ROUNDDOWN(SUMIF(P930:P930,O931,L930:L930),0)</f>
        <v>12258</v>
      </c>
      <c r="M931" s="74"/>
      <c r="O931" s="7" t="s">
        <v>6406</v>
      </c>
    </row>
    <row r="932" spans="1:26" ht="28.7" customHeight="1" x14ac:dyDescent="0.3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</row>
    <row r="933" spans="1:26" ht="28.7" customHeight="1" x14ac:dyDescent="0.3">
      <c r="A933" s="136" t="s">
        <v>516</v>
      </c>
      <c r="B933" s="127"/>
      <c r="C933" s="127"/>
      <c r="D933" s="127"/>
      <c r="E933" s="127"/>
      <c r="F933" s="127"/>
      <c r="G933" s="127"/>
      <c r="H933" s="127"/>
      <c r="I933" s="127"/>
      <c r="J933" s="127"/>
      <c r="K933" s="127"/>
      <c r="L933" s="144"/>
      <c r="M933" s="22" t="s">
        <v>7098</v>
      </c>
      <c r="N933" s="84" t="str">
        <f>HYPERLINK("#N"&amp;ROW(N934),"_x0005_`BDCOD|B05266_x0007_`POSS|"&amp;ROW(N934)&amp;"_x0007_`POSE|"&amp;ROW(N934)&amp;"_x0007_`")</f>
        <v>_x0005_`BDCOD|B05266_x0007_`POSS|934_x0007_`POSE|934_x0007_`</v>
      </c>
      <c r="O933" s="7" t="s">
        <v>7099</v>
      </c>
    </row>
    <row r="934" spans="1:26" ht="28.7" customHeight="1" x14ac:dyDescent="0.3">
      <c r="A934" s="10" t="s">
        <v>1690</v>
      </c>
      <c r="B934" s="10" t="s">
        <v>1691</v>
      </c>
      <c r="C934" s="75">
        <v>1</v>
      </c>
      <c r="D934" s="31" t="s">
        <v>14</v>
      </c>
      <c r="E934" s="55">
        <f>I934+G934+K934</f>
        <v>260910</v>
      </c>
      <c r="F934" s="76">
        <f>J934+H934+L934</f>
        <v>260910</v>
      </c>
      <c r="G934" s="78">
        <f>일위대가목록표!F660</f>
        <v>253311</v>
      </c>
      <c r="H934" s="80">
        <f>IF(C934=0,0,ROUNDDOWN(G934*C934,1))</f>
        <v>253311</v>
      </c>
      <c r="I934" s="78">
        <f>일위대가목록표!G660</f>
        <v>0</v>
      </c>
      <c r="J934" s="80">
        <f>IF(C934=0,0,ROUNDDOWN(I934*C934,1))</f>
        <v>0</v>
      </c>
      <c r="K934" s="78">
        <f>일위대가목록표!H660</f>
        <v>7599</v>
      </c>
      <c r="L934" s="80">
        <f>IF(C934=0,0,ROUNDDOWN(K934*C934,1))</f>
        <v>7599</v>
      </c>
      <c r="M934" s="22" t="s">
        <v>6512</v>
      </c>
      <c r="N934" s="17" t="s">
        <v>6510</v>
      </c>
      <c r="O934" s="7" t="s">
        <v>6511</v>
      </c>
      <c r="P934" s="7" t="s">
        <v>6406</v>
      </c>
      <c r="Z934" s="3" t="str">
        <f ca="1">HYPERLINK("#"&amp;일위대가목록표!J2&amp;"!A"&amp;ROW(일위대가목록표!A660),"대가657 →")</f>
        <v>대가657 →</v>
      </c>
    </row>
    <row r="935" spans="1:26" ht="28.7" customHeight="1" x14ac:dyDescent="0.3">
      <c r="A935" s="22" t="s">
        <v>6</v>
      </c>
      <c r="B935" s="74"/>
      <c r="C935" s="74"/>
      <c r="D935" s="74"/>
      <c r="E935" s="74"/>
      <c r="F935" s="48">
        <f>J935+H935+L935</f>
        <v>260910</v>
      </c>
      <c r="G935" s="74"/>
      <c r="H935" s="48">
        <f>ROUNDDOWN(SUMIF(P934:P934,O935,H934:H934),0)</f>
        <v>253311</v>
      </c>
      <c r="I935" s="74"/>
      <c r="J935" s="48">
        <f>ROUNDDOWN(SUMIF(P934:P934,O935,J934:J934),0)</f>
        <v>0</v>
      </c>
      <c r="K935" s="74"/>
      <c r="L935" s="48">
        <f>ROUNDDOWN(SUMIF(P934:P934,O935,L934:L934),0)</f>
        <v>7599</v>
      </c>
      <c r="M935" s="74"/>
      <c r="O935" s="7" t="s">
        <v>6406</v>
      </c>
    </row>
    <row r="936" spans="1:26" ht="28.7" customHeight="1" x14ac:dyDescent="0.3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</row>
    <row r="937" spans="1:26" ht="28.7" customHeight="1" x14ac:dyDescent="0.3">
      <c r="A937" s="136" t="s">
        <v>519</v>
      </c>
      <c r="B937" s="127"/>
      <c r="C937" s="127"/>
      <c r="D937" s="127"/>
      <c r="E937" s="127"/>
      <c r="F937" s="127"/>
      <c r="G937" s="127"/>
      <c r="H937" s="127"/>
      <c r="I937" s="127"/>
      <c r="J937" s="127"/>
      <c r="K937" s="127"/>
      <c r="L937" s="144"/>
      <c r="M937" s="22" t="s">
        <v>7100</v>
      </c>
      <c r="N937" s="84" t="str">
        <f>HYPERLINK("#N"&amp;ROW(N938),"_x0005_`BDCOD|B05267_x0007_`POSS|"&amp;ROW(N938)&amp;"_x0007_`POSE|"&amp;ROW(N938)&amp;"_x0007_`")</f>
        <v>_x0005_`BDCOD|B05267_x0007_`POSS|938_x0007_`POSE|938_x0007_`</v>
      </c>
      <c r="O937" s="7" t="s">
        <v>7101</v>
      </c>
    </row>
    <row r="938" spans="1:26" ht="28.7" customHeight="1" x14ac:dyDescent="0.3">
      <c r="A938" s="10" t="s">
        <v>1690</v>
      </c>
      <c r="B938" s="10" t="s">
        <v>1691</v>
      </c>
      <c r="C938" s="75">
        <v>1</v>
      </c>
      <c r="D938" s="31" t="s">
        <v>14</v>
      </c>
      <c r="E938" s="55">
        <f>I938+G938+K938</f>
        <v>260910</v>
      </c>
      <c r="F938" s="76">
        <f>J938+H938+L938</f>
        <v>260910</v>
      </c>
      <c r="G938" s="78">
        <f>일위대가목록표!F660</f>
        <v>253311</v>
      </c>
      <c r="H938" s="80">
        <f>IF(C938=0,0,ROUNDDOWN(G938*C938,1))</f>
        <v>253311</v>
      </c>
      <c r="I938" s="78">
        <f>일위대가목록표!G660</f>
        <v>0</v>
      </c>
      <c r="J938" s="80">
        <f>IF(C938=0,0,ROUNDDOWN(I938*C938,1))</f>
        <v>0</v>
      </c>
      <c r="K938" s="78">
        <f>일위대가목록표!H660</f>
        <v>7599</v>
      </c>
      <c r="L938" s="80">
        <f>IF(C938=0,0,ROUNDDOWN(K938*C938,1))</f>
        <v>7599</v>
      </c>
      <c r="M938" s="22" t="s">
        <v>6512</v>
      </c>
      <c r="N938" s="17" t="s">
        <v>6510</v>
      </c>
      <c r="O938" s="7" t="s">
        <v>6511</v>
      </c>
      <c r="P938" s="7" t="s">
        <v>6406</v>
      </c>
      <c r="Z938" s="3" t="str">
        <f ca="1">HYPERLINK("#"&amp;일위대가목록표!J2&amp;"!A"&amp;ROW(일위대가목록표!A660),"대가657 →")</f>
        <v>대가657 →</v>
      </c>
    </row>
    <row r="939" spans="1:26" ht="28.7" customHeight="1" x14ac:dyDescent="0.3">
      <c r="A939" s="22" t="s">
        <v>6</v>
      </c>
      <c r="B939" s="74"/>
      <c r="C939" s="74"/>
      <c r="D939" s="74"/>
      <c r="E939" s="74"/>
      <c r="F939" s="48">
        <f>J939+H939+L939</f>
        <v>260910</v>
      </c>
      <c r="G939" s="74"/>
      <c r="H939" s="48">
        <f>ROUNDDOWN(SUMIF(P938:P938,O939,H938:H938),0)</f>
        <v>253311</v>
      </c>
      <c r="I939" s="74"/>
      <c r="J939" s="48">
        <f>ROUNDDOWN(SUMIF(P938:P938,O939,J938:J938),0)</f>
        <v>0</v>
      </c>
      <c r="K939" s="74"/>
      <c r="L939" s="48">
        <f>ROUNDDOWN(SUMIF(P938:P938,O939,L938:L938),0)</f>
        <v>7599</v>
      </c>
      <c r="M939" s="74"/>
      <c r="O939" s="7" t="s">
        <v>6406</v>
      </c>
    </row>
    <row r="940" spans="1:26" ht="28.7" customHeight="1" x14ac:dyDescent="0.3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</row>
    <row r="941" spans="1:26" ht="28.7" customHeight="1" x14ac:dyDescent="0.3">
      <c r="A941" s="136" t="s">
        <v>521</v>
      </c>
      <c r="B941" s="127"/>
      <c r="C941" s="127"/>
      <c r="D941" s="127"/>
      <c r="E941" s="127"/>
      <c r="F941" s="127"/>
      <c r="G941" s="127"/>
      <c r="H941" s="127"/>
      <c r="I941" s="127"/>
      <c r="J941" s="127"/>
      <c r="K941" s="127"/>
      <c r="L941" s="144"/>
      <c r="M941" s="22" t="s">
        <v>7102</v>
      </c>
      <c r="N941" s="84" t="str">
        <f>HYPERLINK("#N"&amp;ROW(N942),"_x0005_`BDCOD|B05268_x0007_`POSS|"&amp;ROW(N942)&amp;"_x0007_`POSE|"&amp;ROW(N942)&amp;"_x0007_`")</f>
        <v>_x0005_`BDCOD|B05268_x0007_`POSS|942_x0007_`POSE|942_x0007_`</v>
      </c>
      <c r="O941" s="7" t="s">
        <v>7103</v>
      </c>
    </row>
    <row r="942" spans="1:26" ht="28.7" customHeight="1" x14ac:dyDescent="0.3">
      <c r="A942" s="10" t="s">
        <v>1690</v>
      </c>
      <c r="B942" s="10" t="s">
        <v>1700</v>
      </c>
      <c r="C942" s="75">
        <v>1</v>
      </c>
      <c r="D942" s="31" t="s">
        <v>14</v>
      </c>
      <c r="E942" s="55">
        <f>I942+G942+K942</f>
        <v>300644</v>
      </c>
      <c r="F942" s="76">
        <f>J942+H942+L942</f>
        <v>300644</v>
      </c>
      <c r="G942" s="78">
        <f>일위대가목록표!F663</f>
        <v>291888</v>
      </c>
      <c r="H942" s="80">
        <f>IF(C942=0,0,ROUNDDOWN(G942*C942,1))</f>
        <v>291888</v>
      </c>
      <c r="I942" s="78">
        <f>일위대가목록표!G663</f>
        <v>0</v>
      </c>
      <c r="J942" s="80">
        <f>IF(C942=0,0,ROUNDDOWN(I942*C942,1))</f>
        <v>0</v>
      </c>
      <c r="K942" s="78">
        <f>일위대가목록표!H663</f>
        <v>8756</v>
      </c>
      <c r="L942" s="80">
        <f>IF(C942=0,0,ROUNDDOWN(K942*C942,1))</f>
        <v>8756</v>
      </c>
      <c r="M942" s="22" t="s">
        <v>6517</v>
      </c>
      <c r="N942" s="17" t="s">
        <v>6515</v>
      </c>
      <c r="O942" s="7" t="s">
        <v>6516</v>
      </c>
      <c r="P942" s="7" t="s">
        <v>6406</v>
      </c>
      <c r="Z942" s="3" t="str">
        <f ca="1">HYPERLINK("#"&amp;일위대가목록표!J2&amp;"!A"&amp;ROW(일위대가목록표!A663),"대가660 →")</f>
        <v>대가660 →</v>
      </c>
    </row>
    <row r="943" spans="1:26" ht="28.7" customHeight="1" x14ac:dyDescent="0.3">
      <c r="A943" s="22" t="s">
        <v>6</v>
      </c>
      <c r="B943" s="74"/>
      <c r="C943" s="74"/>
      <c r="D943" s="74"/>
      <c r="E943" s="74"/>
      <c r="F943" s="48">
        <f>J943+H943+L943</f>
        <v>300644</v>
      </c>
      <c r="G943" s="74"/>
      <c r="H943" s="48">
        <f>ROUNDDOWN(SUMIF(P942:P942,O943,H942:H942),0)</f>
        <v>291888</v>
      </c>
      <c r="I943" s="74"/>
      <c r="J943" s="48">
        <f>ROUNDDOWN(SUMIF(P942:P942,O943,J942:J942),0)</f>
        <v>0</v>
      </c>
      <c r="K943" s="74"/>
      <c r="L943" s="48">
        <f>ROUNDDOWN(SUMIF(P942:P942,O943,L942:L942),0)</f>
        <v>8756</v>
      </c>
      <c r="M943" s="74"/>
      <c r="O943" s="7" t="s">
        <v>6406</v>
      </c>
    </row>
    <row r="944" spans="1:26" ht="28.7" customHeight="1" x14ac:dyDescent="0.3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</row>
    <row r="945" spans="1:26" ht="28.7" customHeight="1" x14ac:dyDescent="0.3">
      <c r="A945" s="136" t="s">
        <v>523</v>
      </c>
      <c r="B945" s="127"/>
      <c r="C945" s="127"/>
      <c r="D945" s="127"/>
      <c r="E945" s="127"/>
      <c r="F945" s="127"/>
      <c r="G945" s="127"/>
      <c r="H945" s="127"/>
      <c r="I945" s="127"/>
      <c r="J945" s="127"/>
      <c r="K945" s="127"/>
      <c r="L945" s="144"/>
      <c r="M945" s="22" t="s">
        <v>7104</v>
      </c>
      <c r="N945" s="84" t="str">
        <f>HYPERLINK("#N"&amp;ROW(N946),"_x0005_`BDCOD|B05269_x0007_`POSS|"&amp;ROW(N946)&amp;"_x0007_`POSE|"&amp;ROW(N946)&amp;"_x0007_`")</f>
        <v>_x0005_`BDCOD|B05269_x0007_`POSS|946_x0007_`POSE|946_x0007_`</v>
      </c>
      <c r="O945" s="7" t="s">
        <v>7105</v>
      </c>
    </row>
    <row r="946" spans="1:26" ht="28.7" customHeight="1" x14ac:dyDescent="0.3">
      <c r="A946" s="10" t="s">
        <v>1686</v>
      </c>
      <c r="B946" s="10" t="s">
        <v>1687</v>
      </c>
      <c r="C946" s="75">
        <v>1</v>
      </c>
      <c r="D946" s="31" t="s">
        <v>14</v>
      </c>
      <c r="E946" s="55">
        <f>I946+G946+K946</f>
        <v>104363</v>
      </c>
      <c r="F946" s="76">
        <f>J946+H946+L946</f>
        <v>104363</v>
      </c>
      <c r="G946" s="78">
        <f>일위대가목록표!F659</f>
        <v>101324</v>
      </c>
      <c r="H946" s="80">
        <f>IF(C946=0,0,ROUNDDOWN(G946*C946,1))</f>
        <v>101324</v>
      </c>
      <c r="I946" s="78">
        <f>일위대가목록표!G659</f>
        <v>0</v>
      </c>
      <c r="J946" s="80">
        <f>IF(C946=0,0,ROUNDDOWN(I946*C946,1))</f>
        <v>0</v>
      </c>
      <c r="K946" s="78">
        <f>일위대가목록표!H659</f>
        <v>3039</v>
      </c>
      <c r="L946" s="80">
        <f>IF(C946=0,0,ROUNDDOWN(K946*C946,1))</f>
        <v>3039</v>
      </c>
      <c r="M946" s="22" t="s">
        <v>6540</v>
      </c>
      <c r="N946" s="17" t="s">
        <v>6538</v>
      </c>
      <c r="O946" s="7" t="s">
        <v>6539</v>
      </c>
      <c r="P946" s="7" t="s">
        <v>6406</v>
      </c>
      <c r="Z946" s="3" t="str">
        <f ca="1">HYPERLINK("#"&amp;일위대가목록표!J2&amp;"!A"&amp;ROW(일위대가목록표!A659),"대가656 →")</f>
        <v>대가656 →</v>
      </c>
    </row>
    <row r="947" spans="1:26" ht="28.7" customHeight="1" x14ac:dyDescent="0.3">
      <c r="A947" s="22" t="s">
        <v>6</v>
      </c>
      <c r="B947" s="74"/>
      <c r="C947" s="74"/>
      <c r="D947" s="74"/>
      <c r="E947" s="74"/>
      <c r="F947" s="48">
        <f>J947+H947+L947</f>
        <v>104363</v>
      </c>
      <c r="G947" s="74"/>
      <c r="H947" s="48">
        <f>ROUNDDOWN(SUMIF(P946:P946,O947,H946:H946),0)</f>
        <v>101324</v>
      </c>
      <c r="I947" s="74"/>
      <c r="J947" s="48">
        <f>ROUNDDOWN(SUMIF(P946:P946,O947,J946:J946),0)</f>
        <v>0</v>
      </c>
      <c r="K947" s="74"/>
      <c r="L947" s="48">
        <f>ROUNDDOWN(SUMIF(P946:P946,O947,L946:L946),0)</f>
        <v>3039</v>
      </c>
      <c r="M947" s="74"/>
      <c r="O947" s="7" t="s">
        <v>6406</v>
      </c>
    </row>
    <row r="948" spans="1:26" ht="28.7" customHeight="1" x14ac:dyDescent="0.3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</row>
    <row r="949" spans="1:26" ht="28.7" customHeight="1" x14ac:dyDescent="0.3">
      <c r="A949" s="136" t="s">
        <v>526</v>
      </c>
      <c r="B949" s="127"/>
      <c r="C949" s="127"/>
      <c r="D949" s="127"/>
      <c r="E949" s="127"/>
      <c r="F949" s="127"/>
      <c r="G949" s="127"/>
      <c r="H949" s="127"/>
      <c r="I949" s="127"/>
      <c r="J949" s="127"/>
      <c r="K949" s="127"/>
      <c r="L949" s="144"/>
      <c r="M949" s="22" t="s">
        <v>7106</v>
      </c>
      <c r="N949" s="84" t="str">
        <f>HYPERLINK("#N"&amp;ROW(N950),"_x0005_`BDCOD|B05270_x0007_`POSS|"&amp;ROW(N950)&amp;"_x0007_`POSE|"&amp;ROW(N950)&amp;"_x0007_`")</f>
        <v>_x0005_`BDCOD|B05270_x0007_`POSS|950_x0007_`POSE|950_x0007_`</v>
      </c>
      <c r="O949" s="7" t="s">
        <v>7107</v>
      </c>
    </row>
    <row r="950" spans="1:26" ht="28.7" customHeight="1" x14ac:dyDescent="0.3">
      <c r="A950" s="10" t="s">
        <v>1686</v>
      </c>
      <c r="B950" s="10" t="s">
        <v>1687</v>
      </c>
      <c r="C950" s="75">
        <v>1</v>
      </c>
      <c r="D950" s="31" t="s">
        <v>14</v>
      </c>
      <c r="E950" s="55">
        <f>I950+G950+K950</f>
        <v>104363</v>
      </c>
      <c r="F950" s="76">
        <f>J950+H950+L950</f>
        <v>104363</v>
      </c>
      <c r="G950" s="78">
        <f>일위대가목록표!F659</f>
        <v>101324</v>
      </c>
      <c r="H950" s="80">
        <f>IF(C950=0,0,ROUNDDOWN(G950*C950,1))</f>
        <v>101324</v>
      </c>
      <c r="I950" s="78">
        <f>일위대가목록표!G659</f>
        <v>0</v>
      </c>
      <c r="J950" s="80">
        <f>IF(C950=0,0,ROUNDDOWN(I950*C950,1))</f>
        <v>0</v>
      </c>
      <c r="K950" s="78">
        <f>일위대가목록표!H659</f>
        <v>3039</v>
      </c>
      <c r="L950" s="80">
        <f>IF(C950=0,0,ROUNDDOWN(K950*C950,1))</f>
        <v>3039</v>
      </c>
      <c r="M950" s="22" t="s">
        <v>6540</v>
      </c>
      <c r="N950" s="17" t="s">
        <v>6538</v>
      </c>
      <c r="O950" s="7" t="s">
        <v>6539</v>
      </c>
      <c r="P950" s="7" t="s">
        <v>6406</v>
      </c>
      <c r="Z950" s="3" t="str">
        <f ca="1">HYPERLINK("#"&amp;일위대가목록표!J2&amp;"!A"&amp;ROW(일위대가목록표!A659),"대가656 →")</f>
        <v>대가656 →</v>
      </c>
    </row>
    <row r="951" spans="1:26" ht="28.7" customHeight="1" x14ac:dyDescent="0.3">
      <c r="A951" s="22" t="s">
        <v>6</v>
      </c>
      <c r="B951" s="74"/>
      <c r="C951" s="74"/>
      <c r="D951" s="74"/>
      <c r="E951" s="74"/>
      <c r="F951" s="48">
        <f>J951+H951+L951</f>
        <v>104363</v>
      </c>
      <c r="G951" s="74"/>
      <c r="H951" s="48">
        <f>ROUNDDOWN(SUMIF(P950:P950,O951,H950:H950),0)</f>
        <v>101324</v>
      </c>
      <c r="I951" s="74"/>
      <c r="J951" s="48">
        <f>ROUNDDOWN(SUMIF(P950:P950,O951,J950:J950),0)</f>
        <v>0</v>
      </c>
      <c r="K951" s="74"/>
      <c r="L951" s="48">
        <f>ROUNDDOWN(SUMIF(P950:P950,O951,L950:L950),0)</f>
        <v>3039</v>
      </c>
      <c r="M951" s="74"/>
      <c r="O951" s="7" t="s">
        <v>6406</v>
      </c>
    </row>
    <row r="952" spans="1:26" ht="28.7" customHeight="1" x14ac:dyDescent="0.3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</row>
    <row r="953" spans="1:26" ht="28.7" customHeight="1" x14ac:dyDescent="0.3">
      <c r="A953" s="136" t="s">
        <v>528</v>
      </c>
      <c r="B953" s="127"/>
      <c r="C953" s="127"/>
      <c r="D953" s="127"/>
      <c r="E953" s="127"/>
      <c r="F953" s="127"/>
      <c r="G953" s="127"/>
      <c r="H953" s="127"/>
      <c r="I953" s="127"/>
      <c r="J953" s="127"/>
      <c r="K953" s="127"/>
      <c r="L953" s="144"/>
      <c r="M953" s="22" t="s">
        <v>7108</v>
      </c>
      <c r="N953" s="84" t="str">
        <f>HYPERLINK("#N"&amp;ROW(N954),"_x0005_`BDCOD|B05271_x0007_`POSS|"&amp;ROW(N954)&amp;"_x0007_`POSE|"&amp;ROW(N954)&amp;"_x0007_`")</f>
        <v>_x0005_`BDCOD|B05271_x0007_`POSS|954_x0007_`POSE|954_x0007_`</v>
      </c>
      <c r="O953" s="7" t="s">
        <v>7109</v>
      </c>
    </row>
    <row r="954" spans="1:26" ht="28.7" customHeight="1" x14ac:dyDescent="0.3">
      <c r="A954" s="10" t="s">
        <v>1686</v>
      </c>
      <c r="B954" s="10" t="s">
        <v>1697</v>
      </c>
      <c r="C954" s="75">
        <v>1</v>
      </c>
      <c r="D954" s="31" t="s">
        <v>14</v>
      </c>
      <c r="E954" s="55">
        <f>I954+G954+K954</f>
        <v>120257</v>
      </c>
      <c r="F954" s="76">
        <f>J954+H954+L954</f>
        <v>120257</v>
      </c>
      <c r="G954" s="78">
        <f>일위대가목록표!F662</f>
        <v>116755</v>
      </c>
      <c r="H954" s="80">
        <f>IF(C954=0,0,ROUNDDOWN(G954*C954,1))</f>
        <v>116755</v>
      </c>
      <c r="I954" s="78">
        <f>일위대가목록표!G662</f>
        <v>0</v>
      </c>
      <c r="J954" s="80">
        <f>IF(C954=0,0,ROUNDDOWN(I954*C954,1))</f>
        <v>0</v>
      </c>
      <c r="K954" s="78">
        <f>일위대가목록표!H662</f>
        <v>3502</v>
      </c>
      <c r="L954" s="80">
        <f>IF(C954=0,0,ROUNDDOWN(K954*C954,1))</f>
        <v>3502</v>
      </c>
      <c r="M954" s="22" t="s">
        <v>6545</v>
      </c>
      <c r="N954" s="17" t="s">
        <v>6543</v>
      </c>
      <c r="O954" s="7" t="s">
        <v>6544</v>
      </c>
      <c r="P954" s="7" t="s">
        <v>6406</v>
      </c>
      <c r="Z954" s="3" t="str">
        <f ca="1">HYPERLINK("#"&amp;일위대가목록표!J2&amp;"!A"&amp;ROW(일위대가목록표!A662),"대가659 →")</f>
        <v>대가659 →</v>
      </c>
    </row>
    <row r="955" spans="1:26" ht="28.7" customHeight="1" x14ac:dyDescent="0.3">
      <c r="A955" s="22" t="s">
        <v>6</v>
      </c>
      <c r="B955" s="74"/>
      <c r="C955" s="74"/>
      <c r="D955" s="74"/>
      <c r="E955" s="74"/>
      <c r="F955" s="48">
        <f>J955+H955+L955</f>
        <v>120257</v>
      </c>
      <c r="G955" s="74"/>
      <c r="H955" s="48">
        <f>ROUNDDOWN(SUMIF(P954:P954,O955,H954:H954),0)</f>
        <v>116755</v>
      </c>
      <c r="I955" s="74"/>
      <c r="J955" s="48">
        <f>ROUNDDOWN(SUMIF(P954:P954,O955,J954:J954),0)</f>
        <v>0</v>
      </c>
      <c r="K955" s="74"/>
      <c r="L955" s="48">
        <f>ROUNDDOWN(SUMIF(P954:P954,O955,L954:L954),0)</f>
        <v>3502</v>
      </c>
      <c r="M955" s="74"/>
      <c r="O955" s="7" t="s">
        <v>6406</v>
      </c>
    </row>
    <row r="956" spans="1:26" ht="28.7" customHeight="1" x14ac:dyDescent="0.3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</row>
    <row r="957" spans="1:26" ht="28.7" customHeight="1" x14ac:dyDescent="0.3">
      <c r="A957" s="136" t="s">
        <v>530</v>
      </c>
      <c r="B957" s="127"/>
      <c r="C957" s="127"/>
      <c r="D957" s="127"/>
      <c r="E957" s="127"/>
      <c r="F957" s="127"/>
      <c r="G957" s="127"/>
      <c r="H957" s="127"/>
      <c r="I957" s="127"/>
      <c r="J957" s="127"/>
      <c r="K957" s="127"/>
      <c r="L957" s="144"/>
      <c r="M957" s="22" t="s">
        <v>7110</v>
      </c>
      <c r="N957" s="84" t="str">
        <f>HYPERLINK("#N"&amp;ROW(N959),"_x0005_`BDCOD|B04952_x0007_`POSS|"&amp;ROW(N958)&amp;"_x0007_`POSE|"&amp;ROW(N959)&amp;"_x0007_`")</f>
        <v>_x0005_`BDCOD|B04952_x0007_`POSS|958_x0007_`POSE|959_x0007_`</v>
      </c>
      <c r="O957" s="7" t="s">
        <v>7111</v>
      </c>
    </row>
    <row r="958" spans="1:26" ht="28.7" customHeight="1" x14ac:dyDescent="0.3">
      <c r="A958" s="10" t="s">
        <v>1682</v>
      </c>
      <c r="B958" s="10" t="s">
        <v>1683</v>
      </c>
      <c r="C958" s="75">
        <v>1</v>
      </c>
      <c r="D958" s="31" t="s">
        <v>14</v>
      </c>
      <c r="E958" s="55">
        <f>I958+G958+K958</f>
        <v>365273</v>
      </c>
      <c r="F958" s="76">
        <f>J958+H958+L958</f>
        <v>365273</v>
      </c>
      <c r="G958" s="78">
        <f>일위대가목록표!F658</f>
        <v>354635</v>
      </c>
      <c r="H958" s="80">
        <f>IF(C958=0,0,ROUNDDOWN(G958*C958,1))</f>
        <v>354635</v>
      </c>
      <c r="I958" s="78">
        <f>일위대가목록표!G658</f>
        <v>0</v>
      </c>
      <c r="J958" s="80">
        <f>IF(C958=0,0,ROUNDDOWN(I958*C958,1))</f>
        <v>0</v>
      </c>
      <c r="K958" s="78">
        <f>일위대가목록표!H658</f>
        <v>10638</v>
      </c>
      <c r="L958" s="80">
        <f>IF(C958=0,0,ROUNDDOWN(K958*C958,1))</f>
        <v>10638</v>
      </c>
      <c r="M958" s="22" t="s">
        <v>6403</v>
      </c>
      <c r="N958" s="17" t="s">
        <v>6400</v>
      </c>
      <c r="O958" s="7" t="s">
        <v>6401</v>
      </c>
      <c r="P958" s="7" t="s">
        <v>6406</v>
      </c>
      <c r="Z958" s="3" t="str">
        <f ca="1">HYPERLINK("#"&amp;일위대가목록표!J2&amp;"!A"&amp;ROW(일위대가목록표!A658),"대가655 →")</f>
        <v>대가655 →</v>
      </c>
    </row>
    <row r="959" spans="1:26" ht="28.7" customHeight="1" x14ac:dyDescent="0.3">
      <c r="A959" s="10" t="s">
        <v>2777</v>
      </c>
      <c r="B959" s="10" t="s">
        <v>533</v>
      </c>
      <c r="C959" s="75">
        <v>1</v>
      </c>
      <c r="D959" s="31" t="s">
        <v>14</v>
      </c>
      <c r="E959" s="55">
        <f>I959+G959+K959</f>
        <v>1871000</v>
      </c>
      <c r="F959" s="77">
        <f>J959+H959+L959</f>
        <v>1871000</v>
      </c>
      <c r="G959" s="51">
        <v>0</v>
      </c>
      <c r="H959" s="76">
        <f>IF(C959=0,0,ROUNDDOWN(G959*C959,1))</f>
        <v>0</v>
      </c>
      <c r="I959" s="78">
        <f>재료비목록표!E264</f>
        <v>1871000</v>
      </c>
      <c r="J959" s="81">
        <f>IF(C959=0,0,ROUNDDOWN(I959*C959,1))</f>
        <v>1871000</v>
      </c>
      <c r="K959" s="51">
        <v>0</v>
      </c>
      <c r="L959" s="76">
        <f>IF(C959=0,0,ROUNDDOWN(K959*C959,1))</f>
        <v>0</v>
      </c>
      <c r="M959" s="22" t="s">
        <v>7114</v>
      </c>
      <c r="N959" s="17" t="s">
        <v>7112</v>
      </c>
      <c r="O959" s="7" t="s">
        <v>7113</v>
      </c>
      <c r="P959" s="7" t="s">
        <v>6406</v>
      </c>
      <c r="Z959" s="3" t="str">
        <f ca="1">HYPERLINK("#"&amp;재료비목록표!G2&amp;"!A"&amp;ROW(재료비목록표!A264),"자재261 →")</f>
        <v>자재261 →</v>
      </c>
    </row>
    <row r="960" spans="1:26" ht="28.7" customHeight="1" x14ac:dyDescent="0.3">
      <c r="A960" s="22" t="s">
        <v>6</v>
      </c>
      <c r="B960" s="74"/>
      <c r="C960" s="74"/>
      <c r="D960" s="74"/>
      <c r="E960" s="74"/>
      <c r="F960" s="48">
        <f>J960+H960+L960</f>
        <v>2236273</v>
      </c>
      <c r="G960" s="74"/>
      <c r="H960" s="48">
        <f>ROUNDDOWN(SUMIF(P958:P959,O960,H958:H959),0)</f>
        <v>354635</v>
      </c>
      <c r="I960" s="74"/>
      <c r="J960" s="48">
        <f>ROUNDDOWN(SUMIF(P958:P959,O960,J958:J959),0)</f>
        <v>1871000</v>
      </c>
      <c r="K960" s="74"/>
      <c r="L960" s="48">
        <f>ROUNDDOWN(SUMIF(P958:P959,O960,L958:L959),0)</f>
        <v>10638</v>
      </c>
      <c r="M960" s="74"/>
      <c r="O960" s="7" t="s">
        <v>6406</v>
      </c>
    </row>
    <row r="961" spans="1:26" ht="28.7" customHeight="1" x14ac:dyDescent="0.3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</row>
    <row r="962" spans="1:26" ht="28.7" customHeight="1" x14ac:dyDescent="0.3">
      <c r="A962" s="136" t="s">
        <v>534</v>
      </c>
      <c r="B962" s="127"/>
      <c r="C962" s="127"/>
      <c r="D962" s="127"/>
      <c r="E962" s="127"/>
      <c r="F962" s="127"/>
      <c r="G962" s="127"/>
      <c r="H962" s="127"/>
      <c r="I962" s="127"/>
      <c r="J962" s="127"/>
      <c r="K962" s="127"/>
      <c r="L962" s="144"/>
      <c r="M962" s="22" t="s">
        <v>7115</v>
      </c>
      <c r="N962" s="84" t="str">
        <f>HYPERLINK("#N"&amp;ROW(N963),"_x0005_`BDCOD|B05272_x0007_`POSS|"&amp;ROW(N963)&amp;"_x0007_`POSE|"&amp;ROW(N963)&amp;"_x0007_`")</f>
        <v>_x0005_`BDCOD|B05272_x0007_`POSS|963_x0007_`POSE|963_x0007_`</v>
      </c>
      <c r="O962" s="7" t="s">
        <v>7116</v>
      </c>
    </row>
    <row r="963" spans="1:26" ht="28.7" customHeight="1" x14ac:dyDescent="0.3">
      <c r="A963" s="10" t="s">
        <v>1682</v>
      </c>
      <c r="B963" s="10" t="s">
        <v>1683</v>
      </c>
      <c r="C963" s="75">
        <v>1</v>
      </c>
      <c r="D963" s="31" t="s">
        <v>14</v>
      </c>
      <c r="E963" s="55">
        <f>I963+G963+K963</f>
        <v>365273</v>
      </c>
      <c r="F963" s="76">
        <f>J963+H963+L963</f>
        <v>365273</v>
      </c>
      <c r="G963" s="78">
        <f>일위대가목록표!F658</f>
        <v>354635</v>
      </c>
      <c r="H963" s="80">
        <f>IF(C963=0,0,ROUNDDOWN(G963*C963,1))</f>
        <v>354635</v>
      </c>
      <c r="I963" s="78">
        <f>일위대가목록표!G658</f>
        <v>0</v>
      </c>
      <c r="J963" s="80">
        <f>IF(C963=0,0,ROUNDDOWN(I963*C963,1))</f>
        <v>0</v>
      </c>
      <c r="K963" s="78">
        <f>일위대가목록표!H658</f>
        <v>10638</v>
      </c>
      <c r="L963" s="80">
        <f>IF(C963=0,0,ROUNDDOWN(K963*C963,1))</f>
        <v>10638</v>
      </c>
      <c r="M963" s="22" t="s">
        <v>6403</v>
      </c>
      <c r="N963" s="17" t="s">
        <v>6400</v>
      </c>
      <c r="O963" s="7" t="s">
        <v>6401</v>
      </c>
      <c r="P963" s="7" t="s">
        <v>6406</v>
      </c>
      <c r="Z963" s="3" t="str">
        <f ca="1">HYPERLINK("#"&amp;일위대가목록표!J2&amp;"!A"&amp;ROW(일위대가목록표!A658),"대가655 →")</f>
        <v>대가655 →</v>
      </c>
    </row>
    <row r="964" spans="1:26" ht="28.7" customHeight="1" x14ac:dyDescent="0.3">
      <c r="A964" s="22" t="s">
        <v>6</v>
      </c>
      <c r="B964" s="74"/>
      <c r="C964" s="74"/>
      <c r="D964" s="74"/>
      <c r="E964" s="74"/>
      <c r="F964" s="48">
        <f>J964+H964+L964</f>
        <v>365273</v>
      </c>
      <c r="G964" s="74"/>
      <c r="H964" s="48">
        <f>ROUNDDOWN(SUMIF(P963:P963,O964,H963:H963),0)</f>
        <v>354635</v>
      </c>
      <c r="I964" s="74"/>
      <c r="J964" s="48">
        <f>ROUNDDOWN(SUMIF(P963:P963,O964,J963:J963),0)</f>
        <v>0</v>
      </c>
      <c r="K964" s="74"/>
      <c r="L964" s="48">
        <f>ROUNDDOWN(SUMIF(P963:P963,O964,L963:L963),0)</f>
        <v>10638</v>
      </c>
      <c r="M964" s="74"/>
      <c r="O964" s="7" t="s">
        <v>6406</v>
      </c>
    </row>
    <row r="965" spans="1:26" ht="28.7" customHeight="1" x14ac:dyDescent="0.3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</row>
    <row r="966" spans="1:26" ht="28.7" customHeight="1" x14ac:dyDescent="0.3">
      <c r="A966" s="136" t="s">
        <v>537</v>
      </c>
      <c r="B966" s="127"/>
      <c r="C966" s="127"/>
      <c r="D966" s="127"/>
      <c r="E966" s="127"/>
      <c r="F966" s="127"/>
      <c r="G966" s="127"/>
      <c r="H966" s="127"/>
      <c r="I966" s="127"/>
      <c r="J966" s="127"/>
      <c r="K966" s="127"/>
      <c r="L966" s="144"/>
      <c r="M966" s="22" t="s">
        <v>7117</v>
      </c>
      <c r="N966" s="84" t="str">
        <f>HYPERLINK("#N"&amp;ROW(N967),"_x0005_`BDCOD|B05273_x0007_`POSS|"&amp;ROW(N967)&amp;"_x0007_`POSE|"&amp;ROW(N967)&amp;"_x0007_`")</f>
        <v>_x0005_`BDCOD|B05273_x0007_`POSS|967_x0007_`POSE|967_x0007_`</v>
      </c>
      <c r="O966" s="7" t="s">
        <v>7118</v>
      </c>
    </row>
    <row r="967" spans="1:26" ht="28.7" customHeight="1" x14ac:dyDescent="0.3">
      <c r="A967" s="10" t="s">
        <v>1690</v>
      </c>
      <c r="B967" s="10" t="s">
        <v>1691</v>
      </c>
      <c r="C967" s="75">
        <v>1</v>
      </c>
      <c r="D967" s="31" t="s">
        <v>14</v>
      </c>
      <c r="E967" s="55">
        <f>I967+G967+K967</f>
        <v>260910</v>
      </c>
      <c r="F967" s="76">
        <f>J967+H967+L967</f>
        <v>260910</v>
      </c>
      <c r="G967" s="78">
        <f>일위대가목록표!F660</f>
        <v>253311</v>
      </c>
      <c r="H967" s="80">
        <f>IF(C967=0,0,ROUNDDOWN(G967*C967,1))</f>
        <v>253311</v>
      </c>
      <c r="I967" s="78">
        <f>일위대가목록표!G660</f>
        <v>0</v>
      </c>
      <c r="J967" s="80">
        <f>IF(C967=0,0,ROUNDDOWN(I967*C967,1))</f>
        <v>0</v>
      </c>
      <c r="K967" s="78">
        <f>일위대가목록표!H660</f>
        <v>7599</v>
      </c>
      <c r="L967" s="80">
        <f>IF(C967=0,0,ROUNDDOWN(K967*C967,1))</f>
        <v>7599</v>
      </c>
      <c r="M967" s="22" t="s">
        <v>6512</v>
      </c>
      <c r="N967" s="17" t="s">
        <v>6510</v>
      </c>
      <c r="O967" s="7" t="s">
        <v>6511</v>
      </c>
      <c r="P967" s="7" t="s">
        <v>6406</v>
      </c>
      <c r="Z967" s="3" t="str">
        <f ca="1">HYPERLINK("#"&amp;일위대가목록표!J2&amp;"!A"&amp;ROW(일위대가목록표!A660),"대가657 →")</f>
        <v>대가657 →</v>
      </c>
    </row>
    <row r="968" spans="1:26" ht="28.7" customHeight="1" x14ac:dyDescent="0.3">
      <c r="A968" s="22" t="s">
        <v>6</v>
      </c>
      <c r="B968" s="74"/>
      <c r="C968" s="74"/>
      <c r="D968" s="74"/>
      <c r="E968" s="74"/>
      <c r="F968" s="48">
        <f>J968+H968+L968</f>
        <v>260910</v>
      </c>
      <c r="G968" s="74"/>
      <c r="H968" s="48">
        <f>ROUNDDOWN(SUMIF(P967:P967,O968,H967:H967),0)</f>
        <v>253311</v>
      </c>
      <c r="I968" s="74"/>
      <c r="J968" s="48">
        <f>ROUNDDOWN(SUMIF(P967:P967,O968,J967:J967),0)</f>
        <v>0</v>
      </c>
      <c r="K968" s="74"/>
      <c r="L968" s="48">
        <f>ROUNDDOWN(SUMIF(P967:P967,O968,L967:L967),0)</f>
        <v>7599</v>
      </c>
      <c r="M968" s="74"/>
      <c r="O968" s="7" t="s">
        <v>6406</v>
      </c>
    </row>
    <row r="969" spans="1:26" ht="28.7" customHeight="1" x14ac:dyDescent="0.3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</row>
    <row r="970" spans="1:26" ht="28.7" customHeight="1" x14ac:dyDescent="0.3">
      <c r="A970" s="136" t="s">
        <v>540</v>
      </c>
      <c r="B970" s="127"/>
      <c r="C970" s="127"/>
      <c r="D970" s="127"/>
      <c r="E970" s="127"/>
      <c r="F970" s="127"/>
      <c r="G970" s="127"/>
      <c r="H970" s="127"/>
      <c r="I970" s="127"/>
      <c r="J970" s="127"/>
      <c r="K970" s="127"/>
      <c r="L970" s="144"/>
      <c r="M970" s="22" t="s">
        <v>7119</v>
      </c>
      <c r="N970" s="84" t="str">
        <f>HYPERLINK("#N"&amp;ROW(N971),"_x0005_`BDCOD|B05274_x0007_`POSS|"&amp;ROW(N971)&amp;"_x0007_`POSE|"&amp;ROW(N971)&amp;"_x0007_`")</f>
        <v>_x0005_`BDCOD|B05274_x0007_`POSS|971_x0007_`POSE|971_x0007_`</v>
      </c>
      <c r="O970" s="7" t="s">
        <v>7120</v>
      </c>
    </row>
    <row r="971" spans="1:26" ht="28.7" customHeight="1" x14ac:dyDescent="0.3">
      <c r="A971" s="10" t="s">
        <v>1686</v>
      </c>
      <c r="B971" s="10" t="s">
        <v>1687</v>
      </c>
      <c r="C971" s="75">
        <v>1</v>
      </c>
      <c r="D971" s="31" t="s">
        <v>14</v>
      </c>
      <c r="E971" s="55">
        <f>I971+G971+K971</f>
        <v>104363</v>
      </c>
      <c r="F971" s="76">
        <f>J971+H971+L971</f>
        <v>104363</v>
      </c>
      <c r="G971" s="78">
        <f>일위대가목록표!F659</f>
        <v>101324</v>
      </c>
      <c r="H971" s="80">
        <f>IF(C971=0,0,ROUNDDOWN(G971*C971,1))</f>
        <v>101324</v>
      </c>
      <c r="I971" s="78">
        <f>일위대가목록표!G659</f>
        <v>0</v>
      </c>
      <c r="J971" s="80">
        <f>IF(C971=0,0,ROUNDDOWN(I971*C971,1))</f>
        <v>0</v>
      </c>
      <c r="K971" s="78">
        <f>일위대가목록표!H659</f>
        <v>3039</v>
      </c>
      <c r="L971" s="80">
        <f>IF(C971=0,0,ROUNDDOWN(K971*C971,1))</f>
        <v>3039</v>
      </c>
      <c r="M971" s="22" t="s">
        <v>6540</v>
      </c>
      <c r="N971" s="17" t="s">
        <v>6538</v>
      </c>
      <c r="O971" s="7" t="s">
        <v>6539</v>
      </c>
      <c r="P971" s="7" t="s">
        <v>6406</v>
      </c>
      <c r="Z971" s="3" t="str">
        <f ca="1">HYPERLINK("#"&amp;일위대가목록표!J2&amp;"!A"&amp;ROW(일위대가목록표!A659),"대가656 →")</f>
        <v>대가656 →</v>
      </c>
    </row>
    <row r="972" spans="1:26" ht="28.7" customHeight="1" x14ac:dyDescent="0.3">
      <c r="A972" s="22" t="s">
        <v>6</v>
      </c>
      <c r="B972" s="74"/>
      <c r="C972" s="74"/>
      <c r="D972" s="74"/>
      <c r="E972" s="74"/>
      <c r="F972" s="48">
        <f>J972+H972+L972</f>
        <v>104363</v>
      </c>
      <c r="G972" s="74"/>
      <c r="H972" s="48">
        <f>ROUNDDOWN(SUMIF(P971:P971,O972,H971:H971),0)</f>
        <v>101324</v>
      </c>
      <c r="I972" s="74"/>
      <c r="J972" s="48">
        <f>ROUNDDOWN(SUMIF(P971:P971,O972,J971:J971),0)</f>
        <v>0</v>
      </c>
      <c r="K972" s="74"/>
      <c r="L972" s="48">
        <f>ROUNDDOWN(SUMIF(P971:P971,O972,L971:L971),0)</f>
        <v>3039</v>
      </c>
      <c r="M972" s="74"/>
      <c r="O972" s="7" t="s">
        <v>6406</v>
      </c>
    </row>
    <row r="973" spans="1:26" ht="28.7" customHeight="1" x14ac:dyDescent="0.3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</row>
    <row r="974" spans="1:26" ht="28.7" customHeight="1" x14ac:dyDescent="0.3">
      <c r="A974" s="136" t="s">
        <v>543</v>
      </c>
      <c r="B974" s="127"/>
      <c r="C974" s="127"/>
      <c r="D974" s="127"/>
      <c r="E974" s="127"/>
      <c r="F974" s="127"/>
      <c r="G974" s="127"/>
      <c r="H974" s="127"/>
      <c r="I974" s="127"/>
      <c r="J974" s="127"/>
      <c r="K974" s="127"/>
      <c r="L974" s="144"/>
      <c r="M974" s="22" t="s">
        <v>7121</v>
      </c>
      <c r="N974" s="84" t="str">
        <f>HYPERLINK("#N"&amp;ROW(N976),"_x0005_`BDCOD|B04953_x0007_`POSS|"&amp;ROW(N975)&amp;"_x0007_`POSE|"&amp;ROW(N976)&amp;"_x0007_`")</f>
        <v>_x0005_`BDCOD|B04953_x0007_`POSS|975_x0007_`POSE|976_x0007_`</v>
      </c>
      <c r="O974" s="7" t="s">
        <v>7122</v>
      </c>
    </row>
    <row r="975" spans="1:26" ht="28.7" customHeight="1" x14ac:dyDescent="0.3">
      <c r="A975" s="10" t="s">
        <v>1682</v>
      </c>
      <c r="B975" s="10" t="s">
        <v>1766</v>
      </c>
      <c r="C975" s="75">
        <v>1</v>
      </c>
      <c r="D975" s="31" t="s">
        <v>14</v>
      </c>
      <c r="E975" s="55">
        <f>I975+G975+K975</f>
        <v>3289807</v>
      </c>
      <c r="F975" s="76">
        <f>J975+H975+L975</f>
        <v>3289807</v>
      </c>
      <c r="G975" s="78">
        <f>일위대가목록표!F685</f>
        <v>3193989</v>
      </c>
      <c r="H975" s="80">
        <f>IF(C975=0,0,ROUNDDOWN(G975*C975,1))</f>
        <v>3193989</v>
      </c>
      <c r="I975" s="78">
        <f>일위대가목록표!G685</f>
        <v>0</v>
      </c>
      <c r="J975" s="80">
        <f>IF(C975=0,0,ROUNDDOWN(I975*C975,1))</f>
        <v>0</v>
      </c>
      <c r="K975" s="78">
        <f>일위대가목록표!H685</f>
        <v>95818</v>
      </c>
      <c r="L975" s="80">
        <f>IF(C975=0,0,ROUNDDOWN(K975*C975,1))</f>
        <v>95818</v>
      </c>
      <c r="M975" s="22" t="s">
        <v>6467</v>
      </c>
      <c r="N975" s="17" t="s">
        <v>6464</v>
      </c>
      <c r="O975" s="7" t="s">
        <v>6465</v>
      </c>
      <c r="P975" s="7" t="s">
        <v>6406</v>
      </c>
      <c r="Z975" s="3" t="str">
        <f ca="1">HYPERLINK("#"&amp;일위대가목록표!J2&amp;"!A"&amp;ROW(일위대가목록표!A685),"대가682 →")</f>
        <v>대가682 →</v>
      </c>
    </row>
    <row r="976" spans="1:26" ht="28.7" customHeight="1" x14ac:dyDescent="0.3">
      <c r="A976" s="10" t="s">
        <v>2124</v>
      </c>
      <c r="B976" s="10" t="s">
        <v>546</v>
      </c>
      <c r="C976" s="75">
        <v>1</v>
      </c>
      <c r="D976" s="31" t="s">
        <v>14</v>
      </c>
      <c r="E976" s="55">
        <f>I976+G976+K976</f>
        <v>5802100</v>
      </c>
      <c r="F976" s="77">
        <f>J976+H976+L976</f>
        <v>5802100</v>
      </c>
      <c r="G976" s="51">
        <v>0</v>
      </c>
      <c r="H976" s="76">
        <f>IF(C976=0,0,ROUNDDOWN(G976*C976,1))</f>
        <v>0</v>
      </c>
      <c r="I976" s="78">
        <f>재료비목록표!E31</f>
        <v>5802100</v>
      </c>
      <c r="J976" s="81">
        <f>IF(C976=0,0,ROUNDDOWN(I976*C976,1))</f>
        <v>5802100</v>
      </c>
      <c r="K976" s="51">
        <v>0</v>
      </c>
      <c r="L976" s="76">
        <f>IF(C976=0,0,ROUNDDOWN(K976*C976,1))</f>
        <v>0</v>
      </c>
      <c r="M976" s="22" t="s">
        <v>7125</v>
      </c>
      <c r="N976" s="17" t="s">
        <v>7123</v>
      </c>
      <c r="O976" s="7" t="s">
        <v>7124</v>
      </c>
      <c r="P976" s="7" t="s">
        <v>6406</v>
      </c>
      <c r="Z976" s="3" t="str">
        <f ca="1">HYPERLINK("#"&amp;재료비목록표!G2&amp;"!A"&amp;ROW(재료비목록표!A31),"자재28 →")</f>
        <v>자재28 →</v>
      </c>
    </row>
    <row r="977" spans="1:26" ht="28.7" customHeight="1" x14ac:dyDescent="0.3">
      <c r="A977" s="22" t="s">
        <v>6</v>
      </c>
      <c r="B977" s="74"/>
      <c r="C977" s="74"/>
      <c r="D977" s="74"/>
      <c r="E977" s="74"/>
      <c r="F977" s="48">
        <f>J977+H977+L977</f>
        <v>9091907</v>
      </c>
      <c r="G977" s="74"/>
      <c r="H977" s="48">
        <f>ROUNDDOWN(SUMIF(P975:P976,O977,H975:H976),0)</f>
        <v>3193989</v>
      </c>
      <c r="I977" s="74"/>
      <c r="J977" s="48">
        <f>ROUNDDOWN(SUMIF(P975:P976,O977,J975:J976),0)</f>
        <v>5802100</v>
      </c>
      <c r="K977" s="74"/>
      <c r="L977" s="48">
        <f>ROUNDDOWN(SUMIF(P975:P976,O977,L975:L976),0)</f>
        <v>95818</v>
      </c>
      <c r="M977" s="74"/>
      <c r="O977" s="7" t="s">
        <v>6406</v>
      </c>
    </row>
    <row r="978" spans="1:26" ht="28.7" customHeight="1" x14ac:dyDescent="0.3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</row>
    <row r="979" spans="1:26" ht="28.7" customHeight="1" x14ac:dyDescent="0.3">
      <c r="A979" s="136" t="s">
        <v>547</v>
      </c>
      <c r="B979" s="127"/>
      <c r="C979" s="127"/>
      <c r="D979" s="127"/>
      <c r="E979" s="127"/>
      <c r="F979" s="127"/>
      <c r="G979" s="127"/>
      <c r="H979" s="127"/>
      <c r="I979" s="127"/>
      <c r="J979" s="127"/>
      <c r="K979" s="127"/>
      <c r="L979" s="144"/>
      <c r="M979" s="22" t="s">
        <v>7126</v>
      </c>
      <c r="N979" s="84" t="str">
        <f>HYPERLINK("#N"&amp;ROW(N980),"_x0005_`BDCOD|B05275_x0007_`POSS|"&amp;ROW(N980)&amp;"_x0007_`POSE|"&amp;ROW(N980)&amp;"_x0007_`")</f>
        <v>_x0005_`BDCOD|B05275_x0007_`POSS|980_x0007_`POSE|980_x0007_`</v>
      </c>
      <c r="O979" s="7" t="s">
        <v>7127</v>
      </c>
    </row>
    <row r="980" spans="1:26" ht="28.7" customHeight="1" x14ac:dyDescent="0.3">
      <c r="A980" s="10" t="s">
        <v>1682</v>
      </c>
      <c r="B980" s="10" t="s">
        <v>1766</v>
      </c>
      <c r="C980" s="75">
        <v>1</v>
      </c>
      <c r="D980" s="31" t="s">
        <v>14</v>
      </c>
      <c r="E980" s="55">
        <f>I980+G980+K980</f>
        <v>3289807</v>
      </c>
      <c r="F980" s="76">
        <f>J980+H980+L980</f>
        <v>3289807</v>
      </c>
      <c r="G980" s="78">
        <f>일위대가목록표!F685</f>
        <v>3193989</v>
      </c>
      <c r="H980" s="80">
        <f>IF(C980=0,0,ROUNDDOWN(G980*C980,1))</f>
        <v>3193989</v>
      </c>
      <c r="I980" s="78">
        <f>일위대가목록표!G685</f>
        <v>0</v>
      </c>
      <c r="J980" s="80">
        <f>IF(C980=0,0,ROUNDDOWN(I980*C980,1))</f>
        <v>0</v>
      </c>
      <c r="K980" s="78">
        <f>일위대가목록표!H685</f>
        <v>95818</v>
      </c>
      <c r="L980" s="80">
        <f>IF(C980=0,0,ROUNDDOWN(K980*C980,1))</f>
        <v>95818</v>
      </c>
      <c r="M980" s="22" t="s">
        <v>6467</v>
      </c>
      <c r="N980" s="17" t="s">
        <v>6464</v>
      </c>
      <c r="O980" s="7" t="s">
        <v>6465</v>
      </c>
      <c r="P980" s="7" t="s">
        <v>6406</v>
      </c>
      <c r="Z980" s="3" t="str">
        <f ca="1">HYPERLINK("#"&amp;일위대가목록표!J2&amp;"!A"&amp;ROW(일위대가목록표!A685),"대가682 →")</f>
        <v>대가682 →</v>
      </c>
    </row>
    <row r="981" spans="1:26" ht="28.7" customHeight="1" x14ac:dyDescent="0.3">
      <c r="A981" s="22" t="s">
        <v>6</v>
      </c>
      <c r="B981" s="74"/>
      <c r="C981" s="74"/>
      <c r="D981" s="74"/>
      <c r="E981" s="74"/>
      <c r="F981" s="48">
        <f>J981+H981+L981</f>
        <v>3289807</v>
      </c>
      <c r="G981" s="74"/>
      <c r="H981" s="48">
        <f>ROUNDDOWN(SUMIF(P980:P980,O981,H980:H980),0)</f>
        <v>3193989</v>
      </c>
      <c r="I981" s="74"/>
      <c r="J981" s="48">
        <f>ROUNDDOWN(SUMIF(P980:P980,O981,J980:J980),0)</f>
        <v>0</v>
      </c>
      <c r="K981" s="74"/>
      <c r="L981" s="48">
        <f>ROUNDDOWN(SUMIF(P980:P980,O981,L980:L980),0)</f>
        <v>95818</v>
      </c>
      <c r="M981" s="74"/>
      <c r="O981" s="7" t="s">
        <v>6406</v>
      </c>
    </row>
    <row r="982" spans="1:26" ht="28.7" customHeight="1" x14ac:dyDescent="0.3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</row>
    <row r="983" spans="1:26" ht="28.7" customHeight="1" x14ac:dyDescent="0.3">
      <c r="A983" s="136" t="s">
        <v>550</v>
      </c>
      <c r="B983" s="127"/>
      <c r="C983" s="127"/>
      <c r="D983" s="127"/>
      <c r="E983" s="127"/>
      <c r="F983" s="127"/>
      <c r="G983" s="127"/>
      <c r="H983" s="127"/>
      <c r="I983" s="127"/>
      <c r="J983" s="127"/>
      <c r="K983" s="127"/>
      <c r="L983" s="144"/>
      <c r="M983" s="22" t="s">
        <v>7128</v>
      </c>
      <c r="N983" s="84" t="str">
        <f>HYPERLINK("#N"&amp;ROW(N984),"_x0005_`BDCOD|B05276_x0007_`POSS|"&amp;ROW(N984)&amp;"_x0007_`POSE|"&amp;ROW(N984)&amp;"_x0007_`")</f>
        <v>_x0005_`BDCOD|B05276_x0007_`POSS|984_x0007_`POSE|984_x0007_`</v>
      </c>
      <c r="O983" s="7" t="s">
        <v>7129</v>
      </c>
    </row>
    <row r="984" spans="1:26" ht="28.7" customHeight="1" x14ac:dyDescent="0.3">
      <c r="A984" s="10" t="s">
        <v>1690</v>
      </c>
      <c r="B984" s="10" t="s">
        <v>1772</v>
      </c>
      <c r="C984" s="75">
        <v>1</v>
      </c>
      <c r="D984" s="31" t="s">
        <v>14</v>
      </c>
      <c r="E984" s="55">
        <f>I984+G984+K984</f>
        <v>2349863</v>
      </c>
      <c r="F984" s="76">
        <f>J984+H984+L984</f>
        <v>2349863</v>
      </c>
      <c r="G984" s="78">
        <f>일위대가목록표!F687</f>
        <v>2281421</v>
      </c>
      <c r="H984" s="80">
        <f>IF(C984=0,0,ROUNDDOWN(G984*C984,1))</f>
        <v>2281421</v>
      </c>
      <c r="I984" s="78">
        <f>일위대가목록표!G687</f>
        <v>0</v>
      </c>
      <c r="J984" s="80">
        <f>IF(C984=0,0,ROUNDDOWN(I984*C984,1))</f>
        <v>0</v>
      </c>
      <c r="K984" s="78">
        <f>일위대가목록표!H687</f>
        <v>68442</v>
      </c>
      <c r="L984" s="80">
        <f>IF(C984=0,0,ROUNDDOWN(K984*C984,1))</f>
        <v>68442</v>
      </c>
      <c r="M984" s="22" t="s">
        <v>6708</v>
      </c>
      <c r="N984" s="17" t="s">
        <v>6706</v>
      </c>
      <c r="O984" s="7" t="s">
        <v>6707</v>
      </c>
      <c r="P984" s="7" t="s">
        <v>6406</v>
      </c>
      <c r="Z984" s="3" t="str">
        <f ca="1">HYPERLINK("#"&amp;일위대가목록표!J2&amp;"!A"&amp;ROW(일위대가목록표!A687),"대가684 →")</f>
        <v>대가684 →</v>
      </c>
    </row>
    <row r="985" spans="1:26" ht="28.7" customHeight="1" x14ac:dyDescent="0.3">
      <c r="A985" s="22" t="s">
        <v>6</v>
      </c>
      <c r="B985" s="74"/>
      <c r="C985" s="74"/>
      <c r="D985" s="74"/>
      <c r="E985" s="74"/>
      <c r="F985" s="48">
        <f>J985+H985+L985</f>
        <v>2349863</v>
      </c>
      <c r="G985" s="74"/>
      <c r="H985" s="48">
        <f>ROUNDDOWN(SUMIF(P984:P984,O985,H984:H984),0)</f>
        <v>2281421</v>
      </c>
      <c r="I985" s="74"/>
      <c r="J985" s="48">
        <f>ROUNDDOWN(SUMIF(P984:P984,O985,J984:J984),0)</f>
        <v>0</v>
      </c>
      <c r="K985" s="74"/>
      <c r="L985" s="48">
        <f>ROUNDDOWN(SUMIF(P984:P984,O985,L984:L984),0)</f>
        <v>68442</v>
      </c>
      <c r="M985" s="74"/>
      <c r="O985" s="7" t="s">
        <v>6406</v>
      </c>
    </row>
    <row r="986" spans="1:26" ht="28.7" customHeight="1" x14ac:dyDescent="0.3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</row>
    <row r="987" spans="1:26" ht="28.7" customHeight="1" x14ac:dyDescent="0.3">
      <c r="A987" s="136" t="s">
        <v>553</v>
      </c>
      <c r="B987" s="127"/>
      <c r="C987" s="127"/>
      <c r="D987" s="127"/>
      <c r="E987" s="127"/>
      <c r="F987" s="127"/>
      <c r="G987" s="127"/>
      <c r="H987" s="127"/>
      <c r="I987" s="127"/>
      <c r="J987" s="127"/>
      <c r="K987" s="127"/>
      <c r="L987" s="144"/>
      <c r="M987" s="22" t="s">
        <v>7130</v>
      </c>
      <c r="N987" s="84" t="str">
        <f>HYPERLINK("#N"&amp;ROW(N988),"_x0005_`BDCOD|B05277_x0007_`POSS|"&amp;ROW(N988)&amp;"_x0007_`POSE|"&amp;ROW(N988)&amp;"_x0007_`")</f>
        <v>_x0005_`BDCOD|B05277_x0007_`POSS|988_x0007_`POSE|988_x0007_`</v>
      </c>
      <c r="O987" s="7" t="s">
        <v>7131</v>
      </c>
    </row>
    <row r="988" spans="1:26" ht="28.7" customHeight="1" x14ac:dyDescent="0.3">
      <c r="A988" s="10" t="s">
        <v>1686</v>
      </c>
      <c r="B988" s="10" t="s">
        <v>1769</v>
      </c>
      <c r="C988" s="75">
        <v>1</v>
      </c>
      <c r="D988" s="31" t="s">
        <v>14</v>
      </c>
      <c r="E988" s="55">
        <f>I988+G988+K988</f>
        <v>939944</v>
      </c>
      <c r="F988" s="76">
        <f>J988+H988+L988</f>
        <v>939944</v>
      </c>
      <c r="G988" s="78">
        <f>일위대가목록표!F686</f>
        <v>912568</v>
      </c>
      <c r="H988" s="80">
        <f>IF(C988=0,0,ROUNDDOWN(G988*C988,1))</f>
        <v>912568</v>
      </c>
      <c r="I988" s="78">
        <f>일위대가목록표!G686</f>
        <v>0</v>
      </c>
      <c r="J988" s="80">
        <f>IF(C988=0,0,ROUNDDOWN(I988*C988,1))</f>
        <v>0</v>
      </c>
      <c r="K988" s="78">
        <f>일위대가목록표!H686</f>
        <v>27376</v>
      </c>
      <c r="L988" s="80">
        <f>IF(C988=0,0,ROUNDDOWN(K988*C988,1))</f>
        <v>27376</v>
      </c>
      <c r="M988" s="22" t="s">
        <v>6585</v>
      </c>
      <c r="N988" s="17" t="s">
        <v>6583</v>
      </c>
      <c r="O988" s="7" t="s">
        <v>6584</v>
      </c>
      <c r="P988" s="7" t="s">
        <v>6406</v>
      </c>
      <c r="Z988" s="3" t="str">
        <f ca="1">HYPERLINK("#"&amp;일위대가목록표!J2&amp;"!A"&amp;ROW(일위대가목록표!A686),"대가683 →")</f>
        <v>대가683 →</v>
      </c>
    </row>
    <row r="989" spans="1:26" ht="28.7" customHeight="1" x14ac:dyDescent="0.3">
      <c r="A989" s="22" t="s">
        <v>6</v>
      </c>
      <c r="B989" s="74"/>
      <c r="C989" s="74"/>
      <c r="D989" s="74"/>
      <c r="E989" s="74"/>
      <c r="F989" s="48">
        <f>J989+H989+L989</f>
        <v>939944</v>
      </c>
      <c r="G989" s="74"/>
      <c r="H989" s="48">
        <f>ROUNDDOWN(SUMIF(P988:P988,O989,H988:H988),0)</f>
        <v>912568</v>
      </c>
      <c r="I989" s="74"/>
      <c r="J989" s="48">
        <f>ROUNDDOWN(SUMIF(P988:P988,O989,J988:J988),0)</f>
        <v>0</v>
      </c>
      <c r="K989" s="74"/>
      <c r="L989" s="48">
        <f>ROUNDDOWN(SUMIF(P988:P988,O989,L988:L988),0)</f>
        <v>27376</v>
      </c>
      <c r="M989" s="74"/>
      <c r="O989" s="7" t="s">
        <v>6406</v>
      </c>
    </row>
    <row r="990" spans="1:26" ht="28.7" customHeight="1" x14ac:dyDescent="0.3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</row>
    <row r="991" spans="1:26" ht="28.7" customHeight="1" x14ac:dyDescent="0.3">
      <c r="A991" s="136" t="s">
        <v>556</v>
      </c>
      <c r="B991" s="127"/>
      <c r="C991" s="127"/>
      <c r="D991" s="127"/>
      <c r="E991" s="127"/>
      <c r="F991" s="127"/>
      <c r="G991" s="127"/>
      <c r="H991" s="127"/>
      <c r="I991" s="127"/>
      <c r="J991" s="127"/>
      <c r="K991" s="127"/>
      <c r="L991" s="144"/>
      <c r="M991" s="22" t="s">
        <v>7132</v>
      </c>
      <c r="N991" s="84" t="str">
        <f>HYPERLINK("#N"&amp;ROW(N993),"_x0005_`BDCOD|B04954_x0007_`POSS|"&amp;ROW(N992)&amp;"_x0007_`POSE|"&amp;ROW(N993)&amp;"_x0007_`")</f>
        <v>_x0005_`BDCOD|B04954_x0007_`POSS|992_x0007_`POSE|993_x0007_`</v>
      </c>
      <c r="O991" s="7" t="s">
        <v>7133</v>
      </c>
    </row>
    <row r="992" spans="1:26" ht="28.7" customHeight="1" x14ac:dyDescent="0.3">
      <c r="A992" s="10" t="s">
        <v>1682</v>
      </c>
      <c r="B992" s="10" t="s">
        <v>1766</v>
      </c>
      <c r="C992" s="75">
        <v>1</v>
      </c>
      <c r="D992" s="31" t="s">
        <v>14</v>
      </c>
      <c r="E992" s="55">
        <f>I992+G992+K992</f>
        <v>3289807</v>
      </c>
      <c r="F992" s="76">
        <f>J992+H992+L992</f>
        <v>3289807</v>
      </c>
      <c r="G992" s="78">
        <f>일위대가목록표!F685</f>
        <v>3193989</v>
      </c>
      <c r="H992" s="80">
        <f>IF(C992=0,0,ROUNDDOWN(G992*C992,1))</f>
        <v>3193989</v>
      </c>
      <c r="I992" s="78">
        <f>일위대가목록표!G685</f>
        <v>0</v>
      </c>
      <c r="J992" s="80">
        <f>IF(C992=0,0,ROUNDDOWN(I992*C992,1))</f>
        <v>0</v>
      </c>
      <c r="K992" s="78">
        <f>일위대가목록표!H685</f>
        <v>95818</v>
      </c>
      <c r="L992" s="80">
        <f>IF(C992=0,0,ROUNDDOWN(K992*C992,1))</f>
        <v>95818</v>
      </c>
      <c r="M992" s="22" t="s">
        <v>6467</v>
      </c>
      <c r="N992" s="17" t="s">
        <v>6464</v>
      </c>
      <c r="O992" s="7" t="s">
        <v>6465</v>
      </c>
      <c r="P992" s="7" t="s">
        <v>6406</v>
      </c>
      <c r="Z992" s="3" t="str">
        <f ca="1">HYPERLINK("#"&amp;일위대가목록표!J2&amp;"!A"&amp;ROW(일위대가목록표!A685),"대가682 →")</f>
        <v>대가682 →</v>
      </c>
    </row>
    <row r="993" spans="1:26" ht="28.7" customHeight="1" x14ac:dyDescent="0.3">
      <c r="A993" s="10" t="s">
        <v>2127</v>
      </c>
      <c r="B993" s="10" t="s">
        <v>2128</v>
      </c>
      <c r="C993" s="75">
        <v>1</v>
      </c>
      <c r="D993" s="31" t="s">
        <v>14</v>
      </c>
      <c r="E993" s="55">
        <f>I993+G993+K993</f>
        <v>5463900</v>
      </c>
      <c r="F993" s="77">
        <f>J993+H993+L993</f>
        <v>5463900</v>
      </c>
      <c r="G993" s="51">
        <v>0</v>
      </c>
      <c r="H993" s="76">
        <f>IF(C993=0,0,ROUNDDOWN(G993*C993,1))</f>
        <v>0</v>
      </c>
      <c r="I993" s="78">
        <f>재료비목록표!E32</f>
        <v>5463900</v>
      </c>
      <c r="J993" s="81">
        <f>IF(C993=0,0,ROUNDDOWN(I993*C993,1))</f>
        <v>5463900</v>
      </c>
      <c r="K993" s="51">
        <v>0</v>
      </c>
      <c r="L993" s="76">
        <f>IF(C993=0,0,ROUNDDOWN(K993*C993,1))</f>
        <v>0</v>
      </c>
      <c r="M993" s="22" t="s">
        <v>7136</v>
      </c>
      <c r="N993" s="17" t="s">
        <v>7134</v>
      </c>
      <c r="O993" s="7" t="s">
        <v>7135</v>
      </c>
      <c r="P993" s="7" t="s">
        <v>6406</v>
      </c>
      <c r="Z993" s="3" t="str">
        <f ca="1">HYPERLINK("#"&amp;재료비목록표!G2&amp;"!A"&amp;ROW(재료비목록표!A32),"자재29 →")</f>
        <v>자재29 →</v>
      </c>
    </row>
    <row r="994" spans="1:26" ht="28.7" customHeight="1" x14ac:dyDescent="0.3">
      <c r="A994" s="22" t="s">
        <v>6</v>
      </c>
      <c r="B994" s="74"/>
      <c r="C994" s="74"/>
      <c r="D994" s="74"/>
      <c r="E994" s="74"/>
      <c r="F994" s="48">
        <f>J994+H994+L994</f>
        <v>8753707</v>
      </c>
      <c r="G994" s="74"/>
      <c r="H994" s="48">
        <f>ROUNDDOWN(SUMIF(P992:P993,O994,H992:H993),0)</f>
        <v>3193989</v>
      </c>
      <c r="I994" s="74"/>
      <c r="J994" s="48">
        <f>ROUNDDOWN(SUMIF(P992:P993,O994,J992:J993),0)</f>
        <v>5463900</v>
      </c>
      <c r="K994" s="74"/>
      <c r="L994" s="48">
        <f>ROUNDDOWN(SUMIF(P992:P993,O994,L992:L993),0)</f>
        <v>95818</v>
      </c>
      <c r="M994" s="74"/>
      <c r="O994" s="7" t="s">
        <v>6406</v>
      </c>
    </row>
    <row r="995" spans="1:26" ht="28.7" customHeight="1" x14ac:dyDescent="0.3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</row>
    <row r="996" spans="1:26" ht="28.7" customHeight="1" x14ac:dyDescent="0.3">
      <c r="A996" s="136" t="s">
        <v>560</v>
      </c>
      <c r="B996" s="127"/>
      <c r="C996" s="127"/>
      <c r="D996" s="127"/>
      <c r="E996" s="127"/>
      <c r="F996" s="127"/>
      <c r="G996" s="127"/>
      <c r="H996" s="127"/>
      <c r="I996" s="127"/>
      <c r="J996" s="127"/>
      <c r="K996" s="127"/>
      <c r="L996" s="144"/>
      <c r="M996" s="22" t="s">
        <v>7137</v>
      </c>
      <c r="N996" s="84" t="str">
        <f>HYPERLINK("#N"&amp;ROW(N997),"_x0005_`BDCOD|B05278_x0007_`POSS|"&amp;ROW(N997)&amp;"_x0007_`POSE|"&amp;ROW(N997)&amp;"_x0007_`")</f>
        <v>_x0005_`BDCOD|B05278_x0007_`POSS|997_x0007_`POSE|997_x0007_`</v>
      </c>
      <c r="O996" s="7" t="s">
        <v>7138</v>
      </c>
    </row>
    <row r="997" spans="1:26" ht="28.7" customHeight="1" x14ac:dyDescent="0.3">
      <c r="A997" s="10" t="s">
        <v>1682</v>
      </c>
      <c r="B997" s="10" t="s">
        <v>1766</v>
      </c>
      <c r="C997" s="75">
        <v>1</v>
      </c>
      <c r="D997" s="31" t="s">
        <v>14</v>
      </c>
      <c r="E997" s="55">
        <f>I997+G997+K997</f>
        <v>3289807</v>
      </c>
      <c r="F997" s="76">
        <f>J997+H997+L997</f>
        <v>3289807</v>
      </c>
      <c r="G997" s="78">
        <f>일위대가목록표!F685</f>
        <v>3193989</v>
      </c>
      <c r="H997" s="80">
        <f>IF(C997=0,0,ROUNDDOWN(G997*C997,1))</f>
        <v>3193989</v>
      </c>
      <c r="I997" s="78">
        <f>일위대가목록표!G685</f>
        <v>0</v>
      </c>
      <c r="J997" s="80">
        <f>IF(C997=0,0,ROUNDDOWN(I997*C997,1))</f>
        <v>0</v>
      </c>
      <c r="K997" s="78">
        <f>일위대가목록표!H685</f>
        <v>95818</v>
      </c>
      <c r="L997" s="80">
        <f>IF(C997=0,0,ROUNDDOWN(K997*C997,1))</f>
        <v>95818</v>
      </c>
      <c r="M997" s="22" t="s">
        <v>6467</v>
      </c>
      <c r="N997" s="17" t="s">
        <v>6464</v>
      </c>
      <c r="O997" s="7" t="s">
        <v>6465</v>
      </c>
      <c r="P997" s="7" t="s">
        <v>6406</v>
      </c>
      <c r="Z997" s="3" t="str">
        <f ca="1">HYPERLINK("#"&amp;일위대가목록표!J2&amp;"!A"&amp;ROW(일위대가목록표!A685),"대가682 →")</f>
        <v>대가682 →</v>
      </c>
    </row>
    <row r="998" spans="1:26" ht="28.7" customHeight="1" x14ac:dyDescent="0.3">
      <c r="A998" s="22" t="s">
        <v>6</v>
      </c>
      <c r="B998" s="74"/>
      <c r="C998" s="74"/>
      <c r="D998" s="74"/>
      <c r="E998" s="74"/>
      <c r="F998" s="48">
        <f>J998+H998+L998</f>
        <v>3289807</v>
      </c>
      <c r="G998" s="74"/>
      <c r="H998" s="48">
        <f>ROUNDDOWN(SUMIF(P997:P997,O998,H997:H997),0)</f>
        <v>3193989</v>
      </c>
      <c r="I998" s="74"/>
      <c r="J998" s="48">
        <f>ROUNDDOWN(SUMIF(P997:P997,O998,J997:J997),0)</f>
        <v>0</v>
      </c>
      <c r="K998" s="74"/>
      <c r="L998" s="48">
        <f>ROUNDDOWN(SUMIF(P997:P997,O998,L997:L997),0)</f>
        <v>95818</v>
      </c>
      <c r="M998" s="74"/>
      <c r="O998" s="7" t="s">
        <v>6406</v>
      </c>
    </row>
    <row r="999" spans="1:26" ht="28.7" customHeight="1" x14ac:dyDescent="0.3">
      <c r="A999" s="73"/>
      <c r="B999" s="73"/>
      <c r="C999" s="73"/>
      <c r="D999" s="73"/>
      <c r="E999" s="73"/>
      <c r="F999" s="73"/>
      <c r="G999" s="73"/>
      <c r="H999" s="73"/>
      <c r="I999" s="73"/>
      <c r="J999" s="73"/>
      <c r="K999" s="73"/>
      <c r="L999" s="73"/>
      <c r="M999" s="73"/>
    </row>
    <row r="1000" spans="1:26" ht="28.7" customHeight="1" x14ac:dyDescent="0.3">
      <c r="A1000" s="136" t="s">
        <v>563</v>
      </c>
      <c r="B1000" s="127"/>
      <c r="C1000" s="127"/>
      <c r="D1000" s="127"/>
      <c r="E1000" s="127"/>
      <c r="F1000" s="127"/>
      <c r="G1000" s="127"/>
      <c r="H1000" s="127"/>
      <c r="I1000" s="127"/>
      <c r="J1000" s="127"/>
      <c r="K1000" s="127"/>
      <c r="L1000" s="144"/>
      <c r="M1000" s="22" t="s">
        <v>7139</v>
      </c>
      <c r="N1000" s="84" t="str">
        <f>HYPERLINK("#N"&amp;ROW(N1001),"_x0005_`BDCOD|B05279_x0007_`POSS|"&amp;ROW(N1001)&amp;"_x0007_`POSE|"&amp;ROW(N1001)&amp;"_x0007_`")</f>
        <v>_x0005_`BDCOD|B05279_x0007_`POSS|1001_x0007_`POSE|1001_x0007_`</v>
      </c>
      <c r="O1000" s="7" t="s">
        <v>7140</v>
      </c>
    </row>
    <row r="1001" spans="1:26" ht="28.7" customHeight="1" x14ac:dyDescent="0.3">
      <c r="A1001" s="10" t="s">
        <v>1690</v>
      </c>
      <c r="B1001" s="10" t="s">
        <v>1772</v>
      </c>
      <c r="C1001" s="75">
        <v>1</v>
      </c>
      <c r="D1001" s="31" t="s">
        <v>14</v>
      </c>
      <c r="E1001" s="55">
        <f>I1001+G1001+K1001</f>
        <v>2349863</v>
      </c>
      <c r="F1001" s="76">
        <f>J1001+H1001+L1001</f>
        <v>2349863</v>
      </c>
      <c r="G1001" s="78">
        <f>일위대가목록표!F687</f>
        <v>2281421</v>
      </c>
      <c r="H1001" s="80">
        <f>IF(C1001=0,0,ROUNDDOWN(G1001*C1001,1))</f>
        <v>2281421</v>
      </c>
      <c r="I1001" s="78">
        <f>일위대가목록표!G687</f>
        <v>0</v>
      </c>
      <c r="J1001" s="80">
        <f>IF(C1001=0,0,ROUNDDOWN(I1001*C1001,1))</f>
        <v>0</v>
      </c>
      <c r="K1001" s="78">
        <f>일위대가목록표!H687</f>
        <v>68442</v>
      </c>
      <c r="L1001" s="80">
        <f>IF(C1001=0,0,ROUNDDOWN(K1001*C1001,1))</f>
        <v>68442</v>
      </c>
      <c r="M1001" s="22" t="s">
        <v>6708</v>
      </c>
      <c r="N1001" s="17" t="s">
        <v>6706</v>
      </c>
      <c r="O1001" s="7" t="s">
        <v>6707</v>
      </c>
      <c r="P1001" s="7" t="s">
        <v>6406</v>
      </c>
      <c r="Z1001" s="3" t="str">
        <f ca="1">HYPERLINK("#"&amp;일위대가목록표!J2&amp;"!A"&amp;ROW(일위대가목록표!A687),"대가684 →")</f>
        <v>대가684 →</v>
      </c>
    </row>
    <row r="1002" spans="1:26" ht="28.7" customHeight="1" x14ac:dyDescent="0.3">
      <c r="A1002" s="22" t="s">
        <v>6</v>
      </c>
      <c r="B1002" s="74"/>
      <c r="C1002" s="74"/>
      <c r="D1002" s="74"/>
      <c r="E1002" s="74"/>
      <c r="F1002" s="48">
        <f>J1002+H1002+L1002</f>
        <v>2349863</v>
      </c>
      <c r="G1002" s="74"/>
      <c r="H1002" s="48">
        <f>ROUNDDOWN(SUMIF(P1001:P1001,O1002,H1001:H1001),0)</f>
        <v>2281421</v>
      </c>
      <c r="I1002" s="74"/>
      <c r="J1002" s="48">
        <f>ROUNDDOWN(SUMIF(P1001:P1001,O1002,J1001:J1001),0)</f>
        <v>0</v>
      </c>
      <c r="K1002" s="74"/>
      <c r="L1002" s="48">
        <f>ROUNDDOWN(SUMIF(P1001:P1001,O1002,L1001:L1001),0)</f>
        <v>68442</v>
      </c>
      <c r="M1002" s="74"/>
      <c r="O1002" s="7" t="s">
        <v>6406</v>
      </c>
    </row>
    <row r="1003" spans="1:26" ht="28.7" customHeight="1" x14ac:dyDescent="0.3">
      <c r="A1003" s="73"/>
      <c r="B1003" s="73"/>
      <c r="C1003" s="73"/>
      <c r="D1003" s="73"/>
      <c r="E1003" s="73"/>
      <c r="F1003" s="73"/>
      <c r="G1003" s="73"/>
      <c r="H1003" s="73"/>
      <c r="I1003" s="73"/>
      <c r="J1003" s="73"/>
      <c r="K1003" s="73"/>
      <c r="L1003" s="73"/>
      <c r="M1003" s="73"/>
    </row>
    <row r="1004" spans="1:26" ht="28.7" customHeight="1" x14ac:dyDescent="0.3">
      <c r="A1004" s="136" t="s">
        <v>566</v>
      </c>
      <c r="B1004" s="127"/>
      <c r="C1004" s="127"/>
      <c r="D1004" s="127"/>
      <c r="E1004" s="127"/>
      <c r="F1004" s="127"/>
      <c r="G1004" s="127"/>
      <c r="H1004" s="127"/>
      <c r="I1004" s="127"/>
      <c r="J1004" s="127"/>
      <c r="K1004" s="127"/>
      <c r="L1004" s="144"/>
      <c r="M1004" s="22" t="s">
        <v>7141</v>
      </c>
      <c r="N1004" s="84" t="str">
        <f>HYPERLINK("#N"&amp;ROW(N1005),"_x0005_`BDCOD|B05280_x0007_`POSS|"&amp;ROW(N1005)&amp;"_x0007_`POSE|"&amp;ROW(N1005)&amp;"_x0007_`")</f>
        <v>_x0005_`BDCOD|B05280_x0007_`POSS|1005_x0007_`POSE|1005_x0007_`</v>
      </c>
      <c r="O1004" s="7" t="s">
        <v>7142</v>
      </c>
    </row>
    <row r="1005" spans="1:26" ht="28.7" customHeight="1" x14ac:dyDescent="0.3">
      <c r="A1005" s="10" t="s">
        <v>1686</v>
      </c>
      <c r="B1005" s="10" t="s">
        <v>1769</v>
      </c>
      <c r="C1005" s="75">
        <v>1</v>
      </c>
      <c r="D1005" s="31" t="s">
        <v>14</v>
      </c>
      <c r="E1005" s="55">
        <f>I1005+G1005+K1005</f>
        <v>939944</v>
      </c>
      <c r="F1005" s="76">
        <f>J1005+H1005+L1005</f>
        <v>939944</v>
      </c>
      <c r="G1005" s="78">
        <f>일위대가목록표!F686</f>
        <v>912568</v>
      </c>
      <c r="H1005" s="80">
        <f>IF(C1005=0,0,ROUNDDOWN(G1005*C1005,1))</f>
        <v>912568</v>
      </c>
      <c r="I1005" s="78">
        <f>일위대가목록표!G686</f>
        <v>0</v>
      </c>
      <c r="J1005" s="80">
        <f>IF(C1005=0,0,ROUNDDOWN(I1005*C1005,1))</f>
        <v>0</v>
      </c>
      <c r="K1005" s="78">
        <f>일위대가목록표!H686</f>
        <v>27376</v>
      </c>
      <c r="L1005" s="80">
        <f>IF(C1005=0,0,ROUNDDOWN(K1005*C1005,1))</f>
        <v>27376</v>
      </c>
      <c r="M1005" s="22" t="s">
        <v>6585</v>
      </c>
      <c r="N1005" s="17" t="s">
        <v>6583</v>
      </c>
      <c r="O1005" s="7" t="s">
        <v>6584</v>
      </c>
      <c r="P1005" s="7" t="s">
        <v>6406</v>
      </c>
      <c r="Z1005" s="3" t="str">
        <f ca="1">HYPERLINK("#"&amp;일위대가목록표!J2&amp;"!A"&amp;ROW(일위대가목록표!A686),"대가683 →")</f>
        <v>대가683 →</v>
      </c>
    </row>
    <row r="1006" spans="1:26" ht="28.7" customHeight="1" x14ac:dyDescent="0.3">
      <c r="A1006" s="22" t="s">
        <v>6</v>
      </c>
      <c r="B1006" s="74"/>
      <c r="C1006" s="74"/>
      <c r="D1006" s="74"/>
      <c r="E1006" s="74"/>
      <c r="F1006" s="48">
        <f>J1006+H1006+L1006</f>
        <v>939944</v>
      </c>
      <c r="G1006" s="74"/>
      <c r="H1006" s="48">
        <f>ROUNDDOWN(SUMIF(P1005:P1005,O1006,H1005:H1005),0)</f>
        <v>912568</v>
      </c>
      <c r="I1006" s="74"/>
      <c r="J1006" s="48">
        <f>ROUNDDOWN(SUMIF(P1005:P1005,O1006,J1005:J1005),0)</f>
        <v>0</v>
      </c>
      <c r="K1006" s="74"/>
      <c r="L1006" s="48">
        <f>ROUNDDOWN(SUMIF(P1005:P1005,O1006,L1005:L1005),0)</f>
        <v>27376</v>
      </c>
      <c r="M1006" s="74"/>
      <c r="O1006" s="7" t="s">
        <v>6406</v>
      </c>
    </row>
    <row r="1007" spans="1:26" ht="28.7" customHeight="1" x14ac:dyDescent="0.3">
      <c r="A1007" s="73"/>
      <c r="B1007" s="73"/>
      <c r="C1007" s="73"/>
      <c r="D1007" s="73"/>
      <c r="E1007" s="73"/>
      <c r="F1007" s="73"/>
      <c r="G1007" s="73"/>
      <c r="H1007" s="73"/>
      <c r="I1007" s="73"/>
      <c r="J1007" s="73"/>
      <c r="K1007" s="73"/>
      <c r="L1007" s="73"/>
      <c r="M1007" s="73"/>
    </row>
    <row r="1008" spans="1:26" ht="28.7" customHeight="1" x14ac:dyDescent="0.3">
      <c r="A1008" s="136" t="s">
        <v>569</v>
      </c>
      <c r="B1008" s="127"/>
      <c r="C1008" s="127"/>
      <c r="D1008" s="127"/>
      <c r="E1008" s="127"/>
      <c r="F1008" s="127"/>
      <c r="G1008" s="127"/>
      <c r="H1008" s="127"/>
      <c r="I1008" s="127"/>
      <c r="J1008" s="127"/>
      <c r="K1008" s="127"/>
      <c r="L1008" s="144"/>
      <c r="M1008" s="22" t="s">
        <v>7143</v>
      </c>
      <c r="N1008" s="84" t="str">
        <f>HYPERLINK("#N"&amp;ROW(N1010),"_x0005_`BDCOD|B04955_x0007_`POSS|"&amp;ROW(N1009)&amp;"_x0007_`POSE|"&amp;ROW(N1010)&amp;"_x0007_`")</f>
        <v>_x0005_`BDCOD|B04955_x0007_`POSS|1009_x0007_`POSE|1010_x0007_`</v>
      </c>
      <c r="O1008" s="7" t="s">
        <v>7144</v>
      </c>
    </row>
    <row r="1009" spans="1:26" ht="28.7" customHeight="1" x14ac:dyDescent="0.3">
      <c r="A1009" s="10" t="s">
        <v>1682</v>
      </c>
      <c r="B1009" s="10" t="s">
        <v>1784</v>
      </c>
      <c r="C1009" s="75">
        <v>1</v>
      </c>
      <c r="D1009" s="31" t="s">
        <v>14</v>
      </c>
      <c r="E1009" s="55">
        <f>I1009+G1009+K1009</f>
        <v>329994</v>
      </c>
      <c r="F1009" s="76">
        <f>J1009+H1009+L1009</f>
        <v>329994</v>
      </c>
      <c r="G1009" s="78">
        <f>일위대가목록표!F691</f>
        <v>320383</v>
      </c>
      <c r="H1009" s="80">
        <f>IF(C1009=0,0,ROUNDDOWN(G1009*C1009,1))</f>
        <v>320383</v>
      </c>
      <c r="I1009" s="78">
        <f>일위대가목록표!G691</f>
        <v>0</v>
      </c>
      <c r="J1009" s="80">
        <f>IF(C1009=0,0,ROUNDDOWN(I1009*C1009,1))</f>
        <v>0</v>
      </c>
      <c r="K1009" s="78">
        <f>일위대가목록표!H691</f>
        <v>9611</v>
      </c>
      <c r="L1009" s="80">
        <f>IF(C1009=0,0,ROUNDDOWN(K1009*C1009,1))</f>
        <v>9611</v>
      </c>
      <c r="M1009" s="22" t="s">
        <v>7028</v>
      </c>
      <c r="N1009" s="17" t="s">
        <v>7026</v>
      </c>
      <c r="O1009" s="7" t="s">
        <v>7027</v>
      </c>
      <c r="P1009" s="7" t="s">
        <v>6406</v>
      </c>
      <c r="Z1009" s="3" t="str">
        <f ca="1">HYPERLINK("#"&amp;일위대가목록표!J2&amp;"!A"&amp;ROW(일위대가목록표!A691),"대가688 →")</f>
        <v>대가688 →</v>
      </c>
    </row>
    <row r="1010" spans="1:26" ht="28.7" customHeight="1" x14ac:dyDescent="0.3">
      <c r="A1010" s="10" t="s">
        <v>571</v>
      </c>
      <c r="B1010" s="10" t="s">
        <v>2415</v>
      </c>
      <c r="C1010" s="75">
        <v>1</v>
      </c>
      <c r="D1010" s="31" t="s">
        <v>14</v>
      </c>
      <c r="E1010" s="55">
        <f>I1010+G1010+K1010</f>
        <v>1698000</v>
      </c>
      <c r="F1010" s="77">
        <f>J1010+H1010+L1010</f>
        <v>1698000</v>
      </c>
      <c r="G1010" s="51">
        <v>0</v>
      </c>
      <c r="H1010" s="76">
        <f>IF(C1010=0,0,ROUNDDOWN(G1010*C1010,1))</f>
        <v>0</v>
      </c>
      <c r="I1010" s="78">
        <f>재료비목록표!E127</f>
        <v>1698000</v>
      </c>
      <c r="J1010" s="81">
        <f>IF(C1010=0,0,ROUNDDOWN(I1010*C1010,1))</f>
        <v>1698000</v>
      </c>
      <c r="K1010" s="51">
        <v>0</v>
      </c>
      <c r="L1010" s="76">
        <f>IF(C1010=0,0,ROUNDDOWN(K1010*C1010,1))</f>
        <v>0</v>
      </c>
      <c r="M1010" s="22" t="s">
        <v>7146</v>
      </c>
      <c r="N1010" s="17" t="s">
        <v>7145</v>
      </c>
      <c r="O1010" s="7" t="s">
        <v>5469</v>
      </c>
      <c r="P1010" s="7" t="s">
        <v>6406</v>
      </c>
      <c r="Z1010" s="3" t="str">
        <f ca="1">HYPERLINK("#"&amp;재료비목록표!G2&amp;"!A"&amp;ROW(재료비목록표!A127),"자재124 →")</f>
        <v>자재124 →</v>
      </c>
    </row>
    <row r="1011" spans="1:26" ht="28.7" customHeight="1" x14ac:dyDescent="0.3">
      <c r="A1011" s="22" t="s">
        <v>6</v>
      </c>
      <c r="B1011" s="74"/>
      <c r="C1011" s="74"/>
      <c r="D1011" s="74"/>
      <c r="E1011" s="74"/>
      <c r="F1011" s="48">
        <f>J1011+H1011+L1011</f>
        <v>2027994</v>
      </c>
      <c r="G1011" s="74"/>
      <c r="H1011" s="48">
        <f>ROUNDDOWN(SUMIF(P1009:P1010,O1011,H1009:H1010),0)</f>
        <v>320383</v>
      </c>
      <c r="I1011" s="74"/>
      <c r="J1011" s="48">
        <f>ROUNDDOWN(SUMIF(P1009:P1010,O1011,J1009:J1010),0)</f>
        <v>1698000</v>
      </c>
      <c r="K1011" s="74"/>
      <c r="L1011" s="48">
        <f>ROUNDDOWN(SUMIF(P1009:P1010,O1011,L1009:L1010),0)</f>
        <v>9611</v>
      </c>
      <c r="M1011" s="74"/>
      <c r="O1011" s="7" t="s">
        <v>6406</v>
      </c>
    </row>
    <row r="1012" spans="1:26" ht="28.7" customHeight="1" x14ac:dyDescent="0.3">
      <c r="A1012" s="73"/>
      <c r="B1012" s="73"/>
      <c r="C1012" s="73"/>
      <c r="D1012" s="73"/>
      <c r="E1012" s="73"/>
      <c r="F1012" s="73"/>
      <c r="G1012" s="73"/>
      <c r="H1012" s="73"/>
      <c r="I1012" s="73"/>
      <c r="J1012" s="73"/>
      <c r="K1012" s="73"/>
      <c r="L1012" s="73"/>
      <c r="M1012" s="73"/>
    </row>
    <row r="1013" spans="1:26" ht="28.7" customHeight="1" x14ac:dyDescent="0.3">
      <c r="A1013" s="136" t="s">
        <v>573</v>
      </c>
      <c r="B1013" s="127"/>
      <c r="C1013" s="127"/>
      <c r="D1013" s="127"/>
      <c r="E1013" s="127"/>
      <c r="F1013" s="127"/>
      <c r="G1013" s="127"/>
      <c r="H1013" s="127"/>
      <c r="I1013" s="127"/>
      <c r="J1013" s="127"/>
      <c r="K1013" s="127"/>
      <c r="L1013" s="144"/>
      <c r="M1013" s="22" t="s">
        <v>7147</v>
      </c>
      <c r="N1013" s="84" t="str">
        <f>HYPERLINK("#N"&amp;ROW(N1015),"_x0005_`BDCOD|B04956_x0007_`POSS|"&amp;ROW(N1014)&amp;"_x0007_`POSE|"&amp;ROW(N1015)&amp;"_x0007_`")</f>
        <v>_x0005_`BDCOD|B04956_x0007_`POSS|1014_x0007_`POSE|1015_x0007_`</v>
      </c>
      <c r="O1013" s="7" t="s">
        <v>7148</v>
      </c>
    </row>
    <row r="1014" spans="1:26" ht="28.7" customHeight="1" x14ac:dyDescent="0.3">
      <c r="A1014" s="10" t="s">
        <v>1682</v>
      </c>
      <c r="B1014" s="10" t="s">
        <v>1683</v>
      </c>
      <c r="C1014" s="75">
        <v>1</v>
      </c>
      <c r="D1014" s="31" t="s">
        <v>14</v>
      </c>
      <c r="E1014" s="55">
        <f>I1014+G1014+K1014</f>
        <v>365273</v>
      </c>
      <c r="F1014" s="76">
        <f>J1014+H1014+L1014</f>
        <v>365273</v>
      </c>
      <c r="G1014" s="78">
        <f>일위대가목록표!F658</f>
        <v>354635</v>
      </c>
      <c r="H1014" s="80">
        <f>IF(C1014=0,0,ROUNDDOWN(G1014*C1014,1))</f>
        <v>354635</v>
      </c>
      <c r="I1014" s="78">
        <f>일위대가목록표!G658</f>
        <v>0</v>
      </c>
      <c r="J1014" s="80">
        <f>IF(C1014=0,0,ROUNDDOWN(I1014*C1014,1))</f>
        <v>0</v>
      </c>
      <c r="K1014" s="78">
        <f>일위대가목록표!H658</f>
        <v>10638</v>
      </c>
      <c r="L1014" s="80">
        <f>IF(C1014=0,0,ROUNDDOWN(K1014*C1014,1))</f>
        <v>10638</v>
      </c>
      <c r="M1014" s="22" t="s">
        <v>6403</v>
      </c>
      <c r="N1014" s="17" t="s">
        <v>6400</v>
      </c>
      <c r="O1014" s="7" t="s">
        <v>6401</v>
      </c>
      <c r="P1014" s="7" t="s">
        <v>6406</v>
      </c>
      <c r="Z1014" s="3" t="str">
        <f ca="1">HYPERLINK("#"&amp;일위대가목록표!J2&amp;"!A"&amp;ROW(일위대가목록표!A658),"대가655 →")</f>
        <v>대가655 →</v>
      </c>
    </row>
    <row r="1015" spans="1:26" ht="28.7" customHeight="1" x14ac:dyDescent="0.3">
      <c r="A1015" s="10" t="s">
        <v>571</v>
      </c>
      <c r="B1015" s="10" t="s">
        <v>2421</v>
      </c>
      <c r="C1015" s="75">
        <v>1</v>
      </c>
      <c r="D1015" s="31" t="s">
        <v>14</v>
      </c>
      <c r="E1015" s="55">
        <f>I1015+G1015+K1015</f>
        <v>2532000</v>
      </c>
      <c r="F1015" s="77">
        <f>J1015+H1015+L1015</f>
        <v>2532000</v>
      </c>
      <c r="G1015" s="51">
        <v>0</v>
      </c>
      <c r="H1015" s="76">
        <f>IF(C1015=0,0,ROUNDDOWN(G1015*C1015,1))</f>
        <v>0</v>
      </c>
      <c r="I1015" s="78">
        <f>재료비목록표!E129</f>
        <v>2532000</v>
      </c>
      <c r="J1015" s="81">
        <f>IF(C1015=0,0,ROUNDDOWN(I1015*C1015,1))</f>
        <v>2532000</v>
      </c>
      <c r="K1015" s="51">
        <v>0</v>
      </c>
      <c r="L1015" s="76">
        <f>IF(C1015=0,0,ROUNDDOWN(K1015*C1015,1))</f>
        <v>0</v>
      </c>
      <c r="M1015" s="22" t="s">
        <v>7150</v>
      </c>
      <c r="N1015" s="17" t="s">
        <v>7149</v>
      </c>
      <c r="O1015" s="7" t="s">
        <v>5472</v>
      </c>
      <c r="P1015" s="7" t="s">
        <v>6406</v>
      </c>
      <c r="Z1015" s="3" t="str">
        <f ca="1">HYPERLINK("#"&amp;재료비목록표!G2&amp;"!A"&amp;ROW(재료비목록표!A129),"자재126 →")</f>
        <v>자재126 →</v>
      </c>
    </row>
    <row r="1016" spans="1:26" ht="28.7" customHeight="1" x14ac:dyDescent="0.3">
      <c r="A1016" s="22" t="s">
        <v>6</v>
      </c>
      <c r="B1016" s="74"/>
      <c r="C1016" s="74"/>
      <c r="D1016" s="74"/>
      <c r="E1016" s="74"/>
      <c r="F1016" s="48">
        <f>J1016+H1016+L1016</f>
        <v>2897273</v>
      </c>
      <c r="G1016" s="74"/>
      <c r="H1016" s="48">
        <f>ROUNDDOWN(SUMIF(P1014:P1015,O1016,H1014:H1015),0)</f>
        <v>354635</v>
      </c>
      <c r="I1016" s="74"/>
      <c r="J1016" s="48">
        <f>ROUNDDOWN(SUMIF(P1014:P1015,O1016,J1014:J1015),0)</f>
        <v>2532000</v>
      </c>
      <c r="K1016" s="74"/>
      <c r="L1016" s="48">
        <f>ROUNDDOWN(SUMIF(P1014:P1015,O1016,L1014:L1015),0)</f>
        <v>10638</v>
      </c>
      <c r="M1016" s="74"/>
      <c r="O1016" s="7" t="s">
        <v>6406</v>
      </c>
    </row>
    <row r="1017" spans="1:26" ht="28.7" customHeight="1" x14ac:dyDescent="0.3">
      <c r="A1017" s="73"/>
      <c r="B1017" s="73"/>
      <c r="C1017" s="73"/>
      <c r="D1017" s="73"/>
      <c r="E1017" s="73"/>
      <c r="F1017" s="73"/>
      <c r="G1017" s="73"/>
      <c r="H1017" s="73"/>
      <c r="I1017" s="73"/>
      <c r="J1017" s="73"/>
      <c r="K1017" s="73"/>
      <c r="L1017" s="73"/>
      <c r="M1017" s="73"/>
    </row>
    <row r="1018" spans="1:26" ht="28.7" customHeight="1" x14ac:dyDescent="0.3">
      <c r="A1018" s="136" t="s">
        <v>576</v>
      </c>
      <c r="B1018" s="127"/>
      <c r="C1018" s="127"/>
      <c r="D1018" s="127"/>
      <c r="E1018" s="127"/>
      <c r="F1018" s="127"/>
      <c r="G1018" s="127"/>
      <c r="H1018" s="127"/>
      <c r="I1018" s="127"/>
      <c r="J1018" s="127"/>
      <c r="K1018" s="127"/>
      <c r="L1018" s="144"/>
      <c r="M1018" s="22" t="s">
        <v>7151</v>
      </c>
      <c r="N1018" s="84" t="str">
        <f>HYPERLINK("#N"&amp;ROW(N1020),"_x0005_`BDCOD|B04957_x0007_`POSS|"&amp;ROW(N1019)&amp;"_x0007_`POSE|"&amp;ROW(N1020)&amp;"_x0007_`")</f>
        <v>_x0005_`BDCOD|B04957_x0007_`POSS|1019_x0007_`POSE|1020_x0007_`</v>
      </c>
      <c r="O1018" s="7" t="s">
        <v>7152</v>
      </c>
    </row>
    <row r="1019" spans="1:26" ht="28.7" customHeight="1" x14ac:dyDescent="0.3">
      <c r="A1019" s="10" t="s">
        <v>1682</v>
      </c>
      <c r="B1019" s="10" t="s">
        <v>1694</v>
      </c>
      <c r="C1019" s="75">
        <v>1</v>
      </c>
      <c r="D1019" s="31" t="s">
        <v>14</v>
      </c>
      <c r="E1019" s="55">
        <f>I1019+G1019+K1019</f>
        <v>420901</v>
      </c>
      <c r="F1019" s="76">
        <f>J1019+H1019+L1019</f>
        <v>420901</v>
      </c>
      <c r="G1019" s="78">
        <f>일위대가목록표!F661</f>
        <v>408643</v>
      </c>
      <c r="H1019" s="80">
        <f>IF(C1019=0,0,ROUNDDOWN(G1019*C1019,1))</f>
        <v>408643</v>
      </c>
      <c r="I1019" s="78">
        <f>일위대가목록표!G661</f>
        <v>0</v>
      </c>
      <c r="J1019" s="80">
        <f>IF(C1019=0,0,ROUNDDOWN(I1019*C1019,1))</f>
        <v>0</v>
      </c>
      <c r="K1019" s="78">
        <f>일위대가목록표!H661</f>
        <v>12258</v>
      </c>
      <c r="L1019" s="80">
        <f>IF(C1019=0,0,ROUNDDOWN(K1019*C1019,1))</f>
        <v>12258</v>
      </c>
      <c r="M1019" s="22" t="s">
        <v>6411</v>
      </c>
      <c r="N1019" s="17" t="s">
        <v>6408</v>
      </c>
      <c r="O1019" s="7" t="s">
        <v>6409</v>
      </c>
      <c r="P1019" s="7" t="s">
        <v>6406</v>
      </c>
      <c r="Z1019" s="3" t="str">
        <f ca="1">HYPERLINK("#"&amp;일위대가목록표!J2&amp;"!A"&amp;ROW(일위대가목록표!A661),"대가658 →")</f>
        <v>대가658 →</v>
      </c>
    </row>
    <row r="1020" spans="1:26" ht="28.7" customHeight="1" x14ac:dyDescent="0.3">
      <c r="A1020" s="10" t="s">
        <v>571</v>
      </c>
      <c r="B1020" s="10" t="s">
        <v>2427</v>
      </c>
      <c r="C1020" s="75">
        <v>1</v>
      </c>
      <c r="D1020" s="31" t="s">
        <v>14</v>
      </c>
      <c r="E1020" s="55">
        <f>I1020+G1020+K1020</f>
        <v>4026000</v>
      </c>
      <c r="F1020" s="77">
        <f>J1020+H1020+L1020</f>
        <v>4026000</v>
      </c>
      <c r="G1020" s="51">
        <v>0</v>
      </c>
      <c r="H1020" s="76">
        <f>IF(C1020=0,0,ROUNDDOWN(G1020*C1020,1))</f>
        <v>0</v>
      </c>
      <c r="I1020" s="78">
        <f>재료비목록표!E131</f>
        <v>4026000</v>
      </c>
      <c r="J1020" s="81">
        <f>IF(C1020=0,0,ROUNDDOWN(I1020*C1020,1))</f>
        <v>4026000</v>
      </c>
      <c r="K1020" s="51">
        <v>0</v>
      </c>
      <c r="L1020" s="76">
        <f>IF(C1020=0,0,ROUNDDOWN(K1020*C1020,1))</f>
        <v>0</v>
      </c>
      <c r="M1020" s="22" t="s">
        <v>7154</v>
      </c>
      <c r="N1020" s="17" t="s">
        <v>7153</v>
      </c>
      <c r="O1020" s="7" t="s">
        <v>5475</v>
      </c>
      <c r="P1020" s="7" t="s">
        <v>6406</v>
      </c>
      <c r="Z1020" s="3" t="str">
        <f ca="1">HYPERLINK("#"&amp;재료비목록표!G2&amp;"!A"&amp;ROW(재료비목록표!A131),"자재128 →")</f>
        <v>자재128 →</v>
      </c>
    </row>
    <row r="1021" spans="1:26" ht="28.7" customHeight="1" x14ac:dyDescent="0.3">
      <c r="A1021" s="22" t="s">
        <v>6</v>
      </c>
      <c r="B1021" s="74"/>
      <c r="C1021" s="74"/>
      <c r="D1021" s="74"/>
      <c r="E1021" s="74"/>
      <c r="F1021" s="48">
        <f>J1021+H1021+L1021</f>
        <v>4446901</v>
      </c>
      <c r="G1021" s="74"/>
      <c r="H1021" s="48">
        <f>ROUNDDOWN(SUMIF(P1019:P1020,O1021,H1019:H1020),0)</f>
        <v>408643</v>
      </c>
      <c r="I1021" s="74"/>
      <c r="J1021" s="48">
        <f>ROUNDDOWN(SUMIF(P1019:P1020,O1021,J1019:J1020),0)</f>
        <v>4026000</v>
      </c>
      <c r="K1021" s="74"/>
      <c r="L1021" s="48">
        <f>ROUNDDOWN(SUMIF(P1019:P1020,O1021,L1019:L1020),0)</f>
        <v>12258</v>
      </c>
      <c r="M1021" s="74"/>
      <c r="O1021" s="7" t="s">
        <v>6406</v>
      </c>
    </row>
    <row r="1022" spans="1:26" ht="28.7" customHeight="1" x14ac:dyDescent="0.3">
      <c r="A1022" s="73"/>
      <c r="B1022" s="73"/>
      <c r="C1022" s="73"/>
      <c r="D1022" s="73"/>
      <c r="E1022" s="73"/>
      <c r="F1022" s="73"/>
      <c r="G1022" s="73"/>
      <c r="H1022" s="73"/>
      <c r="I1022" s="73"/>
      <c r="J1022" s="73"/>
      <c r="K1022" s="73"/>
      <c r="L1022" s="73"/>
      <c r="M1022" s="73"/>
    </row>
    <row r="1023" spans="1:26" ht="28.7" customHeight="1" x14ac:dyDescent="0.3">
      <c r="A1023" s="136" t="s">
        <v>579</v>
      </c>
      <c r="B1023" s="127"/>
      <c r="C1023" s="127"/>
      <c r="D1023" s="127"/>
      <c r="E1023" s="127"/>
      <c r="F1023" s="127"/>
      <c r="G1023" s="127"/>
      <c r="H1023" s="127"/>
      <c r="I1023" s="127"/>
      <c r="J1023" s="127"/>
      <c r="K1023" s="127"/>
      <c r="L1023" s="144"/>
      <c r="M1023" s="22" t="s">
        <v>7155</v>
      </c>
      <c r="N1023" s="84" t="str">
        <f>HYPERLINK("#N"&amp;ROW(N1025),"_x0005_`BDCOD|B04958_x0007_`POSS|"&amp;ROW(N1024)&amp;"_x0007_`POSE|"&amp;ROW(N1025)&amp;"_x0007_`")</f>
        <v>_x0005_`BDCOD|B04958_x0007_`POSS|1024_x0007_`POSE|1025_x0007_`</v>
      </c>
      <c r="O1023" s="7" t="s">
        <v>7156</v>
      </c>
    </row>
    <row r="1024" spans="1:26" ht="28.7" customHeight="1" x14ac:dyDescent="0.3">
      <c r="A1024" s="10" t="s">
        <v>1682</v>
      </c>
      <c r="B1024" s="10" t="s">
        <v>1703</v>
      </c>
      <c r="C1024" s="75">
        <v>1</v>
      </c>
      <c r="D1024" s="31" t="s">
        <v>14</v>
      </c>
      <c r="E1024" s="55">
        <f>I1024+G1024+K1024</f>
        <v>483348</v>
      </c>
      <c r="F1024" s="76">
        <f>J1024+H1024+L1024</f>
        <v>483348</v>
      </c>
      <c r="G1024" s="78">
        <f>일위대가목록표!F664</f>
        <v>469271</v>
      </c>
      <c r="H1024" s="80">
        <f>IF(C1024=0,0,ROUNDDOWN(G1024*C1024,1))</f>
        <v>469271</v>
      </c>
      <c r="I1024" s="78">
        <f>일위대가목록표!G664</f>
        <v>0</v>
      </c>
      <c r="J1024" s="80">
        <f>IF(C1024=0,0,ROUNDDOWN(I1024*C1024,1))</f>
        <v>0</v>
      </c>
      <c r="K1024" s="78">
        <f>일위대가목록표!H664</f>
        <v>14077</v>
      </c>
      <c r="L1024" s="80">
        <f>IF(C1024=0,0,ROUNDDOWN(K1024*C1024,1))</f>
        <v>14077</v>
      </c>
      <c r="M1024" s="22" t="s">
        <v>6418</v>
      </c>
      <c r="N1024" s="17" t="s">
        <v>6415</v>
      </c>
      <c r="O1024" s="7" t="s">
        <v>6416</v>
      </c>
      <c r="P1024" s="7" t="s">
        <v>6406</v>
      </c>
      <c r="Z1024" s="3" t="str">
        <f ca="1">HYPERLINK("#"&amp;일위대가목록표!J2&amp;"!A"&amp;ROW(일위대가목록표!A664),"대가661 →")</f>
        <v>대가661 →</v>
      </c>
    </row>
    <row r="1025" spans="1:26" ht="28.7" customHeight="1" x14ac:dyDescent="0.3">
      <c r="A1025" s="10" t="s">
        <v>571</v>
      </c>
      <c r="B1025" s="10" t="s">
        <v>2436</v>
      </c>
      <c r="C1025" s="75">
        <v>1</v>
      </c>
      <c r="D1025" s="31" t="s">
        <v>14</v>
      </c>
      <c r="E1025" s="55">
        <f>I1025+G1025+K1025</f>
        <v>3282000</v>
      </c>
      <c r="F1025" s="77">
        <f>J1025+H1025+L1025</f>
        <v>3282000</v>
      </c>
      <c r="G1025" s="51">
        <v>0</v>
      </c>
      <c r="H1025" s="76">
        <f>IF(C1025=0,0,ROUNDDOWN(G1025*C1025,1))</f>
        <v>0</v>
      </c>
      <c r="I1025" s="78">
        <f>재료비목록표!E134</f>
        <v>3282000</v>
      </c>
      <c r="J1025" s="81">
        <f>IF(C1025=0,0,ROUNDDOWN(I1025*C1025,1))</f>
        <v>3282000</v>
      </c>
      <c r="K1025" s="51">
        <v>0</v>
      </c>
      <c r="L1025" s="76">
        <f>IF(C1025=0,0,ROUNDDOWN(K1025*C1025,1))</f>
        <v>0</v>
      </c>
      <c r="M1025" s="22" t="s">
        <v>7158</v>
      </c>
      <c r="N1025" s="17" t="s">
        <v>7157</v>
      </c>
      <c r="O1025" s="7" t="s">
        <v>5478</v>
      </c>
      <c r="P1025" s="7" t="s">
        <v>6406</v>
      </c>
      <c r="Z1025" s="3" t="str">
        <f ca="1">HYPERLINK("#"&amp;재료비목록표!G2&amp;"!A"&amp;ROW(재료비목록표!A134),"자재131 →")</f>
        <v>자재131 →</v>
      </c>
    </row>
    <row r="1026" spans="1:26" ht="28.7" customHeight="1" x14ac:dyDescent="0.3">
      <c r="A1026" s="22" t="s">
        <v>6</v>
      </c>
      <c r="B1026" s="74"/>
      <c r="C1026" s="74"/>
      <c r="D1026" s="74"/>
      <c r="E1026" s="74"/>
      <c r="F1026" s="48">
        <f>J1026+H1026+L1026</f>
        <v>3765348</v>
      </c>
      <c r="G1026" s="74"/>
      <c r="H1026" s="48">
        <f>ROUNDDOWN(SUMIF(P1024:P1025,O1026,H1024:H1025),0)</f>
        <v>469271</v>
      </c>
      <c r="I1026" s="74"/>
      <c r="J1026" s="48">
        <f>ROUNDDOWN(SUMIF(P1024:P1025,O1026,J1024:J1025),0)</f>
        <v>3282000</v>
      </c>
      <c r="K1026" s="74"/>
      <c r="L1026" s="48">
        <f>ROUNDDOWN(SUMIF(P1024:P1025,O1026,L1024:L1025),0)</f>
        <v>14077</v>
      </c>
      <c r="M1026" s="74"/>
      <c r="O1026" s="7" t="s">
        <v>6406</v>
      </c>
    </row>
    <row r="1027" spans="1:26" ht="28.7" customHeight="1" x14ac:dyDescent="0.3">
      <c r="A1027" s="73"/>
      <c r="B1027" s="73"/>
      <c r="C1027" s="73"/>
      <c r="D1027" s="73"/>
      <c r="E1027" s="73"/>
      <c r="F1027" s="73"/>
      <c r="G1027" s="73"/>
      <c r="H1027" s="73"/>
      <c r="I1027" s="73"/>
      <c r="J1027" s="73"/>
      <c r="K1027" s="73"/>
      <c r="L1027" s="73"/>
      <c r="M1027" s="73"/>
    </row>
    <row r="1028" spans="1:26" ht="28.7" customHeight="1" x14ac:dyDescent="0.3">
      <c r="A1028" s="136" t="s">
        <v>582</v>
      </c>
      <c r="B1028" s="127"/>
      <c r="C1028" s="127"/>
      <c r="D1028" s="127"/>
      <c r="E1028" s="127"/>
      <c r="F1028" s="127"/>
      <c r="G1028" s="127"/>
      <c r="H1028" s="127"/>
      <c r="I1028" s="127"/>
      <c r="J1028" s="127"/>
      <c r="K1028" s="127"/>
      <c r="L1028" s="144"/>
      <c r="M1028" s="22" t="s">
        <v>7159</v>
      </c>
      <c r="N1028" s="84" t="str">
        <f>HYPERLINK("#N"&amp;ROW(N1030),"_x0005_`BDCOD|B04959_x0007_`POSS|"&amp;ROW(N1029)&amp;"_x0007_`POSE|"&amp;ROW(N1030)&amp;"_x0007_`")</f>
        <v>_x0005_`BDCOD|B04959_x0007_`POSS|1029_x0007_`POSE|1030_x0007_`</v>
      </c>
      <c r="O1028" s="7" t="s">
        <v>7160</v>
      </c>
    </row>
    <row r="1029" spans="1:26" ht="28.7" customHeight="1" x14ac:dyDescent="0.3">
      <c r="A1029" s="10" t="s">
        <v>1686</v>
      </c>
      <c r="B1029" s="10" t="s">
        <v>1715</v>
      </c>
      <c r="C1029" s="75">
        <v>1</v>
      </c>
      <c r="D1029" s="31" t="s">
        <v>14</v>
      </c>
      <c r="E1029" s="55">
        <f>I1029+G1029+K1029</f>
        <v>166390</v>
      </c>
      <c r="F1029" s="76">
        <f>J1029+H1029+L1029</f>
        <v>166390</v>
      </c>
      <c r="G1029" s="78">
        <f>일위대가목록표!F668</f>
        <v>161544</v>
      </c>
      <c r="H1029" s="80">
        <f>IF(C1029=0,0,ROUNDDOWN(G1029*C1029,1))</f>
        <v>161544</v>
      </c>
      <c r="I1029" s="78">
        <f>일위대가목록표!G668</f>
        <v>0</v>
      </c>
      <c r="J1029" s="80">
        <f>IF(C1029=0,0,ROUNDDOWN(I1029*C1029,1))</f>
        <v>0</v>
      </c>
      <c r="K1029" s="78">
        <f>일위대가목록표!H668</f>
        <v>4846</v>
      </c>
      <c r="L1029" s="80">
        <f>IF(C1029=0,0,ROUNDDOWN(K1029*C1029,1))</f>
        <v>4846</v>
      </c>
      <c r="M1029" s="22" t="s">
        <v>6555</v>
      </c>
      <c r="N1029" s="17" t="s">
        <v>6553</v>
      </c>
      <c r="O1029" s="7" t="s">
        <v>6554</v>
      </c>
      <c r="P1029" s="7" t="s">
        <v>6406</v>
      </c>
      <c r="Z1029" s="3" t="str">
        <f ca="1">HYPERLINK("#"&amp;일위대가목록표!J2&amp;"!A"&amp;ROW(일위대가목록표!A668),"대가665 →")</f>
        <v>대가665 →</v>
      </c>
    </row>
    <row r="1030" spans="1:26" ht="28.7" customHeight="1" x14ac:dyDescent="0.3">
      <c r="A1030" s="10" t="s">
        <v>571</v>
      </c>
      <c r="B1030" s="10" t="s">
        <v>2442</v>
      </c>
      <c r="C1030" s="75">
        <v>1</v>
      </c>
      <c r="D1030" s="31" t="s">
        <v>14</v>
      </c>
      <c r="E1030" s="55">
        <f>I1030+G1030+K1030</f>
        <v>5976000</v>
      </c>
      <c r="F1030" s="77">
        <f>J1030+H1030+L1030</f>
        <v>5976000</v>
      </c>
      <c r="G1030" s="51">
        <v>0</v>
      </c>
      <c r="H1030" s="76">
        <f>IF(C1030=0,0,ROUNDDOWN(G1030*C1030,1))</f>
        <v>0</v>
      </c>
      <c r="I1030" s="78">
        <f>재료비목록표!E136</f>
        <v>5976000</v>
      </c>
      <c r="J1030" s="81">
        <f>IF(C1030=0,0,ROUNDDOWN(I1030*C1030,1))</f>
        <v>5976000</v>
      </c>
      <c r="K1030" s="51">
        <v>0</v>
      </c>
      <c r="L1030" s="76">
        <f>IF(C1030=0,0,ROUNDDOWN(K1030*C1030,1))</f>
        <v>0</v>
      </c>
      <c r="M1030" s="22" t="s">
        <v>7162</v>
      </c>
      <c r="N1030" s="17" t="s">
        <v>7161</v>
      </c>
      <c r="O1030" s="7" t="s">
        <v>5481</v>
      </c>
      <c r="P1030" s="7" t="s">
        <v>6406</v>
      </c>
      <c r="Z1030" s="3" t="str">
        <f ca="1">HYPERLINK("#"&amp;재료비목록표!G2&amp;"!A"&amp;ROW(재료비목록표!A136),"자재133 →")</f>
        <v>자재133 →</v>
      </c>
    </row>
    <row r="1031" spans="1:26" ht="28.7" customHeight="1" x14ac:dyDescent="0.3">
      <c r="A1031" s="22" t="s">
        <v>6</v>
      </c>
      <c r="B1031" s="74"/>
      <c r="C1031" s="74"/>
      <c r="D1031" s="74"/>
      <c r="E1031" s="74"/>
      <c r="F1031" s="48">
        <f>J1031+H1031+L1031</f>
        <v>6142390</v>
      </c>
      <c r="G1031" s="74"/>
      <c r="H1031" s="48">
        <f>ROUNDDOWN(SUMIF(P1029:P1030,O1031,H1029:H1030),0)</f>
        <v>161544</v>
      </c>
      <c r="I1031" s="74"/>
      <c r="J1031" s="48">
        <f>ROUNDDOWN(SUMIF(P1029:P1030,O1031,J1029:J1030),0)</f>
        <v>5976000</v>
      </c>
      <c r="K1031" s="74"/>
      <c r="L1031" s="48">
        <f>ROUNDDOWN(SUMIF(P1029:P1030,O1031,L1029:L1030),0)</f>
        <v>4846</v>
      </c>
      <c r="M1031" s="74"/>
      <c r="O1031" s="7" t="s">
        <v>6406</v>
      </c>
    </row>
    <row r="1032" spans="1:26" ht="28.7" customHeight="1" x14ac:dyDescent="0.3">
      <c r="A1032" s="73"/>
      <c r="B1032" s="73"/>
      <c r="C1032" s="73"/>
      <c r="D1032" s="73"/>
      <c r="E1032" s="73"/>
      <c r="F1032" s="73"/>
      <c r="G1032" s="73"/>
      <c r="H1032" s="73"/>
      <c r="I1032" s="73"/>
      <c r="J1032" s="73"/>
      <c r="K1032" s="73"/>
      <c r="L1032" s="73"/>
      <c r="M1032" s="73"/>
    </row>
    <row r="1033" spans="1:26" ht="28.7" customHeight="1" x14ac:dyDescent="0.3">
      <c r="A1033" s="136" t="s">
        <v>585</v>
      </c>
      <c r="B1033" s="127"/>
      <c r="C1033" s="127"/>
      <c r="D1033" s="127"/>
      <c r="E1033" s="127"/>
      <c r="F1033" s="127"/>
      <c r="G1033" s="127"/>
      <c r="H1033" s="127"/>
      <c r="I1033" s="127"/>
      <c r="J1033" s="127"/>
      <c r="K1033" s="127"/>
      <c r="L1033" s="144"/>
      <c r="M1033" s="22" t="s">
        <v>7163</v>
      </c>
      <c r="N1033" s="84" t="str">
        <f>HYPERLINK("#N"&amp;ROW(N1035),"_x0005_`BDCOD|B04960_x0007_`POSS|"&amp;ROW(N1034)&amp;"_x0007_`POSE|"&amp;ROW(N1035)&amp;"_x0007_`")</f>
        <v>_x0005_`BDCOD|B04960_x0007_`POSS|1034_x0007_`POSE|1035_x0007_`</v>
      </c>
      <c r="O1033" s="7" t="s">
        <v>7164</v>
      </c>
    </row>
    <row r="1034" spans="1:26" ht="28.7" customHeight="1" x14ac:dyDescent="0.3">
      <c r="A1034" s="10" t="s">
        <v>1682</v>
      </c>
      <c r="B1034" s="10" t="s">
        <v>1721</v>
      </c>
      <c r="C1034" s="75">
        <v>1</v>
      </c>
      <c r="D1034" s="31" t="s">
        <v>14</v>
      </c>
      <c r="E1034" s="55">
        <f>I1034+G1034+K1034</f>
        <v>734777</v>
      </c>
      <c r="F1034" s="76">
        <f>J1034+H1034+L1034</f>
        <v>734777</v>
      </c>
      <c r="G1034" s="78">
        <f>일위대가목록표!F670</f>
        <v>713377</v>
      </c>
      <c r="H1034" s="80">
        <f>IF(C1034=0,0,ROUNDDOWN(G1034*C1034,1))</f>
        <v>713377</v>
      </c>
      <c r="I1034" s="78">
        <f>일위대가목록표!G670</f>
        <v>0</v>
      </c>
      <c r="J1034" s="80">
        <f>IF(C1034=0,0,ROUNDDOWN(I1034*C1034,1))</f>
        <v>0</v>
      </c>
      <c r="K1034" s="78">
        <f>일위대가목록표!H670</f>
        <v>21400</v>
      </c>
      <c r="L1034" s="80">
        <f>IF(C1034=0,0,ROUNDDOWN(K1034*C1034,1))</f>
        <v>21400</v>
      </c>
      <c r="M1034" s="22" t="s">
        <v>6432</v>
      </c>
      <c r="N1034" s="17" t="s">
        <v>6429</v>
      </c>
      <c r="O1034" s="7" t="s">
        <v>6430</v>
      </c>
      <c r="P1034" s="7" t="s">
        <v>6406</v>
      </c>
      <c r="Z1034" s="3" t="str">
        <f ca="1">HYPERLINK("#"&amp;일위대가목록표!J2&amp;"!A"&amp;ROW(일위대가목록표!A670),"대가667 →")</f>
        <v>대가667 →</v>
      </c>
    </row>
    <row r="1035" spans="1:26" ht="28.7" customHeight="1" x14ac:dyDescent="0.3">
      <c r="A1035" s="10" t="s">
        <v>571</v>
      </c>
      <c r="B1035" s="10" t="s">
        <v>2409</v>
      </c>
      <c r="C1035" s="75">
        <v>1</v>
      </c>
      <c r="D1035" s="31" t="s">
        <v>14</v>
      </c>
      <c r="E1035" s="55">
        <f>I1035+G1035+K1035</f>
        <v>6078000</v>
      </c>
      <c r="F1035" s="77">
        <f>J1035+H1035+L1035</f>
        <v>6078000</v>
      </c>
      <c r="G1035" s="51">
        <v>0</v>
      </c>
      <c r="H1035" s="76">
        <f>IF(C1035=0,0,ROUNDDOWN(G1035*C1035,1))</f>
        <v>0</v>
      </c>
      <c r="I1035" s="78">
        <f>재료비목록표!E125</f>
        <v>6078000</v>
      </c>
      <c r="J1035" s="81">
        <f>IF(C1035=0,0,ROUNDDOWN(I1035*C1035,1))</f>
        <v>6078000</v>
      </c>
      <c r="K1035" s="51">
        <v>0</v>
      </c>
      <c r="L1035" s="76">
        <f>IF(C1035=0,0,ROUNDDOWN(K1035*C1035,1))</f>
        <v>0</v>
      </c>
      <c r="M1035" s="22" t="s">
        <v>7166</v>
      </c>
      <c r="N1035" s="17" t="s">
        <v>7165</v>
      </c>
      <c r="O1035" s="7" t="s">
        <v>5484</v>
      </c>
      <c r="P1035" s="7" t="s">
        <v>6406</v>
      </c>
      <c r="Z1035" s="3" t="str">
        <f ca="1">HYPERLINK("#"&amp;재료비목록표!G2&amp;"!A"&amp;ROW(재료비목록표!A125),"자재122 →")</f>
        <v>자재122 →</v>
      </c>
    </row>
    <row r="1036" spans="1:26" ht="28.7" customHeight="1" x14ac:dyDescent="0.3">
      <c r="A1036" s="22" t="s">
        <v>6</v>
      </c>
      <c r="B1036" s="74"/>
      <c r="C1036" s="74"/>
      <c r="D1036" s="74"/>
      <c r="E1036" s="74"/>
      <c r="F1036" s="48">
        <f>J1036+H1036+L1036</f>
        <v>6812777</v>
      </c>
      <c r="G1036" s="74"/>
      <c r="H1036" s="48">
        <f>ROUNDDOWN(SUMIF(P1034:P1035,O1036,H1034:H1035),0)</f>
        <v>713377</v>
      </c>
      <c r="I1036" s="74"/>
      <c r="J1036" s="48">
        <f>ROUNDDOWN(SUMIF(P1034:P1035,O1036,J1034:J1035),0)</f>
        <v>6078000</v>
      </c>
      <c r="K1036" s="74"/>
      <c r="L1036" s="48">
        <f>ROUNDDOWN(SUMIF(P1034:P1035,O1036,L1034:L1035),0)</f>
        <v>21400</v>
      </c>
      <c r="M1036" s="74"/>
      <c r="O1036" s="7" t="s">
        <v>6406</v>
      </c>
    </row>
    <row r="1037" spans="1:26" ht="28.7" customHeight="1" x14ac:dyDescent="0.3">
      <c r="A1037" s="73"/>
      <c r="B1037" s="73"/>
      <c r="C1037" s="73"/>
      <c r="D1037" s="73"/>
      <c r="E1037" s="73"/>
      <c r="F1037" s="73"/>
      <c r="G1037" s="73"/>
      <c r="H1037" s="73"/>
      <c r="I1037" s="73"/>
      <c r="J1037" s="73"/>
      <c r="K1037" s="73"/>
      <c r="L1037" s="73"/>
      <c r="M1037" s="73"/>
    </row>
    <row r="1038" spans="1:26" ht="28.7" customHeight="1" x14ac:dyDescent="0.3">
      <c r="A1038" s="136" t="s">
        <v>588</v>
      </c>
      <c r="B1038" s="127"/>
      <c r="C1038" s="127"/>
      <c r="D1038" s="127"/>
      <c r="E1038" s="127"/>
      <c r="F1038" s="127"/>
      <c r="G1038" s="127"/>
      <c r="H1038" s="127"/>
      <c r="I1038" s="127"/>
      <c r="J1038" s="127"/>
      <c r="K1038" s="127"/>
      <c r="L1038" s="144"/>
      <c r="M1038" s="22" t="s">
        <v>7167</v>
      </c>
      <c r="N1038" s="84" t="str">
        <f>HYPERLINK("#N"&amp;ROW(N1040),"_x0005_`BDCOD|B04961_x0007_`POSS|"&amp;ROW(N1039)&amp;"_x0007_`POSE|"&amp;ROW(N1040)&amp;"_x0007_`")</f>
        <v>_x0005_`BDCOD|B04961_x0007_`POSS|1039_x0007_`POSE|1040_x0007_`</v>
      </c>
      <c r="O1038" s="7" t="s">
        <v>7168</v>
      </c>
    </row>
    <row r="1039" spans="1:26" ht="28.7" customHeight="1" x14ac:dyDescent="0.3">
      <c r="A1039" s="10" t="s">
        <v>1682</v>
      </c>
      <c r="B1039" s="10" t="s">
        <v>1730</v>
      </c>
      <c r="C1039" s="75">
        <v>1</v>
      </c>
      <c r="D1039" s="31" t="s">
        <v>14</v>
      </c>
      <c r="E1039" s="55">
        <f>I1039+G1039+K1039</f>
        <v>923410</v>
      </c>
      <c r="F1039" s="76">
        <f>J1039+H1039+L1039</f>
        <v>923410</v>
      </c>
      <c r="G1039" s="78">
        <f>일위대가목록표!F673</f>
        <v>896515</v>
      </c>
      <c r="H1039" s="80">
        <f>IF(C1039=0,0,ROUNDDOWN(G1039*C1039,1))</f>
        <v>896515</v>
      </c>
      <c r="I1039" s="78">
        <f>일위대가목록표!G673</f>
        <v>0</v>
      </c>
      <c r="J1039" s="80">
        <f>IF(C1039=0,0,ROUNDDOWN(I1039*C1039,1))</f>
        <v>0</v>
      </c>
      <c r="K1039" s="78">
        <f>일위대가목록표!H673</f>
        <v>26895</v>
      </c>
      <c r="L1039" s="80">
        <f>IF(C1039=0,0,ROUNDDOWN(K1039*C1039,1))</f>
        <v>26895</v>
      </c>
      <c r="M1039" s="22" t="s">
        <v>6439</v>
      </c>
      <c r="N1039" s="17" t="s">
        <v>6436</v>
      </c>
      <c r="O1039" s="7" t="s">
        <v>6437</v>
      </c>
      <c r="P1039" s="7" t="s">
        <v>6406</v>
      </c>
      <c r="Z1039" s="3" t="str">
        <f ca="1">HYPERLINK("#"&amp;일위대가목록표!J2&amp;"!A"&amp;ROW(일위대가목록표!A673),"대가670 →")</f>
        <v>대가670 →</v>
      </c>
    </row>
    <row r="1040" spans="1:26" ht="28.7" customHeight="1" x14ac:dyDescent="0.3">
      <c r="A1040" s="10" t="s">
        <v>571</v>
      </c>
      <c r="B1040" s="10" t="s">
        <v>2412</v>
      </c>
      <c r="C1040" s="75">
        <v>1</v>
      </c>
      <c r="D1040" s="31" t="s">
        <v>14</v>
      </c>
      <c r="E1040" s="55">
        <f>I1040+G1040+K1040</f>
        <v>8040000</v>
      </c>
      <c r="F1040" s="77">
        <f>J1040+H1040+L1040</f>
        <v>8040000</v>
      </c>
      <c r="G1040" s="51">
        <v>0</v>
      </c>
      <c r="H1040" s="76">
        <f>IF(C1040=0,0,ROUNDDOWN(G1040*C1040,1))</f>
        <v>0</v>
      </c>
      <c r="I1040" s="78">
        <f>재료비목록표!E126</f>
        <v>8040000</v>
      </c>
      <c r="J1040" s="81">
        <f>IF(C1040=0,0,ROUNDDOWN(I1040*C1040,1))</f>
        <v>8040000</v>
      </c>
      <c r="K1040" s="51">
        <v>0</v>
      </c>
      <c r="L1040" s="76">
        <f>IF(C1040=0,0,ROUNDDOWN(K1040*C1040,1))</f>
        <v>0</v>
      </c>
      <c r="M1040" s="22" t="s">
        <v>7170</v>
      </c>
      <c r="N1040" s="17" t="s">
        <v>7169</v>
      </c>
      <c r="O1040" s="7" t="s">
        <v>5487</v>
      </c>
      <c r="P1040" s="7" t="s">
        <v>6406</v>
      </c>
      <c r="Z1040" s="3" t="str">
        <f ca="1">HYPERLINK("#"&amp;재료비목록표!G2&amp;"!A"&amp;ROW(재료비목록표!A126),"자재123 →")</f>
        <v>자재123 →</v>
      </c>
    </row>
    <row r="1041" spans="1:26" ht="28.7" customHeight="1" x14ac:dyDescent="0.3">
      <c r="A1041" s="22" t="s">
        <v>6</v>
      </c>
      <c r="B1041" s="74"/>
      <c r="C1041" s="74"/>
      <c r="D1041" s="74"/>
      <c r="E1041" s="74"/>
      <c r="F1041" s="48">
        <f>J1041+H1041+L1041</f>
        <v>8963410</v>
      </c>
      <c r="G1041" s="74"/>
      <c r="H1041" s="48">
        <f>ROUNDDOWN(SUMIF(P1039:P1040,O1041,H1039:H1040),0)</f>
        <v>896515</v>
      </c>
      <c r="I1041" s="74"/>
      <c r="J1041" s="48">
        <f>ROUNDDOWN(SUMIF(P1039:P1040,O1041,J1039:J1040),0)</f>
        <v>8040000</v>
      </c>
      <c r="K1041" s="74"/>
      <c r="L1041" s="48">
        <f>ROUNDDOWN(SUMIF(P1039:P1040,O1041,L1039:L1040),0)</f>
        <v>26895</v>
      </c>
      <c r="M1041" s="74"/>
      <c r="O1041" s="7" t="s">
        <v>6406</v>
      </c>
    </row>
    <row r="1042" spans="1:26" ht="28.7" customHeight="1" x14ac:dyDescent="0.3">
      <c r="A1042" s="73"/>
      <c r="B1042" s="73"/>
      <c r="C1042" s="73"/>
      <c r="D1042" s="73"/>
      <c r="E1042" s="73"/>
      <c r="F1042" s="73"/>
      <c r="G1042" s="73"/>
      <c r="H1042" s="73"/>
      <c r="I1042" s="73"/>
      <c r="J1042" s="73"/>
      <c r="K1042" s="73"/>
      <c r="L1042" s="73"/>
      <c r="M1042" s="73"/>
    </row>
    <row r="1043" spans="1:26" ht="28.7" customHeight="1" x14ac:dyDescent="0.3">
      <c r="A1043" s="136" t="s">
        <v>591</v>
      </c>
      <c r="B1043" s="127"/>
      <c r="C1043" s="127"/>
      <c r="D1043" s="127"/>
      <c r="E1043" s="127"/>
      <c r="F1043" s="127"/>
      <c r="G1043" s="127"/>
      <c r="H1043" s="127"/>
      <c r="I1043" s="127"/>
      <c r="J1043" s="127"/>
      <c r="K1043" s="127"/>
      <c r="L1043" s="144"/>
      <c r="M1043" s="22" t="s">
        <v>7171</v>
      </c>
      <c r="N1043" s="84" t="str">
        <f>HYPERLINK("#N"&amp;ROW(N1045),"_x0005_`BDCOD|B04962_x0007_`POSS|"&amp;ROW(N1044)&amp;"_x0007_`POSE|"&amp;ROW(N1045)&amp;"_x0007_`")</f>
        <v>_x0005_`BDCOD|B04962_x0007_`POSS|1044_x0007_`POSE|1045_x0007_`</v>
      </c>
      <c r="O1043" s="7" t="s">
        <v>7172</v>
      </c>
    </row>
    <row r="1044" spans="1:26" ht="28.7" customHeight="1" x14ac:dyDescent="0.3">
      <c r="A1044" s="10" t="s">
        <v>1682</v>
      </c>
      <c r="B1044" s="10" t="s">
        <v>1739</v>
      </c>
      <c r="C1044" s="75">
        <v>1</v>
      </c>
      <c r="D1044" s="31" t="s">
        <v>14</v>
      </c>
      <c r="E1044" s="55">
        <f>I1044+G1044+K1044</f>
        <v>980333</v>
      </c>
      <c r="F1044" s="76">
        <f>J1044+H1044+L1044</f>
        <v>980333</v>
      </c>
      <c r="G1044" s="78">
        <f>일위대가목록표!F676</f>
        <v>951780</v>
      </c>
      <c r="H1044" s="80">
        <f>IF(C1044=0,0,ROUNDDOWN(G1044*C1044,1))</f>
        <v>951780</v>
      </c>
      <c r="I1044" s="78">
        <f>일위대가목록표!G676</f>
        <v>0</v>
      </c>
      <c r="J1044" s="80">
        <f>IF(C1044=0,0,ROUNDDOWN(I1044*C1044,1))</f>
        <v>0</v>
      </c>
      <c r="K1044" s="78">
        <f>일위대가목록표!H676</f>
        <v>28553</v>
      </c>
      <c r="L1044" s="80">
        <f>IF(C1044=0,0,ROUNDDOWN(K1044*C1044,1))</f>
        <v>28553</v>
      </c>
      <c r="M1044" s="22" t="s">
        <v>6446</v>
      </c>
      <c r="N1044" s="17" t="s">
        <v>6443</v>
      </c>
      <c r="O1044" s="7" t="s">
        <v>6444</v>
      </c>
      <c r="P1044" s="7" t="s">
        <v>6406</v>
      </c>
      <c r="Z1044" s="3" t="str">
        <f ca="1">HYPERLINK("#"&amp;일위대가목록표!J2&amp;"!A"&amp;ROW(일위대가목록표!A676),"대가673 →")</f>
        <v>대가673 →</v>
      </c>
    </row>
    <row r="1045" spans="1:26" ht="28.7" customHeight="1" x14ac:dyDescent="0.3">
      <c r="A1045" s="10" t="s">
        <v>571</v>
      </c>
      <c r="B1045" s="10" t="s">
        <v>2418</v>
      </c>
      <c r="C1045" s="75">
        <v>1</v>
      </c>
      <c r="D1045" s="31" t="s">
        <v>14</v>
      </c>
      <c r="E1045" s="55">
        <f>I1045+G1045+K1045</f>
        <v>9642000</v>
      </c>
      <c r="F1045" s="77">
        <f>J1045+H1045+L1045</f>
        <v>9642000</v>
      </c>
      <c r="G1045" s="51">
        <v>0</v>
      </c>
      <c r="H1045" s="76">
        <f>IF(C1045=0,0,ROUNDDOWN(G1045*C1045,1))</f>
        <v>0</v>
      </c>
      <c r="I1045" s="78">
        <f>재료비목록표!E128</f>
        <v>9642000</v>
      </c>
      <c r="J1045" s="81">
        <f>IF(C1045=0,0,ROUNDDOWN(I1045*C1045,1))</f>
        <v>9642000</v>
      </c>
      <c r="K1045" s="51">
        <v>0</v>
      </c>
      <c r="L1045" s="76">
        <f>IF(C1045=0,0,ROUNDDOWN(K1045*C1045,1))</f>
        <v>0</v>
      </c>
      <c r="M1045" s="22" t="s">
        <v>7174</v>
      </c>
      <c r="N1045" s="17" t="s">
        <v>7173</v>
      </c>
      <c r="O1045" s="7" t="s">
        <v>5490</v>
      </c>
      <c r="P1045" s="7" t="s">
        <v>6406</v>
      </c>
      <c r="Z1045" s="3" t="str">
        <f ca="1">HYPERLINK("#"&amp;재료비목록표!G2&amp;"!A"&amp;ROW(재료비목록표!A128),"자재125 →")</f>
        <v>자재125 →</v>
      </c>
    </row>
    <row r="1046" spans="1:26" ht="28.7" customHeight="1" x14ac:dyDescent="0.3">
      <c r="A1046" s="22" t="s">
        <v>6</v>
      </c>
      <c r="B1046" s="74"/>
      <c r="C1046" s="74"/>
      <c r="D1046" s="74"/>
      <c r="E1046" s="74"/>
      <c r="F1046" s="48">
        <f>J1046+H1046+L1046</f>
        <v>10622333</v>
      </c>
      <c r="G1046" s="74"/>
      <c r="H1046" s="48">
        <f>ROUNDDOWN(SUMIF(P1044:P1045,O1046,H1044:H1045),0)</f>
        <v>951780</v>
      </c>
      <c r="I1046" s="74"/>
      <c r="J1046" s="48">
        <f>ROUNDDOWN(SUMIF(P1044:P1045,O1046,J1044:J1045),0)</f>
        <v>9642000</v>
      </c>
      <c r="K1046" s="74"/>
      <c r="L1046" s="48">
        <f>ROUNDDOWN(SUMIF(P1044:P1045,O1046,L1044:L1045),0)</f>
        <v>28553</v>
      </c>
      <c r="M1046" s="74"/>
      <c r="O1046" s="7" t="s">
        <v>6406</v>
      </c>
    </row>
    <row r="1047" spans="1:26" ht="28.7" customHeight="1" x14ac:dyDescent="0.3">
      <c r="A1047" s="73"/>
      <c r="B1047" s="73"/>
      <c r="C1047" s="73"/>
      <c r="D1047" s="73"/>
      <c r="E1047" s="73"/>
      <c r="F1047" s="73"/>
      <c r="G1047" s="73"/>
      <c r="H1047" s="73"/>
      <c r="I1047" s="73"/>
      <c r="J1047" s="73"/>
      <c r="K1047" s="73"/>
      <c r="L1047" s="73"/>
      <c r="M1047" s="73"/>
    </row>
    <row r="1048" spans="1:26" ht="28.7" customHeight="1" x14ac:dyDescent="0.3">
      <c r="A1048" s="136" t="s">
        <v>594</v>
      </c>
      <c r="B1048" s="127"/>
      <c r="C1048" s="127"/>
      <c r="D1048" s="127"/>
      <c r="E1048" s="127"/>
      <c r="F1048" s="127"/>
      <c r="G1048" s="127"/>
      <c r="H1048" s="127"/>
      <c r="I1048" s="127"/>
      <c r="J1048" s="127"/>
      <c r="K1048" s="127"/>
      <c r="L1048" s="144"/>
      <c r="M1048" s="22" t="s">
        <v>7175</v>
      </c>
      <c r="N1048" s="84" t="str">
        <f>HYPERLINK("#N"&amp;ROW(N1050),"_x0005_`BDCOD|B04963_x0007_`POSS|"&amp;ROW(N1049)&amp;"_x0007_`POSE|"&amp;ROW(N1050)&amp;"_x0007_`")</f>
        <v>_x0005_`BDCOD|B04963_x0007_`POSS|1049_x0007_`POSE|1050_x0007_`</v>
      </c>
      <c r="O1048" s="7" t="s">
        <v>7176</v>
      </c>
    </row>
    <row r="1049" spans="1:26" ht="28.7" customHeight="1" x14ac:dyDescent="0.3">
      <c r="A1049" s="10" t="s">
        <v>1682</v>
      </c>
      <c r="B1049" s="10" t="s">
        <v>1748</v>
      </c>
      <c r="C1049" s="75">
        <v>1</v>
      </c>
      <c r="D1049" s="31" t="s">
        <v>14</v>
      </c>
      <c r="E1049" s="55">
        <f>I1049+G1049+K1049</f>
        <v>1583750</v>
      </c>
      <c r="F1049" s="76">
        <f>J1049+H1049+L1049</f>
        <v>1583750</v>
      </c>
      <c r="G1049" s="78">
        <f>일위대가목록표!F679</f>
        <v>1537622</v>
      </c>
      <c r="H1049" s="80">
        <f>IF(C1049=0,0,ROUNDDOWN(G1049*C1049,1))</f>
        <v>1537622</v>
      </c>
      <c r="I1049" s="78">
        <f>일위대가목록표!G679</f>
        <v>0</v>
      </c>
      <c r="J1049" s="80">
        <f>IF(C1049=0,0,ROUNDDOWN(I1049*C1049,1))</f>
        <v>0</v>
      </c>
      <c r="K1049" s="78">
        <f>일위대가목록표!H679</f>
        <v>46128</v>
      </c>
      <c r="L1049" s="80">
        <f>IF(C1049=0,0,ROUNDDOWN(K1049*C1049,1))</f>
        <v>46128</v>
      </c>
      <c r="M1049" s="22" t="s">
        <v>6453</v>
      </c>
      <c r="N1049" s="17" t="s">
        <v>6450</v>
      </c>
      <c r="O1049" s="7" t="s">
        <v>6451</v>
      </c>
      <c r="P1049" s="7" t="s">
        <v>6406</v>
      </c>
      <c r="Z1049" s="3" t="str">
        <f ca="1">HYPERLINK("#"&amp;일위대가목록표!J2&amp;"!A"&amp;ROW(일위대가목록표!A679),"대가676 →")</f>
        <v>대가676 →</v>
      </c>
    </row>
    <row r="1050" spans="1:26" ht="28.7" customHeight="1" x14ac:dyDescent="0.3">
      <c r="A1050" s="10" t="s">
        <v>571</v>
      </c>
      <c r="B1050" s="10" t="s">
        <v>2424</v>
      </c>
      <c r="C1050" s="75">
        <v>1</v>
      </c>
      <c r="D1050" s="31" t="s">
        <v>14</v>
      </c>
      <c r="E1050" s="55">
        <f>I1050+G1050+K1050</f>
        <v>13878000</v>
      </c>
      <c r="F1050" s="77">
        <f>J1050+H1050+L1050</f>
        <v>13878000</v>
      </c>
      <c r="G1050" s="51">
        <v>0</v>
      </c>
      <c r="H1050" s="76">
        <f>IF(C1050=0,0,ROUNDDOWN(G1050*C1050,1))</f>
        <v>0</v>
      </c>
      <c r="I1050" s="78">
        <f>재료비목록표!E130</f>
        <v>13878000</v>
      </c>
      <c r="J1050" s="81">
        <f>IF(C1050=0,0,ROUNDDOWN(I1050*C1050,1))</f>
        <v>13878000</v>
      </c>
      <c r="K1050" s="51">
        <v>0</v>
      </c>
      <c r="L1050" s="76">
        <f>IF(C1050=0,0,ROUNDDOWN(K1050*C1050,1))</f>
        <v>0</v>
      </c>
      <c r="M1050" s="22" t="s">
        <v>7178</v>
      </c>
      <c r="N1050" s="17" t="s">
        <v>7177</v>
      </c>
      <c r="O1050" s="7" t="s">
        <v>5493</v>
      </c>
      <c r="P1050" s="7" t="s">
        <v>6406</v>
      </c>
      <c r="Z1050" s="3" t="str">
        <f ca="1">HYPERLINK("#"&amp;재료비목록표!G2&amp;"!A"&amp;ROW(재료비목록표!A130),"자재127 →")</f>
        <v>자재127 →</v>
      </c>
    </row>
    <row r="1051" spans="1:26" ht="28.7" customHeight="1" x14ac:dyDescent="0.3">
      <c r="A1051" s="22" t="s">
        <v>6</v>
      </c>
      <c r="B1051" s="74"/>
      <c r="C1051" s="74"/>
      <c r="D1051" s="74"/>
      <c r="E1051" s="74"/>
      <c r="F1051" s="48">
        <f>J1051+H1051+L1051</f>
        <v>15461750</v>
      </c>
      <c r="G1051" s="74"/>
      <c r="H1051" s="48">
        <f>ROUNDDOWN(SUMIF(P1049:P1050,O1051,H1049:H1050),0)</f>
        <v>1537622</v>
      </c>
      <c r="I1051" s="74"/>
      <c r="J1051" s="48">
        <f>ROUNDDOWN(SUMIF(P1049:P1050,O1051,J1049:J1050),0)</f>
        <v>13878000</v>
      </c>
      <c r="K1051" s="74"/>
      <c r="L1051" s="48">
        <f>ROUNDDOWN(SUMIF(P1049:P1050,O1051,L1049:L1050),0)</f>
        <v>46128</v>
      </c>
      <c r="M1051" s="74"/>
      <c r="O1051" s="7" t="s">
        <v>6406</v>
      </c>
    </row>
    <row r="1052" spans="1:26" ht="28.7" customHeight="1" x14ac:dyDescent="0.3">
      <c r="A1052" s="73"/>
      <c r="B1052" s="73"/>
      <c r="C1052" s="73"/>
      <c r="D1052" s="73"/>
      <c r="E1052" s="73"/>
      <c r="F1052" s="73"/>
      <c r="G1052" s="73"/>
      <c r="H1052" s="73"/>
      <c r="I1052" s="73"/>
      <c r="J1052" s="73"/>
      <c r="K1052" s="73"/>
      <c r="L1052" s="73"/>
      <c r="M1052" s="73"/>
    </row>
    <row r="1053" spans="1:26" ht="28.7" customHeight="1" x14ac:dyDescent="0.3">
      <c r="A1053" s="136" t="s">
        <v>597</v>
      </c>
      <c r="B1053" s="127"/>
      <c r="C1053" s="127"/>
      <c r="D1053" s="127"/>
      <c r="E1053" s="127"/>
      <c r="F1053" s="127"/>
      <c r="G1053" s="127"/>
      <c r="H1053" s="127"/>
      <c r="I1053" s="127"/>
      <c r="J1053" s="127"/>
      <c r="K1053" s="127"/>
      <c r="L1053" s="144"/>
      <c r="M1053" s="22" t="s">
        <v>7179</v>
      </c>
      <c r="N1053" s="84" t="str">
        <f>HYPERLINK("#N"&amp;ROW(N1055),"_x0005_`BDCOD|B04964_x0007_`POSS|"&amp;ROW(N1054)&amp;"_x0007_`POSE|"&amp;ROW(N1055)&amp;"_x0007_`")</f>
        <v>_x0005_`BDCOD|B04964_x0007_`POSS|1054_x0007_`POSE|1055_x0007_`</v>
      </c>
      <c r="O1053" s="7" t="s">
        <v>7180</v>
      </c>
    </row>
    <row r="1054" spans="1:26" ht="28.7" customHeight="1" x14ac:dyDescent="0.3">
      <c r="A1054" s="10" t="s">
        <v>1682</v>
      </c>
      <c r="B1054" s="10" t="s">
        <v>1748</v>
      </c>
      <c r="C1054" s="75">
        <v>1</v>
      </c>
      <c r="D1054" s="31" t="s">
        <v>14</v>
      </c>
      <c r="E1054" s="55">
        <f>I1054+G1054+K1054</f>
        <v>1583750</v>
      </c>
      <c r="F1054" s="76">
        <f>J1054+H1054+L1054</f>
        <v>1583750</v>
      </c>
      <c r="G1054" s="78">
        <f>일위대가목록표!F679</f>
        <v>1537622</v>
      </c>
      <c r="H1054" s="80">
        <f>IF(C1054=0,0,ROUNDDOWN(G1054*C1054,1))</f>
        <v>1537622</v>
      </c>
      <c r="I1054" s="78">
        <f>일위대가목록표!G679</f>
        <v>0</v>
      </c>
      <c r="J1054" s="80">
        <f>IF(C1054=0,0,ROUNDDOWN(I1054*C1054,1))</f>
        <v>0</v>
      </c>
      <c r="K1054" s="78">
        <f>일위대가목록표!H679</f>
        <v>46128</v>
      </c>
      <c r="L1054" s="80">
        <f>IF(C1054=0,0,ROUNDDOWN(K1054*C1054,1))</f>
        <v>46128</v>
      </c>
      <c r="M1054" s="22" t="s">
        <v>6453</v>
      </c>
      <c r="N1054" s="17" t="s">
        <v>6450</v>
      </c>
      <c r="O1054" s="7" t="s">
        <v>6451</v>
      </c>
      <c r="P1054" s="7" t="s">
        <v>6406</v>
      </c>
      <c r="Z1054" s="3" t="str">
        <f ca="1">HYPERLINK("#"&amp;일위대가목록표!J2&amp;"!A"&amp;ROW(일위대가목록표!A679),"대가676 →")</f>
        <v>대가676 →</v>
      </c>
    </row>
    <row r="1055" spans="1:26" ht="28.7" customHeight="1" x14ac:dyDescent="0.3">
      <c r="A1055" s="10" t="s">
        <v>571</v>
      </c>
      <c r="B1055" s="10" t="s">
        <v>2430</v>
      </c>
      <c r="C1055" s="75">
        <v>1</v>
      </c>
      <c r="D1055" s="31" t="s">
        <v>14</v>
      </c>
      <c r="E1055" s="55">
        <f>I1055+G1055+K1055</f>
        <v>16653000</v>
      </c>
      <c r="F1055" s="77">
        <f>J1055+H1055+L1055</f>
        <v>16653000</v>
      </c>
      <c r="G1055" s="51">
        <v>0</v>
      </c>
      <c r="H1055" s="76">
        <f>IF(C1055=0,0,ROUNDDOWN(G1055*C1055,1))</f>
        <v>0</v>
      </c>
      <c r="I1055" s="78">
        <f>재료비목록표!E132</f>
        <v>16653000</v>
      </c>
      <c r="J1055" s="81">
        <f>IF(C1055=0,0,ROUNDDOWN(I1055*C1055,1))</f>
        <v>16653000</v>
      </c>
      <c r="K1055" s="51">
        <v>0</v>
      </c>
      <c r="L1055" s="76">
        <f>IF(C1055=0,0,ROUNDDOWN(K1055*C1055,1))</f>
        <v>0</v>
      </c>
      <c r="M1055" s="22" t="s">
        <v>7182</v>
      </c>
      <c r="N1055" s="17" t="s">
        <v>7181</v>
      </c>
      <c r="O1055" s="7" t="s">
        <v>5496</v>
      </c>
      <c r="P1055" s="7" t="s">
        <v>6406</v>
      </c>
      <c r="Z1055" s="3" t="str">
        <f ca="1">HYPERLINK("#"&amp;재료비목록표!G2&amp;"!A"&amp;ROW(재료비목록표!A132),"자재129 →")</f>
        <v>자재129 →</v>
      </c>
    </row>
    <row r="1056" spans="1:26" ht="28.7" customHeight="1" x14ac:dyDescent="0.3">
      <c r="A1056" s="22" t="s">
        <v>6</v>
      </c>
      <c r="B1056" s="74"/>
      <c r="C1056" s="74"/>
      <c r="D1056" s="74"/>
      <c r="E1056" s="74"/>
      <c r="F1056" s="48">
        <f>J1056+H1056+L1056</f>
        <v>18236750</v>
      </c>
      <c r="G1056" s="74"/>
      <c r="H1056" s="48">
        <f>ROUNDDOWN(SUMIF(P1054:P1055,O1056,H1054:H1055),0)</f>
        <v>1537622</v>
      </c>
      <c r="I1056" s="74"/>
      <c r="J1056" s="48">
        <f>ROUNDDOWN(SUMIF(P1054:P1055,O1056,J1054:J1055),0)</f>
        <v>16653000</v>
      </c>
      <c r="K1056" s="74"/>
      <c r="L1056" s="48">
        <f>ROUNDDOWN(SUMIF(P1054:P1055,O1056,L1054:L1055),0)</f>
        <v>46128</v>
      </c>
      <c r="M1056" s="74"/>
      <c r="O1056" s="7" t="s">
        <v>6406</v>
      </c>
    </row>
    <row r="1057" spans="1:26" ht="28.7" customHeight="1" x14ac:dyDescent="0.3">
      <c r="A1057" s="73"/>
      <c r="B1057" s="73"/>
      <c r="C1057" s="73"/>
      <c r="D1057" s="73"/>
      <c r="E1057" s="73"/>
      <c r="F1057" s="73"/>
      <c r="G1057" s="73"/>
      <c r="H1057" s="73"/>
      <c r="I1057" s="73"/>
      <c r="J1057" s="73"/>
      <c r="K1057" s="73"/>
      <c r="L1057" s="73"/>
      <c r="M1057" s="73"/>
    </row>
    <row r="1058" spans="1:26" ht="28.7" customHeight="1" x14ac:dyDescent="0.3">
      <c r="A1058" s="136" t="s">
        <v>600</v>
      </c>
      <c r="B1058" s="127"/>
      <c r="C1058" s="127"/>
      <c r="D1058" s="127"/>
      <c r="E1058" s="127"/>
      <c r="F1058" s="127"/>
      <c r="G1058" s="127"/>
      <c r="H1058" s="127"/>
      <c r="I1058" s="127"/>
      <c r="J1058" s="127"/>
      <c r="K1058" s="127"/>
      <c r="L1058" s="144"/>
      <c r="M1058" s="22" t="s">
        <v>7183</v>
      </c>
      <c r="N1058" s="84" t="str">
        <f>HYPERLINK("#N"&amp;ROW(N1060),"_x0005_`BDCOD|B04965_x0007_`POSS|"&amp;ROW(N1059)&amp;"_x0007_`POSE|"&amp;ROW(N1060)&amp;"_x0007_`")</f>
        <v>_x0005_`BDCOD|B04965_x0007_`POSS|1059_x0007_`POSE|1060_x0007_`</v>
      </c>
      <c r="O1058" s="7" t="s">
        <v>7184</v>
      </c>
    </row>
    <row r="1059" spans="1:26" ht="28.7" customHeight="1" x14ac:dyDescent="0.3">
      <c r="A1059" s="10" t="s">
        <v>1682</v>
      </c>
      <c r="B1059" s="10" t="s">
        <v>1757</v>
      </c>
      <c r="C1059" s="75">
        <v>1</v>
      </c>
      <c r="D1059" s="31" t="s">
        <v>14</v>
      </c>
      <c r="E1059" s="55">
        <f>I1059+G1059+K1059</f>
        <v>2044858</v>
      </c>
      <c r="F1059" s="76">
        <f>J1059+H1059+L1059</f>
        <v>2044858</v>
      </c>
      <c r="G1059" s="78">
        <f>일위대가목록표!F682</f>
        <v>1985300</v>
      </c>
      <c r="H1059" s="80">
        <f>IF(C1059=0,0,ROUNDDOWN(G1059*C1059,1))</f>
        <v>1985300</v>
      </c>
      <c r="I1059" s="78">
        <f>일위대가목록표!G682</f>
        <v>0</v>
      </c>
      <c r="J1059" s="80">
        <f>IF(C1059=0,0,ROUNDDOWN(I1059*C1059,1))</f>
        <v>0</v>
      </c>
      <c r="K1059" s="78">
        <f>일위대가목록표!H682</f>
        <v>59558</v>
      </c>
      <c r="L1059" s="80">
        <f>IF(C1059=0,0,ROUNDDOWN(K1059*C1059,1))</f>
        <v>59558</v>
      </c>
      <c r="M1059" s="22" t="s">
        <v>6460</v>
      </c>
      <c r="N1059" s="17" t="s">
        <v>6457</v>
      </c>
      <c r="O1059" s="7" t="s">
        <v>6458</v>
      </c>
      <c r="P1059" s="7" t="s">
        <v>6406</v>
      </c>
      <c r="Z1059" s="3" t="str">
        <f ca="1">HYPERLINK("#"&amp;일위대가목록표!J2&amp;"!A"&amp;ROW(일위대가목록표!A682),"대가679 →")</f>
        <v>대가679 →</v>
      </c>
    </row>
    <row r="1060" spans="1:26" ht="28.7" customHeight="1" x14ac:dyDescent="0.3">
      <c r="A1060" s="10" t="s">
        <v>571</v>
      </c>
      <c r="B1060" s="10" t="s">
        <v>2433</v>
      </c>
      <c r="C1060" s="75">
        <v>1</v>
      </c>
      <c r="D1060" s="31" t="s">
        <v>14</v>
      </c>
      <c r="E1060" s="55">
        <f>I1060+G1060+K1060</f>
        <v>19984000</v>
      </c>
      <c r="F1060" s="77">
        <f>J1060+H1060+L1060</f>
        <v>19984000</v>
      </c>
      <c r="G1060" s="51">
        <v>0</v>
      </c>
      <c r="H1060" s="76">
        <f>IF(C1060=0,0,ROUNDDOWN(G1060*C1060,1))</f>
        <v>0</v>
      </c>
      <c r="I1060" s="78">
        <f>재료비목록표!E133</f>
        <v>19984000</v>
      </c>
      <c r="J1060" s="81">
        <f>IF(C1060=0,0,ROUNDDOWN(I1060*C1060,1))</f>
        <v>19984000</v>
      </c>
      <c r="K1060" s="51">
        <v>0</v>
      </c>
      <c r="L1060" s="76">
        <f>IF(C1060=0,0,ROUNDDOWN(K1060*C1060,1))</f>
        <v>0</v>
      </c>
      <c r="M1060" s="22" t="s">
        <v>7186</v>
      </c>
      <c r="N1060" s="17" t="s">
        <v>7185</v>
      </c>
      <c r="O1060" s="7" t="s">
        <v>5499</v>
      </c>
      <c r="P1060" s="7" t="s">
        <v>6406</v>
      </c>
      <c r="Z1060" s="3" t="str">
        <f ca="1">HYPERLINK("#"&amp;재료비목록표!G2&amp;"!A"&amp;ROW(재료비목록표!A133),"자재130 →")</f>
        <v>자재130 →</v>
      </c>
    </row>
    <row r="1061" spans="1:26" ht="28.7" customHeight="1" x14ac:dyDescent="0.3">
      <c r="A1061" s="22" t="s">
        <v>6</v>
      </c>
      <c r="B1061" s="74"/>
      <c r="C1061" s="74"/>
      <c r="D1061" s="74"/>
      <c r="E1061" s="74"/>
      <c r="F1061" s="48">
        <f>J1061+H1061+L1061</f>
        <v>22028858</v>
      </c>
      <c r="G1061" s="74"/>
      <c r="H1061" s="48">
        <f>ROUNDDOWN(SUMIF(P1059:P1060,O1061,H1059:H1060),0)</f>
        <v>1985300</v>
      </c>
      <c r="I1061" s="74"/>
      <c r="J1061" s="48">
        <f>ROUNDDOWN(SUMIF(P1059:P1060,O1061,J1059:J1060),0)</f>
        <v>19984000</v>
      </c>
      <c r="K1061" s="74"/>
      <c r="L1061" s="48">
        <f>ROUNDDOWN(SUMIF(P1059:P1060,O1061,L1059:L1060),0)</f>
        <v>59558</v>
      </c>
      <c r="M1061" s="74"/>
      <c r="O1061" s="7" t="s">
        <v>6406</v>
      </c>
    </row>
    <row r="1062" spans="1:26" ht="28.7" customHeight="1" x14ac:dyDescent="0.3">
      <c r="A1062" s="73"/>
      <c r="B1062" s="73"/>
      <c r="C1062" s="73"/>
      <c r="D1062" s="73"/>
      <c r="E1062" s="73"/>
      <c r="F1062" s="73"/>
      <c r="G1062" s="73"/>
      <c r="H1062" s="73"/>
      <c r="I1062" s="73"/>
      <c r="J1062" s="73"/>
      <c r="K1062" s="73"/>
      <c r="L1062" s="73"/>
      <c r="M1062" s="73"/>
    </row>
    <row r="1063" spans="1:26" ht="28.7" customHeight="1" x14ac:dyDescent="0.3">
      <c r="A1063" s="136" t="s">
        <v>603</v>
      </c>
      <c r="B1063" s="127"/>
      <c r="C1063" s="127"/>
      <c r="D1063" s="127"/>
      <c r="E1063" s="127"/>
      <c r="F1063" s="127"/>
      <c r="G1063" s="127"/>
      <c r="H1063" s="127"/>
      <c r="I1063" s="127"/>
      <c r="J1063" s="127"/>
      <c r="K1063" s="127"/>
      <c r="L1063" s="144"/>
      <c r="M1063" s="22" t="s">
        <v>7187</v>
      </c>
      <c r="N1063" s="84" t="str">
        <f>HYPERLINK("#N"&amp;ROW(N1065),"_x0005_`BDCOD|B04966_x0007_`POSS|"&amp;ROW(N1064)&amp;"_x0007_`POSE|"&amp;ROW(N1065)&amp;"_x0007_`")</f>
        <v>_x0005_`BDCOD|B04966_x0007_`POSS|1064_x0007_`POSE|1065_x0007_`</v>
      </c>
      <c r="O1063" s="7" t="s">
        <v>7188</v>
      </c>
    </row>
    <row r="1064" spans="1:26" ht="28.7" customHeight="1" x14ac:dyDescent="0.3">
      <c r="A1064" s="10" t="s">
        <v>1682</v>
      </c>
      <c r="B1064" s="10" t="s">
        <v>1766</v>
      </c>
      <c r="C1064" s="75">
        <v>1</v>
      </c>
      <c r="D1064" s="31" t="s">
        <v>14</v>
      </c>
      <c r="E1064" s="55">
        <f>I1064+G1064+K1064</f>
        <v>3289807</v>
      </c>
      <c r="F1064" s="76">
        <f>J1064+H1064+L1064</f>
        <v>3289807</v>
      </c>
      <c r="G1064" s="78">
        <f>일위대가목록표!F685</f>
        <v>3193989</v>
      </c>
      <c r="H1064" s="80">
        <f>IF(C1064=0,0,ROUNDDOWN(G1064*C1064,1))</f>
        <v>3193989</v>
      </c>
      <c r="I1064" s="78">
        <f>일위대가목록표!G685</f>
        <v>0</v>
      </c>
      <c r="J1064" s="80">
        <f>IF(C1064=0,0,ROUNDDOWN(I1064*C1064,1))</f>
        <v>0</v>
      </c>
      <c r="K1064" s="78">
        <f>일위대가목록표!H685</f>
        <v>95818</v>
      </c>
      <c r="L1064" s="80">
        <f>IF(C1064=0,0,ROUNDDOWN(K1064*C1064,1))</f>
        <v>95818</v>
      </c>
      <c r="M1064" s="22" t="s">
        <v>6467</v>
      </c>
      <c r="N1064" s="17" t="s">
        <v>6464</v>
      </c>
      <c r="O1064" s="7" t="s">
        <v>6465</v>
      </c>
      <c r="P1064" s="7" t="s">
        <v>6406</v>
      </c>
      <c r="Z1064" s="3" t="str">
        <f ca="1">HYPERLINK("#"&amp;일위대가목록표!J2&amp;"!A"&amp;ROW(일위대가목록표!A685),"대가682 →")</f>
        <v>대가682 →</v>
      </c>
    </row>
    <row r="1065" spans="1:26" ht="28.7" customHeight="1" x14ac:dyDescent="0.3">
      <c r="A1065" s="10" t="s">
        <v>571</v>
      </c>
      <c r="B1065" s="10" t="s">
        <v>2439</v>
      </c>
      <c r="C1065" s="75">
        <v>1</v>
      </c>
      <c r="D1065" s="31" t="s">
        <v>14</v>
      </c>
      <c r="E1065" s="55">
        <f>I1065+G1065+K1065</f>
        <v>23981000</v>
      </c>
      <c r="F1065" s="77">
        <f>J1065+H1065+L1065</f>
        <v>23981000</v>
      </c>
      <c r="G1065" s="51">
        <v>0</v>
      </c>
      <c r="H1065" s="76">
        <f>IF(C1065=0,0,ROUNDDOWN(G1065*C1065,1))</f>
        <v>0</v>
      </c>
      <c r="I1065" s="78">
        <f>재료비목록표!E135</f>
        <v>23981000</v>
      </c>
      <c r="J1065" s="81">
        <f>IF(C1065=0,0,ROUNDDOWN(I1065*C1065,1))</f>
        <v>23981000</v>
      </c>
      <c r="K1065" s="51">
        <v>0</v>
      </c>
      <c r="L1065" s="76">
        <f>IF(C1065=0,0,ROUNDDOWN(K1065*C1065,1))</f>
        <v>0</v>
      </c>
      <c r="M1065" s="22" t="s">
        <v>7190</v>
      </c>
      <c r="N1065" s="17" t="s">
        <v>7189</v>
      </c>
      <c r="O1065" s="7" t="s">
        <v>5502</v>
      </c>
      <c r="P1065" s="7" t="s">
        <v>6406</v>
      </c>
      <c r="Z1065" s="3" t="str">
        <f ca="1">HYPERLINK("#"&amp;재료비목록표!G2&amp;"!A"&amp;ROW(재료비목록표!A135),"자재132 →")</f>
        <v>자재132 →</v>
      </c>
    </row>
    <row r="1066" spans="1:26" ht="28.7" customHeight="1" x14ac:dyDescent="0.3">
      <c r="A1066" s="22" t="s">
        <v>6</v>
      </c>
      <c r="B1066" s="74"/>
      <c r="C1066" s="74"/>
      <c r="D1066" s="74"/>
      <c r="E1066" s="74"/>
      <c r="F1066" s="48">
        <f>J1066+H1066+L1066</f>
        <v>27270807</v>
      </c>
      <c r="G1066" s="74"/>
      <c r="H1066" s="48">
        <f>ROUNDDOWN(SUMIF(P1064:P1065,O1066,H1064:H1065),0)</f>
        <v>3193989</v>
      </c>
      <c r="I1066" s="74"/>
      <c r="J1066" s="48">
        <f>ROUNDDOWN(SUMIF(P1064:P1065,O1066,J1064:J1065),0)</f>
        <v>23981000</v>
      </c>
      <c r="K1066" s="74"/>
      <c r="L1066" s="48">
        <f>ROUNDDOWN(SUMIF(P1064:P1065,O1066,L1064:L1065),0)</f>
        <v>95818</v>
      </c>
      <c r="M1066" s="74"/>
      <c r="O1066" s="7" t="s">
        <v>6406</v>
      </c>
    </row>
    <row r="1067" spans="1:26" ht="28.7" customHeight="1" x14ac:dyDescent="0.3">
      <c r="A1067" s="73"/>
      <c r="B1067" s="73"/>
      <c r="C1067" s="73"/>
      <c r="D1067" s="73"/>
      <c r="E1067" s="73"/>
      <c r="F1067" s="73"/>
      <c r="G1067" s="73"/>
      <c r="H1067" s="73"/>
      <c r="I1067" s="73"/>
      <c r="J1067" s="73"/>
      <c r="K1067" s="73"/>
      <c r="L1067" s="73"/>
      <c r="M1067" s="73"/>
    </row>
    <row r="1068" spans="1:26" ht="28.7" customHeight="1" x14ac:dyDescent="0.3">
      <c r="A1068" s="136" t="s">
        <v>606</v>
      </c>
      <c r="B1068" s="127"/>
      <c r="C1068" s="127"/>
      <c r="D1068" s="127"/>
      <c r="E1068" s="127"/>
      <c r="F1068" s="127"/>
      <c r="G1068" s="127"/>
      <c r="H1068" s="127"/>
      <c r="I1068" s="127"/>
      <c r="J1068" s="127"/>
      <c r="K1068" s="127"/>
      <c r="L1068" s="144"/>
      <c r="M1068" s="22" t="s">
        <v>7191</v>
      </c>
      <c r="N1068" s="84" t="str">
        <f>HYPERLINK("#N"&amp;ROW(N1069),"_x0005_`BDCOD|B05281_x0007_`POSS|"&amp;ROW(N1069)&amp;"_x0007_`POSE|"&amp;ROW(N1069)&amp;"_x0007_`")</f>
        <v>_x0005_`BDCOD|B05281_x0007_`POSS|1069_x0007_`POSE|1069_x0007_`</v>
      </c>
      <c r="O1068" s="7" t="s">
        <v>7192</v>
      </c>
    </row>
    <row r="1069" spans="1:26" ht="28.7" customHeight="1" x14ac:dyDescent="0.3">
      <c r="A1069" s="10" t="s">
        <v>1682</v>
      </c>
      <c r="B1069" s="10" t="s">
        <v>1784</v>
      </c>
      <c r="C1069" s="75">
        <v>1</v>
      </c>
      <c r="D1069" s="31" t="s">
        <v>14</v>
      </c>
      <c r="E1069" s="55">
        <f>I1069+G1069+K1069</f>
        <v>329994</v>
      </c>
      <c r="F1069" s="76">
        <f>J1069+H1069+L1069</f>
        <v>329994</v>
      </c>
      <c r="G1069" s="78">
        <f>일위대가목록표!F691</f>
        <v>320383</v>
      </c>
      <c r="H1069" s="80">
        <f>IF(C1069=0,0,ROUNDDOWN(G1069*C1069,1))</f>
        <v>320383</v>
      </c>
      <c r="I1069" s="78">
        <f>일위대가목록표!G691</f>
        <v>0</v>
      </c>
      <c r="J1069" s="80">
        <f>IF(C1069=0,0,ROUNDDOWN(I1069*C1069,1))</f>
        <v>0</v>
      </c>
      <c r="K1069" s="78">
        <f>일위대가목록표!H691</f>
        <v>9611</v>
      </c>
      <c r="L1069" s="80">
        <f>IF(C1069=0,0,ROUNDDOWN(K1069*C1069,1))</f>
        <v>9611</v>
      </c>
      <c r="M1069" s="22" t="s">
        <v>7028</v>
      </c>
      <c r="N1069" s="17" t="s">
        <v>7026</v>
      </c>
      <c r="O1069" s="7" t="s">
        <v>7027</v>
      </c>
      <c r="P1069" s="7" t="s">
        <v>6406</v>
      </c>
      <c r="Z1069" s="3" t="str">
        <f ca="1">HYPERLINK("#"&amp;일위대가목록표!J2&amp;"!A"&amp;ROW(일위대가목록표!A691),"대가688 →")</f>
        <v>대가688 →</v>
      </c>
    </row>
    <row r="1070" spans="1:26" ht="28.7" customHeight="1" x14ac:dyDescent="0.3">
      <c r="A1070" s="22" t="s">
        <v>6</v>
      </c>
      <c r="B1070" s="74"/>
      <c r="C1070" s="74"/>
      <c r="D1070" s="74"/>
      <c r="E1070" s="74"/>
      <c r="F1070" s="48">
        <f>J1070+H1070+L1070</f>
        <v>329994</v>
      </c>
      <c r="G1070" s="74"/>
      <c r="H1070" s="48">
        <f>ROUNDDOWN(SUMIF(P1069:P1069,O1070,H1069:H1069),0)</f>
        <v>320383</v>
      </c>
      <c r="I1070" s="74"/>
      <c r="J1070" s="48">
        <f>ROUNDDOWN(SUMIF(P1069:P1069,O1070,J1069:J1069),0)</f>
        <v>0</v>
      </c>
      <c r="K1070" s="74"/>
      <c r="L1070" s="48">
        <f>ROUNDDOWN(SUMIF(P1069:P1069,O1070,L1069:L1069),0)</f>
        <v>9611</v>
      </c>
      <c r="M1070" s="74"/>
      <c r="O1070" s="7" t="s">
        <v>6406</v>
      </c>
    </row>
    <row r="1071" spans="1:26" ht="28.7" customHeight="1" x14ac:dyDescent="0.3">
      <c r="A1071" s="73"/>
      <c r="B1071" s="73"/>
      <c r="C1071" s="73"/>
      <c r="D1071" s="73"/>
      <c r="E1071" s="73"/>
      <c r="F1071" s="73"/>
      <c r="G1071" s="73"/>
      <c r="H1071" s="73"/>
      <c r="I1071" s="73"/>
      <c r="J1071" s="73"/>
      <c r="K1071" s="73"/>
      <c r="L1071" s="73"/>
      <c r="M1071" s="73"/>
    </row>
    <row r="1072" spans="1:26" ht="28.7" customHeight="1" x14ac:dyDescent="0.3">
      <c r="A1072" s="136" t="s">
        <v>609</v>
      </c>
      <c r="B1072" s="127"/>
      <c r="C1072" s="127"/>
      <c r="D1072" s="127"/>
      <c r="E1072" s="127"/>
      <c r="F1072" s="127"/>
      <c r="G1072" s="127"/>
      <c r="H1072" s="127"/>
      <c r="I1072" s="127"/>
      <c r="J1072" s="127"/>
      <c r="K1072" s="127"/>
      <c r="L1072" s="144"/>
      <c r="M1072" s="22" t="s">
        <v>7193</v>
      </c>
      <c r="N1072" s="84" t="str">
        <f>HYPERLINK("#N"&amp;ROW(N1073),"_x0005_`BDCOD|B05282_x0007_`POSS|"&amp;ROW(N1073)&amp;"_x0007_`POSE|"&amp;ROW(N1073)&amp;"_x0007_`")</f>
        <v>_x0005_`BDCOD|B05282_x0007_`POSS|1073_x0007_`POSE|1073_x0007_`</v>
      </c>
      <c r="O1072" s="7" t="s">
        <v>7194</v>
      </c>
    </row>
    <row r="1073" spans="1:26" ht="28.7" customHeight="1" x14ac:dyDescent="0.3">
      <c r="A1073" s="10" t="s">
        <v>1682</v>
      </c>
      <c r="B1073" s="10" t="s">
        <v>1683</v>
      </c>
      <c r="C1073" s="75">
        <v>1</v>
      </c>
      <c r="D1073" s="31" t="s">
        <v>14</v>
      </c>
      <c r="E1073" s="55">
        <f>I1073+G1073+K1073</f>
        <v>365273</v>
      </c>
      <c r="F1073" s="76">
        <f>J1073+H1073+L1073</f>
        <v>365273</v>
      </c>
      <c r="G1073" s="78">
        <f>일위대가목록표!F658</f>
        <v>354635</v>
      </c>
      <c r="H1073" s="80">
        <f>IF(C1073=0,0,ROUNDDOWN(G1073*C1073,1))</f>
        <v>354635</v>
      </c>
      <c r="I1073" s="78">
        <f>일위대가목록표!G658</f>
        <v>0</v>
      </c>
      <c r="J1073" s="80">
        <f>IF(C1073=0,0,ROUNDDOWN(I1073*C1073,1))</f>
        <v>0</v>
      </c>
      <c r="K1073" s="78">
        <f>일위대가목록표!H658</f>
        <v>10638</v>
      </c>
      <c r="L1073" s="80">
        <f>IF(C1073=0,0,ROUNDDOWN(K1073*C1073,1))</f>
        <v>10638</v>
      </c>
      <c r="M1073" s="22" t="s">
        <v>6403</v>
      </c>
      <c r="N1073" s="17" t="s">
        <v>6400</v>
      </c>
      <c r="O1073" s="7" t="s">
        <v>6401</v>
      </c>
      <c r="P1073" s="7" t="s">
        <v>6406</v>
      </c>
      <c r="Z1073" s="3" t="str">
        <f ca="1">HYPERLINK("#"&amp;일위대가목록표!J2&amp;"!A"&amp;ROW(일위대가목록표!A658),"대가655 →")</f>
        <v>대가655 →</v>
      </c>
    </row>
    <row r="1074" spans="1:26" ht="28.7" customHeight="1" x14ac:dyDescent="0.3">
      <c r="A1074" s="22" t="s">
        <v>6</v>
      </c>
      <c r="B1074" s="74"/>
      <c r="C1074" s="74"/>
      <c r="D1074" s="74"/>
      <c r="E1074" s="74"/>
      <c r="F1074" s="48">
        <f>J1074+H1074+L1074</f>
        <v>365273</v>
      </c>
      <c r="G1074" s="74"/>
      <c r="H1074" s="48">
        <f>ROUNDDOWN(SUMIF(P1073:P1073,O1074,H1073:H1073),0)</f>
        <v>354635</v>
      </c>
      <c r="I1074" s="74"/>
      <c r="J1074" s="48">
        <f>ROUNDDOWN(SUMIF(P1073:P1073,O1074,J1073:J1073),0)</f>
        <v>0</v>
      </c>
      <c r="K1074" s="74"/>
      <c r="L1074" s="48">
        <f>ROUNDDOWN(SUMIF(P1073:P1073,O1074,L1073:L1073),0)</f>
        <v>10638</v>
      </c>
      <c r="M1074" s="74"/>
      <c r="O1074" s="7" t="s">
        <v>6406</v>
      </c>
    </row>
    <row r="1075" spans="1:26" ht="28.7" customHeight="1" x14ac:dyDescent="0.3">
      <c r="A1075" s="73"/>
      <c r="B1075" s="73"/>
      <c r="C1075" s="73"/>
      <c r="D1075" s="73"/>
      <c r="E1075" s="73"/>
      <c r="F1075" s="73"/>
      <c r="G1075" s="73"/>
      <c r="H1075" s="73"/>
      <c r="I1075" s="73"/>
      <c r="J1075" s="73"/>
      <c r="K1075" s="73"/>
      <c r="L1075" s="73"/>
      <c r="M1075" s="73"/>
    </row>
    <row r="1076" spans="1:26" ht="28.7" customHeight="1" x14ac:dyDescent="0.3">
      <c r="A1076" s="136" t="s">
        <v>611</v>
      </c>
      <c r="B1076" s="127"/>
      <c r="C1076" s="127"/>
      <c r="D1076" s="127"/>
      <c r="E1076" s="127"/>
      <c r="F1076" s="127"/>
      <c r="G1076" s="127"/>
      <c r="H1076" s="127"/>
      <c r="I1076" s="127"/>
      <c r="J1076" s="127"/>
      <c r="K1076" s="127"/>
      <c r="L1076" s="144"/>
      <c r="M1076" s="22" t="s">
        <v>7195</v>
      </c>
      <c r="N1076" s="84" t="str">
        <f>HYPERLINK("#N"&amp;ROW(N1077),"_x0005_`BDCOD|B05283_x0007_`POSS|"&amp;ROW(N1077)&amp;"_x0007_`POSE|"&amp;ROW(N1077)&amp;"_x0007_`")</f>
        <v>_x0005_`BDCOD|B05283_x0007_`POSS|1077_x0007_`POSE|1077_x0007_`</v>
      </c>
      <c r="O1076" s="7" t="s">
        <v>7196</v>
      </c>
    </row>
    <row r="1077" spans="1:26" ht="28.7" customHeight="1" x14ac:dyDescent="0.3">
      <c r="A1077" s="10" t="s">
        <v>1682</v>
      </c>
      <c r="B1077" s="10" t="s">
        <v>1694</v>
      </c>
      <c r="C1077" s="75">
        <v>1</v>
      </c>
      <c r="D1077" s="31" t="s">
        <v>14</v>
      </c>
      <c r="E1077" s="55">
        <f>I1077+G1077+K1077</f>
        <v>420901</v>
      </c>
      <c r="F1077" s="76">
        <f>J1077+H1077+L1077</f>
        <v>420901</v>
      </c>
      <c r="G1077" s="78">
        <f>일위대가목록표!F661</f>
        <v>408643</v>
      </c>
      <c r="H1077" s="80">
        <f>IF(C1077=0,0,ROUNDDOWN(G1077*C1077,1))</f>
        <v>408643</v>
      </c>
      <c r="I1077" s="78">
        <f>일위대가목록표!G661</f>
        <v>0</v>
      </c>
      <c r="J1077" s="80">
        <f>IF(C1077=0,0,ROUNDDOWN(I1077*C1077,1))</f>
        <v>0</v>
      </c>
      <c r="K1077" s="78">
        <f>일위대가목록표!H661</f>
        <v>12258</v>
      </c>
      <c r="L1077" s="80">
        <f>IF(C1077=0,0,ROUNDDOWN(K1077*C1077,1))</f>
        <v>12258</v>
      </c>
      <c r="M1077" s="22" t="s">
        <v>6411</v>
      </c>
      <c r="N1077" s="17" t="s">
        <v>6408</v>
      </c>
      <c r="O1077" s="7" t="s">
        <v>6409</v>
      </c>
      <c r="P1077" s="7" t="s">
        <v>6406</v>
      </c>
      <c r="Z1077" s="3" t="str">
        <f ca="1">HYPERLINK("#"&amp;일위대가목록표!J2&amp;"!A"&amp;ROW(일위대가목록표!A661),"대가658 →")</f>
        <v>대가658 →</v>
      </c>
    </row>
    <row r="1078" spans="1:26" ht="28.7" customHeight="1" x14ac:dyDescent="0.3">
      <c r="A1078" s="22" t="s">
        <v>6</v>
      </c>
      <c r="B1078" s="74"/>
      <c r="C1078" s="74"/>
      <c r="D1078" s="74"/>
      <c r="E1078" s="74"/>
      <c r="F1078" s="48">
        <f>J1078+H1078+L1078</f>
        <v>420901</v>
      </c>
      <c r="G1078" s="74"/>
      <c r="H1078" s="48">
        <f>ROUNDDOWN(SUMIF(P1077:P1077,O1078,H1077:H1077),0)</f>
        <v>408643</v>
      </c>
      <c r="I1078" s="74"/>
      <c r="J1078" s="48">
        <f>ROUNDDOWN(SUMIF(P1077:P1077,O1078,J1077:J1077),0)</f>
        <v>0</v>
      </c>
      <c r="K1078" s="74"/>
      <c r="L1078" s="48">
        <f>ROUNDDOWN(SUMIF(P1077:P1077,O1078,L1077:L1077),0)</f>
        <v>12258</v>
      </c>
      <c r="M1078" s="74"/>
      <c r="O1078" s="7" t="s">
        <v>6406</v>
      </c>
    </row>
    <row r="1079" spans="1:26" ht="28.7" customHeight="1" x14ac:dyDescent="0.3">
      <c r="A1079" s="73"/>
      <c r="B1079" s="73"/>
      <c r="C1079" s="73"/>
      <c r="D1079" s="73"/>
      <c r="E1079" s="73"/>
      <c r="F1079" s="73"/>
      <c r="G1079" s="73"/>
      <c r="H1079" s="73"/>
      <c r="I1079" s="73"/>
      <c r="J1079" s="73"/>
      <c r="K1079" s="73"/>
      <c r="L1079" s="73"/>
      <c r="M1079" s="73"/>
    </row>
    <row r="1080" spans="1:26" ht="28.7" customHeight="1" x14ac:dyDescent="0.3">
      <c r="A1080" s="136" t="s">
        <v>613</v>
      </c>
      <c r="B1080" s="127"/>
      <c r="C1080" s="127"/>
      <c r="D1080" s="127"/>
      <c r="E1080" s="127"/>
      <c r="F1080" s="127"/>
      <c r="G1080" s="127"/>
      <c r="H1080" s="127"/>
      <c r="I1080" s="127"/>
      <c r="J1080" s="127"/>
      <c r="K1080" s="127"/>
      <c r="L1080" s="144"/>
      <c r="M1080" s="22" t="s">
        <v>7197</v>
      </c>
      <c r="N1080" s="84" t="str">
        <f>HYPERLINK("#N"&amp;ROW(N1081),"_x0005_`BDCOD|B05284_x0007_`POSS|"&amp;ROW(N1081)&amp;"_x0007_`POSE|"&amp;ROW(N1081)&amp;"_x0007_`")</f>
        <v>_x0005_`BDCOD|B05284_x0007_`POSS|1081_x0007_`POSE|1081_x0007_`</v>
      </c>
      <c r="O1080" s="7" t="s">
        <v>7198</v>
      </c>
    </row>
    <row r="1081" spans="1:26" ht="28.7" customHeight="1" x14ac:dyDescent="0.3">
      <c r="A1081" s="10" t="s">
        <v>1682</v>
      </c>
      <c r="B1081" s="10" t="s">
        <v>1703</v>
      </c>
      <c r="C1081" s="75">
        <v>1</v>
      </c>
      <c r="D1081" s="31" t="s">
        <v>14</v>
      </c>
      <c r="E1081" s="55">
        <f>I1081+G1081+K1081</f>
        <v>483348</v>
      </c>
      <c r="F1081" s="76">
        <f>J1081+H1081+L1081</f>
        <v>483348</v>
      </c>
      <c r="G1081" s="78">
        <f>일위대가목록표!F664</f>
        <v>469271</v>
      </c>
      <c r="H1081" s="80">
        <f>IF(C1081=0,0,ROUNDDOWN(G1081*C1081,1))</f>
        <v>469271</v>
      </c>
      <c r="I1081" s="78">
        <f>일위대가목록표!G664</f>
        <v>0</v>
      </c>
      <c r="J1081" s="80">
        <f>IF(C1081=0,0,ROUNDDOWN(I1081*C1081,1))</f>
        <v>0</v>
      </c>
      <c r="K1081" s="78">
        <f>일위대가목록표!H664</f>
        <v>14077</v>
      </c>
      <c r="L1081" s="80">
        <f>IF(C1081=0,0,ROUNDDOWN(K1081*C1081,1))</f>
        <v>14077</v>
      </c>
      <c r="M1081" s="22" t="s">
        <v>6418</v>
      </c>
      <c r="N1081" s="17" t="s">
        <v>6415</v>
      </c>
      <c r="O1081" s="7" t="s">
        <v>6416</v>
      </c>
      <c r="P1081" s="7" t="s">
        <v>6406</v>
      </c>
      <c r="Z1081" s="3" t="str">
        <f ca="1">HYPERLINK("#"&amp;일위대가목록표!J2&amp;"!A"&amp;ROW(일위대가목록표!A664),"대가661 →")</f>
        <v>대가661 →</v>
      </c>
    </row>
    <row r="1082" spans="1:26" ht="28.7" customHeight="1" x14ac:dyDescent="0.3">
      <c r="A1082" s="22" t="s">
        <v>6</v>
      </c>
      <c r="B1082" s="74"/>
      <c r="C1082" s="74"/>
      <c r="D1082" s="74"/>
      <c r="E1082" s="74"/>
      <c r="F1082" s="48">
        <f>J1082+H1082+L1082</f>
        <v>483348</v>
      </c>
      <c r="G1082" s="74"/>
      <c r="H1082" s="48">
        <f>ROUNDDOWN(SUMIF(P1081:P1081,O1082,H1081:H1081),0)</f>
        <v>469271</v>
      </c>
      <c r="I1082" s="74"/>
      <c r="J1082" s="48">
        <f>ROUNDDOWN(SUMIF(P1081:P1081,O1082,J1081:J1081),0)</f>
        <v>0</v>
      </c>
      <c r="K1082" s="74"/>
      <c r="L1082" s="48">
        <f>ROUNDDOWN(SUMIF(P1081:P1081,O1082,L1081:L1081),0)</f>
        <v>14077</v>
      </c>
      <c r="M1082" s="74"/>
      <c r="O1082" s="7" t="s">
        <v>6406</v>
      </c>
    </row>
    <row r="1083" spans="1:26" ht="28.7" customHeight="1" x14ac:dyDescent="0.3">
      <c r="A1083" s="73"/>
      <c r="B1083" s="73"/>
      <c r="C1083" s="73"/>
      <c r="D1083" s="73"/>
      <c r="E1083" s="73"/>
      <c r="F1083" s="73"/>
      <c r="G1083" s="73"/>
      <c r="H1083" s="73"/>
      <c r="I1083" s="73"/>
      <c r="J1083" s="73"/>
      <c r="K1083" s="73"/>
      <c r="L1083" s="73"/>
      <c r="M1083" s="73"/>
    </row>
    <row r="1084" spans="1:26" ht="28.7" customHeight="1" x14ac:dyDescent="0.3">
      <c r="A1084" s="136" t="s">
        <v>615</v>
      </c>
      <c r="B1084" s="127"/>
      <c r="C1084" s="127"/>
      <c r="D1084" s="127"/>
      <c r="E1084" s="127"/>
      <c r="F1084" s="127"/>
      <c r="G1084" s="127"/>
      <c r="H1084" s="127"/>
      <c r="I1084" s="127"/>
      <c r="J1084" s="127"/>
      <c r="K1084" s="127"/>
      <c r="L1084" s="144"/>
      <c r="M1084" s="22" t="s">
        <v>7199</v>
      </c>
      <c r="N1084" s="84" t="str">
        <f>HYPERLINK("#N"&amp;ROW(N1085),"_x0005_`BDCOD|B05285_x0007_`POSS|"&amp;ROW(N1085)&amp;"_x0007_`POSE|"&amp;ROW(N1085)&amp;"_x0007_`")</f>
        <v>_x0005_`BDCOD|B05285_x0007_`POSS|1085_x0007_`POSE|1085_x0007_`</v>
      </c>
      <c r="O1084" s="7" t="s">
        <v>7200</v>
      </c>
    </row>
    <row r="1085" spans="1:26" ht="28.7" customHeight="1" x14ac:dyDescent="0.3">
      <c r="A1085" s="10" t="s">
        <v>1682</v>
      </c>
      <c r="B1085" s="10" t="s">
        <v>1712</v>
      </c>
      <c r="C1085" s="75">
        <v>1</v>
      </c>
      <c r="D1085" s="31" t="s">
        <v>14</v>
      </c>
      <c r="E1085" s="55">
        <f>I1085+G1085+K1085</f>
        <v>582367</v>
      </c>
      <c r="F1085" s="76">
        <f>J1085+H1085+L1085</f>
        <v>582367</v>
      </c>
      <c r="G1085" s="78">
        <f>일위대가목록표!F667</f>
        <v>565406</v>
      </c>
      <c r="H1085" s="80">
        <f>IF(C1085=0,0,ROUNDDOWN(G1085*C1085,1))</f>
        <v>565406</v>
      </c>
      <c r="I1085" s="78">
        <f>일위대가목록표!G667</f>
        <v>0</v>
      </c>
      <c r="J1085" s="80">
        <f>IF(C1085=0,0,ROUNDDOWN(I1085*C1085,1))</f>
        <v>0</v>
      </c>
      <c r="K1085" s="78">
        <f>일위대가목록표!H667</f>
        <v>16961</v>
      </c>
      <c r="L1085" s="80">
        <f>IF(C1085=0,0,ROUNDDOWN(K1085*C1085,1))</f>
        <v>16961</v>
      </c>
      <c r="M1085" s="22" t="s">
        <v>6425</v>
      </c>
      <c r="N1085" s="17" t="s">
        <v>6422</v>
      </c>
      <c r="O1085" s="7" t="s">
        <v>6423</v>
      </c>
      <c r="P1085" s="7" t="s">
        <v>6406</v>
      </c>
      <c r="Z1085" s="3" t="str">
        <f ca="1">HYPERLINK("#"&amp;일위대가목록표!J2&amp;"!A"&amp;ROW(일위대가목록표!A667),"대가664 →")</f>
        <v>대가664 →</v>
      </c>
    </row>
    <row r="1086" spans="1:26" ht="28.7" customHeight="1" x14ac:dyDescent="0.3">
      <c r="A1086" s="22" t="s">
        <v>6</v>
      </c>
      <c r="B1086" s="74"/>
      <c r="C1086" s="74"/>
      <c r="D1086" s="74"/>
      <c r="E1086" s="74"/>
      <c r="F1086" s="48">
        <f>J1086+H1086+L1086</f>
        <v>582367</v>
      </c>
      <c r="G1086" s="74"/>
      <c r="H1086" s="48">
        <f>ROUNDDOWN(SUMIF(P1085:P1085,O1086,H1085:H1085),0)</f>
        <v>565406</v>
      </c>
      <c r="I1086" s="74"/>
      <c r="J1086" s="48">
        <f>ROUNDDOWN(SUMIF(P1085:P1085,O1086,J1085:J1085),0)</f>
        <v>0</v>
      </c>
      <c r="K1086" s="74"/>
      <c r="L1086" s="48">
        <f>ROUNDDOWN(SUMIF(P1085:P1085,O1086,L1085:L1085),0)</f>
        <v>16961</v>
      </c>
      <c r="M1086" s="74"/>
      <c r="O1086" s="7" t="s">
        <v>6406</v>
      </c>
    </row>
    <row r="1087" spans="1:26" ht="28.7" customHeight="1" x14ac:dyDescent="0.3">
      <c r="A1087" s="73"/>
      <c r="B1087" s="73"/>
      <c r="C1087" s="73"/>
      <c r="D1087" s="73"/>
      <c r="E1087" s="73"/>
      <c r="F1087" s="73"/>
      <c r="G1087" s="73"/>
      <c r="H1087" s="73"/>
      <c r="I1087" s="73"/>
      <c r="J1087" s="73"/>
      <c r="K1087" s="73"/>
      <c r="L1087" s="73"/>
      <c r="M1087" s="73"/>
    </row>
    <row r="1088" spans="1:26" ht="28.7" customHeight="1" x14ac:dyDescent="0.3">
      <c r="A1088" s="136" t="s">
        <v>617</v>
      </c>
      <c r="B1088" s="127"/>
      <c r="C1088" s="127"/>
      <c r="D1088" s="127"/>
      <c r="E1088" s="127"/>
      <c r="F1088" s="127"/>
      <c r="G1088" s="127"/>
      <c r="H1088" s="127"/>
      <c r="I1088" s="127"/>
      <c r="J1088" s="127"/>
      <c r="K1088" s="127"/>
      <c r="L1088" s="144"/>
      <c r="M1088" s="22" t="s">
        <v>7201</v>
      </c>
      <c r="N1088" s="84" t="str">
        <f>HYPERLINK("#N"&amp;ROW(N1089),"_x0005_`BDCOD|B05286_x0007_`POSS|"&amp;ROW(N1089)&amp;"_x0007_`POSE|"&amp;ROW(N1089)&amp;"_x0007_`")</f>
        <v>_x0005_`BDCOD|B05286_x0007_`POSS|1089_x0007_`POSE|1089_x0007_`</v>
      </c>
      <c r="O1088" s="7" t="s">
        <v>7202</v>
      </c>
    </row>
    <row r="1089" spans="1:26" ht="28.7" customHeight="1" x14ac:dyDescent="0.3">
      <c r="A1089" s="10" t="s">
        <v>1682</v>
      </c>
      <c r="B1089" s="10" t="s">
        <v>1721</v>
      </c>
      <c r="C1089" s="75">
        <v>1</v>
      </c>
      <c r="D1089" s="31" t="s">
        <v>14</v>
      </c>
      <c r="E1089" s="55">
        <f>I1089+G1089+K1089</f>
        <v>734777</v>
      </c>
      <c r="F1089" s="76">
        <f>J1089+H1089+L1089</f>
        <v>734777</v>
      </c>
      <c r="G1089" s="78">
        <f>일위대가목록표!F670</f>
        <v>713377</v>
      </c>
      <c r="H1089" s="80">
        <f>IF(C1089=0,0,ROUNDDOWN(G1089*C1089,1))</f>
        <v>713377</v>
      </c>
      <c r="I1089" s="78">
        <f>일위대가목록표!G670</f>
        <v>0</v>
      </c>
      <c r="J1089" s="80">
        <f>IF(C1089=0,0,ROUNDDOWN(I1089*C1089,1))</f>
        <v>0</v>
      </c>
      <c r="K1089" s="78">
        <f>일위대가목록표!H670</f>
        <v>21400</v>
      </c>
      <c r="L1089" s="80">
        <f>IF(C1089=0,0,ROUNDDOWN(K1089*C1089,1))</f>
        <v>21400</v>
      </c>
      <c r="M1089" s="22" t="s">
        <v>6432</v>
      </c>
      <c r="N1089" s="17" t="s">
        <v>6429</v>
      </c>
      <c r="O1089" s="7" t="s">
        <v>6430</v>
      </c>
      <c r="P1089" s="7" t="s">
        <v>6406</v>
      </c>
      <c r="Z1089" s="3" t="str">
        <f ca="1">HYPERLINK("#"&amp;일위대가목록표!J2&amp;"!A"&amp;ROW(일위대가목록표!A670),"대가667 →")</f>
        <v>대가667 →</v>
      </c>
    </row>
    <row r="1090" spans="1:26" ht="28.7" customHeight="1" x14ac:dyDescent="0.3">
      <c r="A1090" s="22" t="s">
        <v>6</v>
      </c>
      <c r="B1090" s="74"/>
      <c r="C1090" s="74"/>
      <c r="D1090" s="74"/>
      <c r="E1090" s="74"/>
      <c r="F1090" s="48">
        <f>J1090+H1090+L1090</f>
        <v>734777</v>
      </c>
      <c r="G1090" s="74"/>
      <c r="H1090" s="48">
        <f>ROUNDDOWN(SUMIF(P1089:P1089,O1090,H1089:H1089),0)</f>
        <v>713377</v>
      </c>
      <c r="I1090" s="74"/>
      <c r="J1090" s="48">
        <f>ROUNDDOWN(SUMIF(P1089:P1089,O1090,J1089:J1089),0)</f>
        <v>0</v>
      </c>
      <c r="K1090" s="74"/>
      <c r="L1090" s="48">
        <f>ROUNDDOWN(SUMIF(P1089:P1089,O1090,L1089:L1089),0)</f>
        <v>21400</v>
      </c>
      <c r="M1090" s="74"/>
      <c r="O1090" s="7" t="s">
        <v>6406</v>
      </c>
    </row>
    <row r="1091" spans="1:26" ht="28.7" customHeight="1" x14ac:dyDescent="0.3">
      <c r="A1091" s="73"/>
      <c r="B1091" s="73"/>
      <c r="C1091" s="73"/>
      <c r="D1091" s="73"/>
      <c r="E1091" s="73"/>
      <c r="F1091" s="73"/>
      <c r="G1091" s="73"/>
      <c r="H1091" s="73"/>
      <c r="I1091" s="73"/>
      <c r="J1091" s="73"/>
      <c r="K1091" s="73"/>
      <c r="L1091" s="73"/>
      <c r="M1091" s="73"/>
    </row>
    <row r="1092" spans="1:26" ht="28.7" customHeight="1" x14ac:dyDescent="0.3">
      <c r="A1092" s="136" t="s">
        <v>619</v>
      </c>
      <c r="B1092" s="127"/>
      <c r="C1092" s="127"/>
      <c r="D1092" s="127"/>
      <c r="E1092" s="127"/>
      <c r="F1092" s="127"/>
      <c r="G1092" s="127"/>
      <c r="H1092" s="127"/>
      <c r="I1092" s="127"/>
      <c r="J1092" s="127"/>
      <c r="K1092" s="127"/>
      <c r="L1092" s="144"/>
      <c r="M1092" s="22" t="s">
        <v>7203</v>
      </c>
      <c r="N1092" s="84" t="str">
        <f>HYPERLINK("#N"&amp;ROW(N1093),"_x0005_`BDCOD|B05287_x0007_`POSS|"&amp;ROW(N1093)&amp;"_x0007_`POSE|"&amp;ROW(N1093)&amp;"_x0007_`")</f>
        <v>_x0005_`BDCOD|B05287_x0007_`POSS|1093_x0007_`POSE|1093_x0007_`</v>
      </c>
      <c r="O1092" s="7" t="s">
        <v>7204</v>
      </c>
    </row>
    <row r="1093" spans="1:26" ht="28.7" customHeight="1" x14ac:dyDescent="0.3">
      <c r="A1093" s="10" t="s">
        <v>1682</v>
      </c>
      <c r="B1093" s="10" t="s">
        <v>1730</v>
      </c>
      <c r="C1093" s="75">
        <v>1</v>
      </c>
      <c r="D1093" s="31" t="s">
        <v>14</v>
      </c>
      <c r="E1093" s="55">
        <f>I1093+G1093+K1093</f>
        <v>923410</v>
      </c>
      <c r="F1093" s="76">
        <f>J1093+H1093+L1093</f>
        <v>923410</v>
      </c>
      <c r="G1093" s="78">
        <f>일위대가목록표!F673</f>
        <v>896515</v>
      </c>
      <c r="H1093" s="80">
        <f>IF(C1093=0,0,ROUNDDOWN(G1093*C1093,1))</f>
        <v>896515</v>
      </c>
      <c r="I1093" s="78">
        <f>일위대가목록표!G673</f>
        <v>0</v>
      </c>
      <c r="J1093" s="80">
        <f>IF(C1093=0,0,ROUNDDOWN(I1093*C1093,1))</f>
        <v>0</v>
      </c>
      <c r="K1093" s="78">
        <f>일위대가목록표!H673</f>
        <v>26895</v>
      </c>
      <c r="L1093" s="80">
        <f>IF(C1093=0,0,ROUNDDOWN(K1093*C1093,1))</f>
        <v>26895</v>
      </c>
      <c r="M1093" s="22" t="s">
        <v>6439</v>
      </c>
      <c r="N1093" s="17" t="s">
        <v>6436</v>
      </c>
      <c r="O1093" s="7" t="s">
        <v>6437</v>
      </c>
      <c r="P1093" s="7" t="s">
        <v>6406</v>
      </c>
      <c r="Z1093" s="3" t="str">
        <f ca="1">HYPERLINK("#"&amp;일위대가목록표!J2&amp;"!A"&amp;ROW(일위대가목록표!A673),"대가670 →")</f>
        <v>대가670 →</v>
      </c>
    </row>
    <row r="1094" spans="1:26" ht="28.7" customHeight="1" x14ac:dyDescent="0.3">
      <c r="A1094" s="22" t="s">
        <v>6</v>
      </c>
      <c r="B1094" s="74"/>
      <c r="C1094" s="74"/>
      <c r="D1094" s="74"/>
      <c r="E1094" s="74"/>
      <c r="F1094" s="48">
        <f>J1094+H1094+L1094</f>
        <v>923410</v>
      </c>
      <c r="G1094" s="74"/>
      <c r="H1094" s="48">
        <f>ROUNDDOWN(SUMIF(P1093:P1093,O1094,H1093:H1093),0)</f>
        <v>896515</v>
      </c>
      <c r="I1094" s="74"/>
      <c r="J1094" s="48">
        <f>ROUNDDOWN(SUMIF(P1093:P1093,O1094,J1093:J1093),0)</f>
        <v>0</v>
      </c>
      <c r="K1094" s="74"/>
      <c r="L1094" s="48">
        <f>ROUNDDOWN(SUMIF(P1093:P1093,O1094,L1093:L1093),0)</f>
        <v>26895</v>
      </c>
      <c r="M1094" s="74"/>
      <c r="O1094" s="7" t="s">
        <v>6406</v>
      </c>
    </row>
    <row r="1095" spans="1:26" ht="28.7" customHeight="1" x14ac:dyDescent="0.3">
      <c r="A1095" s="73"/>
      <c r="B1095" s="73"/>
      <c r="C1095" s="73"/>
      <c r="D1095" s="73"/>
      <c r="E1095" s="73"/>
      <c r="F1095" s="73"/>
      <c r="G1095" s="73"/>
      <c r="H1095" s="73"/>
      <c r="I1095" s="73"/>
      <c r="J1095" s="73"/>
      <c r="K1095" s="73"/>
      <c r="L1095" s="73"/>
      <c r="M1095" s="73"/>
    </row>
    <row r="1096" spans="1:26" ht="28.7" customHeight="1" x14ac:dyDescent="0.3">
      <c r="A1096" s="136" t="s">
        <v>621</v>
      </c>
      <c r="B1096" s="127"/>
      <c r="C1096" s="127"/>
      <c r="D1096" s="127"/>
      <c r="E1096" s="127"/>
      <c r="F1096" s="127"/>
      <c r="G1096" s="127"/>
      <c r="H1096" s="127"/>
      <c r="I1096" s="127"/>
      <c r="J1096" s="127"/>
      <c r="K1096" s="127"/>
      <c r="L1096" s="144"/>
      <c r="M1096" s="22" t="s">
        <v>7205</v>
      </c>
      <c r="N1096" s="84" t="str">
        <f>HYPERLINK("#N"&amp;ROW(N1097),"_x0005_`BDCOD|B05288_x0007_`POSS|"&amp;ROW(N1097)&amp;"_x0007_`POSE|"&amp;ROW(N1097)&amp;"_x0007_`")</f>
        <v>_x0005_`BDCOD|B05288_x0007_`POSS|1097_x0007_`POSE|1097_x0007_`</v>
      </c>
      <c r="O1096" s="7" t="s">
        <v>7206</v>
      </c>
    </row>
    <row r="1097" spans="1:26" ht="28.7" customHeight="1" x14ac:dyDescent="0.3">
      <c r="A1097" s="10" t="s">
        <v>1682</v>
      </c>
      <c r="B1097" s="10" t="s">
        <v>1739</v>
      </c>
      <c r="C1097" s="75">
        <v>1</v>
      </c>
      <c r="D1097" s="31" t="s">
        <v>14</v>
      </c>
      <c r="E1097" s="55">
        <f>I1097+G1097+K1097</f>
        <v>980333</v>
      </c>
      <c r="F1097" s="76">
        <f>J1097+H1097+L1097</f>
        <v>980333</v>
      </c>
      <c r="G1097" s="78">
        <f>일위대가목록표!F676</f>
        <v>951780</v>
      </c>
      <c r="H1097" s="80">
        <f>IF(C1097=0,0,ROUNDDOWN(G1097*C1097,1))</f>
        <v>951780</v>
      </c>
      <c r="I1097" s="78">
        <f>일위대가목록표!G676</f>
        <v>0</v>
      </c>
      <c r="J1097" s="80">
        <f>IF(C1097=0,0,ROUNDDOWN(I1097*C1097,1))</f>
        <v>0</v>
      </c>
      <c r="K1097" s="78">
        <f>일위대가목록표!H676</f>
        <v>28553</v>
      </c>
      <c r="L1097" s="80">
        <f>IF(C1097=0,0,ROUNDDOWN(K1097*C1097,1))</f>
        <v>28553</v>
      </c>
      <c r="M1097" s="22" t="s">
        <v>6446</v>
      </c>
      <c r="N1097" s="17" t="s">
        <v>6443</v>
      </c>
      <c r="O1097" s="7" t="s">
        <v>6444</v>
      </c>
      <c r="P1097" s="7" t="s">
        <v>6406</v>
      </c>
      <c r="Z1097" s="3" t="str">
        <f ca="1">HYPERLINK("#"&amp;일위대가목록표!J2&amp;"!A"&amp;ROW(일위대가목록표!A676),"대가673 →")</f>
        <v>대가673 →</v>
      </c>
    </row>
    <row r="1098" spans="1:26" ht="28.7" customHeight="1" x14ac:dyDescent="0.3">
      <c r="A1098" s="22" t="s">
        <v>6</v>
      </c>
      <c r="B1098" s="74"/>
      <c r="C1098" s="74"/>
      <c r="D1098" s="74"/>
      <c r="E1098" s="74"/>
      <c r="F1098" s="48">
        <f>J1098+H1098+L1098</f>
        <v>980333</v>
      </c>
      <c r="G1098" s="74"/>
      <c r="H1098" s="48">
        <f>ROUNDDOWN(SUMIF(P1097:P1097,O1098,H1097:H1097),0)</f>
        <v>951780</v>
      </c>
      <c r="I1098" s="74"/>
      <c r="J1098" s="48">
        <f>ROUNDDOWN(SUMIF(P1097:P1097,O1098,J1097:J1097),0)</f>
        <v>0</v>
      </c>
      <c r="K1098" s="74"/>
      <c r="L1098" s="48">
        <f>ROUNDDOWN(SUMIF(P1097:P1097,O1098,L1097:L1097),0)</f>
        <v>28553</v>
      </c>
      <c r="M1098" s="74"/>
      <c r="O1098" s="7" t="s">
        <v>6406</v>
      </c>
    </row>
    <row r="1099" spans="1:26" ht="28.7" customHeight="1" x14ac:dyDescent="0.3">
      <c r="A1099" s="73"/>
      <c r="B1099" s="73"/>
      <c r="C1099" s="73"/>
      <c r="D1099" s="73"/>
      <c r="E1099" s="73"/>
      <c r="F1099" s="73"/>
      <c r="G1099" s="73"/>
      <c r="H1099" s="73"/>
      <c r="I1099" s="73"/>
      <c r="J1099" s="73"/>
      <c r="K1099" s="73"/>
      <c r="L1099" s="73"/>
      <c r="M1099" s="73"/>
    </row>
    <row r="1100" spans="1:26" ht="28.7" customHeight="1" x14ac:dyDescent="0.3">
      <c r="A1100" s="136" t="s">
        <v>623</v>
      </c>
      <c r="B1100" s="127"/>
      <c r="C1100" s="127"/>
      <c r="D1100" s="127"/>
      <c r="E1100" s="127"/>
      <c r="F1100" s="127"/>
      <c r="G1100" s="127"/>
      <c r="H1100" s="127"/>
      <c r="I1100" s="127"/>
      <c r="J1100" s="127"/>
      <c r="K1100" s="127"/>
      <c r="L1100" s="144"/>
      <c r="M1100" s="22" t="s">
        <v>7207</v>
      </c>
      <c r="N1100" s="84" t="str">
        <f>HYPERLINK("#N"&amp;ROW(N1101),"_x0005_`BDCOD|B05289_x0007_`POSS|"&amp;ROW(N1101)&amp;"_x0007_`POSE|"&amp;ROW(N1101)&amp;"_x0007_`")</f>
        <v>_x0005_`BDCOD|B05289_x0007_`POSS|1101_x0007_`POSE|1101_x0007_`</v>
      </c>
      <c r="O1100" s="7" t="s">
        <v>7208</v>
      </c>
    </row>
    <row r="1101" spans="1:26" ht="28.7" customHeight="1" x14ac:dyDescent="0.3">
      <c r="A1101" s="10" t="s">
        <v>1682</v>
      </c>
      <c r="B1101" s="10" t="s">
        <v>1748</v>
      </c>
      <c r="C1101" s="75">
        <v>1</v>
      </c>
      <c r="D1101" s="31" t="s">
        <v>14</v>
      </c>
      <c r="E1101" s="55">
        <f>I1101+G1101+K1101</f>
        <v>1583750</v>
      </c>
      <c r="F1101" s="76">
        <f>J1101+H1101+L1101</f>
        <v>1583750</v>
      </c>
      <c r="G1101" s="78">
        <f>일위대가목록표!F679</f>
        <v>1537622</v>
      </c>
      <c r="H1101" s="80">
        <f>IF(C1101=0,0,ROUNDDOWN(G1101*C1101,1))</f>
        <v>1537622</v>
      </c>
      <c r="I1101" s="78">
        <f>일위대가목록표!G679</f>
        <v>0</v>
      </c>
      <c r="J1101" s="80">
        <f>IF(C1101=0,0,ROUNDDOWN(I1101*C1101,1))</f>
        <v>0</v>
      </c>
      <c r="K1101" s="78">
        <f>일위대가목록표!H679</f>
        <v>46128</v>
      </c>
      <c r="L1101" s="80">
        <f>IF(C1101=0,0,ROUNDDOWN(K1101*C1101,1))</f>
        <v>46128</v>
      </c>
      <c r="M1101" s="22" t="s">
        <v>6453</v>
      </c>
      <c r="N1101" s="17" t="s">
        <v>6450</v>
      </c>
      <c r="O1101" s="7" t="s">
        <v>6451</v>
      </c>
      <c r="P1101" s="7" t="s">
        <v>6406</v>
      </c>
      <c r="Z1101" s="3" t="str">
        <f ca="1">HYPERLINK("#"&amp;일위대가목록표!J2&amp;"!A"&amp;ROW(일위대가목록표!A679),"대가676 →")</f>
        <v>대가676 →</v>
      </c>
    </row>
    <row r="1102" spans="1:26" ht="28.7" customHeight="1" x14ac:dyDescent="0.3">
      <c r="A1102" s="22" t="s">
        <v>6</v>
      </c>
      <c r="B1102" s="74"/>
      <c r="C1102" s="74"/>
      <c r="D1102" s="74"/>
      <c r="E1102" s="74"/>
      <c r="F1102" s="48">
        <f>J1102+H1102+L1102</f>
        <v>1583750</v>
      </c>
      <c r="G1102" s="74"/>
      <c r="H1102" s="48">
        <f>ROUNDDOWN(SUMIF(P1101:P1101,O1102,H1101:H1101),0)</f>
        <v>1537622</v>
      </c>
      <c r="I1102" s="74"/>
      <c r="J1102" s="48">
        <f>ROUNDDOWN(SUMIF(P1101:P1101,O1102,J1101:J1101),0)</f>
        <v>0</v>
      </c>
      <c r="K1102" s="74"/>
      <c r="L1102" s="48">
        <f>ROUNDDOWN(SUMIF(P1101:P1101,O1102,L1101:L1101),0)</f>
        <v>46128</v>
      </c>
      <c r="M1102" s="74"/>
      <c r="O1102" s="7" t="s">
        <v>6406</v>
      </c>
    </row>
    <row r="1103" spans="1:26" ht="28.7" customHeight="1" x14ac:dyDescent="0.3">
      <c r="A1103" s="73"/>
      <c r="B1103" s="73"/>
      <c r="C1103" s="73"/>
      <c r="D1103" s="73"/>
      <c r="E1103" s="73"/>
      <c r="F1103" s="73"/>
      <c r="G1103" s="73"/>
      <c r="H1103" s="73"/>
      <c r="I1103" s="73"/>
      <c r="J1103" s="73"/>
      <c r="K1103" s="73"/>
      <c r="L1103" s="73"/>
      <c r="M1103" s="73"/>
    </row>
    <row r="1104" spans="1:26" ht="28.7" customHeight="1" x14ac:dyDescent="0.3">
      <c r="A1104" s="136" t="s">
        <v>625</v>
      </c>
      <c r="B1104" s="127"/>
      <c r="C1104" s="127"/>
      <c r="D1104" s="127"/>
      <c r="E1104" s="127"/>
      <c r="F1104" s="127"/>
      <c r="G1104" s="127"/>
      <c r="H1104" s="127"/>
      <c r="I1104" s="127"/>
      <c r="J1104" s="127"/>
      <c r="K1104" s="127"/>
      <c r="L1104" s="144"/>
      <c r="M1104" s="22" t="s">
        <v>7209</v>
      </c>
      <c r="N1104" s="84" t="str">
        <f>HYPERLINK("#N"&amp;ROW(N1105),"_x0005_`BDCOD|B05290_x0007_`POSS|"&amp;ROW(N1105)&amp;"_x0007_`POSE|"&amp;ROW(N1105)&amp;"_x0007_`")</f>
        <v>_x0005_`BDCOD|B05290_x0007_`POSS|1105_x0007_`POSE|1105_x0007_`</v>
      </c>
      <c r="O1104" s="7" t="s">
        <v>7210</v>
      </c>
    </row>
    <row r="1105" spans="1:26" ht="28.7" customHeight="1" x14ac:dyDescent="0.3">
      <c r="A1105" s="10" t="s">
        <v>1682</v>
      </c>
      <c r="B1105" s="10" t="s">
        <v>1748</v>
      </c>
      <c r="C1105" s="75">
        <v>1</v>
      </c>
      <c r="D1105" s="31" t="s">
        <v>14</v>
      </c>
      <c r="E1105" s="55">
        <f>I1105+G1105+K1105</f>
        <v>1583750</v>
      </c>
      <c r="F1105" s="76">
        <f>J1105+H1105+L1105</f>
        <v>1583750</v>
      </c>
      <c r="G1105" s="78">
        <f>일위대가목록표!F679</f>
        <v>1537622</v>
      </c>
      <c r="H1105" s="80">
        <f>IF(C1105=0,0,ROUNDDOWN(G1105*C1105,1))</f>
        <v>1537622</v>
      </c>
      <c r="I1105" s="78">
        <f>일위대가목록표!G679</f>
        <v>0</v>
      </c>
      <c r="J1105" s="80">
        <f>IF(C1105=0,0,ROUNDDOWN(I1105*C1105,1))</f>
        <v>0</v>
      </c>
      <c r="K1105" s="78">
        <f>일위대가목록표!H679</f>
        <v>46128</v>
      </c>
      <c r="L1105" s="80">
        <f>IF(C1105=0,0,ROUNDDOWN(K1105*C1105,1))</f>
        <v>46128</v>
      </c>
      <c r="M1105" s="22" t="s">
        <v>6453</v>
      </c>
      <c r="N1105" s="17" t="s">
        <v>6450</v>
      </c>
      <c r="O1105" s="7" t="s">
        <v>6451</v>
      </c>
      <c r="P1105" s="7" t="s">
        <v>6406</v>
      </c>
      <c r="Z1105" s="3" t="str">
        <f ca="1">HYPERLINK("#"&amp;일위대가목록표!J2&amp;"!A"&amp;ROW(일위대가목록표!A679),"대가676 →")</f>
        <v>대가676 →</v>
      </c>
    </row>
    <row r="1106" spans="1:26" ht="28.7" customHeight="1" x14ac:dyDescent="0.3">
      <c r="A1106" s="22" t="s">
        <v>6</v>
      </c>
      <c r="B1106" s="74"/>
      <c r="C1106" s="74"/>
      <c r="D1106" s="74"/>
      <c r="E1106" s="74"/>
      <c r="F1106" s="48">
        <f>J1106+H1106+L1106</f>
        <v>1583750</v>
      </c>
      <c r="G1106" s="74"/>
      <c r="H1106" s="48">
        <f>ROUNDDOWN(SUMIF(P1105:P1105,O1106,H1105:H1105),0)</f>
        <v>1537622</v>
      </c>
      <c r="I1106" s="74"/>
      <c r="J1106" s="48">
        <f>ROUNDDOWN(SUMIF(P1105:P1105,O1106,J1105:J1105),0)</f>
        <v>0</v>
      </c>
      <c r="K1106" s="74"/>
      <c r="L1106" s="48">
        <f>ROUNDDOWN(SUMIF(P1105:P1105,O1106,L1105:L1105),0)</f>
        <v>46128</v>
      </c>
      <c r="M1106" s="74"/>
      <c r="O1106" s="7" t="s">
        <v>6406</v>
      </c>
    </row>
    <row r="1107" spans="1:26" ht="28.7" customHeight="1" x14ac:dyDescent="0.3">
      <c r="A1107" s="73"/>
      <c r="B1107" s="73"/>
      <c r="C1107" s="73"/>
      <c r="D1107" s="73"/>
      <c r="E1107" s="73"/>
      <c r="F1107" s="73"/>
      <c r="G1107" s="73"/>
      <c r="H1107" s="73"/>
      <c r="I1107" s="73"/>
      <c r="J1107" s="73"/>
      <c r="K1107" s="73"/>
      <c r="L1107" s="73"/>
      <c r="M1107" s="73"/>
    </row>
    <row r="1108" spans="1:26" ht="28.7" customHeight="1" x14ac:dyDescent="0.3">
      <c r="A1108" s="136" t="s">
        <v>627</v>
      </c>
      <c r="B1108" s="127"/>
      <c r="C1108" s="127"/>
      <c r="D1108" s="127"/>
      <c r="E1108" s="127"/>
      <c r="F1108" s="127"/>
      <c r="G1108" s="127"/>
      <c r="H1108" s="127"/>
      <c r="I1108" s="127"/>
      <c r="J1108" s="127"/>
      <c r="K1108" s="127"/>
      <c r="L1108" s="144"/>
      <c r="M1108" s="22" t="s">
        <v>7211</v>
      </c>
      <c r="N1108" s="84" t="str">
        <f>HYPERLINK("#N"&amp;ROW(N1109),"_x0005_`BDCOD|B05291_x0007_`POSS|"&amp;ROW(N1109)&amp;"_x0007_`POSE|"&amp;ROW(N1109)&amp;"_x0007_`")</f>
        <v>_x0005_`BDCOD|B05291_x0007_`POSS|1109_x0007_`POSE|1109_x0007_`</v>
      </c>
      <c r="O1108" s="7" t="s">
        <v>7212</v>
      </c>
    </row>
    <row r="1109" spans="1:26" ht="28.7" customHeight="1" x14ac:dyDescent="0.3">
      <c r="A1109" s="10" t="s">
        <v>1682</v>
      </c>
      <c r="B1109" s="10" t="s">
        <v>1757</v>
      </c>
      <c r="C1109" s="75">
        <v>1</v>
      </c>
      <c r="D1109" s="31" t="s">
        <v>14</v>
      </c>
      <c r="E1109" s="55">
        <f>I1109+G1109+K1109</f>
        <v>2044858</v>
      </c>
      <c r="F1109" s="76">
        <f>J1109+H1109+L1109</f>
        <v>2044858</v>
      </c>
      <c r="G1109" s="78">
        <f>일위대가목록표!F682</f>
        <v>1985300</v>
      </c>
      <c r="H1109" s="80">
        <f>IF(C1109=0,0,ROUNDDOWN(G1109*C1109,1))</f>
        <v>1985300</v>
      </c>
      <c r="I1109" s="78">
        <f>일위대가목록표!G682</f>
        <v>0</v>
      </c>
      <c r="J1109" s="80">
        <f>IF(C1109=0,0,ROUNDDOWN(I1109*C1109,1))</f>
        <v>0</v>
      </c>
      <c r="K1109" s="78">
        <f>일위대가목록표!H682</f>
        <v>59558</v>
      </c>
      <c r="L1109" s="80">
        <f>IF(C1109=0,0,ROUNDDOWN(K1109*C1109,1))</f>
        <v>59558</v>
      </c>
      <c r="M1109" s="22" t="s">
        <v>6460</v>
      </c>
      <c r="N1109" s="17" t="s">
        <v>6457</v>
      </c>
      <c r="O1109" s="7" t="s">
        <v>6458</v>
      </c>
      <c r="P1109" s="7" t="s">
        <v>6406</v>
      </c>
      <c r="Z1109" s="3" t="str">
        <f ca="1">HYPERLINK("#"&amp;일위대가목록표!J2&amp;"!A"&amp;ROW(일위대가목록표!A682),"대가679 →")</f>
        <v>대가679 →</v>
      </c>
    </row>
    <row r="1110" spans="1:26" ht="28.7" customHeight="1" x14ac:dyDescent="0.3">
      <c r="A1110" s="22" t="s">
        <v>6</v>
      </c>
      <c r="B1110" s="74"/>
      <c r="C1110" s="74"/>
      <c r="D1110" s="74"/>
      <c r="E1110" s="74"/>
      <c r="F1110" s="48">
        <f>J1110+H1110+L1110</f>
        <v>2044858</v>
      </c>
      <c r="G1110" s="74"/>
      <c r="H1110" s="48">
        <f>ROUNDDOWN(SUMIF(P1109:P1109,O1110,H1109:H1109),0)</f>
        <v>1985300</v>
      </c>
      <c r="I1110" s="74"/>
      <c r="J1110" s="48">
        <f>ROUNDDOWN(SUMIF(P1109:P1109,O1110,J1109:J1109),0)</f>
        <v>0</v>
      </c>
      <c r="K1110" s="74"/>
      <c r="L1110" s="48">
        <f>ROUNDDOWN(SUMIF(P1109:P1109,O1110,L1109:L1109),0)</f>
        <v>59558</v>
      </c>
      <c r="M1110" s="74"/>
      <c r="O1110" s="7" t="s">
        <v>6406</v>
      </c>
    </row>
    <row r="1111" spans="1:26" ht="28.7" customHeight="1" x14ac:dyDescent="0.3">
      <c r="A1111" s="73"/>
      <c r="B1111" s="73"/>
      <c r="C1111" s="73"/>
      <c r="D1111" s="73"/>
      <c r="E1111" s="73"/>
      <c r="F1111" s="73"/>
      <c r="G1111" s="73"/>
      <c r="H1111" s="73"/>
      <c r="I1111" s="73"/>
      <c r="J1111" s="73"/>
      <c r="K1111" s="73"/>
      <c r="L1111" s="73"/>
      <c r="M1111" s="73"/>
    </row>
    <row r="1112" spans="1:26" ht="28.7" customHeight="1" x14ac:dyDescent="0.3">
      <c r="A1112" s="136" t="s">
        <v>629</v>
      </c>
      <c r="B1112" s="127"/>
      <c r="C1112" s="127"/>
      <c r="D1112" s="127"/>
      <c r="E1112" s="127"/>
      <c r="F1112" s="127"/>
      <c r="G1112" s="127"/>
      <c r="H1112" s="127"/>
      <c r="I1112" s="127"/>
      <c r="J1112" s="127"/>
      <c r="K1112" s="127"/>
      <c r="L1112" s="144"/>
      <c r="M1112" s="22" t="s">
        <v>7213</v>
      </c>
      <c r="N1112" s="84" t="str">
        <f>HYPERLINK("#N"&amp;ROW(N1113),"_x0005_`BDCOD|B05292_x0007_`POSS|"&amp;ROW(N1113)&amp;"_x0007_`POSE|"&amp;ROW(N1113)&amp;"_x0007_`")</f>
        <v>_x0005_`BDCOD|B05292_x0007_`POSS|1113_x0007_`POSE|1113_x0007_`</v>
      </c>
      <c r="O1112" s="7" t="s">
        <v>7214</v>
      </c>
    </row>
    <row r="1113" spans="1:26" ht="28.7" customHeight="1" x14ac:dyDescent="0.3">
      <c r="A1113" s="10" t="s">
        <v>1682</v>
      </c>
      <c r="B1113" s="10" t="s">
        <v>1766</v>
      </c>
      <c r="C1113" s="75">
        <v>1</v>
      </c>
      <c r="D1113" s="31" t="s">
        <v>14</v>
      </c>
      <c r="E1113" s="55">
        <f>I1113+G1113+K1113</f>
        <v>3289807</v>
      </c>
      <c r="F1113" s="76">
        <f>J1113+H1113+L1113</f>
        <v>3289807</v>
      </c>
      <c r="G1113" s="78">
        <f>일위대가목록표!F685</f>
        <v>3193989</v>
      </c>
      <c r="H1113" s="80">
        <f>IF(C1113=0,0,ROUNDDOWN(G1113*C1113,1))</f>
        <v>3193989</v>
      </c>
      <c r="I1113" s="78">
        <f>일위대가목록표!G685</f>
        <v>0</v>
      </c>
      <c r="J1113" s="80">
        <f>IF(C1113=0,0,ROUNDDOWN(I1113*C1113,1))</f>
        <v>0</v>
      </c>
      <c r="K1113" s="78">
        <f>일위대가목록표!H685</f>
        <v>95818</v>
      </c>
      <c r="L1113" s="80">
        <f>IF(C1113=0,0,ROUNDDOWN(K1113*C1113,1))</f>
        <v>95818</v>
      </c>
      <c r="M1113" s="22" t="s">
        <v>6467</v>
      </c>
      <c r="N1113" s="17" t="s">
        <v>6464</v>
      </c>
      <c r="O1113" s="7" t="s">
        <v>6465</v>
      </c>
      <c r="P1113" s="7" t="s">
        <v>6406</v>
      </c>
      <c r="Z1113" s="3" t="str">
        <f ca="1">HYPERLINK("#"&amp;일위대가목록표!J2&amp;"!A"&amp;ROW(일위대가목록표!A685),"대가682 →")</f>
        <v>대가682 →</v>
      </c>
    </row>
    <row r="1114" spans="1:26" ht="28.7" customHeight="1" x14ac:dyDescent="0.3">
      <c r="A1114" s="22" t="s">
        <v>6</v>
      </c>
      <c r="B1114" s="74"/>
      <c r="C1114" s="74"/>
      <c r="D1114" s="74"/>
      <c r="E1114" s="74"/>
      <c r="F1114" s="48">
        <f>J1114+H1114+L1114</f>
        <v>3289807</v>
      </c>
      <c r="G1114" s="74"/>
      <c r="H1114" s="48">
        <f>ROUNDDOWN(SUMIF(P1113:P1113,O1114,H1113:H1113),0)</f>
        <v>3193989</v>
      </c>
      <c r="I1114" s="74"/>
      <c r="J1114" s="48">
        <f>ROUNDDOWN(SUMIF(P1113:P1113,O1114,J1113:J1113),0)</f>
        <v>0</v>
      </c>
      <c r="K1114" s="74"/>
      <c r="L1114" s="48">
        <f>ROUNDDOWN(SUMIF(P1113:P1113,O1114,L1113:L1113),0)</f>
        <v>95818</v>
      </c>
      <c r="M1114" s="74"/>
      <c r="O1114" s="7" t="s">
        <v>6406</v>
      </c>
    </row>
    <row r="1115" spans="1:26" ht="28.7" customHeight="1" x14ac:dyDescent="0.3">
      <c r="A1115" s="73"/>
      <c r="B1115" s="73"/>
      <c r="C1115" s="73"/>
      <c r="D1115" s="73"/>
      <c r="E1115" s="73"/>
      <c r="F1115" s="73"/>
      <c r="G1115" s="73"/>
      <c r="H1115" s="73"/>
      <c r="I1115" s="73"/>
      <c r="J1115" s="73"/>
      <c r="K1115" s="73"/>
      <c r="L1115" s="73"/>
      <c r="M1115" s="73"/>
    </row>
    <row r="1116" spans="1:26" ht="28.7" customHeight="1" x14ac:dyDescent="0.3">
      <c r="A1116" s="136" t="s">
        <v>631</v>
      </c>
      <c r="B1116" s="127"/>
      <c r="C1116" s="127"/>
      <c r="D1116" s="127"/>
      <c r="E1116" s="127"/>
      <c r="F1116" s="127"/>
      <c r="G1116" s="127"/>
      <c r="H1116" s="127"/>
      <c r="I1116" s="127"/>
      <c r="J1116" s="127"/>
      <c r="K1116" s="127"/>
      <c r="L1116" s="144"/>
      <c r="M1116" s="22" t="s">
        <v>7215</v>
      </c>
      <c r="N1116" s="84" t="str">
        <f>HYPERLINK("#N"&amp;ROW(N1117),"_x0005_`BDCOD|B05293_x0007_`POSS|"&amp;ROW(N1117)&amp;"_x0007_`POSE|"&amp;ROW(N1117)&amp;"_x0007_`")</f>
        <v>_x0005_`BDCOD|B05293_x0007_`POSS|1117_x0007_`POSE|1117_x0007_`</v>
      </c>
      <c r="O1116" s="7" t="s">
        <v>7216</v>
      </c>
    </row>
    <row r="1117" spans="1:26" ht="28.7" customHeight="1" x14ac:dyDescent="0.3">
      <c r="A1117" s="10" t="s">
        <v>1690</v>
      </c>
      <c r="B1117" s="10" t="s">
        <v>1790</v>
      </c>
      <c r="C1117" s="75">
        <v>1</v>
      </c>
      <c r="D1117" s="31" t="s">
        <v>14</v>
      </c>
      <c r="E1117" s="55">
        <f>I1117+G1117+K1117</f>
        <v>235710</v>
      </c>
      <c r="F1117" s="76">
        <f>J1117+H1117+L1117</f>
        <v>235710</v>
      </c>
      <c r="G1117" s="78">
        <f>일위대가목록표!F693</f>
        <v>228845</v>
      </c>
      <c r="H1117" s="80">
        <f>IF(C1117=0,0,ROUNDDOWN(G1117*C1117,1))</f>
        <v>228845</v>
      </c>
      <c r="I1117" s="78">
        <f>일위대가목록표!G693</f>
        <v>0</v>
      </c>
      <c r="J1117" s="80">
        <f>IF(C1117=0,0,ROUNDDOWN(I1117*C1117,1))</f>
        <v>0</v>
      </c>
      <c r="K1117" s="78">
        <f>일위대가목록표!H693</f>
        <v>6865</v>
      </c>
      <c r="L1117" s="80">
        <f>IF(C1117=0,0,ROUNDDOWN(K1117*C1117,1))</f>
        <v>6865</v>
      </c>
      <c r="M1117" s="22" t="s">
        <v>7055</v>
      </c>
      <c r="N1117" s="17" t="s">
        <v>7053</v>
      </c>
      <c r="O1117" s="7" t="s">
        <v>7054</v>
      </c>
      <c r="P1117" s="7" t="s">
        <v>6406</v>
      </c>
      <c r="Z1117" s="3" t="str">
        <f ca="1">HYPERLINK("#"&amp;일위대가목록표!J2&amp;"!A"&amp;ROW(일위대가목록표!A693),"대가690 →")</f>
        <v>대가690 →</v>
      </c>
    </row>
    <row r="1118" spans="1:26" ht="28.7" customHeight="1" x14ac:dyDescent="0.3">
      <c r="A1118" s="22" t="s">
        <v>6</v>
      </c>
      <c r="B1118" s="74"/>
      <c r="C1118" s="74"/>
      <c r="D1118" s="74"/>
      <c r="E1118" s="74"/>
      <c r="F1118" s="48">
        <f>J1118+H1118+L1118</f>
        <v>235710</v>
      </c>
      <c r="G1118" s="74"/>
      <c r="H1118" s="48">
        <f>ROUNDDOWN(SUMIF(P1117:P1117,O1118,H1117:H1117),0)</f>
        <v>228845</v>
      </c>
      <c r="I1118" s="74"/>
      <c r="J1118" s="48">
        <f>ROUNDDOWN(SUMIF(P1117:P1117,O1118,J1117:J1117),0)</f>
        <v>0</v>
      </c>
      <c r="K1118" s="74"/>
      <c r="L1118" s="48">
        <f>ROUNDDOWN(SUMIF(P1117:P1117,O1118,L1117:L1117),0)</f>
        <v>6865</v>
      </c>
      <c r="M1118" s="74"/>
      <c r="O1118" s="7" t="s">
        <v>6406</v>
      </c>
    </row>
    <row r="1119" spans="1:26" ht="28.7" customHeight="1" x14ac:dyDescent="0.3">
      <c r="A1119" s="73"/>
      <c r="B1119" s="73"/>
      <c r="C1119" s="73"/>
      <c r="D1119" s="73"/>
      <c r="E1119" s="73"/>
      <c r="F1119" s="73"/>
      <c r="G1119" s="73"/>
      <c r="H1119" s="73"/>
      <c r="I1119" s="73"/>
      <c r="J1119" s="73"/>
      <c r="K1119" s="73"/>
      <c r="L1119" s="73"/>
      <c r="M1119" s="73"/>
    </row>
    <row r="1120" spans="1:26" ht="28.7" customHeight="1" x14ac:dyDescent="0.3">
      <c r="A1120" s="136" t="s">
        <v>634</v>
      </c>
      <c r="B1120" s="127"/>
      <c r="C1120" s="127"/>
      <c r="D1120" s="127"/>
      <c r="E1120" s="127"/>
      <c r="F1120" s="127"/>
      <c r="G1120" s="127"/>
      <c r="H1120" s="127"/>
      <c r="I1120" s="127"/>
      <c r="J1120" s="127"/>
      <c r="K1120" s="127"/>
      <c r="L1120" s="144"/>
      <c r="M1120" s="22" t="s">
        <v>7217</v>
      </c>
      <c r="N1120" s="84" t="str">
        <f>HYPERLINK("#N"&amp;ROW(N1121),"_x0005_`BDCOD|B05294_x0007_`POSS|"&amp;ROW(N1121)&amp;"_x0007_`POSE|"&amp;ROW(N1121)&amp;"_x0007_`")</f>
        <v>_x0005_`BDCOD|B05294_x0007_`POSS|1121_x0007_`POSE|1121_x0007_`</v>
      </c>
      <c r="O1120" s="7" t="s">
        <v>7218</v>
      </c>
    </row>
    <row r="1121" spans="1:26" ht="28.7" customHeight="1" x14ac:dyDescent="0.3">
      <c r="A1121" s="10" t="s">
        <v>1690</v>
      </c>
      <c r="B1121" s="10" t="s">
        <v>1691</v>
      </c>
      <c r="C1121" s="75">
        <v>1</v>
      </c>
      <c r="D1121" s="31" t="s">
        <v>14</v>
      </c>
      <c r="E1121" s="55">
        <f>I1121+G1121+K1121</f>
        <v>260910</v>
      </c>
      <c r="F1121" s="76">
        <f>J1121+H1121+L1121</f>
        <v>260910</v>
      </c>
      <c r="G1121" s="78">
        <f>일위대가목록표!F660</f>
        <v>253311</v>
      </c>
      <c r="H1121" s="80">
        <f>IF(C1121=0,0,ROUNDDOWN(G1121*C1121,1))</f>
        <v>253311</v>
      </c>
      <c r="I1121" s="78">
        <f>일위대가목록표!G660</f>
        <v>0</v>
      </c>
      <c r="J1121" s="80">
        <f>IF(C1121=0,0,ROUNDDOWN(I1121*C1121,1))</f>
        <v>0</v>
      </c>
      <c r="K1121" s="78">
        <f>일위대가목록표!H660</f>
        <v>7599</v>
      </c>
      <c r="L1121" s="80">
        <f>IF(C1121=0,0,ROUNDDOWN(K1121*C1121,1))</f>
        <v>7599</v>
      </c>
      <c r="M1121" s="22" t="s">
        <v>6512</v>
      </c>
      <c r="N1121" s="17" t="s">
        <v>6510</v>
      </c>
      <c r="O1121" s="7" t="s">
        <v>6511</v>
      </c>
      <c r="P1121" s="7" t="s">
        <v>6406</v>
      </c>
      <c r="Z1121" s="3" t="str">
        <f ca="1">HYPERLINK("#"&amp;일위대가목록표!J2&amp;"!A"&amp;ROW(일위대가목록표!A660),"대가657 →")</f>
        <v>대가657 →</v>
      </c>
    </row>
    <row r="1122" spans="1:26" ht="28.7" customHeight="1" x14ac:dyDescent="0.3">
      <c r="A1122" s="22" t="s">
        <v>6</v>
      </c>
      <c r="B1122" s="74"/>
      <c r="C1122" s="74"/>
      <c r="D1122" s="74"/>
      <c r="E1122" s="74"/>
      <c r="F1122" s="48">
        <f>J1122+H1122+L1122</f>
        <v>260910</v>
      </c>
      <c r="G1122" s="74"/>
      <c r="H1122" s="48">
        <f>ROUNDDOWN(SUMIF(P1121:P1121,O1122,H1121:H1121),0)</f>
        <v>253311</v>
      </c>
      <c r="I1122" s="74"/>
      <c r="J1122" s="48">
        <f>ROUNDDOWN(SUMIF(P1121:P1121,O1122,J1121:J1121),0)</f>
        <v>0</v>
      </c>
      <c r="K1122" s="74"/>
      <c r="L1122" s="48">
        <f>ROUNDDOWN(SUMIF(P1121:P1121,O1122,L1121:L1121),0)</f>
        <v>7599</v>
      </c>
      <c r="M1122" s="74"/>
      <c r="O1122" s="7" t="s">
        <v>6406</v>
      </c>
    </row>
    <row r="1123" spans="1:26" ht="28.7" customHeight="1" x14ac:dyDescent="0.3">
      <c r="A1123" s="73"/>
      <c r="B1123" s="73"/>
      <c r="C1123" s="73"/>
      <c r="D1123" s="73"/>
      <c r="E1123" s="73"/>
      <c r="F1123" s="73"/>
      <c r="G1123" s="73"/>
      <c r="H1123" s="73"/>
      <c r="I1123" s="73"/>
      <c r="J1123" s="73"/>
      <c r="K1123" s="73"/>
      <c r="L1123" s="73"/>
      <c r="M1123" s="73"/>
    </row>
    <row r="1124" spans="1:26" ht="28.7" customHeight="1" x14ac:dyDescent="0.3">
      <c r="A1124" s="136" t="s">
        <v>636</v>
      </c>
      <c r="B1124" s="127"/>
      <c r="C1124" s="127"/>
      <c r="D1124" s="127"/>
      <c r="E1124" s="127"/>
      <c r="F1124" s="127"/>
      <c r="G1124" s="127"/>
      <c r="H1124" s="127"/>
      <c r="I1124" s="127"/>
      <c r="J1124" s="127"/>
      <c r="K1124" s="127"/>
      <c r="L1124" s="144"/>
      <c r="M1124" s="22" t="s">
        <v>7219</v>
      </c>
      <c r="N1124" s="84" t="str">
        <f>HYPERLINK("#N"&amp;ROW(N1125),"_x0005_`BDCOD|B05295_x0007_`POSS|"&amp;ROW(N1125)&amp;"_x0007_`POSE|"&amp;ROW(N1125)&amp;"_x0007_`")</f>
        <v>_x0005_`BDCOD|B05295_x0007_`POSS|1125_x0007_`POSE|1125_x0007_`</v>
      </c>
      <c r="O1124" s="7" t="s">
        <v>7220</v>
      </c>
    </row>
    <row r="1125" spans="1:26" ht="28.7" customHeight="1" x14ac:dyDescent="0.3">
      <c r="A1125" s="10" t="s">
        <v>1690</v>
      </c>
      <c r="B1125" s="10" t="s">
        <v>1700</v>
      </c>
      <c r="C1125" s="75">
        <v>1</v>
      </c>
      <c r="D1125" s="31" t="s">
        <v>14</v>
      </c>
      <c r="E1125" s="55">
        <f>I1125+G1125+K1125</f>
        <v>300644</v>
      </c>
      <c r="F1125" s="76">
        <f>J1125+H1125+L1125</f>
        <v>300644</v>
      </c>
      <c r="G1125" s="78">
        <f>일위대가목록표!F663</f>
        <v>291888</v>
      </c>
      <c r="H1125" s="80">
        <f>IF(C1125=0,0,ROUNDDOWN(G1125*C1125,1))</f>
        <v>291888</v>
      </c>
      <c r="I1125" s="78">
        <f>일위대가목록표!G663</f>
        <v>0</v>
      </c>
      <c r="J1125" s="80">
        <f>IF(C1125=0,0,ROUNDDOWN(I1125*C1125,1))</f>
        <v>0</v>
      </c>
      <c r="K1125" s="78">
        <f>일위대가목록표!H663</f>
        <v>8756</v>
      </c>
      <c r="L1125" s="80">
        <f>IF(C1125=0,0,ROUNDDOWN(K1125*C1125,1))</f>
        <v>8756</v>
      </c>
      <c r="M1125" s="22" t="s">
        <v>6517</v>
      </c>
      <c r="N1125" s="17" t="s">
        <v>6515</v>
      </c>
      <c r="O1125" s="7" t="s">
        <v>6516</v>
      </c>
      <c r="P1125" s="7" t="s">
        <v>6406</v>
      </c>
      <c r="Z1125" s="3" t="str">
        <f ca="1">HYPERLINK("#"&amp;일위대가목록표!J2&amp;"!A"&amp;ROW(일위대가목록표!A663),"대가660 →")</f>
        <v>대가660 →</v>
      </c>
    </row>
    <row r="1126" spans="1:26" ht="28.7" customHeight="1" x14ac:dyDescent="0.3">
      <c r="A1126" s="22" t="s">
        <v>6</v>
      </c>
      <c r="B1126" s="74"/>
      <c r="C1126" s="74"/>
      <c r="D1126" s="74"/>
      <c r="E1126" s="74"/>
      <c r="F1126" s="48">
        <f>J1126+H1126+L1126</f>
        <v>300644</v>
      </c>
      <c r="G1126" s="74"/>
      <c r="H1126" s="48">
        <f>ROUNDDOWN(SUMIF(P1125:P1125,O1126,H1125:H1125),0)</f>
        <v>291888</v>
      </c>
      <c r="I1126" s="74"/>
      <c r="J1126" s="48">
        <f>ROUNDDOWN(SUMIF(P1125:P1125,O1126,J1125:J1125),0)</f>
        <v>0</v>
      </c>
      <c r="K1126" s="74"/>
      <c r="L1126" s="48">
        <f>ROUNDDOWN(SUMIF(P1125:P1125,O1126,L1125:L1125),0)</f>
        <v>8756</v>
      </c>
      <c r="M1126" s="74"/>
      <c r="O1126" s="7" t="s">
        <v>6406</v>
      </c>
    </row>
    <row r="1127" spans="1:26" ht="28.7" customHeight="1" x14ac:dyDescent="0.3">
      <c r="A1127" s="73"/>
      <c r="B1127" s="73"/>
      <c r="C1127" s="73"/>
      <c r="D1127" s="73"/>
      <c r="E1127" s="73"/>
      <c r="F1127" s="73"/>
      <c r="G1127" s="73"/>
      <c r="H1127" s="73"/>
      <c r="I1127" s="73"/>
      <c r="J1127" s="73"/>
      <c r="K1127" s="73"/>
      <c r="L1127" s="73"/>
      <c r="M1127" s="73"/>
    </row>
    <row r="1128" spans="1:26" ht="28.7" customHeight="1" x14ac:dyDescent="0.3">
      <c r="A1128" s="136" t="s">
        <v>638</v>
      </c>
      <c r="B1128" s="127"/>
      <c r="C1128" s="127"/>
      <c r="D1128" s="127"/>
      <c r="E1128" s="127"/>
      <c r="F1128" s="127"/>
      <c r="G1128" s="127"/>
      <c r="H1128" s="127"/>
      <c r="I1128" s="127"/>
      <c r="J1128" s="127"/>
      <c r="K1128" s="127"/>
      <c r="L1128" s="144"/>
      <c r="M1128" s="22" t="s">
        <v>7221</v>
      </c>
      <c r="N1128" s="84" t="str">
        <f>HYPERLINK("#N"&amp;ROW(N1129),"_x0005_`BDCOD|B05296_x0007_`POSS|"&amp;ROW(N1129)&amp;"_x0007_`POSE|"&amp;ROW(N1129)&amp;"_x0007_`")</f>
        <v>_x0005_`BDCOD|B05296_x0007_`POSS|1129_x0007_`POSE|1129_x0007_`</v>
      </c>
      <c r="O1128" s="7" t="s">
        <v>7222</v>
      </c>
    </row>
    <row r="1129" spans="1:26" ht="28.7" customHeight="1" x14ac:dyDescent="0.3">
      <c r="A1129" s="10" t="s">
        <v>1690</v>
      </c>
      <c r="B1129" s="10" t="s">
        <v>1709</v>
      </c>
      <c r="C1129" s="75">
        <v>1</v>
      </c>
      <c r="D1129" s="31" t="s">
        <v>14</v>
      </c>
      <c r="E1129" s="55">
        <f>I1129+G1129+K1129</f>
        <v>345249</v>
      </c>
      <c r="F1129" s="76">
        <f>J1129+H1129+L1129</f>
        <v>345249</v>
      </c>
      <c r="G1129" s="78">
        <f>일위대가목록표!F666</f>
        <v>335194</v>
      </c>
      <c r="H1129" s="80">
        <f>IF(C1129=0,0,ROUNDDOWN(G1129*C1129,1))</f>
        <v>335194</v>
      </c>
      <c r="I1129" s="78">
        <f>일위대가목록표!G666</f>
        <v>0</v>
      </c>
      <c r="J1129" s="80">
        <f>IF(C1129=0,0,ROUNDDOWN(I1129*C1129,1))</f>
        <v>0</v>
      </c>
      <c r="K1129" s="78">
        <f>일위대가목록표!H666</f>
        <v>10055</v>
      </c>
      <c r="L1129" s="80">
        <f>IF(C1129=0,0,ROUNDDOWN(K1129*C1129,1))</f>
        <v>10055</v>
      </c>
      <c r="M1129" s="22" t="s">
        <v>6673</v>
      </c>
      <c r="N1129" s="17" t="s">
        <v>6671</v>
      </c>
      <c r="O1129" s="7" t="s">
        <v>6672</v>
      </c>
      <c r="P1129" s="7" t="s">
        <v>6406</v>
      </c>
      <c r="Z1129" s="3" t="str">
        <f ca="1">HYPERLINK("#"&amp;일위대가목록표!J2&amp;"!A"&amp;ROW(일위대가목록표!A666),"대가663 →")</f>
        <v>대가663 →</v>
      </c>
    </row>
    <row r="1130" spans="1:26" ht="28.7" customHeight="1" x14ac:dyDescent="0.3">
      <c r="A1130" s="22" t="s">
        <v>6</v>
      </c>
      <c r="B1130" s="74"/>
      <c r="C1130" s="74"/>
      <c r="D1130" s="74"/>
      <c r="E1130" s="74"/>
      <c r="F1130" s="48">
        <f>J1130+H1130+L1130</f>
        <v>345249</v>
      </c>
      <c r="G1130" s="74"/>
      <c r="H1130" s="48">
        <f>ROUNDDOWN(SUMIF(P1129:P1129,O1130,H1129:H1129),0)</f>
        <v>335194</v>
      </c>
      <c r="I1130" s="74"/>
      <c r="J1130" s="48">
        <f>ROUNDDOWN(SUMIF(P1129:P1129,O1130,J1129:J1129),0)</f>
        <v>0</v>
      </c>
      <c r="K1130" s="74"/>
      <c r="L1130" s="48">
        <f>ROUNDDOWN(SUMIF(P1129:P1129,O1130,L1129:L1129),0)</f>
        <v>10055</v>
      </c>
      <c r="M1130" s="74"/>
      <c r="O1130" s="7" t="s">
        <v>6406</v>
      </c>
    </row>
    <row r="1131" spans="1:26" ht="28.7" customHeight="1" x14ac:dyDescent="0.3">
      <c r="A1131" s="73"/>
      <c r="B1131" s="73"/>
      <c r="C1131" s="73"/>
      <c r="D1131" s="73"/>
      <c r="E1131" s="73"/>
      <c r="F1131" s="73"/>
      <c r="G1131" s="73"/>
      <c r="H1131" s="73"/>
      <c r="I1131" s="73"/>
      <c r="J1131" s="73"/>
      <c r="K1131" s="73"/>
      <c r="L1131" s="73"/>
      <c r="M1131" s="73"/>
    </row>
    <row r="1132" spans="1:26" ht="28.7" customHeight="1" x14ac:dyDescent="0.3">
      <c r="A1132" s="136" t="s">
        <v>640</v>
      </c>
      <c r="B1132" s="127"/>
      <c r="C1132" s="127"/>
      <c r="D1132" s="127"/>
      <c r="E1132" s="127"/>
      <c r="F1132" s="127"/>
      <c r="G1132" s="127"/>
      <c r="H1132" s="127"/>
      <c r="I1132" s="127"/>
      <c r="J1132" s="127"/>
      <c r="K1132" s="127"/>
      <c r="L1132" s="144"/>
      <c r="M1132" s="22" t="s">
        <v>7223</v>
      </c>
      <c r="N1132" s="84" t="str">
        <f>HYPERLINK("#N"&amp;ROW(N1133),"_x0005_`BDCOD|B05297_x0007_`POSS|"&amp;ROW(N1133)&amp;"_x0007_`POSE|"&amp;ROW(N1133)&amp;"_x0007_`")</f>
        <v>_x0005_`BDCOD|B05297_x0007_`POSS|1133_x0007_`POSE|1133_x0007_`</v>
      </c>
      <c r="O1132" s="7" t="s">
        <v>7224</v>
      </c>
    </row>
    <row r="1133" spans="1:26" ht="28.7" customHeight="1" x14ac:dyDescent="0.3">
      <c r="A1133" s="10" t="s">
        <v>1690</v>
      </c>
      <c r="B1133" s="10" t="s">
        <v>1718</v>
      </c>
      <c r="C1133" s="75">
        <v>1</v>
      </c>
      <c r="D1133" s="31" t="s">
        <v>14</v>
      </c>
      <c r="E1133" s="55">
        <f>I1133+G1133+K1133</f>
        <v>415977</v>
      </c>
      <c r="F1133" s="76">
        <f>J1133+H1133+L1133</f>
        <v>415977</v>
      </c>
      <c r="G1133" s="78">
        <f>일위대가목록표!F669</f>
        <v>403862</v>
      </c>
      <c r="H1133" s="80">
        <f>IF(C1133=0,0,ROUNDDOWN(G1133*C1133,1))</f>
        <v>403862</v>
      </c>
      <c r="I1133" s="78">
        <f>일위대가목록표!G669</f>
        <v>0</v>
      </c>
      <c r="J1133" s="80">
        <f>IF(C1133=0,0,ROUNDDOWN(I1133*C1133,1))</f>
        <v>0</v>
      </c>
      <c r="K1133" s="78">
        <f>일위대가목록표!H669</f>
        <v>12115</v>
      </c>
      <c r="L1133" s="80">
        <f>IF(C1133=0,0,ROUNDDOWN(K1133*C1133,1))</f>
        <v>12115</v>
      </c>
      <c r="M1133" s="22" t="s">
        <v>6678</v>
      </c>
      <c r="N1133" s="17" t="s">
        <v>6676</v>
      </c>
      <c r="O1133" s="7" t="s">
        <v>6677</v>
      </c>
      <c r="P1133" s="7" t="s">
        <v>6406</v>
      </c>
      <c r="Z1133" s="3" t="str">
        <f ca="1">HYPERLINK("#"&amp;일위대가목록표!J2&amp;"!A"&amp;ROW(일위대가목록표!A669),"대가666 →")</f>
        <v>대가666 →</v>
      </c>
    </row>
    <row r="1134" spans="1:26" ht="28.7" customHeight="1" x14ac:dyDescent="0.3">
      <c r="A1134" s="22" t="s">
        <v>6</v>
      </c>
      <c r="B1134" s="74"/>
      <c r="C1134" s="74"/>
      <c r="D1134" s="74"/>
      <c r="E1134" s="74"/>
      <c r="F1134" s="48">
        <f>J1134+H1134+L1134</f>
        <v>415977</v>
      </c>
      <c r="G1134" s="74"/>
      <c r="H1134" s="48">
        <f>ROUNDDOWN(SUMIF(P1133:P1133,O1134,H1133:H1133),0)</f>
        <v>403862</v>
      </c>
      <c r="I1134" s="74"/>
      <c r="J1134" s="48">
        <f>ROUNDDOWN(SUMIF(P1133:P1133,O1134,J1133:J1133),0)</f>
        <v>0</v>
      </c>
      <c r="K1134" s="74"/>
      <c r="L1134" s="48">
        <f>ROUNDDOWN(SUMIF(P1133:P1133,O1134,L1133:L1133),0)</f>
        <v>12115</v>
      </c>
      <c r="M1134" s="74"/>
      <c r="O1134" s="7" t="s">
        <v>6406</v>
      </c>
    </row>
    <row r="1135" spans="1:26" ht="28.7" customHeight="1" x14ac:dyDescent="0.3">
      <c r="A1135" s="73"/>
      <c r="B1135" s="73"/>
      <c r="C1135" s="73"/>
      <c r="D1135" s="73"/>
      <c r="E1135" s="73"/>
      <c r="F1135" s="73"/>
      <c r="G1135" s="73"/>
      <c r="H1135" s="73"/>
      <c r="I1135" s="73"/>
      <c r="J1135" s="73"/>
      <c r="K1135" s="73"/>
      <c r="L1135" s="73"/>
      <c r="M1135" s="73"/>
    </row>
    <row r="1136" spans="1:26" ht="28.7" customHeight="1" x14ac:dyDescent="0.3">
      <c r="A1136" s="136" t="s">
        <v>642</v>
      </c>
      <c r="B1136" s="127"/>
      <c r="C1136" s="127"/>
      <c r="D1136" s="127"/>
      <c r="E1136" s="127"/>
      <c r="F1136" s="127"/>
      <c r="G1136" s="127"/>
      <c r="H1136" s="127"/>
      <c r="I1136" s="127"/>
      <c r="J1136" s="127"/>
      <c r="K1136" s="127"/>
      <c r="L1136" s="144"/>
      <c r="M1136" s="22" t="s">
        <v>7225</v>
      </c>
      <c r="N1136" s="84" t="str">
        <f>HYPERLINK("#N"&amp;ROW(N1137),"_x0005_`BDCOD|B05298_x0007_`POSS|"&amp;ROW(N1137)&amp;"_x0007_`POSE|"&amp;ROW(N1137)&amp;"_x0007_`")</f>
        <v>_x0005_`BDCOD|B05298_x0007_`POSS|1137_x0007_`POSE|1137_x0007_`</v>
      </c>
      <c r="O1136" s="7" t="s">
        <v>7226</v>
      </c>
    </row>
    <row r="1137" spans="1:26" ht="28.7" customHeight="1" x14ac:dyDescent="0.3">
      <c r="A1137" s="10" t="s">
        <v>1690</v>
      </c>
      <c r="B1137" s="10" t="s">
        <v>1727</v>
      </c>
      <c r="C1137" s="75">
        <v>1</v>
      </c>
      <c r="D1137" s="31" t="s">
        <v>14</v>
      </c>
      <c r="E1137" s="55">
        <f>I1137+G1137+K1137</f>
        <v>524841</v>
      </c>
      <c r="F1137" s="76">
        <f>J1137+H1137+L1137</f>
        <v>524841</v>
      </c>
      <c r="G1137" s="78">
        <f>일위대가목록표!F672</f>
        <v>509555</v>
      </c>
      <c r="H1137" s="80">
        <f>IF(C1137=0,0,ROUNDDOWN(G1137*C1137,1))</f>
        <v>509555</v>
      </c>
      <c r="I1137" s="78">
        <f>일위대가목록표!G672</f>
        <v>0</v>
      </c>
      <c r="J1137" s="80">
        <f>IF(C1137=0,0,ROUNDDOWN(I1137*C1137,1))</f>
        <v>0</v>
      </c>
      <c r="K1137" s="78">
        <f>일위대가목록표!H672</f>
        <v>15286</v>
      </c>
      <c r="L1137" s="80">
        <f>IF(C1137=0,0,ROUNDDOWN(K1137*C1137,1))</f>
        <v>15286</v>
      </c>
      <c r="M1137" s="22" t="s">
        <v>6683</v>
      </c>
      <c r="N1137" s="17" t="s">
        <v>6681</v>
      </c>
      <c r="O1137" s="7" t="s">
        <v>6682</v>
      </c>
      <c r="P1137" s="7" t="s">
        <v>6406</v>
      </c>
      <c r="Z1137" s="3" t="str">
        <f ca="1">HYPERLINK("#"&amp;일위대가목록표!J2&amp;"!A"&amp;ROW(일위대가목록표!A672),"대가669 →")</f>
        <v>대가669 →</v>
      </c>
    </row>
    <row r="1138" spans="1:26" ht="28.7" customHeight="1" x14ac:dyDescent="0.3">
      <c r="A1138" s="22" t="s">
        <v>6</v>
      </c>
      <c r="B1138" s="74"/>
      <c r="C1138" s="74"/>
      <c r="D1138" s="74"/>
      <c r="E1138" s="74"/>
      <c r="F1138" s="48">
        <f>J1138+H1138+L1138</f>
        <v>524841</v>
      </c>
      <c r="G1138" s="74"/>
      <c r="H1138" s="48">
        <f>ROUNDDOWN(SUMIF(P1137:P1137,O1138,H1137:H1137),0)</f>
        <v>509555</v>
      </c>
      <c r="I1138" s="74"/>
      <c r="J1138" s="48">
        <f>ROUNDDOWN(SUMIF(P1137:P1137,O1138,J1137:J1137),0)</f>
        <v>0</v>
      </c>
      <c r="K1138" s="74"/>
      <c r="L1138" s="48">
        <f>ROUNDDOWN(SUMIF(P1137:P1137,O1138,L1137:L1137),0)</f>
        <v>15286</v>
      </c>
      <c r="M1138" s="74"/>
      <c r="O1138" s="7" t="s">
        <v>6406</v>
      </c>
    </row>
    <row r="1139" spans="1:26" ht="28.7" customHeight="1" x14ac:dyDescent="0.3">
      <c r="A1139" s="73"/>
      <c r="B1139" s="73"/>
      <c r="C1139" s="73"/>
      <c r="D1139" s="73"/>
      <c r="E1139" s="73"/>
      <c r="F1139" s="73"/>
      <c r="G1139" s="73"/>
      <c r="H1139" s="73"/>
      <c r="I1139" s="73"/>
      <c r="J1139" s="73"/>
      <c r="K1139" s="73"/>
      <c r="L1139" s="73"/>
      <c r="M1139" s="73"/>
    </row>
    <row r="1140" spans="1:26" ht="28.7" customHeight="1" x14ac:dyDescent="0.3">
      <c r="A1140" s="136" t="s">
        <v>644</v>
      </c>
      <c r="B1140" s="127"/>
      <c r="C1140" s="127"/>
      <c r="D1140" s="127"/>
      <c r="E1140" s="127"/>
      <c r="F1140" s="127"/>
      <c r="G1140" s="127"/>
      <c r="H1140" s="127"/>
      <c r="I1140" s="127"/>
      <c r="J1140" s="127"/>
      <c r="K1140" s="127"/>
      <c r="L1140" s="144"/>
      <c r="M1140" s="22" t="s">
        <v>7227</v>
      </c>
      <c r="N1140" s="84" t="str">
        <f>HYPERLINK("#N"&amp;ROW(N1141),"_x0005_`BDCOD|B05299_x0007_`POSS|"&amp;ROW(N1141)&amp;"_x0007_`POSE|"&amp;ROW(N1141)&amp;"_x0007_`")</f>
        <v>_x0005_`BDCOD|B05299_x0007_`POSS|1141_x0007_`POSE|1141_x0007_`</v>
      </c>
      <c r="O1140" s="7" t="s">
        <v>7228</v>
      </c>
    </row>
    <row r="1141" spans="1:26" ht="28.7" customHeight="1" x14ac:dyDescent="0.3">
      <c r="A1141" s="10" t="s">
        <v>1690</v>
      </c>
      <c r="B1141" s="10" t="s">
        <v>1736</v>
      </c>
      <c r="C1141" s="75">
        <v>1</v>
      </c>
      <c r="D1141" s="31" t="s">
        <v>14</v>
      </c>
      <c r="E1141" s="55">
        <f>I1141+G1141+K1141</f>
        <v>659579</v>
      </c>
      <c r="F1141" s="76">
        <f>J1141+H1141+L1141</f>
        <v>659579</v>
      </c>
      <c r="G1141" s="78">
        <f>일위대가목록표!F675</f>
        <v>640368</v>
      </c>
      <c r="H1141" s="80">
        <f>IF(C1141=0,0,ROUNDDOWN(G1141*C1141,1))</f>
        <v>640368</v>
      </c>
      <c r="I1141" s="78">
        <f>일위대가목록표!G675</f>
        <v>0</v>
      </c>
      <c r="J1141" s="80">
        <f>IF(C1141=0,0,ROUNDDOWN(I1141*C1141,1))</f>
        <v>0</v>
      </c>
      <c r="K1141" s="78">
        <f>일위대가목록표!H675</f>
        <v>19211</v>
      </c>
      <c r="L1141" s="80">
        <f>IF(C1141=0,0,ROUNDDOWN(K1141*C1141,1))</f>
        <v>19211</v>
      </c>
      <c r="M1141" s="22" t="s">
        <v>6688</v>
      </c>
      <c r="N1141" s="17" t="s">
        <v>6686</v>
      </c>
      <c r="O1141" s="7" t="s">
        <v>6687</v>
      </c>
      <c r="P1141" s="7" t="s">
        <v>6406</v>
      </c>
      <c r="Z1141" s="3" t="str">
        <f ca="1">HYPERLINK("#"&amp;일위대가목록표!J2&amp;"!A"&amp;ROW(일위대가목록표!A675),"대가672 →")</f>
        <v>대가672 →</v>
      </c>
    </row>
    <row r="1142" spans="1:26" ht="28.7" customHeight="1" x14ac:dyDescent="0.3">
      <c r="A1142" s="22" t="s">
        <v>6</v>
      </c>
      <c r="B1142" s="74"/>
      <c r="C1142" s="74"/>
      <c r="D1142" s="74"/>
      <c r="E1142" s="74"/>
      <c r="F1142" s="48">
        <f>J1142+H1142+L1142</f>
        <v>659579</v>
      </c>
      <c r="G1142" s="74"/>
      <c r="H1142" s="48">
        <f>ROUNDDOWN(SUMIF(P1141:P1141,O1142,H1141:H1141),0)</f>
        <v>640368</v>
      </c>
      <c r="I1142" s="74"/>
      <c r="J1142" s="48">
        <f>ROUNDDOWN(SUMIF(P1141:P1141,O1142,J1141:J1141),0)</f>
        <v>0</v>
      </c>
      <c r="K1142" s="74"/>
      <c r="L1142" s="48">
        <f>ROUNDDOWN(SUMIF(P1141:P1141,O1142,L1141:L1141),0)</f>
        <v>19211</v>
      </c>
      <c r="M1142" s="74"/>
      <c r="O1142" s="7" t="s">
        <v>6406</v>
      </c>
    </row>
    <row r="1143" spans="1:26" ht="28.7" customHeight="1" x14ac:dyDescent="0.3">
      <c r="A1143" s="73"/>
      <c r="B1143" s="73"/>
      <c r="C1143" s="73"/>
      <c r="D1143" s="73"/>
      <c r="E1143" s="73"/>
      <c r="F1143" s="73"/>
      <c r="G1143" s="73"/>
      <c r="H1143" s="73"/>
      <c r="I1143" s="73"/>
      <c r="J1143" s="73"/>
      <c r="K1143" s="73"/>
      <c r="L1143" s="73"/>
      <c r="M1143" s="73"/>
    </row>
    <row r="1144" spans="1:26" ht="28.7" customHeight="1" x14ac:dyDescent="0.3">
      <c r="A1144" s="136" t="s">
        <v>646</v>
      </c>
      <c r="B1144" s="127"/>
      <c r="C1144" s="127"/>
      <c r="D1144" s="127"/>
      <c r="E1144" s="127"/>
      <c r="F1144" s="127"/>
      <c r="G1144" s="127"/>
      <c r="H1144" s="127"/>
      <c r="I1144" s="127"/>
      <c r="J1144" s="127"/>
      <c r="K1144" s="127"/>
      <c r="L1144" s="144"/>
      <c r="M1144" s="22" t="s">
        <v>7229</v>
      </c>
      <c r="N1144" s="84" t="str">
        <f>HYPERLINK("#N"&amp;ROW(N1145),"_x0005_`BDCOD|B05300_x0007_`POSS|"&amp;ROW(N1145)&amp;"_x0007_`POSE|"&amp;ROW(N1145)&amp;"_x0007_`")</f>
        <v>_x0005_`BDCOD|B05300_x0007_`POSS|1145_x0007_`POSE|1145_x0007_`</v>
      </c>
      <c r="O1144" s="7" t="s">
        <v>7230</v>
      </c>
    </row>
    <row r="1145" spans="1:26" ht="28.7" customHeight="1" x14ac:dyDescent="0.3">
      <c r="A1145" s="10" t="s">
        <v>1690</v>
      </c>
      <c r="B1145" s="10" t="s">
        <v>1745</v>
      </c>
      <c r="C1145" s="75">
        <v>1</v>
      </c>
      <c r="D1145" s="31" t="s">
        <v>14</v>
      </c>
      <c r="E1145" s="55">
        <f>I1145+G1145+K1145</f>
        <v>700238</v>
      </c>
      <c r="F1145" s="76">
        <f>J1145+H1145+L1145</f>
        <v>700238</v>
      </c>
      <c r="G1145" s="78">
        <f>일위대가목록표!F678</f>
        <v>679843</v>
      </c>
      <c r="H1145" s="80">
        <f>IF(C1145=0,0,ROUNDDOWN(G1145*C1145,1))</f>
        <v>679843</v>
      </c>
      <c r="I1145" s="78">
        <f>일위대가목록표!G678</f>
        <v>0</v>
      </c>
      <c r="J1145" s="80">
        <f>IF(C1145=0,0,ROUNDDOWN(I1145*C1145,1))</f>
        <v>0</v>
      </c>
      <c r="K1145" s="78">
        <f>일위대가목록표!H678</f>
        <v>20395</v>
      </c>
      <c r="L1145" s="80">
        <f>IF(C1145=0,0,ROUNDDOWN(K1145*C1145,1))</f>
        <v>20395</v>
      </c>
      <c r="M1145" s="22" t="s">
        <v>6693</v>
      </c>
      <c r="N1145" s="17" t="s">
        <v>6691</v>
      </c>
      <c r="O1145" s="7" t="s">
        <v>6692</v>
      </c>
      <c r="P1145" s="7" t="s">
        <v>6406</v>
      </c>
      <c r="Z1145" s="3" t="str">
        <f ca="1">HYPERLINK("#"&amp;일위대가목록표!J2&amp;"!A"&amp;ROW(일위대가목록표!A678),"대가675 →")</f>
        <v>대가675 →</v>
      </c>
    </row>
    <row r="1146" spans="1:26" ht="28.7" customHeight="1" x14ac:dyDescent="0.3">
      <c r="A1146" s="22" t="s">
        <v>6</v>
      </c>
      <c r="B1146" s="74"/>
      <c r="C1146" s="74"/>
      <c r="D1146" s="74"/>
      <c r="E1146" s="74"/>
      <c r="F1146" s="48">
        <f>J1146+H1146+L1146</f>
        <v>700238</v>
      </c>
      <c r="G1146" s="74"/>
      <c r="H1146" s="48">
        <f>ROUNDDOWN(SUMIF(P1145:P1145,O1146,H1145:H1145),0)</f>
        <v>679843</v>
      </c>
      <c r="I1146" s="74"/>
      <c r="J1146" s="48">
        <f>ROUNDDOWN(SUMIF(P1145:P1145,O1146,J1145:J1145),0)</f>
        <v>0</v>
      </c>
      <c r="K1146" s="74"/>
      <c r="L1146" s="48">
        <f>ROUNDDOWN(SUMIF(P1145:P1145,O1146,L1145:L1145),0)</f>
        <v>20395</v>
      </c>
      <c r="M1146" s="74"/>
      <c r="O1146" s="7" t="s">
        <v>6406</v>
      </c>
    </row>
    <row r="1147" spans="1:26" ht="28.7" customHeight="1" x14ac:dyDescent="0.3">
      <c r="A1147" s="73"/>
      <c r="B1147" s="73"/>
      <c r="C1147" s="73"/>
      <c r="D1147" s="73"/>
      <c r="E1147" s="73"/>
      <c r="F1147" s="73"/>
      <c r="G1147" s="73"/>
      <c r="H1147" s="73"/>
      <c r="I1147" s="73"/>
      <c r="J1147" s="73"/>
      <c r="K1147" s="73"/>
      <c r="L1147" s="73"/>
      <c r="M1147" s="73"/>
    </row>
    <row r="1148" spans="1:26" ht="28.7" customHeight="1" x14ac:dyDescent="0.3">
      <c r="A1148" s="136" t="s">
        <v>648</v>
      </c>
      <c r="B1148" s="127"/>
      <c r="C1148" s="127"/>
      <c r="D1148" s="127"/>
      <c r="E1148" s="127"/>
      <c r="F1148" s="127"/>
      <c r="G1148" s="127"/>
      <c r="H1148" s="127"/>
      <c r="I1148" s="127"/>
      <c r="J1148" s="127"/>
      <c r="K1148" s="127"/>
      <c r="L1148" s="144"/>
      <c r="M1148" s="22" t="s">
        <v>7231</v>
      </c>
      <c r="N1148" s="84" t="str">
        <f>HYPERLINK("#N"&amp;ROW(N1149),"_x0005_`BDCOD|B05301_x0007_`POSS|"&amp;ROW(N1149)&amp;"_x0007_`POSE|"&amp;ROW(N1149)&amp;"_x0007_`")</f>
        <v>_x0005_`BDCOD|B05301_x0007_`POSS|1149_x0007_`POSE|1149_x0007_`</v>
      </c>
      <c r="O1148" s="7" t="s">
        <v>7232</v>
      </c>
    </row>
    <row r="1149" spans="1:26" ht="28.7" customHeight="1" x14ac:dyDescent="0.3">
      <c r="A1149" s="10" t="s">
        <v>1690</v>
      </c>
      <c r="B1149" s="10" t="s">
        <v>1754</v>
      </c>
      <c r="C1149" s="75">
        <v>1</v>
      </c>
      <c r="D1149" s="31" t="s">
        <v>14</v>
      </c>
      <c r="E1149" s="55">
        <f>I1149+G1149+K1149</f>
        <v>1131251</v>
      </c>
      <c r="F1149" s="76">
        <f>J1149+H1149+L1149</f>
        <v>1131251</v>
      </c>
      <c r="G1149" s="78">
        <f>일위대가목록표!F681</f>
        <v>1098302</v>
      </c>
      <c r="H1149" s="80">
        <f>IF(C1149=0,0,ROUNDDOWN(G1149*C1149,1))</f>
        <v>1098302</v>
      </c>
      <c r="I1149" s="78">
        <f>일위대가목록표!G681</f>
        <v>0</v>
      </c>
      <c r="J1149" s="80">
        <f>IF(C1149=0,0,ROUNDDOWN(I1149*C1149,1))</f>
        <v>0</v>
      </c>
      <c r="K1149" s="78">
        <f>일위대가목록표!H681</f>
        <v>32949</v>
      </c>
      <c r="L1149" s="80">
        <f>IF(C1149=0,0,ROUNDDOWN(K1149*C1149,1))</f>
        <v>32949</v>
      </c>
      <c r="M1149" s="22" t="s">
        <v>6698</v>
      </c>
      <c r="N1149" s="17" t="s">
        <v>6696</v>
      </c>
      <c r="O1149" s="7" t="s">
        <v>6697</v>
      </c>
      <c r="P1149" s="7" t="s">
        <v>6406</v>
      </c>
      <c r="Z1149" s="3" t="str">
        <f ca="1">HYPERLINK("#"&amp;일위대가목록표!J2&amp;"!A"&amp;ROW(일위대가목록표!A681),"대가678 →")</f>
        <v>대가678 →</v>
      </c>
    </row>
    <row r="1150" spans="1:26" ht="28.7" customHeight="1" x14ac:dyDescent="0.3">
      <c r="A1150" s="22" t="s">
        <v>6</v>
      </c>
      <c r="B1150" s="74"/>
      <c r="C1150" s="74"/>
      <c r="D1150" s="74"/>
      <c r="E1150" s="74"/>
      <c r="F1150" s="48">
        <f>J1150+H1150+L1150</f>
        <v>1131251</v>
      </c>
      <c r="G1150" s="74"/>
      <c r="H1150" s="48">
        <f>ROUNDDOWN(SUMIF(P1149:P1149,O1150,H1149:H1149),0)</f>
        <v>1098302</v>
      </c>
      <c r="I1150" s="74"/>
      <c r="J1150" s="48">
        <f>ROUNDDOWN(SUMIF(P1149:P1149,O1150,J1149:J1149),0)</f>
        <v>0</v>
      </c>
      <c r="K1150" s="74"/>
      <c r="L1150" s="48">
        <f>ROUNDDOWN(SUMIF(P1149:P1149,O1150,L1149:L1149),0)</f>
        <v>32949</v>
      </c>
      <c r="M1150" s="74"/>
      <c r="O1150" s="7" t="s">
        <v>6406</v>
      </c>
    </row>
    <row r="1151" spans="1:26" ht="28.7" customHeight="1" x14ac:dyDescent="0.3">
      <c r="A1151" s="73"/>
      <c r="B1151" s="73"/>
      <c r="C1151" s="73"/>
      <c r="D1151" s="73"/>
      <c r="E1151" s="73"/>
      <c r="F1151" s="73"/>
      <c r="G1151" s="73"/>
      <c r="H1151" s="73"/>
      <c r="I1151" s="73"/>
      <c r="J1151" s="73"/>
      <c r="K1151" s="73"/>
      <c r="L1151" s="73"/>
      <c r="M1151" s="73"/>
    </row>
    <row r="1152" spans="1:26" ht="28.7" customHeight="1" x14ac:dyDescent="0.3">
      <c r="A1152" s="136" t="s">
        <v>650</v>
      </c>
      <c r="B1152" s="127"/>
      <c r="C1152" s="127"/>
      <c r="D1152" s="127"/>
      <c r="E1152" s="127"/>
      <c r="F1152" s="127"/>
      <c r="G1152" s="127"/>
      <c r="H1152" s="127"/>
      <c r="I1152" s="127"/>
      <c r="J1152" s="127"/>
      <c r="K1152" s="127"/>
      <c r="L1152" s="144"/>
      <c r="M1152" s="22" t="s">
        <v>7233</v>
      </c>
      <c r="N1152" s="84" t="str">
        <f>HYPERLINK("#N"&amp;ROW(N1153),"_x0005_`BDCOD|B05302_x0007_`POSS|"&amp;ROW(N1153)&amp;"_x0007_`POSE|"&amp;ROW(N1153)&amp;"_x0007_`")</f>
        <v>_x0005_`BDCOD|B05302_x0007_`POSS|1153_x0007_`POSE|1153_x0007_`</v>
      </c>
      <c r="O1152" s="7" t="s">
        <v>7234</v>
      </c>
    </row>
    <row r="1153" spans="1:26" ht="28.7" customHeight="1" x14ac:dyDescent="0.3">
      <c r="A1153" s="10" t="s">
        <v>1690</v>
      </c>
      <c r="B1153" s="10" t="s">
        <v>1754</v>
      </c>
      <c r="C1153" s="75">
        <v>1</v>
      </c>
      <c r="D1153" s="31" t="s">
        <v>14</v>
      </c>
      <c r="E1153" s="55">
        <f>I1153+G1153+K1153</f>
        <v>1131251</v>
      </c>
      <c r="F1153" s="76">
        <f>J1153+H1153+L1153</f>
        <v>1131251</v>
      </c>
      <c r="G1153" s="78">
        <f>일위대가목록표!F681</f>
        <v>1098302</v>
      </c>
      <c r="H1153" s="80">
        <f>IF(C1153=0,0,ROUNDDOWN(G1153*C1153,1))</f>
        <v>1098302</v>
      </c>
      <c r="I1153" s="78">
        <f>일위대가목록표!G681</f>
        <v>0</v>
      </c>
      <c r="J1153" s="80">
        <f>IF(C1153=0,0,ROUNDDOWN(I1153*C1153,1))</f>
        <v>0</v>
      </c>
      <c r="K1153" s="78">
        <f>일위대가목록표!H681</f>
        <v>32949</v>
      </c>
      <c r="L1153" s="80">
        <f>IF(C1153=0,0,ROUNDDOWN(K1153*C1153,1))</f>
        <v>32949</v>
      </c>
      <c r="M1153" s="22" t="s">
        <v>6698</v>
      </c>
      <c r="N1153" s="17" t="s">
        <v>6696</v>
      </c>
      <c r="O1153" s="7" t="s">
        <v>6697</v>
      </c>
      <c r="P1153" s="7" t="s">
        <v>6406</v>
      </c>
      <c r="Z1153" s="3" t="str">
        <f ca="1">HYPERLINK("#"&amp;일위대가목록표!J2&amp;"!A"&amp;ROW(일위대가목록표!A681),"대가678 →")</f>
        <v>대가678 →</v>
      </c>
    </row>
    <row r="1154" spans="1:26" ht="28.7" customHeight="1" x14ac:dyDescent="0.3">
      <c r="A1154" s="22" t="s">
        <v>6</v>
      </c>
      <c r="B1154" s="74"/>
      <c r="C1154" s="74"/>
      <c r="D1154" s="74"/>
      <c r="E1154" s="74"/>
      <c r="F1154" s="48">
        <f>J1154+H1154+L1154</f>
        <v>1131251</v>
      </c>
      <c r="G1154" s="74"/>
      <c r="H1154" s="48">
        <f>ROUNDDOWN(SUMIF(P1153:P1153,O1154,H1153:H1153),0)</f>
        <v>1098302</v>
      </c>
      <c r="I1154" s="74"/>
      <c r="J1154" s="48">
        <f>ROUNDDOWN(SUMIF(P1153:P1153,O1154,J1153:J1153),0)</f>
        <v>0</v>
      </c>
      <c r="K1154" s="74"/>
      <c r="L1154" s="48">
        <f>ROUNDDOWN(SUMIF(P1153:P1153,O1154,L1153:L1153),0)</f>
        <v>32949</v>
      </c>
      <c r="M1154" s="74"/>
      <c r="O1154" s="7" t="s">
        <v>6406</v>
      </c>
    </row>
    <row r="1155" spans="1:26" ht="28.7" customHeight="1" x14ac:dyDescent="0.3">
      <c r="A1155" s="73"/>
      <c r="B1155" s="73"/>
      <c r="C1155" s="73"/>
      <c r="D1155" s="73"/>
      <c r="E1155" s="73"/>
      <c r="F1155" s="73"/>
      <c r="G1155" s="73"/>
      <c r="H1155" s="73"/>
      <c r="I1155" s="73"/>
      <c r="J1155" s="73"/>
      <c r="K1155" s="73"/>
      <c r="L1155" s="73"/>
      <c r="M1155" s="73"/>
    </row>
    <row r="1156" spans="1:26" ht="28.7" customHeight="1" x14ac:dyDescent="0.3">
      <c r="A1156" s="136" t="s">
        <v>652</v>
      </c>
      <c r="B1156" s="127"/>
      <c r="C1156" s="127"/>
      <c r="D1156" s="127"/>
      <c r="E1156" s="127"/>
      <c r="F1156" s="127"/>
      <c r="G1156" s="127"/>
      <c r="H1156" s="127"/>
      <c r="I1156" s="127"/>
      <c r="J1156" s="127"/>
      <c r="K1156" s="127"/>
      <c r="L1156" s="144"/>
      <c r="M1156" s="22" t="s">
        <v>7235</v>
      </c>
      <c r="N1156" s="84" t="str">
        <f>HYPERLINK("#N"&amp;ROW(N1157),"_x0005_`BDCOD|B05303_x0007_`POSS|"&amp;ROW(N1157)&amp;"_x0007_`POSE|"&amp;ROW(N1157)&amp;"_x0007_`")</f>
        <v>_x0005_`BDCOD|B05303_x0007_`POSS|1157_x0007_`POSE|1157_x0007_`</v>
      </c>
      <c r="O1156" s="7" t="s">
        <v>7236</v>
      </c>
    </row>
    <row r="1157" spans="1:26" ht="28.7" customHeight="1" x14ac:dyDescent="0.3">
      <c r="A1157" s="10" t="s">
        <v>1690</v>
      </c>
      <c r="B1157" s="10" t="s">
        <v>1763</v>
      </c>
      <c r="C1157" s="75">
        <v>1</v>
      </c>
      <c r="D1157" s="31" t="s">
        <v>14</v>
      </c>
      <c r="E1157" s="55">
        <f>I1157+G1157+K1157</f>
        <v>1460614</v>
      </c>
      <c r="F1157" s="76">
        <f>J1157+H1157+L1157</f>
        <v>1460614</v>
      </c>
      <c r="G1157" s="78">
        <f>일위대가목록표!F684</f>
        <v>1418072</v>
      </c>
      <c r="H1157" s="80">
        <f>IF(C1157=0,0,ROUNDDOWN(G1157*C1157,1))</f>
        <v>1418072</v>
      </c>
      <c r="I1157" s="78">
        <f>일위대가목록표!G684</f>
        <v>0</v>
      </c>
      <c r="J1157" s="80">
        <f>IF(C1157=0,0,ROUNDDOWN(I1157*C1157,1))</f>
        <v>0</v>
      </c>
      <c r="K1157" s="78">
        <f>일위대가목록표!H684</f>
        <v>42542</v>
      </c>
      <c r="L1157" s="80">
        <f>IF(C1157=0,0,ROUNDDOWN(K1157*C1157,1))</f>
        <v>42542</v>
      </c>
      <c r="M1157" s="22" t="s">
        <v>6703</v>
      </c>
      <c r="N1157" s="17" t="s">
        <v>6701</v>
      </c>
      <c r="O1157" s="7" t="s">
        <v>6702</v>
      </c>
      <c r="P1157" s="7" t="s">
        <v>6406</v>
      </c>
      <c r="Z1157" s="3" t="str">
        <f ca="1">HYPERLINK("#"&amp;일위대가목록표!J2&amp;"!A"&amp;ROW(일위대가목록표!A684),"대가681 →")</f>
        <v>대가681 →</v>
      </c>
    </row>
    <row r="1158" spans="1:26" ht="28.7" customHeight="1" x14ac:dyDescent="0.3">
      <c r="A1158" s="22" t="s">
        <v>6</v>
      </c>
      <c r="B1158" s="74"/>
      <c r="C1158" s="74"/>
      <c r="D1158" s="74"/>
      <c r="E1158" s="74"/>
      <c r="F1158" s="48">
        <f>J1158+H1158+L1158</f>
        <v>1460614</v>
      </c>
      <c r="G1158" s="74"/>
      <c r="H1158" s="48">
        <f>ROUNDDOWN(SUMIF(P1157:P1157,O1158,H1157:H1157),0)</f>
        <v>1418072</v>
      </c>
      <c r="I1158" s="74"/>
      <c r="J1158" s="48">
        <f>ROUNDDOWN(SUMIF(P1157:P1157,O1158,J1157:J1157),0)</f>
        <v>0</v>
      </c>
      <c r="K1158" s="74"/>
      <c r="L1158" s="48">
        <f>ROUNDDOWN(SUMIF(P1157:P1157,O1158,L1157:L1157),0)</f>
        <v>42542</v>
      </c>
      <c r="M1158" s="74"/>
      <c r="O1158" s="7" t="s">
        <v>6406</v>
      </c>
    </row>
    <row r="1159" spans="1:26" ht="28.7" customHeight="1" x14ac:dyDescent="0.3">
      <c r="A1159" s="73"/>
      <c r="B1159" s="73"/>
      <c r="C1159" s="73"/>
      <c r="D1159" s="73"/>
      <c r="E1159" s="73"/>
      <c r="F1159" s="73"/>
      <c r="G1159" s="73"/>
      <c r="H1159" s="73"/>
      <c r="I1159" s="73"/>
      <c r="J1159" s="73"/>
      <c r="K1159" s="73"/>
      <c r="L1159" s="73"/>
      <c r="M1159" s="73"/>
    </row>
    <row r="1160" spans="1:26" ht="28.7" customHeight="1" x14ac:dyDescent="0.3">
      <c r="A1160" s="136" t="s">
        <v>654</v>
      </c>
      <c r="B1160" s="127"/>
      <c r="C1160" s="127"/>
      <c r="D1160" s="127"/>
      <c r="E1160" s="127"/>
      <c r="F1160" s="127"/>
      <c r="G1160" s="127"/>
      <c r="H1160" s="127"/>
      <c r="I1160" s="127"/>
      <c r="J1160" s="127"/>
      <c r="K1160" s="127"/>
      <c r="L1160" s="144"/>
      <c r="M1160" s="22" t="s">
        <v>7237</v>
      </c>
      <c r="N1160" s="84" t="str">
        <f>HYPERLINK("#N"&amp;ROW(N1161),"_x0005_`BDCOD|B05304_x0007_`POSS|"&amp;ROW(N1161)&amp;"_x0007_`POSE|"&amp;ROW(N1161)&amp;"_x0007_`")</f>
        <v>_x0005_`BDCOD|B05304_x0007_`POSS|1161_x0007_`POSE|1161_x0007_`</v>
      </c>
      <c r="O1160" s="7" t="s">
        <v>7238</v>
      </c>
    </row>
    <row r="1161" spans="1:26" ht="28.7" customHeight="1" x14ac:dyDescent="0.3">
      <c r="A1161" s="10" t="s">
        <v>1690</v>
      </c>
      <c r="B1161" s="10" t="s">
        <v>1772</v>
      </c>
      <c r="C1161" s="75">
        <v>1</v>
      </c>
      <c r="D1161" s="31" t="s">
        <v>14</v>
      </c>
      <c r="E1161" s="55">
        <f>I1161+G1161+K1161</f>
        <v>2349863</v>
      </c>
      <c r="F1161" s="76">
        <f>J1161+H1161+L1161</f>
        <v>2349863</v>
      </c>
      <c r="G1161" s="78">
        <f>일위대가목록표!F687</f>
        <v>2281421</v>
      </c>
      <c r="H1161" s="80">
        <f>IF(C1161=0,0,ROUNDDOWN(G1161*C1161,1))</f>
        <v>2281421</v>
      </c>
      <c r="I1161" s="78">
        <f>일위대가목록표!G687</f>
        <v>0</v>
      </c>
      <c r="J1161" s="80">
        <f>IF(C1161=0,0,ROUNDDOWN(I1161*C1161,1))</f>
        <v>0</v>
      </c>
      <c r="K1161" s="78">
        <f>일위대가목록표!H687</f>
        <v>68442</v>
      </c>
      <c r="L1161" s="80">
        <f>IF(C1161=0,0,ROUNDDOWN(K1161*C1161,1))</f>
        <v>68442</v>
      </c>
      <c r="M1161" s="22" t="s">
        <v>6708</v>
      </c>
      <c r="N1161" s="17" t="s">
        <v>6706</v>
      </c>
      <c r="O1161" s="7" t="s">
        <v>6707</v>
      </c>
      <c r="P1161" s="7" t="s">
        <v>6406</v>
      </c>
      <c r="Z1161" s="3" t="str">
        <f ca="1">HYPERLINK("#"&amp;일위대가목록표!J2&amp;"!A"&amp;ROW(일위대가목록표!A687),"대가684 →")</f>
        <v>대가684 →</v>
      </c>
    </row>
    <row r="1162" spans="1:26" ht="28.7" customHeight="1" x14ac:dyDescent="0.3">
      <c r="A1162" s="22" t="s">
        <v>6</v>
      </c>
      <c r="B1162" s="74"/>
      <c r="C1162" s="74"/>
      <c r="D1162" s="74"/>
      <c r="E1162" s="74"/>
      <c r="F1162" s="48">
        <f>J1162+H1162+L1162</f>
        <v>2349863</v>
      </c>
      <c r="G1162" s="74"/>
      <c r="H1162" s="48">
        <f>ROUNDDOWN(SUMIF(P1161:P1161,O1162,H1161:H1161),0)</f>
        <v>2281421</v>
      </c>
      <c r="I1162" s="74"/>
      <c r="J1162" s="48">
        <f>ROUNDDOWN(SUMIF(P1161:P1161,O1162,J1161:J1161),0)</f>
        <v>0</v>
      </c>
      <c r="K1162" s="74"/>
      <c r="L1162" s="48">
        <f>ROUNDDOWN(SUMIF(P1161:P1161,O1162,L1161:L1161),0)</f>
        <v>68442</v>
      </c>
      <c r="M1162" s="74"/>
      <c r="O1162" s="7" t="s">
        <v>6406</v>
      </c>
    </row>
    <row r="1163" spans="1:26" ht="28.7" customHeight="1" x14ac:dyDescent="0.3">
      <c r="A1163" s="73"/>
      <c r="B1163" s="73"/>
      <c r="C1163" s="73"/>
      <c r="D1163" s="73"/>
      <c r="E1163" s="73"/>
      <c r="F1163" s="73"/>
      <c r="G1163" s="73"/>
      <c r="H1163" s="73"/>
      <c r="I1163" s="73"/>
      <c r="J1163" s="73"/>
      <c r="K1163" s="73"/>
      <c r="L1163" s="73"/>
      <c r="M1163" s="73"/>
    </row>
    <row r="1164" spans="1:26" ht="28.7" customHeight="1" x14ac:dyDescent="0.3">
      <c r="A1164" s="136" t="s">
        <v>656</v>
      </c>
      <c r="B1164" s="127"/>
      <c r="C1164" s="127"/>
      <c r="D1164" s="127"/>
      <c r="E1164" s="127"/>
      <c r="F1164" s="127"/>
      <c r="G1164" s="127"/>
      <c r="H1164" s="127"/>
      <c r="I1164" s="127"/>
      <c r="J1164" s="127"/>
      <c r="K1164" s="127"/>
      <c r="L1164" s="144"/>
      <c r="M1164" s="22" t="s">
        <v>7239</v>
      </c>
      <c r="N1164" s="84" t="str">
        <f>HYPERLINK("#N"&amp;ROW(N1165),"_x0005_`BDCOD|B05305_x0007_`POSS|"&amp;ROW(N1165)&amp;"_x0007_`POSE|"&amp;ROW(N1165)&amp;"_x0007_`")</f>
        <v>_x0005_`BDCOD|B05305_x0007_`POSS|1165_x0007_`POSE|1165_x0007_`</v>
      </c>
      <c r="O1164" s="7" t="s">
        <v>7240</v>
      </c>
    </row>
    <row r="1165" spans="1:26" ht="28.7" customHeight="1" x14ac:dyDescent="0.3">
      <c r="A1165" s="10" t="s">
        <v>1686</v>
      </c>
      <c r="B1165" s="10" t="s">
        <v>1787</v>
      </c>
      <c r="C1165" s="75">
        <v>1</v>
      </c>
      <c r="D1165" s="31" t="s">
        <v>14</v>
      </c>
      <c r="E1165" s="55">
        <f>I1165+G1165+K1165</f>
        <v>94284</v>
      </c>
      <c r="F1165" s="76">
        <f>J1165+H1165+L1165</f>
        <v>94284</v>
      </c>
      <c r="G1165" s="78">
        <f>일위대가목록표!F692</f>
        <v>91538</v>
      </c>
      <c r="H1165" s="80">
        <f>IF(C1165=0,0,ROUNDDOWN(G1165*C1165,1))</f>
        <v>91538</v>
      </c>
      <c r="I1165" s="78">
        <f>일위대가목록표!G692</f>
        <v>0</v>
      </c>
      <c r="J1165" s="80">
        <f>IF(C1165=0,0,ROUNDDOWN(I1165*C1165,1))</f>
        <v>0</v>
      </c>
      <c r="K1165" s="78">
        <f>일위대가목록표!H692</f>
        <v>2746</v>
      </c>
      <c r="L1165" s="80">
        <f>IF(C1165=0,0,ROUNDDOWN(K1165*C1165,1))</f>
        <v>2746</v>
      </c>
      <c r="M1165" s="22" t="s">
        <v>7073</v>
      </c>
      <c r="N1165" s="17" t="s">
        <v>7071</v>
      </c>
      <c r="O1165" s="7" t="s">
        <v>7072</v>
      </c>
      <c r="P1165" s="7" t="s">
        <v>6406</v>
      </c>
      <c r="Z1165" s="3" t="str">
        <f ca="1">HYPERLINK("#"&amp;일위대가목록표!J2&amp;"!A"&amp;ROW(일위대가목록표!A692),"대가689 →")</f>
        <v>대가689 →</v>
      </c>
    </row>
    <row r="1166" spans="1:26" ht="28.7" customHeight="1" x14ac:dyDescent="0.3">
      <c r="A1166" s="22" t="s">
        <v>6</v>
      </c>
      <c r="B1166" s="74"/>
      <c r="C1166" s="74"/>
      <c r="D1166" s="74"/>
      <c r="E1166" s="74"/>
      <c r="F1166" s="48">
        <f>J1166+H1166+L1166</f>
        <v>94284</v>
      </c>
      <c r="G1166" s="74"/>
      <c r="H1166" s="48">
        <f>ROUNDDOWN(SUMIF(P1165:P1165,O1166,H1165:H1165),0)</f>
        <v>91538</v>
      </c>
      <c r="I1166" s="74"/>
      <c r="J1166" s="48">
        <f>ROUNDDOWN(SUMIF(P1165:P1165,O1166,J1165:J1165),0)</f>
        <v>0</v>
      </c>
      <c r="K1166" s="74"/>
      <c r="L1166" s="48">
        <f>ROUNDDOWN(SUMIF(P1165:P1165,O1166,L1165:L1165),0)</f>
        <v>2746</v>
      </c>
      <c r="M1166" s="74"/>
      <c r="O1166" s="7" t="s">
        <v>6406</v>
      </c>
    </row>
    <row r="1167" spans="1:26" ht="28.7" customHeight="1" x14ac:dyDescent="0.3">
      <c r="A1167" s="73"/>
      <c r="B1167" s="73"/>
      <c r="C1167" s="73"/>
      <c r="D1167" s="73"/>
      <c r="E1167" s="73"/>
      <c r="F1167" s="73"/>
      <c r="G1167" s="73"/>
      <c r="H1167" s="73"/>
      <c r="I1167" s="73"/>
      <c r="J1167" s="73"/>
      <c r="K1167" s="73"/>
      <c r="L1167" s="73"/>
      <c r="M1167" s="73"/>
    </row>
    <row r="1168" spans="1:26" ht="28.7" customHeight="1" x14ac:dyDescent="0.3">
      <c r="A1168" s="136" t="s">
        <v>659</v>
      </c>
      <c r="B1168" s="127"/>
      <c r="C1168" s="127"/>
      <c r="D1168" s="127"/>
      <c r="E1168" s="127"/>
      <c r="F1168" s="127"/>
      <c r="G1168" s="127"/>
      <c r="H1168" s="127"/>
      <c r="I1168" s="127"/>
      <c r="J1168" s="127"/>
      <c r="K1168" s="127"/>
      <c r="L1168" s="144"/>
      <c r="M1168" s="22" t="s">
        <v>7241</v>
      </c>
      <c r="N1168" s="84" t="str">
        <f>HYPERLINK("#N"&amp;ROW(N1169),"_x0005_`BDCOD|B05306_x0007_`POSS|"&amp;ROW(N1169)&amp;"_x0007_`POSE|"&amp;ROW(N1169)&amp;"_x0007_`")</f>
        <v>_x0005_`BDCOD|B05306_x0007_`POSS|1169_x0007_`POSE|1169_x0007_`</v>
      </c>
      <c r="O1168" s="7" t="s">
        <v>7242</v>
      </c>
    </row>
    <row r="1169" spans="1:26" ht="28.7" customHeight="1" x14ac:dyDescent="0.3">
      <c r="A1169" s="10" t="s">
        <v>1686</v>
      </c>
      <c r="B1169" s="10" t="s">
        <v>1687</v>
      </c>
      <c r="C1169" s="75">
        <v>1</v>
      </c>
      <c r="D1169" s="31" t="s">
        <v>14</v>
      </c>
      <c r="E1169" s="55">
        <f>I1169+G1169+K1169</f>
        <v>104363</v>
      </c>
      <c r="F1169" s="76">
        <f>J1169+H1169+L1169</f>
        <v>104363</v>
      </c>
      <c r="G1169" s="78">
        <f>일위대가목록표!F659</f>
        <v>101324</v>
      </c>
      <c r="H1169" s="80">
        <f>IF(C1169=0,0,ROUNDDOWN(G1169*C1169,1))</f>
        <v>101324</v>
      </c>
      <c r="I1169" s="78">
        <f>일위대가목록표!G659</f>
        <v>0</v>
      </c>
      <c r="J1169" s="80">
        <f>IF(C1169=0,0,ROUNDDOWN(I1169*C1169,1))</f>
        <v>0</v>
      </c>
      <c r="K1169" s="78">
        <f>일위대가목록표!H659</f>
        <v>3039</v>
      </c>
      <c r="L1169" s="80">
        <f>IF(C1169=0,0,ROUNDDOWN(K1169*C1169,1))</f>
        <v>3039</v>
      </c>
      <c r="M1169" s="22" t="s">
        <v>6540</v>
      </c>
      <c r="N1169" s="17" t="s">
        <v>6538</v>
      </c>
      <c r="O1169" s="7" t="s">
        <v>6539</v>
      </c>
      <c r="P1169" s="7" t="s">
        <v>6406</v>
      </c>
      <c r="Z1169" s="3" t="str">
        <f ca="1">HYPERLINK("#"&amp;일위대가목록표!J2&amp;"!A"&amp;ROW(일위대가목록표!A659),"대가656 →")</f>
        <v>대가656 →</v>
      </c>
    </row>
    <row r="1170" spans="1:26" ht="28.7" customHeight="1" x14ac:dyDescent="0.3">
      <c r="A1170" s="22" t="s">
        <v>6</v>
      </c>
      <c r="B1170" s="74"/>
      <c r="C1170" s="74"/>
      <c r="D1170" s="74"/>
      <c r="E1170" s="74"/>
      <c r="F1170" s="48">
        <f>J1170+H1170+L1170</f>
        <v>104363</v>
      </c>
      <c r="G1170" s="74"/>
      <c r="H1170" s="48">
        <f>ROUNDDOWN(SUMIF(P1169:P1169,O1170,H1169:H1169),0)</f>
        <v>101324</v>
      </c>
      <c r="I1170" s="74"/>
      <c r="J1170" s="48">
        <f>ROUNDDOWN(SUMIF(P1169:P1169,O1170,J1169:J1169),0)</f>
        <v>0</v>
      </c>
      <c r="K1170" s="74"/>
      <c r="L1170" s="48">
        <f>ROUNDDOWN(SUMIF(P1169:P1169,O1170,L1169:L1169),0)</f>
        <v>3039</v>
      </c>
      <c r="M1170" s="74"/>
      <c r="O1170" s="7" t="s">
        <v>6406</v>
      </c>
    </row>
    <row r="1171" spans="1:26" ht="28.7" customHeight="1" x14ac:dyDescent="0.3">
      <c r="A1171" s="73"/>
      <c r="B1171" s="73"/>
      <c r="C1171" s="73"/>
      <c r="D1171" s="73"/>
      <c r="E1171" s="73"/>
      <c r="F1171" s="73"/>
      <c r="G1171" s="73"/>
      <c r="H1171" s="73"/>
      <c r="I1171" s="73"/>
      <c r="J1171" s="73"/>
      <c r="K1171" s="73"/>
      <c r="L1171" s="73"/>
      <c r="M1171" s="73"/>
    </row>
    <row r="1172" spans="1:26" ht="28.7" customHeight="1" x14ac:dyDescent="0.3">
      <c r="A1172" s="136" t="s">
        <v>661</v>
      </c>
      <c r="B1172" s="127"/>
      <c r="C1172" s="127"/>
      <c r="D1172" s="127"/>
      <c r="E1172" s="127"/>
      <c r="F1172" s="127"/>
      <c r="G1172" s="127"/>
      <c r="H1172" s="127"/>
      <c r="I1172" s="127"/>
      <c r="J1172" s="127"/>
      <c r="K1172" s="127"/>
      <c r="L1172" s="144"/>
      <c r="M1172" s="22" t="s">
        <v>7243</v>
      </c>
      <c r="N1172" s="84" t="str">
        <f>HYPERLINK("#N"&amp;ROW(N1173),"_x0005_`BDCOD|B05307_x0007_`POSS|"&amp;ROW(N1173)&amp;"_x0007_`POSE|"&amp;ROW(N1173)&amp;"_x0007_`")</f>
        <v>_x0005_`BDCOD|B05307_x0007_`POSS|1173_x0007_`POSE|1173_x0007_`</v>
      </c>
      <c r="O1172" s="7" t="s">
        <v>7244</v>
      </c>
    </row>
    <row r="1173" spans="1:26" ht="28.7" customHeight="1" x14ac:dyDescent="0.3">
      <c r="A1173" s="10" t="s">
        <v>1686</v>
      </c>
      <c r="B1173" s="10" t="s">
        <v>1697</v>
      </c>
      <c r="C1173" s="75">
        <v>1</v>
      </c>
      <c r="D1173" s="31" t="s">
        <v>14</v>
      </c>
      <c r="E1173" s="55">
        <f>I1173+G1173+K1173</f>
        <v>120257</v>
      </c>
      <c r="F1173" s="76">
        <f>J1173+H1173+L1173</f>
        <v>120257</v>
      </c>
      <c r="G1173" s="78">
        <f>일위대가목록표!F662</f>
        <v>116755</v>
      </c>
      <c r="H1173" s="80">
        <f>IF(C1173=0,0,ROUNDDOWN(G1173*C1173,1))</f>
        <v>116755</v>
      </c>
      <c r="I1173" s="78">
        <f>일위대가목록표!G662</f>
        <v>0</v>
      </c>
      <c r="J1173" s="80">
        <f>IF(C1173=0,0,ROUNDDOWN(I1173*C1173,1))</f>
        <v>0</v>
      </c>
      <c r="K1173" s="78">
        <f>일위대가목록표!H662</f>
        <v>3502</v>
      </c>
      <c r="L1173" s="80">
        <f>IF(C1173=0,0,ROUNDDOWN(K1173*C1173,1))</f>
        <v>3502</v>
      </c>
      <c r="M1173" s="22" t="s">
        <v>6545</v>
      </c>
      <c r="N1173" s="17" t="s">
        <v>6543</v>
      </c>
      <c r="O1173" s="7" t="s">
        <v>6544</v>
      </c>
      <c r="P1173" s="7" t="s">
        <v>6406</v>
      </c>
      <c r="Z1173" s="3" t="str">
        <f ca="1">HYPERLINK("#"&amp;일위대가목록표!J2&amp;"!A"&amp;ROW(일위대가목록표!A662),"대가659 →")</f>
        <v>대가659 →</v>
      </c>
    </row>
    <row r="1174" spans="1:26" ht="28.7" customHeight="1" x14ac:dyDescent="0.3">
      <c r="A1174" s="22" t="s">
        <v>6</v>
      </c>
      <c r="B1174" s="74"/>
      <c r="C1174" s="74"/>
      <c r="D1174" s="74"/>
      <c r="E1174" s="74"/>
      <c r="F1174" s="48">
        <f>J1174+H1174+L1174</f>
        <v>120257</v>
      </c>
      <c r="G1174" s="74"/>
      <c r="H1174" s="48">
        <f>ROUNDDOWN(SUMIF(P1173:P1173,O1174,H1173:H1173),0)</f>
        <v>116755</v>
      </c>
      <c r="I1174" s="74"/>
      <c r="J1174" s="48">
        <f>ROUNDDOWN(SUMIF(P1173:P1173,O1174,J1173:J1173),0)</f>
        <v>0</v>
      </c>
      <c r="K1174" s="74"/>
      <c r="L1174" s="48">
        <f>ROUNDDOWN(SUMIF(P1173:P1173,O1174,L1173:L1173),0)</f>
        <v>3502</v>
      </c>
      <c r="M1174" s="74"/>
      <c r="O1174" s="7" t="s">
        <v>6406</v>
      </c>
    </row>
    <row r="1175" spans="1:26" ht="28.7" customHeight="1" x14ac:dyDescent="0.3">
      <c r="A1175" s="73"/>
      <c r="B1175" s="73"/>
      <c r="C1175" s="73"/>
      <c r="D1175" s="73"/>
      <c r="E1175" s="73"/>
      <c r="F1175" s="73"/>
      <c r="G1175" s="73"/>
      <c r="H1175" s="73"/>
      <c r="I1175" s="73"/>
      <c r="J1175" s="73"/>
      <c r="K1175" s="73"/>
      <c r="L1175" s="73"/>
      <c r="M1175" s="73"/>
    </row>
    <row r="1176" spans="1:26" ht="28.7" customHeight="1" x14ac:dyDescent="0.3">
      <c r="A1176" s="136" t="s">
        <v>663</v>
      </c>
      <c r="B1176" s="127"/>
      <c r="C1176" s="127"/>
      <c r="D1176" s="127"/>
      <c r="E1176" s="127"/>
      <c r="F1176" s="127"/>
      <c r="G1176" s="127"/>
      <c r="H1176" s="127"/>
      <c r="I1176" s="127"/>
      <c r="J1176" s="127"/>
      <c r="K1176" s="127"/>
      <c r="L1176" s="144"/>
      <c r="M1176" s="22" t="s">
        <v>7245</v>
      </c>
      <c r="N1176" s="84" t="str">
        <f>HYPERLINK("#N"&amp;ROW(N1177),"_x0005_`BDCOD|B05308_x0007_`POSS|"&amp;ROW(N1177)&amp;"_x0007_`POSE|"&amp;ROW(N1177)&amp;"_x0007_`")</f>
        <v>_x0005_`BDCOD|B05308_x0007_`POSS|1177_x0007_`POSE|1177_x0007_`</v>
      </c>
      <c r="O1176" s="7" t="s">
        <v>7246</v>
      </c>
    </row>
    <row r="1177" spans="1:26" ht="28.7" customHeight="1" x14ac:dyDescent="0.3">
      <c r="A1177" s="10" t="s">
        <v>1686</v>
      </c>
      <c r="B1177" s="10" t="s">
        <v>1706</v>
      </c>
      <c r="C1177" s="75">
        <v>1</v>
      </c>
      <c r="D1177" s="31" t="s">
        <v>14</v>
      </c>
      <c r="E1177" s="55">
        <f>I1177+G1177+K1177</f>
        <v>138099</v>
      </c>
      <c r="F1177" s="76">
        <f>J1177+H1177+L1177</f>
        <v>138099</v>
      </c>
      <c r="G1177" s="78">
        <f>일위대가목록표!F665</f>
        <v>134077</v>
      </c>
      <c r="H1177" s="80">
        <f>IF(C1177=0,0,ROUNDDOWN(G1177*C1177,1))</f>
        <v>134077</v>
      </c>
      <c r="I1177" s="78">
        <f>일위대가목록표!G665</f>
        <v>0</v>
      </c>
      <c r="J1177" s="80">
        <f>IF(C1177=0,0,ROUNDDOWN(I1177*C1177,1))</f>
        <v>0</v>
      </c>
      <c r="K1177" s="78">
        <f>일위대가목록표!H665</f>
        <v>4022</v>
      </c>
      <c r="L1177" s="80">
        <f>IF(C1177=0,0,ROUNDDOWN(K1177*C1177,1))</f>
        <v>4022</v>
      </c>
      <c r="M1177" s="22" t="s">
        <v>6550</v>
      </c>
      <c r="N1177" s="17" t="s">
        <v>6548</v>
      </c>
      <c r="O1177" s="7" t="s">
        <v>6549</v>
      </c>
      <c r="P1177" s="7" t="s">
        <v>6406</v>
      </c>
      <c r="Z1177" s="3" t="str">
        <f ca="1">HYPERLINK("#"&amp;일위대가목록표!J2&amp;"!A"&amp;ROW(일위대가목록표!A665),"대가662 →")</f>
        <v>대가662 →</v>
      </c>
    </row>
    <row r="1178" spans="1:26" ht="28.7" customHeight="1" x14ac:dyDescent="0.3">
      <c r="A1178" s="22" t="s">
        <v>6</v>
      </c>
      <c r="B1178" s="74"/>
      <c r="C1178" s="74"/>
      <c r="D1178" s="74"/>
      <c r="E1178" s="74"/>
      <c r="F1178" s="48">
        <f>J1178+H1178+L1178</f>
        <v>138099</v>
      </c>
      <c r="G1178" s="74"/>
      <c r="H1178" s="48">
        <f>ROUNDDOWN(SUMIF(P1177:P1177,O1178,H1177:H1177),0)</f>
        <v>134077</v>
      </c>
      <c r="I1178" s="74"/>
      <c r="J1178" s="48">
        <f>ROUNDDOWN(SUMIF(P1177:P1177,O1178,J1177:J1177),0)</f>
        <v>0</v>
      </c>
      <c r="K1178" s="74"/>
      <c r="L1178" s="48">
        <f>ROUNDDOWN(SUMIF(P1177:P1177,O1178,L1177:L1177),0)</f>
        <v>4022</v>
      </c>
      <c r="M1178" s="74"/>
      <c r="O1178" s="7" t="s">
        <v>6406</v>
      </c>
    </row>
    <row r="1179" spans="1:26" ht="28.7" customHeight="1" x14ac:dyDescent="0.3">
      <c r="A1179" s="73"/>
      <c r="B1179" s="73"/>
      <c r="C1179" s="73"/>
      <c r="D1179" s="73"/>
      <c r="E1179" s="73"/>
      <c r="F1179" s="73"/>
      <c r="G1179" s="73"/>
      <c r="H1179" s="73"/>
      <c r="I1179" s="73"/>
      <c r="J1179" s="73"/>
      <c r="K1179" s="73"/>
      <c r="L1179" s="73"/>
      <c r="M1179" s="73"/>
    </row>
    <row r="1180" spans="1:26" ht="28.7" customHeight="1" x14ac:dyDescent="0.3">
      <c r="A1180" s="136" t="s">
        <v>665</v>
      </c>
      <c r="B1180" s="127"/>
      <c r="C1180" s="127"/>
      <c r="D1180" s="127"/>
      <c r="E1180" s="127"/>
      <c r="F1180" s="127"/>
      <c r="G1180" s="127"/>
      <c r="H1180" s="127"/>
      <c r="I1180" s="127"/>
      <c r="J1180" s="127"/>
      <c r="K1180" s="127"/>
      <c r="L1180" s="144"/>
      <c r="M1180" s="22" t="s">
        <v>7247</v>
      </c>
      <c r="N1180" s="84" t="str">
        <f>HYPERLINK("#N"&amp;ROW(N1181),"_x0005_`BDCOD|B05309_x0007_`POSS|"&amp;ROW(N1181)&amp;"_x0007_`POSE|"&amp;ROW(N1181)&amp;"_x0007_`")</f>
        <v>_x0005_`BDCOD|B05309_x0007_`POSS|1181_x0007_`POSE|1181_x0007_`</v>
      </c>
      <c r="O1180" s="7" t="s">
        <v>7248</v>
      </c>
    </row>
    <row r="1181" spans="1:26" ht="28.7" customHeight="1" x14ac:dyDescent="0.3">
      <c r="A1181" s="10" t="s">
        <v>1686</v>
      </c>
      <c r="B1181" s="10" t="s">
        <v>1715</v>
      </c>
      <c r="C1181" s="75">
        <v>1</v>
      </c>
      <c r="D1181" s="31" t="s">
        <v>14</v>
      </c>
      <c r="E1181" s="55">
        <f>I1181+G1181+K1181</f>
        <v>166390</v>
      </c>
      <c r="F1181" s="76">
        <f>J1181+H1181+L1181</f>
        <v>166390</v>
      </c>
      <c r="G1181" s="78">
        <f>일위대가목록표!F668</f>
        <v>161544</v>
      </c>
      <c r="H1181" s="80">
        <f>IF(C1181=0,0,ROUNDDOWN(G1181*C1181,1))</f>
        <v>161544</v>
      </c>
      <c r="I1181" s="78">
        <f>일위대가목록표!G668</f>
        <v>0</v>
      </c>
      <c r="J1181" s="80">
        <f>IF(C1181=0,0,ROUNDDOWN(I1181*C1181,1))</f>
        <v>0</v>
      </c>
      <c r="K1181" s="78">
        <f>일위대가목록표!H668</f>
        <v>4846</v>
      </c>
      <c r="L1181" s="80">
        <f>IF(C1181=0,0,ROUNDDOWN(K1181*C1181,1))</f>
        <v>4846</v>
      </c>
      <c r="M1181" s="22" t="s">
        <v>6555</v>
      </c>
      <c r="N1181" s="17" t="s">
        <v>6553</v>
      </c>
      <c r="O1181" s="7" t="s">
        <v>6554</v>
      </c>
      <c r="P1181" s="7" t="s">
        <v>6406</v>
      </c>
      <c r="Z1181" s="3" t="str">
        <f ca="1">HYPERLINK("#"&amp;일위대가목록표!J2&amp;"!A"&amp;ROW(일위대가목록표!A668),"대가665 →")</f>
        <v>대가665 →</v>
      </c>
    </row>
    <row r="1182" spans="1:26" ht="28.7" customHeight="1" x14ac:dyDescent="0.3">
      <c r="A1182" s="22" t="s">
        <v>6</v>
      </c>
      <c r="B1182" s="74"/>
      <c r="C1182" s="74"/>
      <c r="D1182" s="74"/>
      <c r="E1182" s="74"/>
      <c r="F1182" s="48">
        <f>J1182+H1182+L1182</f>
        <v>166390</v>
      </c>
      <c r="G1182" s="74"/>
      <c r="H1182" s="48">
        <f>ROUNDDOWN(SUMIF(P1181:P1181,O1182,H1181:H1181),0)</f>
        <v>161544</v>
      </c>
      <c r="I1182" s="74"/>
      <c r="J1182" s="48">
        <f>ROUNDDOWN(SUMIF(P1181:P1181,O1182,J1181:J1181),0)</f>
        <v>0</v>
      </c>
      <c r="K1182" s="74"/>
      <c r="L1182" s="48">
        <f>ROUNDDOWN(SUMIF(P1181:P1181,O1182,L1181:L1181),0)</f>
        <v>4846</v>
      </c>
      <c r="M1182" s="74"/>
      <c r="O1182" s="7" t="s">
        <v>6406</v>
      </c>
    </row>
    <row r="1183" spans="1:26" ht="28.7" customHeight="1" x14ac:dyDescent="0.3">
      <c r="A1183" s="73"/>
      <c r="B1183" s="73"/>
      <c r="C1183" s="73"/>
      <c r="D1183" s="73"/>
      <c r="E1183" s="73"/>
      <c r="F1183" s="73"/>
      <c r="G1183" s="73"/>
      <c r="H1183" s="73"/>
      <c r="I1183" s="73"/>
      <c r="J1183" s="73"/>
      <c r="K1183" s="73"/>
      <c r="L1183" s="73"/>
      <c r="M1183" s="73"/>
    </row>
    <row r="1184" spans="1:26" ht="28.7" customHeight="1" x14ac:dyDescent="0.3">
      <c r="A1184" s="136" t="s">
        <v>667</v>
      </c>
      <c r="B1184" s="127"/>
      <c r="C1184" s="127"/>
      <c r="D1184" s="127"/>
      <c r="E1184" s="127"/>
      <c r="F1184" s="127"/>
      <c r="G1184" s="127"/>
      <c r="H1184" s="127"/>
      <c r="I1184" s="127"/>
      <c r="J1184" s="127"/>
      <c r="K1184" s="127"/>
      <c r="L1184" s="144"/>
      <c r="M1184" s="22" t="s">
        <v>7249</v>
      </c>
      <c r="N1184" s="84" t="str">
        <f>HYPERLINK("#N"&amp;ROW(N1185),"_x0005_`BDCOD|B05310_x0007_`POSS|"&amp;ROW(N1185)&amp;"_x0007_`POSE|"&amp;ROW(N1185)&amp;"_x0007_`")</f>
        <v>_x0005_`BDCOD|B05310_x0007_`POSS|1185_x0007_`POSE|1185_x0007_`</v>
      </c>
      <c r="O1184" s="7" t="s">
        <v>7250</v>
      </c>
    </row>
    <row r="1185" spans="1:26" ht="28.7" customHeight="1" x14ac:dyDescent="0.3">
      <c r="A1185" s="10" t="s">
        <v>1686</v>
      </c>
      <c r="B1185" s="10" t="s">
        <v>1724</v>
      </c>
      <c r="C1185" s="75">
        <v>1</v>
      </c>
      <c r="D1185" s="31" t="s">
        <v>14</v>
      </c>
      <c r="E1185" s="55">
        <f>I1185+G1185+K1185</f>
        <v>209936</v>
      </c>
      <c r="F1185" s="76">
        <f>J1185+H1185+L1185</f>
        <v>209936</v>
      </c>
      <c r="G1185" s="78">
        <f>일위대가목록표!F671</f>
        <v>203822</v>
      </c>
      <c r="H1185" s="80">
        <f>IF(C1185=0,0,ROUNDDOWN(G1185*C1185,1))</f>
        <v>203822</v>
      </c>
      <c r="I1185" s="78">
        <f>일위대가목록표!G671</f>
        <v>0</v>
      </c>
      <c r="J1185" s="80">
        <f>IF(C1185=0,0,ROUNDDOWN(I1185*C1185,1))</f>
        <v>0</v>
      </c>
      <c r="K1185" s="78">
        <f>일위대가목록표!H671</f>
        <v>6114</v>
      </c>
      <c r="L1185" s="80">
        <f>IF(C1185=0,0,ROUNDDOWN(K1185*C1185,1))</f>
        <v>6114</v>
      </c>
      <c r="M1185" s="22" t="s">
        <v>6560</v>
      </c>
      <c r="N1185" s="17" t="s">
        <v>6558</v>
      </c>
      <c r="O1185" s="7" t="s">
        <v>6559</v>
      </c>
      <c r="P1185" s="7" t="s">
        <v>6406</v>
      </c>
      <c r="Z1185" s="3" t="str">
        <f ca="1">HYPERLINK("#"&amp;일위대가목록표!J2&amp;"!A"&amp;ROW(일위대가목록표!A671),"대가668 →")</f>
        <v>대가668 →</v>
      </c>
    </row>
    <row r="1186" spans="1:26" ht="28.7" customHeight="1" x14ac:dyDescent="0.3">
      <c r="A1186" s="22" t="s">
        <v>6</v>
      </c>
      <c r="B1186" s="74"/>
      <c r="C1186" s="74"/>
      <c r="D1186" s="74"/>
      <c r="E1186" s="74"/>
      <c r="F1186" s="48">
        <f>J1186+H1186+L1186</f>
        <v>209936</v>
      </c>
      <c r="G1186" s="74"/>
      <c r="H1186" s="48">
        <f>ROUNDDOWN(SUMIF(P1185:P1185,O1186,H1185:H1185),0)</f>
        <v>203822</v>
      </c>
      <c r="I1186" s="74"/>
      <c r="J1186" s="48">
        <f>ROUNDDOWN(SUMIF(P1185:P1185,O1186,J1185:J1185),0)</f>
        <v>0</v>
      </c>
      <c r="K1186" s="74"/>
      <c r="L1186" s="48">
        <f>ROUNDDOWN(SUMIF(P1185:P1185,O1186,L1185:L1185),0)</f>
        <v>6114</v>
      </c>
      <c r="M1186" s="74"/>
      <c r="O1186" s="7" t="s">
        <v>6406</v>
      </c>
    </row>
    <row r="1187" spans="1:26" ht="28.7" customHeight="1" x14ac:dyDescent="0.3">
      <c r="A1187" s="73"/>
      <c r="B1187" s="73"/>
      <c r="C1187" s="73"/>
      <c r="D1187" s="73"/>
      <c r="E1187" s="73"/>
      <c r="F1187" s="73"/>
      <c r="G1187" s="73"/>
      <c r="H1187" s="73"/>
      <c r="I1187" s="73"/>
      <c r="J1187" s="73"/>
      <c r="K1187" s="73"/>
      <c r="L1187" s="73"/>
      <c r="M1187" s="73"/>
    </row>
    <row r="1188" spans="1:26" ht="28.7" customHeight="1" x14ac:dyDescent="0.3">
      <c r="A1188" s="136" t="s">
        <v>669</v>
      </c>
      <c r="B1188" s="127"/>
      <c r="C1188" s="127"/>
      <c r="D1188" s="127"/>
      <c r="E1188" s="127"/>
      <c r="F1188" s="127"/>
      <c r="G1188" s="127"/>
      <c r="H1188" s="127"/>
      <c r="I1188" s="127"/>
      <c r="J1188" s="127"/>
      <c r="K1188" s="127"/>
      <c r="L1188" s="144"/>
      <c r="M1188" s="22" t="s">
        <v>7251</v>
      </c>
      <c r="N1188" s="84" t="str">
        <f>HYPERLINK("#N"&amp;ROW(N1189),"_x0005_`BDCOD|B05311_x0007_`POSS|"&amp;ROW(N1189)&amp;"_x0007_`POSE|"&amp;ROW(N1189)&amp;"_x0007_`")</f>
        <v>_x0005_`BDCOD|B05311_x0007_`POSS|1189_x0007_`POSE|1189_x0007_`</v>
      </c>
      <c r="O1188" s="7" t="s">
        <v>7252</v>
      </c>
    </row>
    <row r="1189" spans="1:26" ht="28.7" customHeight="1" x14ac:dyDescent="0.3">
      <c r="A1189" s="10" t="s">
        <v>1686</v>
      </c>
      <c r="B1189" s="10" t="s">
        <v>1733</v>
      </c>
      <c r="C1189" s="75">
        <v>1</v>
      </c>
      <c r="D1189" s="31" t="s">
        <v>14</v>
      </c>
      <c r="E1189" s="55">
        <f>I1189+G1189+K1189</f>
        <v>263831</v>
      </c>
      <c r="F1189" s="76">
        <f>J1189+H1189+L1189</f>
        <v>263831</v>
      </c>
      <c r="G1189" s="78">
        <f>일위대가목록표!F674</f>
        <v>256147</v>
      </c>
      <c r="H1189" s="80">
        <f>IF(C1189=0,0,ROUNDDOWN(G1189*C1189,1))</f>
        <v>256147</v>
      </c>
      <c r="I1189" s="78">
        <f>일위대가목록표!G674</f>
        <v>0</v>
      </c>
      <c r="J1189" s="80">
        <f>IF(C1189=0,0,ROUNDDOWN(I1189*C1189,1))</f>
        <v>0</v>
      </c>
      <c r="K1189" s="78">
        <f>일위대가목록표!H674</f>
        <v>7684</v>
      </c>
      <c r="L1189" s="80">
        <f>IF(C1189=0,0,ROUNDDOWN(K1189*C1189,1))</f>
        <v>7684</v>
      </c>
      <c r="M1189" s="22" t="s">
        <v>6565</v>
      </c>
      <c r="N1189" s="17" t="s">
        <v>6563</v>
      </c>
      <c r="O1189" s="7" t="s">
        <v>6564</v>
      </c>
      <c r="P1189" s="7" t="s">
        <v>6406</v>
      </c>
      <c r="Z1189" s="3" t="str">
        <f ca="1">HYPERLINK("#"&amp;일위대가목록표!J2&amp;"!A"&amp;ROW(일위대가목록표!A674),"대가671 →")</f>
        <v>대가671 →</v>
      </c>
    </row>
    <row r="1190" spans="1:26" ht="28.7" customHeight="1" x14ac:dyDescent="0.3">
      <c r="A1190" s="22" t="s">
        <v>6</v>
      </c>
      <c r="B1190" s="74"/>
      <c r="C1190" s="74"/>
      <c r="D1190" s="74"/>
      <c r="E1190" s="74"/>
      <c r="F1190" s="48">
        <f>J1190+H1190+L1190</f>
        <v>263831</v>
      </c>
      <c r="G1190" s="74"/>
      <c r="H1190" s="48">
        <f>ROUNDDOWN(SUMIF(P1189:P1189,O1190,H1189:H1189),0)</f>
        <v>256147</v>
      </c>
      <c r="I1190" s="74"/>
      <c r="J1190" s="48">
        <f>ROUNDDOWN(SUMIF(P1189:P1189,O1190,J1189:J1189),0)</f>
        <v>0</v>
      </c>
      <c r="K1190" s="74"/>
      <c r="L1190" s="48">
        <f>ROUNDDOWN(SUMIF(P1189:P1189,O1190,L1189:L1189),0)</f>
        <v>7684</v>
      </c>
      <c r="M1190" s="74"/>
      <c r="O1190" s="7" t="s">
        <v>6406</v>
      </c>
    </row>
    <row r="1191" spans="1:26" ht="28.7" customHeight="1" x14ac:dyDescent="0.3">
      <c r="A1191" s="73"/>
      <c r="B1191" s="73"/>
      <c r="C1191" s="73"/>
      <c r="D1191" s="73"/>
      <c r="E1191" s="73"/>
      <c r="F1191" s="73"/>
      <c r="G1191" s="73"/>
      <c r="H1191" s="73"/>
      <c r="I1191" s="73"/>
      <c r="J1191" s="73"/>
      <c r="K1191" s="73"/>
      <c r="L1191" s="73"/>
      <c r="M1191" s="73"/>
    </row>
    <row r="1192" spans="1:26" ht="28.7" customHeight="1" x14ac:dyDescent="0.3">
      <c r="A1192" s="136" t="s">
        <v>671</v>
      </c>
      <c r="B1192" s="127"/>
      <c r="C1192" s="127"/>
      <c r="D1192" s="127"/>
      <c r="E1192" s="127"/>
      <c r="F1192" s="127"/>
      <c r="G1192" s="127"/>
      <c r="H1192" s="127"/>
      <c r="I1192" s="127"/>
      <c r="J1192" s="127"/>
      <c r="K1192" s="127"/>
      <c r="L1192" s="144"/>
      <c r="M1192" s="22" t="s">
        <v>7253</v>
      </c>
      <c r="N1192" s="84" t="str">
        <f>HYPERLINK("#N"&amp;ROW(N1193),"_x0005_`BDCOD|B05312_x0007_`POSS|"&amp;ROW(N1193)&amp;"_x0007_`POSE|"&amp;ROW(N1193)&amp;"_x0007_`")</f>
        <v>_x0005_`BDCOD|B05312_x0007_`POSS|1193_x0007_`POSE|1193_x0007_`</v>
      </c>
      <c r="O1192" s="7" t="s">
        <v>7254</v>
      </c>
    </row>
    <row r="1193" spans="1:26" ht="28.7" customHeight="1" x14ac:dyDescent="0.3">
      <c r="A1193" s="10" t="s">
        <v>1686</v>
      </c>
      <c r="B1193" s="10" t="s">
        <v>1742</v>
      </c>
      <c r="C1193" s="75">
        <v>1</v>
      </c>
      <c r="D1193" s="31" t="s">
        <v>14</v>
      </c>
      <c r="E1193" s="55">
        <f>I1193+G1193+K1193</f>
        <v>280095</v>
      </c>
      <c r="F1193" s="76">
        <f>J1193+H1193+L1193</f>
        <v>280095</v>
      </c>
      <c r="G1193" s="78">
        <f>일위대가목록표!F677</f>
        <v>271937</v>
      </c>
      <c r="H1193" s="80">
        <f>IF(C1193=0,0,ROUNDDOWN(G1193*C1193,1))</f>
        <v>271937</v>
      </c>
      <c r="I1193" s="78">
        <f>일위대가목록표!G677</f>
        <v>0</v>
      </c>
      <c r="J1193" s="80">
        <f>IF(C1193=0,0,ROUNDDOWN(I1193*C1193,1))</f>
        <v>0</v>
      </c>
      <c r="K1193" s="78">
        <f>일위대가목록표!H677</f>
        <v>8158</v>
      </c>
      <c r="L1193" s="80">
        <f>IF(C1193=0,0,ROUNDDOWN(K1193*C1193,1))</f>
        <v>8158</v>
      </c>
      <c r="M1193" s="22" t="s">
        <v>6570</v>
      </c>
      <c r="N1193" s="17" t="s">
        <v>6568</v>
      </c>
      <c r="O1193" s="7" t="s">
        <v>6569</v>
      </c>
      <c r="P1193" s="7" t="s">
        <v>6406</v>
      </c>
      <c r="Z1193" s="3" t="str">
        <f ca="1">HYPERLINK("#"&amp;일위대가목록표!J2&amp;"!A"&amp;ROW(일위대가목록표!A677),"대가674 →")</f>
        <v>대가674 →</v>
      </c>
    </row>
    <row r="1194" spans="1:26" ht="28.7" customHeight="1" x14ac:dyDescent="0.3">
      <c r="A1194" s="22" t="s">
        <v>6</v>
      </c>
      <c r="B1194" s="74"/>
      <c r="C1194" s="74"/>
      <c r="D1194" s="74"/>
      <c r="E1194" s="74"/>
      <c r="F1194" s="48">
        <f>J1194+H1194+L1194</f>
        <v>280095</v>
      </c>
      <c r="G1194" s="74"/>
      <c r="H1194" s="48">
        <f>ROUNDDOWN(SUMIF(P1193:P1193,O1194,H1193:H1193),0)</f>
        <v>271937</v>
      </c>
      <c r="I1194" s="74"/>
      <c r="J1194" s="48">
        <f>ROUNDDOWN(SUMIF(P1193:P1193,O1194,J1193:J1193),0)</f>
        <v>0</v>
      </c>
      <c r="K1194" s="74"/>
      <c r="L1194" s="48">
        <f>ROUNDDOWN(SUMIF(P1193:P1193,O1194,L1193:L1193),0)</f>
        <v>8158</v>
      </c>
      <c r="M1194" s="74"/>
      <c r="O1194" s="7" t="s">
        <v>6406</v>
      </c>
    </row>
    <row r="1195" spans="1:26" ht="28.7" customHeight="1" x14ac:dyDescent="0.3">
      <c r="A1195" s="73"/>
      <c r="B1195" s="73"/>
      <c r="C1195" s="73"/>
      <c r="D1195" s="73"/>
      <c r="E1195" s="73"/>
      <c r="F1195" s="73"/>
      <c r="G1195" s="73"/>
      <c r="H1195" s="73"/>
      <c r="I1195" s="73"/>
      <c r="J1195" s="73"/>
      <c r="K1195" s="73"/>
      <c r="L1195" s="73"/>
      <c r="M1195" s="73"/>
    </row>
    <row r="1196" spans="1:26" ht="28.7" customHeight="1" x14ac:dyDescent="0.3">
      <c r="A1196" s="136" t="s">
        <v>673</v>
      </c>
      <c r="B1196" s="127"/>
      <c r="C1196" s="127"/>
      <c r="D1196" s="127"/>
      <c r="E1196" s="127"/>
      <c r="F1196" s="127"/>
      <c r="G1196" s="127"/>
      <c r="H1196" s="127"/>
      <c r="I1196" s="127"/>
      <c r="J1196" s="127"/>
      <c r="K1196" s="127"/>
      <c r="L1196" s="144"/>
      <c r="M1196" s="22" t="s">
        <v>7255</v>
      </c>
      <c r="N1196" s="84" t="str">
        <f>HYPERLINK("#N"&amp;ROW(N1197),"_x0005_`BDCOD|B05313_x0007_`POSS|"&amp;ROW(N1197)&amp;"_x0007_`POSE|"&amp;ROW(N1197)&amp;"_x0007_`")</f>
        <v>_x0005_`BDCOD|B05313_x0007_`POSS|1197_x0007_`POSE|1197_x0007_`</v>
      </c>
      <c r="O1196" s="7" t="s">
        <v>7256</v>
      </c>
    </row>
    <row r="1197" spans="1:26" ht="28.7" customHeight="1" x14ac:dyDescent="0.3">
      <c r="A1197" s="10" t="s">
        <v>1686</v>
      </c>
      <c r="B1197" s="10" t="s">
        <v>1751</v>
      </c>
      <c r="C1197" s="75">
        <v>1</v>
      </c>
      <c r="D1197" s="31" t="s">
        <v>14</v>
      </c>
      <c r="E1197" s="55">
        <f>I1197+G1197+K1197</f>
        <v>452499</v>
      </c>
      <c r="F1197" s="76">
        <f>J1197+H1197+L1197</f>
        <v>452499</v>
      </c>
      <c r="G1197" s="78">
        <f>일위대가목록표!F680</f>
        <v>439320</v>
      </c>
      <c r="H1197" s="80">
        <f>IF(C1197=0,0,ROUNDDOWN(G1197*C1197,1))</f>
        <v>439320</v>
      </c>
      <c r="I1197" s="78">
        <f>일위대가목록표!G680</f>
        <v>0</v>
      </c>
      <c r="J1197" s="80">
        <f>IF(C1197=0,0,ROUNDDOWN(I1197*C1197,1))</f>
        <v>0</v>
      </c>
      <c r="K1197" s="78">
        <f>일위대가목록표!H680</f>
        <v>13179</v>
      </c>
      <c r="L1197" s="80">
        <f>IF(C1197=0,0,ROUNDDOWN(K1197*C1197,1))</f>
        <v>13179</v>
      </c>
      <c r="M1197" s="22" t="s">
        <v>6575</v>
      </c>
      <c r="N1197" s="17" t="s">
        <v>6573</v>
      </c>
      <c r="O1197" s="7" t="s">
        <v>6574</v>
      </c>
      <c r="P1197" s="7" t="s">
        <v>6406</v>
      </c>
      <c r="Z1197" s="3" t="str">
        <f ca="1">HYPERLINK("#"&amp;일위대가목록표!J2&amp;"!A"&amp;ROW(일위대가목록표!A680),"대가677 →")</f>
        <v>대가677 →</v>
      </c>
    </row>
    <row r="1198" spans="1:26" ht="28.7" customHeight="1" x14ac:dyDescent="0.3">
      <c r="A1198" s="22" t="s">
        <v>6</v>
      </c>
      <c r="B1198" s="74"/>
      <c r="C1198" s="74"/>
      <c r="D1198" s="74"/>
      <c r="E1198" s="74"/>
      <c r="F1198" s="48">
        <f>J1198+H1198+L1198</f>
        <v>452499</v>
      </c>
      <c r="G1198" s="74"/>
      <c r="H1198" s="48">
        <f>ROUNDDOWN(SUMIF(P1197:P1197,O1198,H1197:H1197),0)</f>
        <v>439320</v>
      </c>
      <c r="I1198" s="74"/>
      <c r="J1198" s="48">
        <f>ROUNDDOWN(SUMIF(P1197:P1197,O1198,J1197:J1197),0)</f>
        <v>0</v>
      </c>
      <c r="K1198" s="74"/>
      <c r="L1198" s="48">
        <f>ROUNDDOWN(SUMIF(P1197:P1197,O1198,L1197:L1197),0)</f>
        <v>13179</v>
      </c>
      <c r="M1198" s="74"/>
      <c r="O1198" s="7" t="s">
        <v>6406</v>
      </c>
    </row>
    <row r="1199" spans="1:26" ht="28.7" customHeight="1" x14ac:dyDescent="0.3">
      <c r="A1199" s="73"/>
      <c r="B1199" s="73"/>
      <c r="C1199" s="73"/>
      <c r="D1199" s="73"/>
      <c r="E1199" s="73"/>
      <c r="F1199" s="73"/>
      <c r="G1199" s="73"/>
      <c r="H1199" s="73"/>
      <c r="I1199" s="73"/>
      <c r="J1199" s="73"/>
      <c r="K1199" s="73"/>
      <c r="L1199" s="73"/>
      <c r="M1199" s="73"/>
    </row>
    <row r="1200" spans="1:26" ht="28.7" customHeight="1" x14ac:dyDescent="0.3">
      <c r="A1200" s="136" t="s">
        <v>675</v>
      </c>
      <c r="B1200" s="127"/>
      <c r="C1200" s="127"/>
      <c r="D1200" s="127"/>
      <c r="E1200" s="127"/>
      <c r="F1200" s="127"/>
      <c r="G1200" s="127"/>
      <c r="H1200" s="127"/>
      <c r="I1200" s="127"/>
      <c r="J1200" s="127"/>
      <c r="K1200" s="127"/>
      <c r="L1200" s="144"/>
      <c r="M1200" s="22" t="s">
        <v>7257</v>
      </c>
      <c r="N1200" s="84" t="str">
        <f>HYPERLINK("#N"&amp;ROW(N1201),"_x0005_`BDCOD|B05314_x0007_`POSS|"&amp;ROW(N1201)&amp;"_x0007_`POSE|"&amp;ROW(N1201)&amp;"_x0007_`")</f>
        <v>_x0005_`BDCOD|B05314_x0007_`POSS|1201_x0007_`POSE|1201_x0007_`</v>
      </c>
      <c r="O1200" s="7" t="s">
        <v>7258</v>
      </c>
    </row>
    <row r="1201" spans="1:26" ht="28.7" customHeight="1" x14ac:dyDescent="0.3">
      <c r="A1201" s="10" t="s">
        <v>1686</v>
      </c>
      <c r="B1201" s="10" t="s">
        <v>1751</v>
      </c>
      <c r="C1201" s="75">
        <v>1</v>
      </c>
      <c r="D1201" s="31" t="s">
        <v>14</v>
      </c>
      <c r="E1201" s="55">
        <f>I1201+G1201+K1201</f>
        <v>452499</v>
      </c>
      <c r="F1201" s="76">
        <f>J1201+H1201+L1201</f>
        <v>452499</v>
      </c>
      <c r="G1201" s="78">
        <f>일위대가목록표!F680</f>
        <v>439320</v>
      </c>
      <c r="H1201" s="80">
        <f>IF(C1201=0,0,ROUNDDOWN(G1201*C1201,1))</f>
        <v>439320</v>
      </c>
      <c r="I1201" s="78">
        <f>일위대가목록표!G680</f>
        <v>0</v>
      </c>
      <c r="J1201" s="80">
        <f>IF(C1201=0,0,ROUNDDOWN(I1201*C1201,1))</f>
        <v>0</v>
      </c>
      <c r="K1201" s="78">
        <f>일위대가목록표!H680</f>
        <v>13179</v>
      </c>
      <c r="L1201" s="80">
        <f>IF(C1201=0,0,ROUNDDOWN(K1201*C1201,1))</f>
        <v>13179</v>
      </c>
      <c r="M1201" s="22" t="s">
        <v>6575</v>
      </c>
      <c r="N1201" s="17" t="s">
        <v>6573</v>
      </c>
      <c r="O1201" s="7" t="s">
        <v>6574</v>
      </c>
      <c r="P1201" s="7" t="s">
        <v>6406</v>
      </c>
      <c r="Z1201" s="3" t="str">
        <f ca="1">HYPERLINK("#"&amp;일위대가목록표!J2&amp;"!A"&amp;ROW(일위대가목록표!A680),"대가677 →")</f>
        <v>대가677 →</v>
      </c>
    </row>
    <row r="1202" spans="1:26" ht="28.7" customHeight="1" x14ac:dyDescent="0.3">
      <c r="A1202" s="22" t="s">
        <v>6</v>
      </c>
      <c r="B1202" s="74"/>
      <c r="C1202" s="74"/>
      <c r="D1202" s="74"/>
      <c r="E1202" s="74"/>
      <c r="F1202" s="48">
        <f>J1202+H1202+L1202</f>
        <v>452499</v>
      </c>
      <c r="G1202" s="74"/>
      <c r="H1202" s="48">
        <f>ROUNDDOWN(SUMIF(P1201:P1201,O1202,H1201:H1201),0)</f>
        <v>439320</v>
      </c>
      <c r="I1202" s="74"/>
      <c r="J1202" s="48">
        <f>ROUNDDOWN(SUMIF(P1201:P1201,O1202,J1201:J1201),0)</f>
        <v>0</v>
      </c>
      <c r="K1202" s="74"/>
      <c r="L1202" s="48">
        <f>ROUNDDOWN(SUMIF(P1201:P1201,O1202,L1201:L1201),0)</f>
        <v>13179</v>
      </c>
      <c r="M1202" s="74"/>
      <c r="O1202" s="7" t="s">
        <v>6406</v>
      </c>
    </row>
    <row r="1203" spans="1:26" ht="28.7" customHeight="1" x14ac:dyDescent="0.3">
      <c r="A1203" s="73"/>
      <c r="B1203" s="73"/>
      <c r="C1203" s="73"/>
      <c r="D1203" s="73"/>
      <c r="E1203" s="73"/>
      <c r="F1203" s="73"/>
      <c r="G1203" s="73"/>
      <c r="H1203" s="73"/>
      <c r="I1203" s="73"/>
      <c r="J1203" s="73"/>
      <c r="K1203" s="73"/>
      <c r="L1203" s="73"/>
      <c r="M1203" s="73"/>
    </row>
    <row r="1204" spans="1:26" ht="28.7" customHeight="1" x14ac:dyDescent="0.3">
      <c r="A1204" s="136" t="s">
        <v>677</v>
      </c>
      <c r="B1204" s="127"/>
      <c r="C1204" s="127"/>
      <c r="D1204" s="127"/>
      <c r="E1204" s="127"/>
      <c r="F1204" s="127"/>
      <c r="G1204" s="127"/>
      <c r="H1204" s="127"/>
      <c r="I1204" s="127"/>
      <c r="J1204" s="127"/>
      <c r="K1204" s="127"/>
      <c r="L1204" s="144"/>
      <c r="M1204" s="22" t="s">
        <v>7259</v>
      </c>
      <c r="N1204" s="84" t="str">
        <f>HYPERLINK("#N"&amp;ROW(N1205),"_x0005_`BDCOD|B05315_x0007_`POSS|"&amp;ROW(N1205)&amp;"_x0007_`POSE|"&amp;ROW(N1205)&amp;"_x0007_`")</f>
        <v>_x0005_`BDCOD|B05315_x0007_`POSS|1205_x0007_`POSE|1205_x0007_`</v>
      </c>
      <c r="O1204" s="7" t="s">
        <v>7260</v>
      </c>
    </row>
    <row r="1205" spans="1:26" ht="28.7" customHeight="1" x14ac:dyDescent="0.3">
      <c r="A1205" s="10" t="s">
        <v>1686</v>
      </c>
      <c r="B1205" s="10" t="s">
        <v>1760</v>
      </c>
      <c r="C1205" s="75">
        <v>1</v>
      </c>
      <c r="D1205" s="31" t="s">
        <v>14</v>
      </c>
      <c r="E1205" s="55">
        <f>I1205+G1205+K1205</f>
        <v>584244</v>
      </c>
      <c r="F1205" s="76">
        <f>J1205+H1205+L1205</f>
        <v>584244</v>
      </c>
      <c r="G1205" s="78">
        <f>일위대가목록표!F683</f>
        <v>567228</v>
      </c>
      <c r="H1205" s="80">
        <f>IF(C1205=0,0,ROUNDDOWN(G1205*C1205,1))</f>
        <v>567228</v>
      </c>
      <c r="I1205" s="78">
        <f>일위대가목록표!G683</f>
        <v>0</v>
      </c>
      <c r="J1205" s="80">
        <f>IF(C1205=0,0,ROUNDDOWN(I1205*C1205,1))</f>
        <v>0</v>
      </c>
      <c r="K1205" s="78">
        <f>일위대가목록표!H683</f>
        <v>17016</v>
      </c>
      <c r="L1205" s="80">
        <f>IF(C1205=0,0,ROUNDDOWN(K1205*C1205,1))</f>
        <v>17016</v>
      </c>
      <c r="M1205" s="22" t="s">
        <v>6580</v>
      </c>
      <c r="N1205" s="17" t="s">
        <v>6578</v>
      </c>
      <c r="O1205" s="7" t="s">
        <v>6579</v>
      </c>
      <c r="P1205" s="7" t="s">
        <v>6406</v>
      </c>
      <c r="Z1205" s="3" t="str">
        <f ca="1">HYPERLINK("#"&amp;일위대가목록표!J2&amp;"!A"&amp;ROW(일위대가목록표!A683),"대가680 →")</f>
        <v>대가680 →</v>
      </c>
    </row>
    <row r="1206" spans="1:26" ht="28.7" customHeight="1" x14ac:dyDescent="0.3">
      <c r="A1206" s="22" t="s">
        <v>6</v>
      </c>
      <c r="B1206" s="74"/>
      <c r="C1206" s="74"/>
      <c r="D1206" s="74"/>
      <c r="E1206" s="74"/>
      <c r="F1206" s="48">
        <f>J1206+H1206+L1206</f>
        <v>584244</v>
      </c>
      <c r="G1206" s="74"/>
      <c r="H1206" s="48">
        <f>ROUNDDOWN(SUMIF(P1205:P1205,O1206,H1205:H1205),0)</f>
        <v>567228</v>
      </c>
      <c r="I1206" s="74"/>
      <c r="J1206" s="48">
        <f>ROUNDDOWN(SUMIF(P1205:P1205,O1206,J1205:J1205),0)</f>
        <v>0</v>
      </c>
      <c r="K1206" s="74"/>
      <c r="L1206" s="48">
        <f>ROUNDDOWN(SUMIF(P1205:P1205,O1206,L1205:L1205),0)</f>
        <v>17016</v>
      </c>
      <c r="M1206" s="74"/>
      <c r="O1206" s="7" t="s">
        <v>6406</v>
      </c>
    </row>
    <row r="1207" spans="1:26" ht="28.7" customHeight="1" x14ac:dyDescent="0.3">
      <c r="A1207" s="73"/>
      <c r="B1207" s="73"/>
      <c r="C1207" s="73"/>
      <c r="D1207" s="73"/>
      <c r="E1207" s="73"/>
      <c r="F1207" s="73"/>
      <c r="G1207" s="73"/>
      <c r="H1207" s="73"/>
      <c r="I1207" s="73"/>
      <c r="J1207" s="73"/>
      <c r="K1207" s="73"/>
      <c r="L1207" s="73"/>
      <c r="M1207" s="73"/>
    </row>
    <row r="1208" spans="1:26" ht="28.7" customHeight="1" x14ac:dyDescent="0.3">
      <c r="A1208" s="136" t="s">
        <v>679</v>
      </c>
      <c r="B1208" s="127"/>
      <c r="C1208" s="127"/>
      <c r="D1208" s="127"/>
      <c r="E1208" s="127"/>
      <c r="F1208" s="127"/>
      <c r="G1208" s="127"/>
      <c r="H1208" s="127"/>
      <c r="I1208" s="127"/>
      <c r="J1208" s="127"/>
      <c r="K1208" s="127"/>
      <c r="L1208" s="144"/>
      <c r="M1208" s="22" t="s">
        <v>7261</v>
      </c>
      <c r="N1208" s="84" t="str">
        <f>HYPERLINK("#N"&amp;ROW(N1209),"_x0005_`BDCOD|B05316_x0007_`POSS|"&amp;ROW(N1209)&amp;"_x0007_`POSE|"&amp;ROW(N1209)&amp;"_x0007_`")</f>
        <v>_x0005_`BDCOD|B05316_x0007_`POSS|1209_x0007_`POSE|1209_x0007_`</v>
      </c>
      <c r="O1208" s="7" t="s">
        <v>7262</v>
      </c>
    </row>
    <row r="1209" spans="1:26" ht="28.7" customHeight="1" x14ac:dyDescent="0.3">
      <c r="A1209" s="10" t="s">
        <v>1686</v>
      </c>
      <c r="B1209" s="10" t="s">
        <v>1769</v>
      </c>
      <c r="C1209" s="75">
        <v>1</v>
      </c>
      <c r="D1209" s="31" t="s">
        <v>14</v>
      </c>
      <c r="E1209" s="55">
        <f>I1209+G1209+K1209</f>
        <v>939944</v>
      </c>
      <c r="F1209" s="76">
        <f>J1209+H1209+L1209</f>
        <v>939944</v>
      </c>
      <c r="G1209" s="78">
        <f>일위대가목록표!F686</f>
        <v>912568</v>
      </c>
      <c r="H1209" s="80">
        <f>IF(C1209=0,0,ROUNDDOWN(G1209*C1209,1))</f>
        <v>912568</v>
      </c>
      <c r="I1209" s="78">
        <f>일위대가목록표!G686</f>
        <v>0</v>
      </c>
      <c r="J1209" s="80">
        <f>IF(C1209=0,0,ROUNDDOWN(I1209*C1209,1))</f>
        <v>0</v>
      </c>
      <c r="K1209" s="78">
        <f>일위대가목록표!H686</f>
        <v>27376</v>
      </c>
      <c r="L1209" s="80">
        <f>IF(C1209=0,0,ROUNDDOWN(K1209*C1209,1))</f>
        <v>27376</v>
      </c>
      <c r="M1209" s="22" t="s">
        <v>6585</v>
      </c>
      <c r="N1209" s="17" t="s">
        <v>6583</v>
      </c>
      <c r="O1209" s="7" t="s">
        <v>6584</v>
      </c>
      <c r="P1209" s="7" t="s">
        <v>6406</v>
      </c>
      <c r="Z1209" s="3" t="str">
        <f ca="1">HYPERLINK("#"&amp;일위대가목록표!J2&amp;"!A"&amp;ROW(일위대가목록표!A686),"대가683 →")</f>
        <v>대가683 →</v>
      </c>
    </row>
    <row r="1210" spans="1:26" ht="28.7" customHeight="1" x14ac:dyDescent="0.3">
      <c r="A1210" s="22" t="s">
        <v>6</v>
      </c>
      <c r="B1210" s="74"/>
      <c r="C1210" s="74"/>
      <c r="D1210" s="74"/>
      <c r="E1210" s="74"/>
      <c r="F1210" s="48">
        <f>J1210+H1210+L1210</f>
        <v>939944</v>
      </c>
      <c r="G1210" s="74"/>
      <c r="H1210" s="48">
        <f>ROUNDDOWN(SUMIF(P1209:P1209,O1210,H1209:H1209),0)</f>
        <v>912568</v>
      </c>
      <c r="I1210" s="74"/>
      <c r="J1210" s="48">
        <f>ROUNDDOWN(SUMIF(P1209:P1209,O1210,J1209:J1209),0)</f>
        <v>0</v>
      </c>
      <c r="K1210" s="74"/>
      <c r="L1210" s="48">
        <f>ROUNDDOWN(SUMIF(P1209:P1209,O1210,L1209:L1209),0)</f>
        <v>27376</v>
      </c>
      <c r="M1210" s="74"/>
      <c r="O1210" s="7" t="s">
        <v>6406</v>
      </c>
    </row>
    <row r="1211" spans="1:26" ht="28.7" customHeight="1" x14ac:dyDescent="0.3">
      <c r="A1211" s="73"/>
      <c r="B1211" s="73"/>
      <c r="C1211" s="73"/>
      <c r="D1211" s="73"/>
      <c r="E1211" s="73"/>
      <c r="F1211" s="73"/>
      <c r="G1211" s="73"/>
      <c r="H1211" s="73"/>
      <c r="I1211" s="73"/>
      <c r="J1211" s="73"/>
      <c r="K1211" s="73"/>
      <c r="L1211" s="73"/>
      <c r="M1211" s="73"/>
    </row>
    <row r="1212" spans="1:26" ht="28.7" customHeight="1" x14ac:dyDescent="0.3">
      <c r="A1212" s="136" t="s">
        <v>681</v>
      </c>
      <c r="B1212" s="127"/>
      <c r="C1212" s="127"/>
      <c r="D1212" s="127"/>
      <c r="E1212" s="127"/>
      <c r="F1212" s="127"/>
      <c r="G1212" s="127"/>
      <c r="H1212" s="127"/>
      <c r="I1212" s="127"/>
      <c r="J1212" s="127"/>
      <c r="K1212" s="127"/>
      <c r="L1212" s="144"/>
      <c r="M1212" s="22" t="s">
        <v>7263</v>
      </c>
      <c r="N1212" s="84" t="str">
        <f>HYPERLINK("#N"&amp;ROW(N1214),"_x0005_`BDCOD|B05063_x0007_`POSS|"&amp;ROW(N1213)&amp;"_x0007_`POSE|"&amp;ROW(N1214)&amp;"_x0007_`")</f>
        <v>_x0005_`BDCOD|B05063_x0007_`POSS|1213_x0007_`POSE|1214_x0007_`</v>
      </c>
      <c r="O1212" s="7" t="s">
        <v>7264</v>
      </c>
    </row>
    <row r="1213" spans="1:26" ht="28.7" customHeight="1" x14ac:dyDescent="0.3">
      <c r="A1213" s="10" t="s">
        <v>1793</v>
      </c>
      <c r="B1213" s="10" t="s">
        <v>1784</v>
      </c>
      <c r="C1213" s="75">
        <v>1</v>
      </c>
      <c r="D1213" s="31" t="s">
        <v>14</v>
      </c>
      <c r="E1213" s="55">
        <f>I1213+G1213+K1213</f>
        <v>578663</v>
      </c>
      <c r="F1213" s="76">
        <f>J1213+H1213+L1213</f>
        <v>578663</v>
      </c>
      <c r="G1213" s="78">
        <f>일위대가목록표!F694</f>
        <v>561810</v>
      </c>
      <c r="H1213" s="80">
        <f>IF(C1213=0,0,ROUNDDOWN(G1213*C1213,1))</f>
        <v>561810</v>
      </c>
      <c r="I1213" s="78">
        <f>일위대가목록표!G694</f>
        <v>0</v>
      </c>
      <c r="J1213" s="80">
        <f>IF(C1213=0,0,ROUNDDOWN(I1213*C1213,1))</f>
        <v>0</v>
      </c>
      <c r="K1213" s="78">
        <f>일위대가목록표!H694</f>
        <v>16853</v>
      </c>
      <c r="L1213" s="80">
        <f>IF(C1213=0,0,ROUNDDOWN(K1213*C1213,1))</f>
        <v>16853</v>
      </c>
      <c r="M1213" s="22" t="s">
        <v>7267</v>
      </c>
      <c r="N1213" s="17" t="s">
        <v>7265</v>
      </c>
      <c r="O1213" s="7" t="s">
        <v>7266</v>
      </c>
      <c r="P1213" s="7" t="s">
        <v>6406</v>
      </c>
      <c r="Z1213" s="3" t="str">
        <f ca="1">HYPERLINK("#"&amp;일위대가목록표!J2&amp;"!A"&amp;ROW(일위대가목록표!A694),"대가691 →")</f>
        <v>대가691 →</v>
      </c>
    </row>
    <row r="1214" spans="1:26" ht="28.7" customHeight="1" x14ac:dyDescent="0.3">
      <c r="A1214" s="10" t="s">
        <v>683</v>
      </c>
      <c r="B1214" s="10" t="s">
        <v>2131</v>
      </c>
      <c r="C1214" s="75">
        <v>1</v>
      </c>
      <c r="D1214" s="31" t="s">
        <v>14</v>
      </c>
      <c r="E1214" s="55">
        <f>I1214+G1214+K1214</f>
        <v>305000</v>
      </c>
      <c r="F1214" s="77">
        <f>J1214+H1214+L1214</f>
        <v>305000</v>
      </c>
      <c r="G1214" s="51">
        <v>0</v>
      </c>
      <c r="H1214" s="76">
        <f>IF(C1214=0,0,ROUNDDOWN(G1214*C1214,1))</f>
        <v>0</v>
      </c>
      <c r="I1214" s="78">
        <f>재료비목록표!E33</f>
        <v>305000</v>
      </c>
      <c r="J1214" s="81">
        <f>IF(C1214=0,0,ROUNDDOWN(I1214*C1214,1))</f>
        <v>305000</v>
      </c>
      <c r="K1214" s="51">
        <v>0</v>
      </c>
      <c r="L1214" s="76">
        <f>IF(C1214=0,0,ROUNDDOWN(K1214*C1214,1))</f>
        <v>0</v>
      </c>
      <c r="M1214" s="22" t="s">
        <v>7270</v>
      </c>
      <c r="N1214" s="17" t="s">
        <v>7268</v>
      </c>
      <c r="O1214" s="7" t="s">
        <v>7269</v>
      </c>
      <c r="P1214" s="7" t="s">
        <v>6406</v>
      </c>
      <c r="Z1214" s="3" t="str">
        <f ca="1">HYPERLINK("#"&amp;재료비목록표!G2&amp;"!A"&amp;ROW(재료비목록표!A33),"자재30 →")</f>
        <v>자재30 →</v>
      </c>
    </row>
    <row r="1215" spans="1:26" ht="28.7" customHeight="1" x14ac:dyDescent="0.3">
      <c r="A1215" s="22" t="s">
        <v>6</v>
      </c>
      <c r="B1215" s="74"/>
      <c r="C1215" s="74"/>
      <c r="D1215" s="74"/>
      <c r="E1215" s="74"/>
      <c r="F1215" s="48">
        <f>J1215+H1215+L1215</f>
        <v>883663</v>
      </c>
      <c r="G1215" s="74"/>
      <c r="H1215" s="48">
        <f>ROUNDDOWN(SUMIF(P1213:P1214,O1215,H1213:H1214),0)</f>
        <v>561810</v>
      </c>
      <c r="I1215" s="74"/>
      <c r="J1215" s="48">
        <f>ROUNDDOWN(SUMIF(P1213:P1214,O1215,J1213:J1214),0)</f>
        <v>305000</v>
      </c>
      <c r="K1215" s="74"/>
      <c r="L1215" s="48">
        <f>ROUNDDOWN(SUMIF(P1213:P1214,O1215,L1213:L1214),0)</f>
        <v>16853</v>
      </c>
      <c r="M1215" s="74"/>
      <c r="O1215" s="7" t="s">
        <v>6406</v>
      </c>
    </row>
    <row r="1216" spans="1:26" ht="28.7" customHeight="1" x14ac:dyDescent="0.3">
      <c r="A1216" s="73"/>
      <c r="B1216" s="73"/>
      <c r="C1216" s="73"/>
      <c r="D1216" s="73"/>
      <c r="E1216" s="73"/>
      <c r="F1216" s="73"/>
      <c r="G1216" s="73"/>
      <c r="H1216" s="73"/>
      <c r="I1216" s="73"/>
      <c r="J1216" s="73"/>
      <c r="K1216" s="73"/>
      <c r="L1216" s="73"/>
      <c r="M1216" s="73"/>
    </row>
    <row r="1217" spans="1:26" ht="28.7" customHeight="1" x14ac:dyDescent="0.3">
      <c r="A1217" s="136" t="s">
        <v>685</v>
      </c>
      <c r="B1217" s="127"/>
      <c r="C1217" s="127"/>
      <c r="D1217" s="127"/>
      <c r="E1217" s="127"/>
      <c r="F1217" s="127"/>
      <c r="G1217" s="127"/>
      <c r="H1217" s="127"/>
      <c r="I1217" s="127"/>
      <c r="J1217" s="127"/>
      <c r="K1217" s="127"/>
      <c r="L1217" s="144"/>
      <c r="M1217" s="22" t="s">
        <v>7271</v>
      </c>
      <c r="N1217" s="84" t="str">
        <f>HYPERLINK("#N"&amp;ROW(N1219),"_x0005_`BDCOD|B05064_x0007_`POSS|"&amp;ROW(N1218)&amp;"_x0007_`POSE|"&amp;ROW(N1219)&amp;"_x0007_`")</f>
        <v>_x0005_`BDCOD|B05064_x0007_`POSS|1218_x0007_`POSE|1219_x0007_`</v>
      </c>
      <c r="O1217" s="7" t="s">
        <v>7272</v>
      </c>
    </row>
    <row r="1218" spans="1:26" ht="28.7" customHeight="1" x14ac:dyDescent="0.3">
      <c r="A1218" s="10" t="s">
        <v>1793</v>
      </c>
      <c r="B1218" s="10" t="s">
        <v>1784</v>
      </c>
      <c r="C1218" s="75">
        <v>1</v>
      </c>
      <c r="D1218" s="31" t="s">
        <v>14</v>
      </c>
      <c r="E1218" s="55">
        <f>I1218+G1218+K1218</f>
        <v>578663</v>
      </c>
      <c r="F1218" s="76">
        <f>J1218+H1218+L1218</f>
        <v>578663</v>
      </c>
      <c r="G1218" s="78">
        <f>일위대가목록표!F694</f>
        <v>561810</v>
      </c>
      <c r="H1218" s="80">
        <f>IF(C1218=0,0,ROUNDDOWN(G1218*C1218,1))</f>
        <v>561810</v>
      </c>
      <c r="I1218" s="78">
        <f>일위대가목록표!G694</f>
        <v>0</v>
      </c>
      <c r="J1218" s="80">
        <f>IF(C1218=0,0,ROUNDDOWN(I1218*C1218,1))</f>
        <v>0</v>
      </c>
      <c r="K1218" s="78">
        <f>일위대가목록표!H694</f>
        <v>16853</v>
      </c>
      <c r="L1218" s="80">
        <f>IF(C1218=0,0,ROUNDDOWN(K1218*C1218,1))</f>
        <v>16853</v>
      </c>
      <c r="M1218" s="22" t="s">
        <v>7267</v>
      </c>
      <c r="N1218" s="17" t="s">
        <v>7265</v>
      </c>
      <c r="O1218" s="7" t="s">
        <v>7266</v>
      </c>
      <c r="P1218" s="7" t="s">
        <v>6406</v>
      </c>
      <c r="Z1218" s="3" t="str">
        <f ca="1">HYPERLINK("#"&amp;일위대가목록표!J2&amp;"!A"&amp;ROW(일위대가목록표!A694),"대가691 →")</f>
        <v>대가691 →</v>
      </c>
    </row>
    <row r="1219" spans="1:26" ht="28.7" customHeight="1" x14ac:dyDescent="0.3">
      <c r="A1219" s="10" t="s">
        <v>683</v>
      </c>
      <c r="B1219" s="10" t="s">
        <v>2131</v>
      </c>
      <c r="C1219" s="75">
        <v>1</v>
      </c>
      <c r="D1219" s="31" t="s">
        <v>14</v>
      </c>
      <c r="E1219" s="55">
        <f>I1219+G1219+K1219</f>
        <v>305000</v>
      </c>
      <c r="F1219" s="77">
        <f>J1219+H1219+L1219</f>
        <v>305000</v>
      </c>
      <c r="G1219" s="51">
        <v>0</v>
      </c>
      <c r="H1219" s="76">
        <f>IF(C1219=0,0,ROUNDDOWN(G1219*C1219,1))</f>
        <v>0</v>
      </c>
      <c r="I1219" s="78">
        <f>재료비목록표!E33</f>
        <v>305000</v>
      </c>
      <c r="J1219" s="81">
        <f>IF(C1219=0,0,ROUNDDOWN(I1219*C1219,1))</f>
        <v>305000</v>
      </c>
      <c r="K1219" s="51">
        <v>0</v>
      </c>
      <c r="L1219" s="76">
        <f>IF(C1219=0,0,ROUNDDOWN(K1219*C1219,1))</f>
        <v>0</v>
      </c>
      <c r="M1219" s="22" t="s">
        <v>7270</v>
      </c>
      <c r="N1219" s="17" t="s">
        <v>7268</v>
      </c>
      <c r="O1219" s="7" t="s">
        <v>7269</v>
      </c>
      <c r="P1219" s="7" t="s">
        <v>6406</v>
      </c>
      <c r="Z1219" s="3" t="str">
        <f ca="1">HYPERLINK("#"&amp;재료비목록표!G2&amp;"!A"&amp;ROW(재료비목록표!A33),"자재30 →")</f>
        <v>자재30 →</v>
      </c>
    </row>
    <row r="1220" spans="1:26" ht="28.7" customHeight="1" x14ac:dyDescent="0.3">
      <c r="A1220" s="22" t="s">
        <v>6</v>
      </c>
      <c r="B1220" s="74"/>
      <c r="C1220" s="74"/>
      <c r="D1220" s="74"/>
      <c r="E1220" s="74"/>
      <c r="F1220" s="48">
        <f>J1220+H1220+L1220</f>
        <v>883663</v>
      </c>
      <c r="G1220" s="74"/>
      <c r="H1220" s="48">
        <f>ROUNDDOWN(SUMIF(P1218:P1219,O1220,H1218:H1219),0)</f>
        <v>561810</v>
      </c>
      <c r="I1220" s="74"/>
      <c r="J1220" s="48">
        <f>ROUNDDOWN(SUMIF(P1218:P1219,O1220,J1218:J1219),0)</f>
        <v>305000</v>
      </c>
      <c r="K1220" s="74"/>
      <c r="L1220" s="48">
        <f>ROUNDDOWN(SUMIF(P1218:P1219,O1220,L1218:L1219),0)</f>
        <v>16853</v>
      </c>
      <c r="M1220" s="74"/>
      <c r="O1220" s="7" t="s">
        <v>6406</v>
      </c>
    </row>
    <row r="1221" spans="1:26" ht="28.7" customHeight="1" x14ac:dyDescent="0.3">
      <c r="A1221" s="73"/>
      <c r="B1221" s="73"/>
      <c r="C1221" s="73"/>
      <c r="D1221" s="73"/>
      <c r="E1221" s="73"/>
      <c r="F1221" s="73"/>
      <c r="G1221" s="73"/>
      <c r="H1221" s="73"/>
      <c r="I1221" s="73"/>
      <c r="J1221" s="73"/>
      <c r="K1221" s="73"/>
      <c r="L1221" s="73"/>
      <c r="M1221" s="73"/>
    </row>
    <row r="1222" spans="1:26" ht="28.7" customHeight="1" x14ac:dyDescent="0.3">
      <c r="A1222" s="136" t="s">
        <v>688</v>
      </c>
      <c r="B1222" s="127"/>
      <c r="C1222" s="127"/>
      <c r="D1222" s="127"/>
      <c r="E1222" s="127"/>
      <c r="F1222" s="127"/>
      <c r="G1222" s="127"/>
      <c r="H1222" s="127"/>
      <c r="I1222" s="127"/>
      <c r="J1222" s="127"/>
      <c r="K1222" s="127"/>
      <c r="L1222" s="144"/>
      <c r="M1222" s="22" t="s">
        <v>7273</v>
      </c>
      <c r="N1222" s="84" t="str">
        <f>HYPERLINK("#N"&amp;ROW(N1223),"_x0005_`BDCOD|B05317_x0007_`POSS|"&amp;ROW(N1223)&amp;"_x0007_`POSE|"&amp;ROW(N1223)&amp;"_x0007_`")</f>
        <v>_x0005_`BDCOD|B05317_x0007_`POSS|1223_x0007_`POSE|1223_x0007_`</v>
      </c>
      <c r="O1222" s="7" t="s">
        <v>7274</v>
      </c>
    </row>
    <row r="1223" spans="1:26" ht="28.7" customHeight="1" x14ac:dyDescent="0.3">
      <c r="A1223" s="10" t="s">
        <v>1793</v>
      </c>
      <c r="B1223" s="10" t="s">
        <v>1784</v>
      </c>
      <c r="C1223" s="75">
        <v>1</v>
      </c>
      <c r="D1223" s="31" t="s">
        <v>14</v>
      </c>
      <c r="E1223" s="55">
        <f>I1223+G1223+K1223</f>
        <v>578663</v>
      </c>
      <c r="F1223" s="76">
        <f>J1223+H1223+L1223</f>
        <v>578663</v>
      </c>
      <c r="G1223" s="78">
        <f>일위대가목록표!F694</f>
        <v>561810</v>
      </c>
      <c r="H1223" s="80">
        <f>IF(C1223=0,0,ROUNDDOWN(G1223*C1223,1))</f>
        <v>561810</v>
      </c>
      <c r="I1223" s="78">
        <f>일위대가목록표!G694</f>
        <v>0</v>
      </c>
      <c r="J1223" s="80">
        <f>IF(C1223=0,0,ROUNDDOWN(I1223*C1223,1))</f>
        <v>0</v>
      </c>
      <c r="K1223" s="78">
        <f>일위대가목록표!H694</f>
        <v>16853</v>
      </c>
      <c r="L1223" s="80">
        <f>IF(C1223=0,0,ROUNDDOWN(K1223*C1223,1))</f>
        <v>16853</v>
      </c>
      <c r="M1223" s="22" t="s">
        <v>7267</v>
      </c>
      <c r="N1223" s="17" t="s">
        <v>7265</v>
      </c>
      <c r="O1223" s="7" t="s">
        <v>7266</v>
      </c>
      <c r="P1223" s="7" t="s">
        <v>6406</v>
      </c>
      <c r="Z1223" s="3" t="str">
        <f ca="1">HYPERLINK("#"&amp;일위대가목록표!J2&amp;"!A"&amp;ROW(일위대가목록표!A694),"대가691 →")</f>
        <v>대가691 →</v>
      </c>
    </row>
    <row r="1224" spans="1:26" ht="28.7" customHeight="1" x14ac:dyDescent="0.3">
      <c r="A1224" s="22" t="s">
        <v>6</v>
      </c>
      <c r="B1224" s="74"/>
      <c r="C1224" s="74"/>
      <c r="D1224" s="74"/>
      <c r="E1224" s="74"/>
      <c r="F1224" s="48">
        <f>J1224+H1224+L1224</f>
        <v>578663</v>
      </c>
      <c r="G1224" s="74"/>
      <c r="H1224" s="48">
        <f>ROUNDDOWN(SUMIF(P1223:P1223,O1224,H1223:H1223),0)</f>
        <v>561810</v>
      </c>
      <c r="I1224" s="74"/>
      <c r="J1224" s="48">
        <f>ROUNDDOWN(SUMIF(P1223:P1223,O1224,J1223:J1223),0)</f>
        <v>0</v>
      </c>
      <c r="K1224" s="74"/>
      <c r="L1224" s="48">
        <f>ROUNDDOWN(SUMIF(P1223:P1223,O1224,L1223:L1223),0)</f>
        <v>16853</v>
      </c>
      <c r="M1224" s="74"/>
      <c r="O1224" s="7" t="s">
        <v>6406</v>
      </c>
    </row>
    <row r="1225" spans="1:26" ht="28.7" customHeight="1" x14ac:dyDescent="0.3">
      <c r="A1225" s="73"/>
      <c r="B1225" s="73"/>
      <c r="C1225" s="73"/>
      <c r="D1225" s="73"/>
      <c r="E1225" s="73"/>
      <c r="F1225" s="73"/>
      <c r="G1225" s="73"/>
      <c r="H1225" s="73"/>
      <c r="I1225" s="73"/>
      <c r="J1225" s="73"/>
      <c r="K1225" s="73"/>
      <c r="L1225" s="73"/>
      <c r="M1225" s="73"/>
    </row>
    <row r="1226" spans="1:26" ht="28.7" customHeight="1" x14ac:dyDescent="0.3">
      <c r="A1226" s="136" t="s">
        <v>691</v>
      </c>
      <c r="B1226" s="127"/>
      <c r="C1226" s="127"/>
      <c r="D1226" s="127"/>
      <c r="E1226" s="127"/>
      <c r="F1226" s="127"/>
      <c r="G1226" s="127"/>
      <c r="H1226" s="127"/>
      <c r="I1226" s="127"/>
      <c r="J1226" s="127"/>
      <c r="K1226" s="127"/>
      <c r="L1226" s="144"/>
      <c r="M1226" s="22" t="s">
        <v>7275</v>
      </c>
      <c r="N1226" s="84" t="str">
        <f>HYPERLINK("#N"&amp;ROW(N1227),"_x0005_`BDCOD|B05318_x0007_`POSS|"&amp;ROW(N1227)&amp;"_x0007_`POSE|"&amp;ROW(N1227)&amp;"_x0007_`")</f>
        <v>_x0005_`BDCOD|B05318_x0007_`POSS|1227_x0007_`POSE|1227_x0007_`</v>
      </c>
      <c r="O1226" s="7" t="s">
        <v>7276</v>
      </c>
    </row>
    <row r="1227" spans="1:26" ht="28.7" customHeight="1" x14ac:dyDescent="0.3">
      <c r="A1227" s="10" t="s">
        <v>1793</v>
      </c>
      <c r="B1227" s="10" t="s">
        <v>1784</v>
      </c>
      <c r="C1227" s="75">
        <v>1</v>
      </c>
      <c r="D1227" s="31" t="s">
        <v>14</v>
      </c>
      <c r="E1227" s="55">
        <f>I1227+G1227+K1227</f>
        <v>578663</v>
      </c>
      <c r="F1227" s="76">
        <f>J1227+H1227+L1227</f>
        <v>578663</v>
      </c>
      <c r="G1227" s="78">
        <f>일위대가목록표!F694</f>
        <v>561810</v>
      </c>
      <c r="H1227" s="80">
        <f>IF(C1227=0,0,ROUNDDOWN(G1227*C1227,1))</f>
        <v>561810</v>
      </c>
      <c r="I1227" s="78">
        <f>일위대가목록표!G694</f>
        <v>0</v>
      </c>
      <c r="J1227" s="80">
        <f>IF(C1227=0,0,ROUNDDOWN(I1227*C1227,1))</f>
        <v>0</v>
      </c>
      <c r="K1227" s="78">
        <f>일위대가목록표!H694</f>
        <v>16853</v>
      </c>
      <c r="L1227" s="80">
        <f>IF(C1227=0,0,ROUNDDOWN(K1227*C1227,1))</f>
        <v>16853</v>
      </c>
      <c r="M1227" s="22" t="s">
        <v>7267</v>
      </c>
      <c r="N1227" s="17" t="s">
        <v>7265</v>
      </c>
      <c r="O1227" s="7" t="s">
        <v>7266</v>
      </c>
      <c r="P1227" s="7" t="s">
        <v>6406</v>
      </c>
      <c r="Z1227" s="3" t="str">
        <f ca="1">HYPERLINK("#"&amp;일위대가목록표!J2&amp;"!A"&amp;ROW(일위대가목록표!A694),"대가691 →")</f>
        <v>대가691 →</v>
      </c>
    </row>
    <row r="1228" spans="1:26" ht="28.7" customHeight="1" x14ac:dyDescent="0.3">
      <c r="A1228" s="22" t="s">
        <v>6</v>
      </c>
      <c r="B1228" s="74"/>
      <c r="C1228" s="74"/>
      <c r="D1228" s="74"/>
      <c r="E1228" s="74"/>
      <c r="F1228" s="48">
        <f>J1228+H1228+L1228</f>
        <v>578663</v>
      </c>
      <c r="G1228" s="74"/>
      <c r="H1228" s="48">
        <f>ROUNDDOWN(SUMIF(P1227:P1227,O1228,H1227:H1227),0)</f>
        <v>561810</v>
      </c>
      <c r="I1228" s="74"/>
      <c r="J1228" s="48">
        <f>ROUNDDOWN(SUMIF(P1227:P1227,O1228,J1227:J1227),0)</f>
        <v>0</v>
      </c>
      <c r="K1228" s="74"/>
      <c r="L1228" s="48">
        <f>ROUNDDOWN(SUMIF(P1227:P1227,O1228,L1227:L1227),0)</f>
        <v>16853</v>
      </c>
      <c r="M1228" s="74"/>
      <c r="O1228" s="7" t="s">
        <v>6406</v>
      </c>
    </row>
    <row r="1229" spans="1:26" ht="28.7" customHeight="1" x14ac:dyDescent="0.3">
      <c r="A1229" s="73"/>
      <c r="B1229" s="73"/>
      <c r="C1229" s="73"/>
      <c r="D1229" s="73"/>
      <c r="E1229" s="73"/>
      <c r="F1229" s="73"/>
      <c r="G1229" s="73"/>
      <c r="H1229" s="73"/>
      <c r="I1229" s="73"/>
      <c r="J1229" s="73"/>
      <c r="K1229" s="73"/>
      <c r="L1229" s="73"/>
      <c r="M1229" s="73"/>
    </row>
    <row r="1230" spans="1:26" ht="28.7" customHeight="1" x14ac:dyDescent="0.3">
      <c r="A1230" s="136" t="s">
        <v>693</v>
      </c>
      <c r="B1230" s="127"/>
      <c r="C1230" s="127"/>
      <c r="D1230" s="127"/>
      <c r="E1230" s="127"/>
      <c r="F1230" s="127"/>
      <c r="G1230" s="127"/>
      <c r="H1230" s="127"/>
      <c r="I1230" s="127"/>
      <c r="J1230" s="127"/>
      <c r="K1230" s="127"/>
      <c r="L1230" s="144"/>
      <c r="M1230" s="22" t="s">
        <v>7277</v>
      </c>
      <c r="N1230" s="84" t="str">
        <f>HYPERLINK("#N"&amp;ROW(N1231),"_x0005_`BDCOD|B05319_x0007_`POSS|"&amp;ROW(N1231)&amp;"_x0007_`POSE|"&amp;ROW(N1231)&amp;"_x0007_`")</f>
        <v>_x0005_`BDCOD|B05319_x0007_`POSS|1231_x0007_`POSE|1231_x0007_`</v>
      </c>
      <c r="O1230" s="7" t="s">
        <v>7278</v>
      </c>
    </row>
    <row r="1231" spans="1:26" ht="28.7" customHeight="1" x14ac:dyDescent="0.3">
      <c r="A1231" s="10" t="s">
        <v>1800</v>
      </c>
      <c r="B1231" s="10" t="s">
        <v>1790</v>
      </c>
      <c r="C1231" s="75">
        <v>1</v>
      </c>
      <c r="D1231" s="31" t="s">
        <v>14</v>
      </c>
      <c r="E1231" s="55">
        <f>I1231+G1231+K1231</f>
        <v>413331</v>
      </c>
      <c r="F1231" s="76">
        <f>J1231+H1231+L1231</f>
        <v>413331</v>
      </c>
      <c r="G1231" s="78">
        <f>일위대가목록표!F696</f>
        <v>401293</v>
      </c>
      <c r="H1231" s="80">
        <f>IF(C1231=0,0,ROUNDDOWN(G1231*C1231,1))</f>
        <v>401293</v>
      </c>
      <c r="I1231" s="78">
        <f>일위대가목록표!G696</f>
        <v>0</v>
      </c>
      <c r="J1231" s="80">
        <f>IF(C1231=0,0,ROUNDDOWN(I1231*C1231,1))</f>
        <v>0</v>
      </c>
      <c r="K1231" s="78">
        <f>일위대가목록표!H696</f>
        <v>12038</v>
      </c>
      <c r="L1231" s="80">
        <f>IF(C1231=0,0,ROUNDDOWN(K1231*C1231,1))</f>
        <v>12038</v>
      </c>
      <c r="M1231" s="22" t="s">
        <v>7281</v>
      </c>
      <c r="N1231" s="17" t="s">
        <v>7279</v>
      </c>
      <c r="O1231" s="7" t="s">
        <v>7280</v>
      </c>
      <c r="P1231" s="7" t="s">
        <v>6406</v>
      </c>
      <c r="Z1231" s="3" t="str">
        <f ca="1">HYPERLINK("#"&amp;일위대가목록표!J2&amp;"!A"&amp;ROW(일위대가목록표!A696),"대가693 →")</f>
        <v>대가693 →</v>
      </c>
    </row>
    <row r="1232" spans="1:26" ht="28.7" customHeight="1" x14ac:dyDescent="0.3">
      <c r="A1232" s="22" t="s">
        <v>6</v>
      </c>
      <c r="B1232" s="74"/>
      <c r="C1232" s="74"/>
      <c r="D1232" s="74"/>
      <c r="E1232" s="74"/>
      <c r="F1232" s="48">
        <f>J1232+H1232+L1232</f>
        <v>413331</v>
      </c>
      <c r="G1232" s="74"/>
      <c r="H1232" s="48">
        <f>ROUNDDOWN(SUMIF(P1231:P1231,O1232,H1231:H1231),0)</f>
        <v>401293</v>
      </c>
      <c r="I1232" s="74"/>
      <c r="J1232" s="48">
        <f>ROUNDDOWN(SUMIF(P1231:P1231,O1232,J1231:J1231),0)</f>
        <v>0</v>
      </c>
      <c r="K1232" s="74"/>
      <c r="L1232" s="48">
        <f>ROUNDDOWN(SUMIF(P1231:P1231,O1232,L1231:L1231),0)</f>
        <v>12038</v>
      </c>
      <c r="M1232" s="74"/>
      <c r="O1232" s="7" t="s">
        <v>6406</v>
      </c>
    </row>
    <row r="1233" spans="1:26" ht="28.7" customHeight="1" x14ac:dyDescent="0.3">
      <c r="A1233" s="73"/>
      <c r="B1233" s="73"/>
      <c r="C1233" s="73"/>
      <c r="D1233" s="73"/>
      <c r="E1233" s="73"/>
      <c r="F1233" s="73"/>
      <c r="G1233" s="73"/>
      <c r="H1233" s="73"/>
      <c r="I1233" s="73"/>
      <c r="J1233" s="73"/>
      <c r="K1233" s="73"/>
      <c r="L1233" s="73"/>
      <c r="M1233" s="73"/>
    </row>
    <row r="1234" spans="1:26" ht="28.7" customHeight="1" x14ac:dyDescent="0.3">
      <c r="A1234" s="136" t="s">
        <v>696</v>
      </c>
      <c r="B1234" s="127"/>
      <c r="C1234" s="127"/>
      <c r="D1234" s="127"/>
      <c r="E1234" s="127"/>
      <c r="F1234" s="127"/>
      <c r="G1234" s="127"/>
      <c r="H1234" s="127"/>
      <c r="I1234" s="127"/>
      <c r="J1234" s="127"/>
      <c r="K1234" s="127"/>
      <c r="L1234" s="144"/>
      <c r="M1234" s="22" t="s">
        <v>7282</v>
      </c>
      <c r="N1234" s="84" t="str">
        <f>HYPERLINK("#N"&amp;ROW(N1235),"_x0005_`BDCOD|B05320_x0007_`POSS|"&amp;ROW(N1235)&amp;"_x0007_`POSE|"&amp;ROW(N1235)&amp;"_x0007_`")</f>
        <v>_x0005_`BDCOD|B05320_x0007_`POSS|1235_x0007_`POSE|1235_x0007_`</v>
      </c>
      <c r="O1234" s="7" t="s">
        <v>7283</v>
      </c>
    </row>
    <row r="1235" spans="1:26" ht="28.7" customHeight="1" x14ac:dyDescent="0.3">
      <c r="A1235" s="10" t="s">
        <v>1800</v>
      </c>
      <c r="B1235" s="10" t="s">
        <v>1790</v>
      </c>
      <c r="C1235" s="75">
        <v>1</v>
      </c>
      <c r="D1235" s="31" t="s">
        <v>14</v>
      </c>
      <c r="E1235" s="55">
        <f>I1235+G1235+K1235</f>
        <v>413331</v>
      </c>
      <c r="F1235" s="76">
        <f>J1235+H1235+L1235</f>
        <v>413331</v>
      </c>
      <c r="G1235" s="78">
        <f>일위대가목록표!F696</f>
        <v>401293</v>
      </c>
      <c r="H1235" s="80">
        <f>IF(C1235=0,0,ROUNDDOWN(G1235*C1235,1))</f>
        <v>401293</v>
      </c>
      <c r="I1235" s="78">
        <f>일위대가목록표!G696</f>
        <v>0</v>
      </c>
      <c r="J1235" s="80">
        <f>IF(C1235=0,0,ROUNDDOWN(I1235*C1235,1))</f>
        <v>0</v>
      </c>
      <c r="K1235" s="78">
        <f>일위대가목록표!H696</f>
        <v>12038</v>
      </c>
      <c r="L1235" s="80">
        <f>IF(C1235=0,0,ROUNDDOWN(K1235*C1235,1))</f>
        <v>12038</v>
      </c>
      <c r="M1235" s="22" t="s">
        <v>7281</v>
      </c>
      <c r="N1235" s="17" t="s">
        <v>7279</v>
      </c>
      <c r="O1235" s="7" t="s">
        <v>7280</v>
      </c>
      <c r="P1235" s="7" t="s">
        <v>6406</v>
      </c>
      <c r="Z1235" s="3" t="str">
        <f ca="1">HYPERLINK("#"&amp;일위대가목록표!J2&amp;"!A"&amp;ROW(일위대가목록표!A696),"대가693 →")</f>
        <v>대가693 →</v>
      </c>
    </row>
    <row r="1236" spans="1:26" ht="28.7" customHeight="1" x14ac:dyDescent="0.3">
      <c r="A1236" s="22" t="s">
        <v>6</v>
      </c>
      <c r="B1236" s="74"/>
      <c r="C1236" s="74"/>
      <c r="D1236" s="74"/>
      <c r="E1236" s="74"/>
      <c r="F1236" s="48">
        <f>J1236+H1236+L1236</f>
        <v>413331</v>
      </c>
      <c r="G1236" s="74"/>
      <c r="H1236" s="48">
        <f>ROUNDDOWN(SUMIF(P1235:P1235,O1236,H1235:H1235),0)</f>
        <v>401293</v>
      </c>
      <c r="I1236" s="74"/>
      <c r="J1236" s="48">
        <f>ROUNDDOWN(SUMIF(P1235:P1235,O1236,J1235:J1235),0)</f>
        <v>0</v>
      </c>
      <c r="K1236" s="74"/>
      <c r="L1236" s="48">
        <f>ROUNDDOWN(SUMIF(P1235:P1235,O1236,L1235:L1235),0)</f>
        <v>12038</v>
      </c>
      <c r="M1236" s="74"/>
      <c r="O1236" s="7" t="s">
        <v>6406</v>
      </c>
    </row>
    <row r="1237" spans="1:26" ht="28.7" customHeight="1" x14ac:dyDescent="0.3">
      <c r="A1237" s="73"/>
      <c r="B1237" s="73"/>
      <c r="C1237" s="73"/>
      <c r="D1237" s="73"/>
      <c r="E1237" s="73"/>
      <c r="F1237" s="73"/>
      <c r="G1237" s="73"/>
      <c r="H1237" s="73"/>
      <c r="I1237" s="73"/>
      <c r="J1237" s="73"/>
      <c r="K1237" s="73"/>
      <c r="L1237" s="73"/>
      <c r="M1237" s="73"/>
    </row>
    <row r="1238" spans="1:26" ht="28.7" customHeight="1" x14ac:dyDescent="0.3">
      <c r="A1238" s="136" t="s">
        <v>698</v>
      </c>
      <c r="B1238" s="127"/>
      <c r="C1238" s="127"/>
      <c r="D1238" s="127"/>
      <c r="E1238" s="127"/>
      <c r="F1238" s="127"/>
      <c r="G1238" s="127"/>
      <c r="H1238" s="127"/>
      <c r="I1238" s="127"/>
      <c r="J1238" s="127"/>
      <c r="K1238" s="127"/>
      <c r="L1238" s="144"/>
      <c r="M1238" s="22" t="s">
        <v>7284</v>
      </c>
      <c r="N1238" s="84" t="str">
        <f>HYPERLINK("#N"&amp;ROW(N1239),"_x0005_`BDCOD|B05321_x0007_`POSS|"&amp;ROW(N1239)&amp;"_x0007_`POSE|"&amp;ROW(N1239)&amp;"_x0007_`")</f>
        <v>_x0005_`BDCOD|B05321_x0007_`POSS|1239_x0007_`POSE|1239_x0007_`</v>
      </c>
      <c r="O1238" s="7" t="s">
        <v>7285</v>
      </c>
    </row>
    <row r="1239" spans="1:26" ht="28.7" customHeight="1" x14ac:dyDescent="0.3">
      <c r="A1239" s="10" t="s">
        <v>1796</v>
      </c>
      <c r="B1239" s="10" t="s">
        <v>1797</v>
      </c>
      <c r="C1239" s="75">
        <v>1</v>
      </c>
      <c r="D1239" s="31" t="s">
        <v>14</v>
      </c>
      <c r="E1239" s="55">
        <f>I1239+G1239+K1239</f>
        <v>165332</v>
      </c>
      <c r="F1239" s="76">
        <f>J1239+H1239+L1239</f>
        <v>165332</v>
      </c>
      <c r="G1239" s="78">
        <f>일위대가목록표!F695</f>
        <v>160517</v>
      </c>
      <c r="H1239" s="80">
        <f>IF(C1239=0,0,ROUNDDOWN(G1239*C1239,1))</f>
        <v>160517</v>
      </c>
      <c r="I1239" s="78">
        <f>일위대가목록표!G695</f>
        <v>0</v>
      </c>
      <c r="J1239" s="80">
        <f>IF(C1239=0,0,ROUNDDOWN(I1239*C1239,1))</f>
        <v>0</v>
      </c>
      <c r="K1239" s="78">
        <f>일위대가목록표!H695</f>
        <v>4815</v>
      </c>
      <c r="L1239" s="80">
        <f>IF(C1239=0,0,ROUNDDOWN(K1239*C1239,1))</f>
        <v>4815</v>
      </c>
      <c r="M1239" s="22" t="s">
        <v>7288</v>
      </c>
      <c r="N1239" s="17" t="s">
        <v>7286</v>
      </c>
      <c r="O1239" s="7" t="s">
        <v>7287</v>
      </c>
      <c r="P1239" s="7" t="s">
        <v>6406</v>
      </c>
      <c r="Z1239" s="3" t="str">
        <f ca="1">HYPERLINK("#"&amp;일위대가목록표!J2&amp;"!A"&amp;ROW(일위대가목록표!A695),"대가692 →")</f>
        <v>대가692 →</v>
      </c>
    </row>
    <row r="1240" spans="1:26" ht="28.7" customHeight="1" x14ac:dyDescent="0.3">
      <c r="A1240" s="22" t="s">
        <v>6</v>
      </c>
      <c r="B1240" s="74"/>
      <c r="C1240" s="74"/>
      <c r="D1240" s="74"/>
      <c r="E1240" s="74"/>
      <c r="F1240" s="48">
        <f>J1240+H1240+L1240</f>
        <v>165332</v>
      </c>
      <c r="G1240" s="74"/>
      <c r="H1240" s="48">
        <f>ROUNDDOWN(SUMIF(P1239:P1239,O1240,H1239:H1239),0)</f>
        <v>160517</v>
      </c>
      <c r="I1240" s="74"/>
      <c r="J1240" s="48">
        <f>ROUNDDOWN(SUMIF(P1239:P1239,O1240,J1239:J1239),0)</f>
        <v>0</v>
      </c>
      <c r="K1240" s="74"/>
      <c r="L1240" s="48">
        <f>ROUNDDOWN(SUMIF(P1239:P1239,O1240,L1239:L1239),0)</f>
        <v>4815</v>
      </c>
      <c r="M1240" s="74"/>
      <c r="O1240" s="7" t="s">
        <v>6406</v>
      </c>
    </row>
    <row r="1241" spans="1:26" ht="28.7" customHeight="1" x14ac:dyDescent="0.3">
      <c r="A1241" s="73"/>
      <c r="B1241" s="73"/>
      <c r="C1241" s="73"/>
      <c r="D1241" s="73"/>
      <c r="E1241" s="73"/>
      <c r="F1241" s="73"/>
      <c r="G1241" s="73"/>
      <c r="H1241" s="73"/>
      <c r="I1241" s="73"/>
      <c r="J1241" s="73"/>
      <c r="K1241" s="73"/>
      <c r="L1241" s="73"/>
      <c r="M1241" s="73"/>
    </row>
    <row r="1242" spans="1:26" ht="28.7" customHeight="1" x14ac:dyDescent="0.3">
      <c r="A1242" s="136" t="s">
        <v>701</v>
      </c>
      <c r="B1242" s="127"/>
      <c r="C1242" s="127"/>
      <c r="D1242" s="127"/>
      <c r="E1242" s="127"/>
      <c r="F1242" s="127"/>
      <c r="G1242" s="127"/>
      <c r="H1242" s="127"/>
      <c r="I1242" s="127"/>
      <c r="J1242" s="127"/>
      <c r="K1242" s="127"/>
      <c r="L1242" s="144"/>
      <c r="M1242" s="22" t="s">
        <v>7289</v>
      </c>
      <c r="N1242" s="84" t="str">
        <f>HYPERLINK("#N"&amp;ROW(N1243),"_x0005_`BDCOD|B05322_x0007_`POSS|"&amp;ROW(N1243)&amp;"_x0007_`POSE|"&amp;ROW(N1243)&amp;"_x0007_`")</f>
        <v>_x0005_`BDCOD|B05322_x0007_`POSS|1243_x0007_`POSE|1243_x0007_`</v>
      </c>
      <c r="O1242" s="7" t="s">
        <v>7290</v>
      </c>
    </row>
    <row r="1243" spans="1:26" ht="28.7" customHeight="1" x14ac:dyDescent="0.3">
      <c r="A1243" s="10" t="s">
        <v>1796</v>
      </c>
      <c r="B1243" s="10" t="s">
        <v>1797</v>
      </c>
      <c r="C1243" s="75">
        <v>1</v>
      </c>
      <c r="D1243" s="31" t="s">
        <v>14</v>
      </c>
      <c r="E1243" s="55">
        <f>I1243+G1243+K1243</f>
        <v>165332</v>
      </c>
      <c r="F1243" s="76">
        <f>J1243+H1243+L1243</f>
        <v>165332</v>
      </c>
      <c r="G1243" s="78">
        <f>일위대가목록표!F695</f>
        <v>160517</v>
      </c>
      <c r="H1243" s="80">
        <f>IF(C1243=0,0,ROUNDDOWN(G1243*C1243,1))</f>
        <v>160517</v>
      </c>
      <c r="I1243" s="78">
        <f>일위대가목록표!G695</f>
        <v>0</v>
      </c>
      <c r="J1243" s="80">
        <f>IF(C1243=0,0,ROUNDDOWN(I1243*C1243,1))</f>
        <v>0</v>
      </c>
      <c r="K1243" s="78">
        <f>일위대가목록표!H695</f>
        <v>4815</v>
      </c>
      <c r="L1243" s="80">
        <f>IF(C1243=0,0,ROUNDDOWN(K1243*C1243,1))</f>
        <v>4815</v>
      </c>
      <c r="M1243" s="22" t="s">
        <v>7288</v>
      </c>
      <c r="N1243" s="17" t="s">
        <v>7286</v>
      </c>
      <c r="O1243" s="7" t="s">
        <v>7287</v>
      </c>
      <c r="P1243" s="7" t="s">
        <v>6406</v>
      </c>
      <c r="Z1243" s="3" t="str">
        <f ca="1">HYPERLINK("#"&amp;일위대가목록표!J2&amp;"!A"&amp;ROW(일위대가목록표!A695),"대가692 →")</f>
        <v>대가692 →</v>
      </c>
    </row>
    <row r="1244" spans="1:26" ht="28.7" customHeight="1" x14ac:dyDescent="0.3">
      <c r="A1244" s="22" t="s">
        <v>6</v>
      </c>
      <c r="B1244" s="74"/>
      <c r="C1244" s="74"/>
      <c r="D1244" s="74"/>
      <c r="E1244" s="74"/>
      <c r="F1244" s="48">
        <f>J1244+H1244+L1244</f>
        <v>165332</v>
      </c>
      <c r="G1244" s="74"/>
      <c r="H1244" s="48">
        <f>ROUNDDOWN(SUMIF(P1243:P1243,O1244,H1243:H1243),0)</f>
        <v>160517</v>
      </c>
      <c r="I1244" s="74"/>
      <c r="J1244" s="48">
        <f>ROUNDDOWN(SUMIF(P1243:P1243,O1244,J1243:J1243),0)</f>
        <v>0</v>
      </c>
      <c r="K1244" s="74"/>
      <c r="L1244" s="48">
        <f>ROUNDDOWN(SUMIF(P1243:P1243,O1244,L1243:L1243),0)</f>
        <v>4815</v>
      </c>
      <c r="M1244" s="74"/>
      <c r="O1244" s="7" t="s">
        <v>6406</v>
      </c>
    </row>
    <row r="1245" spans="1:26" ht="28.7" customHeight="1" x14ac:dyDescent="0.3">
      <c r="A1245" s="73"/>
      <c r="B1245" s="73"/>
      <c r="C1245" s="73"/>
      <c r="D1245" s="73"/>
      <c r="E1245" s="73"/>
      <c r="F1245" s="73"/>
      <c r="G1245" s="73"/>
      <c r="H1245" s="73"/>
      <c r="I1245" s="73"/>
      <c r="J1245" s="73"/>
      <c r="K1245" s="73"/>
      <c r="L1245" s="73"/>
      <c r="M1245" s="73"/>
    </row>
    <row r="1246" spans="1:26" ht="28.7" customHeight="1" x14ac:dyDescent="0.3">
      <c r="A1246" s="136" t="s">
        <v>703</v>
      </c>
      <c r="B1246" s="127"/>
      <c r="C1246" s="127"/>
      <c r="D1246" s="127"/>
      <c r="E1246" s="127"/>
      <c r="F1246" s="127"/>
      <c r="G1246" s="127"/>
      <c r="H1246" s="127"/>
      <c r="I1246" s="127"/>
      <c r="J1246" s="127"/>
      <c r="K1246" s="127"/>
      <c r="L1246" s="144"/>
      <c r="M1246" s="22" t="s">
        <v>7291</v>
      </c>
      <c r="N1246" s="84" t="str">
        <f>HYPERLINK("#N"&amp;ROW(N1248),"_x0005_`BDCOD|B04967_x0007_`POSS|"&amp;ROW(N1247)&amp;"_x0007_`POSE|"&amp;ROW(N1248)&amp;"_x0007_`")</f>
        <v>_x0005_`BDCOD|B04967_x0007_`POSS|1247_x0007_`POSE|1248_x0007_`</v>
      </c>
      <c r="O1246" s="7" t="s">
        <v>7292</v>
      </c>
    </row>
    <row r="1247" spans="1:26" ht="28.7" customHeight="1" x14ac:dyDescent="0.3">
      <c r="A1247" s="10" t="s">
        <v>1793</v>
      </c>
      <c r="B1247" s="10" t="s">
        <v>1784</v>
      </c>
      <c r="C1247" s="75">
        <v>1</v>
      </c>
      <c r="D1247" s="31" t="s">
        <v>14</v>
      </c>
      <c r="E1247" s="55">
        <f>I1247+G1247+K1247</f>
        <v>578663</v>
      </c>
      <c r="F1247" s="76">
        <f>J1247+H1247+L1247</f>
        <v>578663</v>
      </c>
      <c r="G1247" s="78">
        <f>일위대가목록표!F694</f>
        <v>561810</v>
      </c>
      <c r="H1247" s="80">
        <f>IF(C1247=0,0,ROUNDDOWN(G1247*C1247,1))</f>
        <v>561810</v>
      </c>
      <c r="I1247" s="78">
        <f>일위대가목록표!G694</f>
        <v>0</v>
      </c>
      <c r="J1247" s="80">
        <f>IF(C1247=0,0,ROUNDDOWN(I1247*C1247,1))</f>
        <v>0</v>
      </c>
      <c r="K1247" s="78">
        <f>일위대가목록표!H694</f>
        <v>16853</v>
      </c>
      <c r="L1247" s="80">
        <f>IF(C1247=0,0,ROUNDDOWN(K1247*C1247,1))</f>
        <v>16853</v>
      </c>
      <c r="M1247" s="22" t="s">
        <v>7267</v>
      </c>
      <c r="N1247" s="17" t="s">
        <v>7265</v>
      </c>
      <c r="O1247" s="7" t="s">
        <v>7266</v>
      </c>
      <c r="P1247" s="7" t="s">
        <v>6406</v>
      </c>
      <c r="Z1247" s="3" t="str">
        <f ca="1">HYPERLINK("#"&amp;일위대가목록표!J2&amp;"!A"&amp;ROW(일위대가목록표!A694),"대가691 →")</f>
        <v>대가691 →</v>
      </c>
    </row>
    <row r="1248" spans="1:26" ht="28.7" customHeight="1" x14ac:dyDescent="0.3">
      <c r="A1248" s="10" t="s">
        <v>705</v>
      </c>
      <c r="B1248" s="10" t="s">
        <v>2320</v>
      </c>
      <c r="C1248" s="75">
        <v>1</v>
      </c>
      <c r="D1248" s="31" t="s">
        <v>14</v>
      </c>
      <c r="E1248" s="55">
        <f>I1248+G1248+K1248</f>
        <v>970000</v>
      </c>
      <c r="F1248" s="77">
        <f>J1248+H1248+L1248</f>
        <v>970000</v>
      </c>
      <c r="G1248" s="51">
        <v>0</v>
      </c>
      <c r="H1248" s="76">
        <f>IF(C1248=0,0,ROUNDDOWN(G1248*C1248,1))</f>
        <v>0</v>
      </c>
      <c r="I1248" s="78">
        <f>재료비목록표!E97</f>
        <v>970000</v>
      </c>
      <c r="J1248" s="81">
        <f>IF(C1248=0,0,ROUNDDOWN(I1248*C1248,1))</f>
        <v>970000</v>
      </c>
      <c r="K1248" s="51">
        <v>0</v>
      </c>
      <c r="L1248" s="76">
        <f>IF(C1248=0,0,ROUNDDOWN(K1248*C1248,1))</f>
        <v>0</v>
      </c>
      <c r="M1248" s="22" t="s">
        <v>7294</v>
      </c>
      <c r="N1248" s="17" t="s">
        <v>7293</v>
      </c>
      <c r="O1248" s="7" t="s">
        <v>5529</v>
      </c>
      <c r="P1248" s="7" t="s">
        <v>6406</v>
      </c>
      <c r="Z1248" s="3" t="str">
        <f ca="1">HYPERLINK("#"&amp;재료비목록표!G2&amp;"!A"&amp;ROW(재료비목록표!A97),"자재94 →")</f>
        <v>자재94 →</v>
      </c>
    </row>
    <row r="1249" spans="1:26" ht="28.7" customHeight="1" x14ac:dyDescent="0.3">
      <c r="A1249" s="22" t="s">
        <v>6</v>
      </c>
      <c r="B1249" s="74"/>
      <c r="C1249" s="74"/>
      <c r="D1249" s="74"/>
      <c r="E1249" s="74"/>
      <c r="F1249" s="48">
        <f>J1249+H1249+L1249</f>
        <v>1548663</v>
      </c>
      <c r="G1249" s="74"/>
      <c r="H1249" s="48">
        <f>ROUNDDOWN(SUMIF(P1247:P1248,O1249,H1247:H1248),0)</f>
        <v>561810</v>
      </c>
      <c r="I1249" s="74"/>
      <c r="J1249" s="48">
        <f>ROUNDDOWN(SUMIF(P1247:P1248,O1249,J1247:J1248),0)</f>
        <v>970000</v>
      </c>
      <c r="K1249" s="74"/>
      <c r="L1249" s="48">
        <f>ROUNDDOWN(SUMIF(P1247:P1248,O1249,L1247:L1248),0)</f>
        <v>16853</v>
      </c>
      <c r="M1249" s="74"/>
      <c r="O1249" s="7" t="s">
        <v>6406</v>
      </c>
    </row>
    <row r="1250" spans="1:26" ht="28.7" customHeight="1" x14ac:dyDescent="0.3">
      <c r="A1250" s="73"/>
      <c r="B1250" s="73"/>
      <c r="C1250" s="73"/>
      <c r="D1250" s="73"/>
      <c r="E1250" s="73"/>
      <c r="F1250" s="73"/>
      <c r="G1250" s="73"/>
      <c r="H1250" s="73"/>
      <c r="I1250" s="73"/>
      <c r="J1250" s="73"/>
      <c r="K1250" s="73"/>
      <c r="L1250" s="73"/>
      <c r="M1250" s="73"/>
    </row>
    <row r="1251" spans="1:26" ht="28.7" customHeight="1" x14ac:dyDescent="0.3">
      <c r="A1251" s="136" t="s">
        <v>707</v>
      </c>
      <c r="B1251" s="127"/>
      <c r="C1251" s="127"/>
      <c r="D1251" s="127"/>
      <c r="E1251" s="127"/>
      <c r="F1251" s="127"/>
      <c r="G1251" s="127"/>
      <c r="H1251" s="127"/>
      <c r="I1251" s="127"/>
      <c r="J1251" s="127"/>
      <c r="K1251" s="127"/>
      <c r="L1251" s="144"/>
      <c r="M1251" s="22" t="s">
        <v>7295</v>
      </c>
      <c r="N1251" s="84" t="str">
        <f>HYPERLINK("#N"&amp;ROW(N1253),"_x0005_`BDCOD|B04968_x0007_`POSS|"&amp;ROW(N1252)&amp;"_x0007_`POSE|"&amp;ROW(N1253)&amp;"_x0007_`")</f>
        <v>_x0005_`BDCOD|B04968_x0007_`POSS|1252_x0007_`POSE|1253_x0007_`</v>
      </c>
      <c r="O1251" s="7" t="s">
        <v>7296</v>
      </c>
    </row>
    <row r="1252" spans="1:26" ht="28.7" customHeight="1" x14ac:dyDescent="0.3">
      <c r="A1252" s="10" t="s">
        <v>1793</v>
      </c>
      <c r="B1252" s="10" t="s">
        <v>1683</v>
      </c>
      <c r="C1252" s="75">
        <v>1</v>
      </c>
      <c r="D1252" s="31" t="s">
        <v>14</v>
      </c>
      <c r="E1252" s="55">
        <f>I1252+G1252+K1252</f>
        <v>654343</v>
      </c>
      <c r="F1252" s="76">
        <f>J1252+H1252+L1252</f>
        <v>654343</v>
      </c>
      <c r="G1252" s="78">
        <f>일위대가목록표!F697</f>
        <v>635285</v>
      </c>
      <c r="H1252" s="80">
        <f>IF(C1252=0,0,ROUNDDOWN(G1252*C1252,1))</f>
        <v>635285</v>
      </c>
      <c r="I1252" s="78">
        <f>일위대가목록표!G697</f>
        <v>0</v>
      </c>
      <c r="J1252" s="80">
        <f>IF(C1252=0,0,ROUNDDOWN(I1252*C1252,1))</f>
        <v>0</v>
      </c>
      <c r="K1252" s="78">
        <f>일위대가목록표!H697</f>
        <v>19058</v>
      </c>
      <c r="L1252" s="80">
        <f>IF(C1252=0,0,ROUNDDOWN(K1252*C1252,1))</f>
        <v>19058</v>
      </c>
      <c r="M1252" s="22" t="s">
        <v>7299</v>
      </c>
      <c r="N1252" s="17" t="s">
        <v>7297</v>
      </c>
      <c r="O1252" s="7" t="s">
        <v>7298</v>
      </c>
      <c r="P1252" s="7" t="s">
        <v>6406</v>
      </c>
      <c r="Z1252" s="3" t="str">
        <f ca="1">HYPERLINK("#"&amp;일위대가목록표!J2&amp;"!A"&amp;ROW(일위대가목록표!A697),"대가694 →")</f>
        <v>대가694 →</v>
      </c>
    </row>
    <row r="1253" spans="1:26" ht="28.7" customHeight="1" x14ac:dyDescent="0.3">
      <c r="A1253" s="10" t="s">
        <v>705</v>
      </c>
      <c r="B1253" s="10" t="s">
        <v>2323</v>
      </c>
      <c r="C1253" s="75">
        <v>1</v>
      </c>
      <c r="D1253" s="31" t="s">
        <v>14</v>
      </c>
      <c r="E1253" s="55">
        <f>I1253+G1253+K1253</f>
        <v>1050000</v>
      </c>
      <c r="F1253" s="77">
        <f>J1253+H1253+L1253</f>
        <v>1050000</v>
      </c>
      <c r="G1253" s="51">
        <v>0</v>
      </c>
      <c r="H1253" s="76">
        <f>IF(C1253=0,0,ROUNDDOWN(G1253*C1253,1))</f>
        <v>0</v>
      </c>
      <c r="I1253" s="78">
        <f>재료비목록표!E98</f>
        <v>1050000</v>
      </c>
      <c r="J1253" s="81">
        <f>IF(C1253=0,0,ROUNDDOWN(I1253*C1253,1))</f>
        <v>1050000</v>
      </c>
      <c r="K1253" s="51">
        <v>0</v>
      </c>
      <c r="L1253" s="76">
        <f>IF(C1253=0,0,ROUNDDOWN(K1253*C1253,1))</f>
        <v>0</v>
      </c>
      <c r="M1253" s="22" t="s">
        <v>7301</v>
      </c>
      <c r="N1253" s="17" t="s">
        <v>7300</v>
      </c>
      <c r="O1253" s="7" t="s">
        <v>5532</v>
      </c>
      <c r="P1253" s="7" t="s">
        <v>6406</v>
      </c>
      <c r="Z1253" s="3" t="str">
        <f ca="1">HYPERLINK("#"&amp;재료비목록표!G2&amp;"!A"&amp;ROW(재료비목록표!A98),"자재95 →")</f>
        <v>자재95 →</v>
      </c>
    </row>
    <row r="1254" spans="1:26" ht="28.7" customHeight="1" x14ac:dyDescent="0.3">
      <c r="A1254" s="22" t="s">
        <v>6</v>
      </c>
      <c r="B1254" s="74"/>
      <c r="C1254" s="74"/>
      <c r="D1254" s="74"/>
      <c r="E1254" s="74"/>
      <c r="F1254" s="48">
        <f>J1254+H1254+L1254</f>
        <v>1704343</v>
      </c>
      <c r="G1254" s="74"/>
      <c r="H1254" s="48">
        <f>ROUNDDOWN(SUMIF(P1252:P1253,O1254,H1252:H1253),0)</f>
        <v>635285</v>
      </c>
      <c r="I1254" s="74"/>
      <c r="J1254" s="48">
        <f>ROUNDDOWN(SUMIF(P1252:P1253,O1254,J1252:J1253),0)</f>
        <v>1050000</v>
      </c>
      <c r="K1254" s="74"/>
      <c r="L1254" s="48">
        <f>ROUNDDOWN(SUMIF(P1252:P1253,O1254,L1252:L1253),0)</f>
        <v>19058</v>
      </c>
      <c r="M1254" s="74"/>
      <c r="O1254" s="7" t="s">
        <v>6406</v>
      </c>
    </row>
    <row r="1255" spans="1:26" ht="28.7" customHeight="1" x14ac:dyDescent="0.3">
      <c r="A1255" s="73"/>
      <c r="B1255" s="73"/>
      <c r="C1255" s="73"/>
      <c r="D1255" s="73"/>
      <c r="E1255" s="73"/>
      <c r="F1255" s="73"/>
      <c r="G1255" s="73"/>
      <c r="H1255" s="73"/>
      <c r="I1255" s="73"/>
      <c r="J1255" s="73"/>
      <c r="K1255" s="73"/>
      <c r="L1255" s="73"/>
      <c r="M1255" s="73"/>
    </row>
    <row r="1256" spans="1:26" ht="28.7" customHeight="1" x14ac:dyDescent="0.3">
      <c r="A1256" s="136" t="s">
        <v>710</v>
      </c>
      <c r="B1256" s="127"/>
      <c r="C1256" s="127"/>
      <c r="D1256" s="127"/>
      <c r="E1256" s="127"/>
      <c r="F1256" s="127"/>
      <c r="G1256" s="127"/>
      <c r="H1256" s="127"/>
      <c r="I1256" s="127"/>
      <c r="J1256" s="127"/>
      <c r="K1256" s="127"/>
      <c r="L1256" s="144"/>
      <c r="M1256" s="22" t="s">
        <v>7302</v>
      </c>
      <c r="N1256" s="84" t="str">
        <f>HYPERLINK("#N"&amp;ROW(N1258),"_x0005_`BDCOD|B04969_x0007_`POSS|"&amp;ROW(N1257)&amp;"_x0007_`POSE|"&amp;ROW(N1258)&amp;"_x0007_`")</f>
        <v>_x0005_`BDCOD|B04969_x0007_`POSS|1257_x0007_`POSE|1258_x0007_`</v>
      </c>
      <c r="O1256" s="7" t="s">
        <v>7303</v>
      </c>
    </row>
    <row r="1257" spans="1:26" ht="28.7" customHeight="1" x14ac:dyDescent="0.3">
      <c r="A1257" s="10" t="s">
        <v>1793</v>
      </c>
      <c r="B1257" s="10" t="s">
        <v>1694</v>
      </c>
      <c r="C1257" s="75">
        <v>1</v>
      </c>
      <c r="D1257" s="31" t="s">
        <v>14</v>
      </c>
      <c r="E1257" s="55">
        <f>I1257+G1257+K1257</f>
        <v>724947</v>
      </c>
      <c r="F1257" s="76">
        <f>J1257+H1257+L1257</f>
        <v>724947</v>
      </c>
      <c r="G1257" s="78">
        <f>일위대가목록표!F700</f>
        <v>703833</v>
      </c>
      <c r="H1257" s="80">
        <f>IF(C1257=0,0,ROUNDDOWN(G1257*C1257,1))</f>
        <v>703833</v>
      </c>
      <c r="I1257" s="78">
        <f>일위대가목록표!G700</f>
        <v>0</v>
      </c>
      <c r="J1257" s="80">
        <f>IF(C1257=0,0,ROUNDDOWN(I1257*C1257,1))</f>
        <v>0</v>
      </c>
      <c r="K1257" s="78">
        <f>일위대가목록표!H700</f>
        <v>21114</v>
      </c>
      <c r="L1257" s="80">
        <f>IF(C1257=0,0,ROUNDDOWN(K1257*C1257,1))</f>
        <v>21114</v>
      </c>
      <c r="M1257" s="22" t="s">
        <v>7306</v>
      </c>
      <c r="N1257" s="17" t="s">
        <v>7304</v>
      </c>
      <c r="O1257" s="7" t="s">
        <v>7305</v>
      </c>
      <c r="P1257" s="7" t="s">
        <v>6406</v>
      </c>
      <c r="Z1257" s="3" t="str">
        <f ca="1">HYPERLINK("#"&amp;일위대가목록표!J2&amp;"!A"&amp;ROW(일위대가목록표!A700),"대가697 →")</f>
        <v>대가697 →</v>
      </c>
    </row>
    <row r="1258" spans="1:26" ht="28.7" customHeight="1" x14ac:dyDescent="0.3">
      <c r="A1258" s="10" t="s">
        <v>705</v>
      </c>
      <c r="B1258" s="10" t="s">
        <v>2326</v>
      </c>
      <c r="C1258" s="75">
        <v>1</v>
      </c>
      <c r="D1258" s="31" t="s">
        <v>14</v>
      </c>
      <c r="E1258" s="55">
        <f>I1258+G1258+K1258</f>
        <v>1500000</v>
      </c>
      <c r="F1258" s="77">
        <f>J1258+H1258+L1258</f>
        <v>1500000</v>
      </c>
      <c r="G1258" s="51">
        <v>0</v>
      </c>
      <c r="H1258" s="76">
        <f>IF(C1258=0,0,ROUNDDOWN(G1258*C1258,1))</f>
        <v>0</v>
      </c>
      <c r="I1258" s="78">
        <f>재료비목록표!E99</f>
        <v>1500000</v>
      </c>
      <c r="J1258" s="81">
        <f>IF(C1258=0,0,ROUNDDOWN(I1258*C1258,1))</f>
        <v>1500000</v>
      </c>
      <c r="K1258" s="51">
        <v>0</v>
      </c>
      <c r="L1258" s="76">
        <f>IF(C1258=0,0,ROUNDDOWN(K1258*C1258,1))</f>
        <v>0</v>
      </c>
      <c r="M1258" s="22" t="s">
        <v>7308</v>
      </c>
      <c r="N1258" s="17" t="s">
        <v>7307</v>
      </c>
      <c r="O1258" s="7" t="s">
        <v>5535</v>
      </c>
      <c r="P1258" s="7" t="s">
        <v>6406</v>
      </c>
      <c r="Z1258" s="3" t="str">
        <f ca="1">HYPERLINK("#"&amp;재료비목록표!G2&amp;"!A"&amp;ROW(재료비목록표!A99),"자재96 →")</f>
        <v>자재96 →</v>
      </c>
    </row>
    <row r="1259" spans="1:26" ht="28.7" customHeight="1" x14ac:dyDescent="0.3">
      <c r="A1259" s="22" t="s">
        <v>6</v>
      </c>
      <c r="B1259" s="74"/>
      <c r="C1259" s="74"/>
      <c r="D1259" s="74"/>
      <c r="E1259" s="74"/>
      <c r="F1259" s="48">
        <f>J1259+H1259+L1259</f>
        <v>2224947</v>
      </c>
      <c r="G1259" s="74"/>
      <c r="H1259" s="48">
        <f>ROUNDDOWN(SUMIF(P1257:P1258,O1259,H1257:H1258),0)</f>
        <v>703833</v>
      </c>
      <c r="I1259" s="74"/>
      <c r="J1259" s="48">
        <f>ROUNDDOWN(SUMIF(P1257:P1258,O1259,J1257:J1258),0)</f>
        <v>1500000</v>
      </c>
      <c r="K1259" s="74"/>
      <c r="L1259" s="48">
        <f>ROUNDDOWN(SUMIF(P1257:P1258,O1259,L1257:L1258),0)</f>
        <v>21114</v>
      </c>
      <c r="M1259" s="74"/>
      <c r="O1259" s="7" t="s">
        <v>6406</v>
      </c>
    </row>
    <row r="1260" spans="1:26" ht="28.7" customHeight="1" x14ac:dyDescent="0.3">
      <c r="A1260" s="73"/>
      <c r="B1260" s="73"/>
      <c r="C1260" s="73"/>
      <c r="D1260" s="73"/>
      <c r="E1260" s="73"/>
      <c r="F1260" s="73"/>
      <c r="G1260" s="73"/>
      <c r="H1260" s="73"/>
      <c r="I1260" s="73"/>
      <c r="J1260" s="73"/>
      <c r="K1260" s="73"/>
      <c r="L1260" s="73"/>
      <c r="M1260" s="73"/>
    </row>
    <row r="1261" spans="1:26" ht="28.7" customHeight="1" x14ac:dyDescent="0.3">
      <c r="A1261" s="136" t="s">
        <v>713</v>
      </c>
      <c r="B1261" s="127"/>
      <c r="C1261" s="127"/>
      <c r="D1261" s="127"/>
      <c r="E1261" s="127"/>
      <c r="F1261" s="127"/>
      <c r="G1261" s="127"/>
      <c r="H1261" s="127"/>
      <c r="I1261" s="127"/>
      <c r="J1261" s="127"/>
      <c r="K1261" s="127"/>
      <c r="L1261" s="144"/>
      <c r="M1261" s="22" t="s">
        <v>7309</v>
      </c>
      <c r="N1261" s="84" t="str">
        <f>HYPERLINK("#N"&amp;ROW(N1263),"_x0005_`BDCOD|B04970_x0007_`POSS|"&amp;ROW(N1262)&amp;"_x0007_`POSE|"&amp;ROW(N1263)&amp;"_x0007_`")</f>
        <v>_x0005_`BDCOD|B04970_x0007_`POSS|1262_x0007_`POSE|1263_x0007_`</v>
      </c>
      <c r="O1261" s="7" t="s">
        <v>7310</v>
      </c>
    </row>
    <row r="1262" spans="1:26" ht="28.7" customHeight="1" x14ac:dyDescent="0.3">
      <c r="A1262" s="10" t="s">
        <v>1793</v>
      </c>
      <c r="B1262" s="10" t="s">
        <v>1703</v>
      </c>
      <c r="C1262" s="75">
        <v>1</v>
      </c>
      <c r="D1262" s="31" t="s">
        <v>14</v>
      </c>
      <c r="E1262" s="55">
        <f>I1262+G1262+K1262</f>
        <v>875708</v>
      </c>
      <c r="F1262" s="76">
        <f>J1262+H1262+L1262</f>
        <v>875708</v>
      </c>
      <c r="G1262" s="78">
        <f>일위대가목록표!F703</f>
        <v>850203</v>
      </c>
      <c r="H1262" s="80">
        <f>IF(C1262=0,0,ROUNDDOWN(G1262*C1262,1))</f>
        <v>850203</v>
      </c>
      <c r="I1262" s="78">
        <f>일위대가목록표!G703</f>
        <v>0</v>
      </c>
      <c r="J1262" s="80">
        <f>IF(C1262=0,0,ROUNDDOWN(I1262*C1262,1))</f>
        <v>0</v>
      </c>
      <c r="K1262" s="78">
        <f>일위대가목록표!H703</f>
        <v>25505</v>
      </c>
      <c r="L1262" s="80">
        <f>IF(C1262=0,0,ROUNDDOWN(K1262*C1262,1))</f>
        <v>25505</v>
      </c>
      <c r="M1262" s="22" t="s">
        <v>7313</v>
      </c>
      <c r="N1262" s="17" t="s">
        <v>7311</v>
      </c>
      <c r="O1262" s="7" t="s">
        <v>7312</v>
      </c>
      <c r="P1262" s="7" t="s">
        <v>6406</v>
      </c>
      <c r="Z1262" s="3" t="str">
        <f ca="1">HYPERLINK("#"&amp;일위대가목록표!J2&amp;"!A"&amp;ROW(일위대가목록표!A703),"대가700 →")</f>
        <v>대가700 →</v>
      </c>
    </row>
    <row r="1263" spans="1:26" ht="28.7" customHeight="1" x14ac:dyDescent="0.3">
      <c r="A1263" s="10" t="s">
        <v>705</v>
      </c>
      <c r="B1263" s="10" t="s">
        <v>2329</v>
      </c>
      <c r="C1263" s="75">
        <v>1</v>
      </c>
      <c r="D1263" s="31" t="s">
        <v>14</v>
      </c>
      <c r="E1263" s="55">
        <f>I1263+G1263+K1263</f>
        <v>1800000</v>
      </c>
      <c r="F1263" s="77">
        <f>J1263+H1263+L1263</f>
        <v>1800000</v>
      </c>
      <c r="G1263" s="51">
        <v>0</v>
      </c>
      <c r="H1263" s="76">
        <f>IF(C1263=0,0,ROUNDDOWN(G1263*C1263,1))</f>
        <v>0</v>
      </c>
      <c r="I1263" s="78">
        <f>재료비목록표!E100</f>
        <v>1800000</v>
      </c>
      <c r="J1263" s="81">
        <f>IF(C1263=0,0,ROUNDDOWN(I1263*C1263,1))</f>
        <v>1800000</v>
      </c>
      <c r="K1263" s="51">
        <v>0</v>
      </c>
      <c r="L1263" s="76">
        <f>IF(C1263=0,0,ROUNDDOWN(K1263*C1263,1))</f>
        <v>0</v>
      </c>
      <c r="M1263" s="22" t="s">
        <v>7315</v>
      </c>
      <c r="N1263" s="17" t="s">
        <v>7314</v>
      </c>
      <c r="O1263" s="7" t="s">
        <v>5538</v>
      </c>
      <c r="P1263" s="7" t="s">
        <v>6406</v>
      </c>
      <c r="Z1263" s="3" t="str">
        <f ca="1">HYPERLINK("#"&amp;재료비목록표!G2&amp;"!A"&amp;ROW(재료비목록표!A100),"자재97 →")</f>
        <v>자재97 →</v>
      </c>
    </row>
    <row r="1264" spans="1:26" ht="28.7" customHeight="1" x14ac:dyDescent="0.3">
      <c r="A1264" s="22" t="s">
        <v>6</v>
      </c>
      <c r="B1264" s="74"/>
      <c r="C1264" s="74"/>
      <c r="D1264" s="74"/>
      <c r="E1264" s="74"/>
      <c r="F1264" s="48">
        <f>J1264+H1264+L1264</f>
        <v>2675708</v>
      </c>
      <c r="G1264" s="74"/>
      <c r="H1264" s="48">
        <f>ROUNDDOWN(SUMIF(P1262:P1263,O1264,H1262:H1263),0)</f>
        <v>850203</v>
      </c>
      <c r="I1264" s="74"/>
      <c r="J1264" s="48">
        <f>ROUNDDOWN(SUMIF(P1262:P1263,O1264,J1262:J1263),0)</f>
        <v>1800000</v>
      </c>
      <c r="K1264" s="74"/>
      <c r="L1264" s="48">
        <f>ROUNDDOWN(SUMIF(P1262:P1263,O1264,L1262:L1263),0)</f>
        <v>25505</v>
      </c>
      <c r="M1264" s="74"/>
      <c r="O1264" s="7" t="s">
        <v>6406</v>
      </c>
    </row>
    <row r="1265" spans="1:26" ht="28.7" customHeight="1" x14ac:dyDescent="0.3">
      <c r="A1265" s="73"/>
      <c r="B1265" s="73"/>
      <c r="C1265" s="73"/>
      <c r="D1265" s="73"/>
      <c r="E1265" s="73"/>
      <c r="F1265" s="73"/>
      <c r="G1265" s="73"/>
      <c r="H1265" s="73"/>
      <c r="I1265" s="73"/>
      <c r="J1265" s="73"/>
      <c r="K1265" s="73"/>
      <c r="L1265" s="73"/>
      <c r="M1265" s="73"/>
    </row>
    <row r="1266" spans="1:26" ht="28.7" customHeight="1" x14ac:dyDescent="0.3">
      <c r="A1266" s="136" t="s">
        <v>716</v>
      </c>
      <c r="B1266" s="127"/>
      <c r="C1266" s="127"/>
      <c r="D1266" s="127"/>
      <c r="E1266" s="127"/>
      <c r="F1266" s="127"/>
      <c r="G1266" s="127"/>
      <c r="H1266" s="127"/>
      <c r="I1266" s="127"/>
      <c r="J1266" s="127"/>
      <c r="K1266" s="127"/>
      <c r="L1266" s="144"/>
      <c r="M1266" s="22" t="s">
        <v>7316</v>
      </c>
      <c r="N1266" s="84" t="str">
        <f>HYPERLINK("#N"&amp;ROW(N1268),"_x0005_`BDCOD|B04971_x0007_`POSS|"&amp;ROW(N1267)&amp;"_x0007_`POSE|"&amp;ROW(N1268)&amp;"_x0007_`")</f>
        <v>_x0005_`BDCOD|B04971_x0007_`POSS|1267_x0007_`POSE|1268_x0007_`</v>
      </c>
      <c r="O1266" s="7" t="s">
        <v>7317</v>
      </c>
    </row>
    <row r="1267" spans="1:26" ht="28.7" customHeight="1" x14ac:dyDescent="0.3">
      <c r="A1267" s="10" t="s">
        <v>1793</v>
      </c>
      <c r="B1267" s="10" t="s">
        <v>1712</v>
      </c>
      <c r="C1267" s="75">
        <v>1</v>
      </c>
      <c r="D1267" s="31" t="s">
        <v>14</v>
      </c>
      <c r="E1267" s="55">
        <f>I1267+G1267+K1267</f>
        <v>1057069</v>
      </c>
      <c r="F1267" s="76">
        <f>J1267+H1267+L1267</f>
        <v>1057069</v>
      </c>
      <c r="G1267" s="78">
        <f>일위대가목록표!F706</f>
        <v>1026282</v>
      </c>
      <c r="H1267" s="80">
        <f>IF(C1267=0,0,ROUNDDOWN(G1267*C1267,1))</f>
        <v>1026282</v>
      </c>
      <c r="I1267" s="78">
        <f>일위대가목록표!G706</f>
        <v>0</v>
      </c>
      <c r="J1267" s="80">
        <f>IF(C1267=0,0,ROUNDDOWN(I1267*C1267,1))</f>
        <v>0</v>
      </c>
      <c r="K1267" s="78">
        <f>일위대가목록표!H706</f>
        <v>30787</v>
      </c>
      <c r="L1267" s="80">
        <f>IF(C1267=0,0,ROUNDDOWN(K1267*C1267,1))</f>
        <v>30787</v>
      </c>
      <c r="M1267" s="22" t="s">
        <v>7320</v>
      </c>
      <c r="N1267" s="17" t="s">
        <v>7318</v>
      </c>
      <c r="O1267" s="7" t="s">
        <v>7319</v>
      </c>
      <c r="P1267" s="7" t="s">
        <v>6406</v>
      </c>
      <c r="Z1267" s="3" t="str">
        <f ca="1">HYPERLINK("#"&amp;일위대가목록표!J2&amp;"!A"&amp;ROW(일위대가목록표!A706),"대가703 →")</f>
        <v>대가703 →</v>
      </c>
    </row>
    <row r="1268" spans="1:26" ht="28.7" customHeight="1" x14ac:dyDescent="0.3">
      <c r="A1268" s="10" t="s">
        <v>705</v>
      </c>
      <c r="B1268" s="10" t="s">
        <v>2332</v>
      </c>
      <c r="C1268" s="75">
        <v>1</v>
      </c>
      <c r="D1268" s="31" t="s">
        <v>14</v>
      </c>
      <c r="E1268" s="55">
        <f>I1268+G1268+K1268</f>
        <v>2300000</v>
      </c>
      <c r="F1268" s="77">
        <f>J1268+H1268+L1268</f>
        <v>2300000</v>
      </c>
      <c r="G1268" s="51">
        <v>0</v>
      </c>
      <c r="H1268" s="76">
        <f>IF(C1268=0,0,ROUNDDOWN(G1268*C1268,1))</f>
        <v>0</v>
      </c>
      <c r="I1268" s="78">
        <f>재료비목록표!E101</f>
        <v>2300000</v>
      </c>
      <c r="J1268" s="81">
        <f>IF(C1268=0,0,ROUNDDOWN(I1268*C1268,1))</f>
        <v>2300000</v>
      </c>
      <c r="K1268" s="51">
        <v>0</v>
      </c>
      <c r="L1268" s="76">
        <f>IF(C1268=0,0,ROUNDDOWN(K1268*C1268,1))</f>
        <v>0</v>
      </c>
      <c r="M1268" s="22" t="s">
        <v>7322</v>
      </c>
      <c r="N1268" s="17" t="s">
        <v>7321</v>
      </c>
      <c r="O1268" s="7" t="s">
        <v>5541</v>
      </c>
      <c r="P1268" s="7" t="s">
        <v>6406</v>
      </c>
      <c r="Z1268" s="3" t="str">
        <f ca="1">HYPERLINK("#"&amp;재료비목록표!G2&amp;"!A"&amp;ROW(재료비목록표!A101),"자재98 →")</f>
        <v>자재98 →</v>
      </c>
    </row>
    <row r="1269" spans="1:26" ht="28.7" customHeight="1" x14ac:dyDescent="0.3">
      <c r="A1269" s="22" t="s">
        <v>6</v>
      </c>
      <c r="B1269" s="74"/>
      <c r="C1269" s="74"/>
      <c r="D1269" s="74"/>
      <c r="E1269" s="74"/>
      <c r="F1269" s="48">
        <f>J1269+H1269+L1269</f>
        <v>3357069</v>
      </c>
      <c r="G1269" s="74"/>
      <c r="H1269" s="48">
        <f>ROUNDDOWN(SUMIF(P1267:P1268,O1269,H1267:H1268),0)</f>
        <v>1026282</v>
      </c>
      <c r="I1269" s="74"/>
      <c r="J1269" s="48">
        <f>ROUNDDOWN(SUMIF(P1267:P1268,O1269,J1267:J1268),0)</f>
        <v>2300000</v>
      </c>
      <c r="K1269" s="74"/>
      <c r="L1269" s="48">
        <f>ROUNDDOWN(SUMIF(P1267:P1268,O1269,L1267:L1268),0)</f>
        <v>30787</v>
      </c>
      <c r="M1269" s="74"/>
      <c r="O1269" s="7" t="s">
        <v>6406</v>
      </c>
    </row>
    <row r="1270" spans="1:26" ht="28.7" customHeight="1" x14ac:dyDescent="0.3">
      <c r="A1270" s="73"/>
      <c r="B1270" s="73"/>
      <c r="C1270" s="73"/>
      <c r="D1270" s="73"/>
      <c r="E1270" s="73"/>
      <c r="F1270" s="73"/>
      <c r="G1270" s="73"/>
      <c r="H1270" s="73"/>
      <c r="I1270" s="73"/>
      <c r="J1270" s="73"/>
      <c r="K1270" s="73"/>
      <c r="L1270" s="73"/>
      <c r="M1270" s="73"/>
    </row>
    <row r="1271" spans="1:26" ht="28.7" customHeight="1" x14ac:dyDescent="0.3">
      <c r="A1271" s="136" t="s">
        <v>719</v>
      </c>
      <c r="B1271" s="127"/>
      <c r="C1271" s="127"/>
      <c r="D1271" s="127"/>
      <c r="E1271" s="127"/>
      <c r="F1271" s="127"/>
      <c r="G1271" s="127"/>
      <c r="H1271" s="127"/>
      <c r="I1271" s="127"/>
      <c r="J1271" s="127"/>
      <c r="K1271" s="127"/>
      <c r="L1271" s="144"/>
      <c r="M1271" s="22" t="s">
        <v>7323</v>
      </c>
      <c r="N1271" s="84" t="str">
        <f>HYPERLINK("#N"&amp;ROW(N1273),"_x0005_`BDCOD|B04972_x0007_`POSS|"&amp;ROW(N1272)&amp;"_x0007_`POSE|"&amp;ROW(N1273)&amp;"_x0007_`")</f>
        <v>_x0005_`BDCOD|B04972_x0007_`POSS|1272_x0007_`POSE|1273_x0007_`</v>
      </c>
      <c r="O1271" s="7" t="s">
        <v>7324</v>
      </c>
    </row>
    <row r="1272" spans="1:26" ht="28.7" customHeight="1" x14ac:dyDescent="0.3">
      <c r="A1272" s="10" t="s">
        <v>1793</v>
      </c>
      <c r="B1272" s="10" t="s">
        <v>1721</v>
      </c>
      <c r="C1272" s="75">
        <v>1</v>
      </c>
      <c r="D1272" s="31" t="s">
        <v>14</v>
      </c>
      <c r="E1272" s="55">
        <f>I1272+G1272+K1272</f>
        <v>1258434</v>
      </c>
      <c r="F1272" s="76">
        <f>J1272+H1272+L1272</f>
        <v>1258434</v>
      </c>
      <c r="G1272" s="78">
        <f>일위대가목록표!F709</f>
        <v>1221781</v>
      </c>
      <c r="H1272" s="80">
        <f>IF(C1272=0,0,ROUNDDOWN(G1272*C1272,1))</f>
        <v>1221781</v>
      </c>
      <c r="I1272" s="78">
        <f>일위대가목록표!G709</f>
        <v>0</v>
      </c>
      <c r="J1272" s="80">
        <f>IF(C1272=0,0,ROUNDDOWN(I1272*C1272,1))</f>
        <v>0</v>
      </c>
      <c r="K1272" s="78">
        <f>일위대가목록표!H709</f>
        <v>36653</v>
      </c>
      <c r="L1272" s="80">
        <f>IF(C1272=0,0,ROUNDDOWN(K1272*C1272,1))</f>
        <v>36653</v>
      </c>
      <c r="M1272" s="22" t="s">
        <v>7327</v>
      </c>
      <c r="N1272" s="17" t="s">
        <v>7325</v>
      </c>
      <c r="O1272" s="7" t="s">
        <v>7326</v>
      </c>
      <c r="P1272" s="7" t="s">
        <v>6406</v>
      </c>
      <c r="Z1272" s="3" t="str">
        <f ca="1">HYPERLINK("#"&amp;일위대가목록표!J2&amp;"!A"&amp;ROW(일위대가목록표!A709),"대가706 →")</f>
        <v>대가706 →</v>
      </c>
    </row>
    <row r="1273" spans="1:26" ht="28.7" customHeight="1" x14ac:dyDescent="0.3">
      <c r="A1273" s="10" t="s">
        <v>705</v>
      </c>
      <c r="B1273" s="10" t="s">
        <v>2317</v>
      </c>
      <c r="C1273" s="75">
        <v>1</v>
      </c>
      <c r="D1273" s="31" t="s">
        <v>14</v>
      </c>
      <c r="E1273" s="55">
        <f>I1273+G1273+K1273</f>
        <v>3662000</v>
      </c>
      <c r="F1273" s="77">
        <f>J1273+H1273+L1273</f>
        <v>3662000</v>
      </c>
      <c r="G1273" s="51">
        <v>0</v>
      </c>
      <c r="H1273" s="76">
        <f>IF(C1273=0,0,ROUNDDOWN(G1273*C1273,1))</f>
        <v>0</v>
      </c>
      <c r="I1273" s="78">
        <f>재료비목록표!E96</f>
        <v>3662000</v>
      </c>
      <c r="J1273" s="81">
        <f>IF(C1273=0,0,ROUNDDOWN(I1273*C1273,1))</f>
        <v>3662000</v>
      </c>
      <c r="K1273" s="51">
        <v>0</v>
      </c>
      <c r="L1273" s="76">
        <f>IF(C1273=0,0,ROUNDDOWN(K1273*C1273,1))</f>
        <v>0</v>
      </c>
      <c r="M1273" s="22" t="s">
        <v>7329</v>
      </c>
      <c r="N1273" s="17" t="s">
        <v>7328</v>
      </c>
      <c r="O1273" s="7" t="s">
        <v>5544</v>
      </c>
      <c r="P1273" s="7" t="s">
        <v>6406</v>
      </c>
      <c r="Z1273" s="3" t="str">
        <f ca="1">HYPERLINK("#"&amp;재료비목록표!G2&amp;"!A"&amp;ROW(재료비목록표!A96),"자재93 →")</f>
        <v>자재93 →</v>
      </c>
    </row>
    <row r="1274" spans="1:26" ht="28.7" customHeight="1" x14ac:dyDescent="0.3">
      <c r="A1274" s="22" t="s">
        <v>6</v>
      </c>
      <c r="B1274" s="74"/>
      <c r="C1274" s="74"/>
      <c r="D1274" s="74"/>
      <c r="E1274" s="74"/>
      <c r="F1274" s="48">
        <f>J1274+H1274+L1274</f>
        <v>4920434</v>
      </c>
      <c r="G1274" s="74"/>
      <c r="H1274" s="48">
        <f>ROUNDDOWN(SUMIF(P1272:P1273,O1274,H1272:H1273),0)</f>
        <v>1221781</v>
      </c>
      <c r="I1274" s="74"/>
      <c r="J1274" s="48">
        <f>ROUNDDOWN(SUMIF(P1272:P1273,O1274,J1272:J1273),0)</f>
        <v>3662000</v>
      </c>
      <c r="K1274" s="74"/>
      <c r="L1274" s="48">
        <f>ROUNDDOWN(SUMIF(P1272:P1273,O1274,L1272:L1273),0)</f>
        <v>36653</v>
      </c>
      <c r="M1274" s="74"/>
      <c r="O1274" s="7" t="s">
        <v>6406</v>
      </c>
    </row>
    <row r="1275" spans="1:26" ht="28.7" customHeight="1" x14ac:dyDescent="0.3">
      <c r="A1275" s="73"/>
      <c r="B1275" s="73"/>
      <c r="C1275" s="73"/>
      <c r="D1275" s="73"/>
      <c r="E1275" s="73"/>
      <c r="F1275" s="73"/>
      <c r="G1275" s="73"/>
      <c r="H1275" s="73"/>
      <c r="I1275" s="73"/>
      <c r="J1275" s="73"/>
      <c r="K1275" s="73"/>
      <c r="L1275" s="73"/>
      <c r="M1275" s="73"/>
    </row>
    <row r="1276" spans="1:26" ht="28.7" customHeight="1" x14ac:dyDescent="0.3">
      <c r="A1276" s="136" t="s">
        <v>722</v>
      </c>
      <c r="B1276" s="127"/>
      <c r="C1276" s="127"/>
      <c r="D1276" s="127"/>
      <c r="E1276" s="127"/>
      <c r="F1276" s="127"/>
      <c r="G1276" s="127"/>
      <c r="H1276" s="127"/>
      <c r="I1276" s="127"/>
      <c r="J1276" s="127"/>
      <c r="K1276" s="127"/>
      <c r="L1276" s="144"/>
      <c r="M1276" s="22" t="s">
        <v>7330</v>
      </c>
      <c r="N1276" s="84" t="str">
        <f>HYPERLINK("#N"&amp;ROW(N1278),"_x0005_`BDCOD|B04973_x0007_`POSS|"&amp;ROW(N1277)&amp;"_x0007_`POSE|"&amp;ROW(N1278)&amp;"_x0007_`")</f>
        <v>_x0005_`BDCOD|B04973_x0007_`POSS|1277_x0007_`POSE|1278_x0007_`</v>
      </c>
      <c r="O1276" s="7" t="s">
        <v>7331</v>
      </c>
    </row>
    <row r="1277" spans="1:26" ht="28.7" customHeight="1" x14ac:dyDescent="0.3">
      <c r="A1277" s="10" t="s">
        <v>1796</v>
      </c>
      <c r="B1277" s="10" t="s">
        <v>1833</v>
      </c>
      <c r="C1277" s="75">
        <v>1</v>
      </c>
      <c r="D1277" s="31" t="s">
        <v>14</v>
      </c>
      <c r="E1277" s="55">
        <f>I1277+G1277+K1277</f>
        <v>359552</v>
      </c>
      <c r="F1277" s="76">
        <f>J1277+H1277+L1277</f>
        <v>359552</v>
      </c>
      <c r="G1277" s="78">
        <f>일위대가목록표!F710</f>
        <v>349080</v>
      </c>
      <c r="H1277" s="80">
        <f>IF(C1277=0,0,ROUNDDOWN(G1277*C1277,1))</f>
        <v>349080</v>
      </c>
      <c r="I1277" s="78">
        <f>일위대가목록표!G710</f>
        <v>0</v>
      </c>
      <c r="J1277" s="80">
        <f>IF(C1277=0,0,ROUNDDOWN(I1277*C1277,1))</f>
        <v>0</v>
      </c>
      <c r="K1277" s="78">
        <f>일위대가목록표!H710</f>
        <v>10472</v>
      </c>
      <c r="L1277" s="80">
        <f>IF(C1277=0,0,ROUNDDOWN(K1277*C1277,1))</f>
        <v>10472</v>
      </c>
      <c r="M1277" s="22" t="s">
        <v>7334</v>
      </c>
      <c r="N1277" s="17" t="s">
        <v>7332</v>
      </c>
      <c r="O1277" s="7" t="s">
        <v>7333</v>
      </c>
      <c r="P1277" s="7" t="s">
        <v>6406</v>
      </c>
      <c r="Z1277" s="3" t="str">
        <f ca="1">HYPERLINK("#"&amp;일위대가목록표!J2&amp;"!A"&amp;ROW(일위대가목록표!A710),"대가707 →")</f>
        <v>대가707 →</v>
      </c>
    </row>
    <row r="1278" spans="1:26" ht="28.7" customHeight="1" x14ac:dyDescent="0.3">
      <c r="A1278" s="10" t="s">
        <v>724</v>
      </c>
      <c r="B1278" s="10" t="s">
        <v>2335</v>
      </c>
      <c r="C1278" s="75">
        <v>1</v>
      </c>
      <c r="D1278" s="31" t="s">
        <v>14</v>
      </c>
      <c r="E1278" s="55">
        <f>I1278+G1278+K1278</f>
        <v>6500000</v>
      </c>
      <c r="F1278" s="77">
        <f>J1278+H1278+L1278</f>
        <v>6500000</v>
      </c>
      <c r="G1278" s="51">
        <v>0</v>
      </c>
      <c r="H1278" s="76">
        <f>IF(C1278=0,0,ROUNDDOWN(G1278*C1278,1))</f>
        <v>0</v>
      </c>
      <c r="I1278" s="78">
        <f>재료비목록표!E102</f>
        <v>6500000</v>
      </c>
      <c r="J1278" s="81">
        <f>IF(C1278=0,0,ROUNDDOWN(I1278*C1278,1))</f>
        <v>6500000</v>
      </c>
      <c r="K1278" s="51">
        <v>0</v>
      </c>
      <c r="L1278" s="76">
        <f>IF(C1278=0,0,ROUNDDOWN(K1278*C1278,1))</f>
        <v>0</v>
      </c>
      <c r="M1278" s="22" t="s">
        <v>7336</v>
      </c>
      <c r="N1278" s="17" t="s">
        <v>7335</v>
      </c>
      <c r="O1278" s="7" t="s">
        <v>5556</v>
      </c>
      <c r="P1278" s="7" t="s">
        <v>6406</v>
      </c>
      <c r="Z1278" s="3" t="str">
        <f ca="1">HYPERLINK("#"&amp;재료비목록표!G2&amp;"!A"&amp;ROW(재료비목록표!A102),"자재99 →")</f>
        <v>자재99 →</v>
      </c>
    </row>
    <row r="1279" spans="1:26" ht="28.7" customHeight="1" x14ac:dyDescent="0.3">
      <c r="A1279" s="22" t="s">
        <v>6</v>
      </c>
      <c r="B1279" s="74"/>
      <c r="C1279" s="74"/>
      <c r="D1279" s="74"/>
      <c r="E1279" s="74"/>
      <c r="F1279" s="48">
        <f>J1279+H1279+L1279</f>
        <v>6859552</v>
      </c>
      <c r="G1279" s="74"/>
      <c r="H1279" s="48">
        <f>ROUNDDOWN(SUMIF(P1277:P1278,O1279,H1277:H1278),0)</f>
        <v>349080</v>
      </c>
      <c r="I1279" s="74"/>
      <c r="J1279" s="48">
        <f>ROUNDDOWN(SUMIF(P1277:P1278,O1279,J1277:J1278),0)</f>
        <v>6500000</v>
      </c>
      <c r="K1279" s="74"/>
      <c r="L1279" s="48">
        <f>ROUNDDOWN(SUMIF(P1277:P1278,O1279,L1277:L1278),0)</f>
        <v>10472</v>
      </c>
      <c r="M1279" s="74"/>
      <c r="O1279" s="7" t="s">
        <v>6406</v>
      </c>
    </row>
    <row r="1280" spans="1:26" ht="28.7" customHeight="1" x14ac:dyDescent="0.3">
      <c r="A1280" s="73"/>
      <c r="B1280" s="73"/>
      <c r="C1280" s="73"/>
      <c r="D1280" s="73"/>
      <c r="E1280" s="73"/>
      <c r="F1280" s="73"/>
      <c r="G1280" s="73"/>
      <c r="H1280" s="73"/>
      <c r="I1280" s="73"/>
      <c r="J1280" s="73"/>
      <c r="K1280" s="73"/>
      <c r="L1280" s="73"/>
      <c r="M1280" s="73"/>
    </row>
    <row r="1281" spans="1:26" ht="28.7" customHeight="1" x14ac:dyDescent="0.3">
      <c r="A1281" s="136" t="s">
        <v>726</v>
      </c>
      <c r="B1281" s="127"/>
      <c r="C1281" s="127"/>
      <c r="D1281" s="127"/>
      <c r="E1281" s="127"/>
      <c r="F1281" s="127"/>
      <c r="G1281" s="127"/>
      <c r="H1281" s="127"/>
      <c r="I1281" s="127"/>
      <c r="J1281" s="127"/>
      <c r="K1281" s="127"/>
      <c r="L1281" s="144"/>
      <c r="M1281" s="22" t="s">
        <v>7337</v>
      </c>
      <c r="N1281" s="84" t="str">
        <f>HYPERLINK("#N"&amp;ROW(N1283),"_x0005_`BDCOD|B04974_x0007_`POSS|"&amp;ROW(N1282)&amp;"_x0007_`POSE|"&amp;ROW(N1283)&amp;"_x0007_`")</f>
        <v>_x0005_`BDCOD|B04974_x0007_`POSS|1282_x0007_`POSE|1283_x0007_`</v>
      </c>
      <c r="O1281" s="7" t="s">
        <v>7338</v>
      </c>
    </row>
    <row r="1282" spans="1:26" ht="28.7" customHeight="1" x14ac:dyDescent="0.3">
      <c r="A1282" s="10" t="s">
        <v>1793</v>
      </c>
      <c r="B1282" s="10" t="s">
        <v>1721</v>
      </c>
      <c r="C1282" s="75">
        <v>1</v>
      </c>
      <c r="D1282" s="31" t="s">
        <v>14</v>
      </c>
      <c r="E1282" s="55">
        <f>I1282+G1282+K1282</f>
        <v>1258434</v>
      </c>
      <c r="F1282" s="76">
        <f>J1282+H1282+L1282</f>
        <v>1258434</v>
      </c>
      <c r="G1282" s="78">
        <f>일위대가목록표!F709</f>
        <v>1221781</v>
      </c>
      <c r="H1282" s="80">
        <f>IF(C1282=0,0,ROUNDDOWN(G1282*C1282,1))</f>
        <v>1221781</v>
      </c>
      <c r="I1282" s="78">
        <f>일위대가목록표!G709</f>
        <v>0</v>
      </c>
      <c r="J1282" s="80">
        <f>IF(C1282=0,0,ROUNDDOWN(I1282*C1282,1))</f>
        <v>0</v>
      </c>
      <c r="K1282" s="78">
        <f>일위대가목록표!H709</f>
        <v>36653</v>
      </c>
      <c r="L1282" s="80">
        <f>IF(C1282=0,0,ROUNDDOWN(K1282*C1282,1))</f>
        <v>36653</v>
      </c>
      <c r="M1282" s="22" t="s">
        <v>7327</v>
      </c>
      <c r="N1282" s="17" t="s">
        <v>7325</v>
      </c>
      <c r="O1282" s="7" t="s">
        <v>7326</v>
      </c>
      <c r="P1282" s="7" t="s">
        <v>6406</v>
      </c>
      <c r="Z1282" s="3" t="str">
        <f ca="1">HYPERLINK("#"&amp;일위대가목록표!J2&amp;"!A"&amp;ROW(일위대가목록표!A709),"대가706 →")</f>
        <v>대가706 →</v>
      </c>
    </row>
    <row r="1283" spans="1:26" ht="28.7" customHeight="1" x14ac:dyDescent="0.3">
      <c r="A1283" s="10" t="s">
        <v>724</v>
      </c>
      <c r="B1283" s="10" t="s">
        <v>2338</v>
      </c>
      <c r="C1283" s="75">
        <v>1</v>
      </c>
      <c r="D1283" s="31" t="s">
        <v>14</v>
      </c>
      <c r="E1283" s="55">
        <f>I1283+G1283+K1283</f>
        <v>10500000</v>
      </c>
      <c r="F1283" s="77">
        <f>J1283+H1283+L1283</f>
        <v>10500000</v>
      </c>
      <c r="G1283" s="51">
        <v>0</v>
      </c>
      <c r="H1283" s="76">
        <f>IF(C1283=0,0,ROUNDDOWN(G1283*C1283,1))</f>
        <v>0</v>
      </c>
      <c r="I1283" s="78">
        <f>재료비목록표!E103</f>
        <v>10500000</v>
      </c>
      <c r="J1283" s="81">
        <f>IF(C1283=0,0,ROUNDDOWN(I1283*C1283,1))</f>
        <v>10500000</v>
      </c>
      <c r="K1283" s="51">
        <v>0</v>
      </c>
      <c r="L1283" s="76">
        <f>IF(C1283=0,0,ROUNDDOWN(K1283*C1283,1))</f>
        <v>0</v>
      </c>
      <c r="M1283" s="22" t="s">
        <v>7340</v>
      </c>
      <c r="N1283" s="17" t="s">
        <v>7339</v>
      </c>
      <c r="O1283" s="7" t="s">
        <v>5559</v>
      </c>
      <c r="P1283" s="7" t="s">
        <v>6406</v>
      </c>
      <c r="Z1283" s="3" t="str">
        <f ca="1">HYPERLINK("#"&amp;재료비목록표!G2&amp;"!A"&amp;ROW(재료비목록표!A103),"자재100 →")</f>
        <v>자재100 →</v>
      </c>
    </row>
    <row r="1284" spans="1:26" ht="28.7" customHeight="1" x14ac:dyDescent="0.3">
      <c r="A1284" s="22" t="s">
        <v>6</v>
      </c>
      <c r="B1284" s="74"/>
      <c r="C1284" s="74"/>
      <c r="D1284" s="74"/>
      <c r="E1284" s="74"/>
      <c r="F1284" s="48">
        <f>J1284+H1284+L1284</f>
        <v>11758434</v>
      </c>
      <c r="G1284" s="74"/>
      <c r="H1284" s="48">
        <f>ROUNDDOWN(SUMIF(P1282:P1283,O1284,H1282:H1283),0)</f>
        <v>1221781</v>
      </c>
      <c r="I1284" s="74"/>
      <c r="J1284" s="48">
        <f>ROUNDDOWN(SUMIF(P1282:P1283,O1284,J1282:J1283),0)</f>
        <v>10500000</v>
      </c>
      <c r="K1284" s="74"/>
      <c r="L1284" s="48">
        <f>ROUNDDOWN(SUMIF(P1282:P1283,O1284,L1282:L1283),0)</f>
        <v>36653</v>
      </c>
      <c r="M1284" s="74"/>
      <c r="O1284" s="7" t="s">
        <v>6406</v>
      </c>
    </row>
    <row r="1285" spans="1:26" ht="28.7" customHeight="1" x14ac:dyDescent="0.3">
      <c r="A1285" s="73"/>
      <c r="B1285" s="73"/>
      <c r="C1285" s="73"/>
      <c r="D1285" s="73"/>
      <c r="E1285" s="73"/>
      <c r="F1285" s="73"/>
      <c r="G1285" s="73"/>
      <c r="H1285" s="73"/>
      <c r="I1285" s="73"/>
      <c r="J1285" s="73"/>
      <c r="K1285" s="73"/>
      <c r="L1285" s="73"/>
      <c r="M1285" s="73"/>
    </row>
    <row r="1286" spans="1:26" ht="28.7" customHeight="1" x14ac:dyDescent="0.3">
      <c r="A1286" s="136" t="s">
        <v>729</v>
      </c>
      <c r="B1286" s="127"/>
      <c r="C1286" s="127"/>
      <c r="D1286" s="127"/>
      <c r="E1286" s="127"/>
      <c r="F1286" s="127"/>
      <c r="G1286" s="127"/>
      <c r="H1286" s="127"/>
      <c r="I1286" s="127"/>
      <c r="J1286" s="127"/>
      <c r="K1286" s="127"/>
      <c r="L1286" s="144"/>
      <c r="M1286" s="22" t="s">
        <v>7341</v>
      </c>
      <c r="N1286" s="84" t="str">
        <f>HYPERLINK("#N"&amp;ROW(N1288),"_x0005_`BDCOD|B04975_x0007_`POSS|"&amp;ROW(N1287)&amp;"_x0007_`POSE|"&amp;ROW(N1288)&amp;"_x0007_`")</f>
        <v>_x0005_`BDCOD|B04975_x0007_`POSS|1287_x0007_`POSE|1288_x0007_`</v>
      </c>
      <c r="O1286" s="7" t="s">
        <v>7342</v>
      </c>
    </row>
    <row r="1287" spans="1:26" ht="28.7" customHeight="1" x14ac:dyDescent="0.3">
      <c r="A1287" s="10" t="s">
        <v>1793</v>
      </c>
      <c r="B1287" s="10" t="s">
        <v>1721</v>
      </c>
      <c r="C1287" s="75">
        <v>1</v>
      </c>
      <c r="D1287" s="31" t="s">
        <v>14</v>
      </c>
      <c r="E1287" s="55">
        <f>I1287+G1287+K1287</f>
        <v>1258434</v>
      </c>
      <c r="F1287" s="76">
        <f>J1287+H1287+L1287</f>
        <v>1258434</v>
      </c>
      <c r="G1287" s="78">
        <f>일위대가목록표!F709</f>
        <v>1221781</v>
      </c>
      <c r="H1287" s="80">
        <f>IF(C1287=0,0,ROUNDDOWN(G1287*C1287,1))</f>
        <v>1221781</v>
      </c>
      <c r="I1287" s="78">
        <f>일위대가목록표!G709</f>
        <v>0</v>
      </c>
      <c r="J1287" s="80">
        <f>IF(C1287=0,0,ROUNDDOWN(I1287*C1287,1))</f>
        <v>0</v>
      </c>
      <c r="K1287" s="78">
        <f>일위대가목록표!H709</f>
        <v>36653</v>
      </c>
      <c r="L1287" s="80">
        <f>IF(C1287=0,0,ROUNDDOWN(K1287*C1287,1))</f>
        <v>36653</v>
      </c>
      <c r="M1287" s="22" t="s">
        <v>7327</v>
      </c>
      <c r="N1287" s="17" t="s">
        <v>7325</v>
      </c>
      <c r="O1287" s="7" t="s">
        <v>7326</v>
      </c>
      <c r="P1287" s="7" t="s">
        <v>6406</v>
      </c>
      <c r="Z1287" s="3" t="str">
        <f ca="1">HYPERLINK("#"&amp;일위대가목록표!J2&amp;"!A"&amp;ROW(일위대가목록표!A709),"대가706 →")</f>
        <v>대가706 →</v>
      </c>
    </row>
    <row r="1288" spans="1:26" ht="28.7" customHeight="1" x14ac:dyDescent="0.3">
      <c r="A1288" s="10" t="s">
        <v>724</v>
      </c>
      <c r="B1288" s="10" t="s">
        <v>2341</v>
      </c>
      <c r="C1288" s="75">
        <v>1</v>
      </c>
      <c r="D1288" s="31" t="s">
        <v>14</v>
      </c>
      <c r="E1288" s="55">
        <f>I1288+G1288+K1288</f>
        <v>12500000</v>
      </c>
      <c r="F1288" s="77">
        <f>J1288+H1288+L1288</f>
        <v>12500000</v>
      </c>
      <c r="G1288" s="51">
        <v>0</v>
      </c>
      <c r="H1288" s="76">
        <f>IF(C1288=0,0,ROUNDDOWN(G1288*C1288,1))</f>
        <v>0</v>
      </c>
      <c r="I1288" s="78">
        <f>재료비목록표!E104</f>
        <v>12500000</v>
      </c>
      <c r="J1288" s="81">
        <f>IF(C1288=0,0,ROUNDDOWN(I1288*C1288,1))</f>
        <v>12500000</v>
      </c>
      <c r="K1288" s="51">
        <v>0</v>
      </c>
      <c r="L1288" s="76">
        <f>IF(C1288=0,0,ROUNDDOWN(K1288*C1288,1))</f>
        <v>0</v>
      </c>
      <c r="M1288" s="22" t="s">
        <v>7344</v>
      </c>
      <c r="N1288" s="17" t="s">
        <v>7343</v>
      </c>
      <c r="O1288" s="7" t="s">
        <v>5562</v>
      </c>
      <c r="P1288" s="7" t="s">
        <v>6406</v>
      </c>
      <c r="Z1288" s="3" t="str">
        <f ca="1">HYPERLINK("#"&amp;재료비목록표!G2&amp;"!A"&amp;ROW(재료비목록표!A104),"자재101 →")</f>
        <v>자재101 →</v>
      </c>
    </row>
    <row r="1289" spans="1:26" ht="28.7" customHeight="1" x14ac:dyDescent="0.3">
      <c r="A1289" s="22" t="s">
        <v>6</v>
      </c>
      <c r="B1289" s="74"/>
      <c r="C1289" s="74"/>
      <c r="D1289" s="74"/>
      <c r="E1289" s="74"/>
      <c r="F1289" s="48">
        <f>J1289+H1289+L1289</f>
        <v>13758434</v>
      </c>
      <c r="G1289" s="74"/>
      <c r="H1289" s="48">
        <f>ROUNDDOWN(SUMIF(P1287:P1288,O1289,H1287:H1288),0)</f>
        <v>1221781</v>
      </c>
      <c r="I1289" s="74"/>
      <c r="J1289" s="48">
        <f>ROUNDDOWN(SUMIF(P1287:P1288,O1289,J1287:J1288),0)</f>
        <v>12500000</v>
      </c>
      <c r="K1289" s="74"/>
      <c r="L1289" s="48">
        <f>ROUNDDOWN(SUMIF(P1287:P1288,O1289,L1287:L1288),0)</f>
        <v>36653</v>
      </c>
      <c r="M1289" s="74"/>
      <c r="O1289" s="7" t="s">
        <v>6406</v>
      </c>
    </row>
    <row r="1290" spans="1:26" ht="28.7" customHeight="1" x14ac:dyDescent="0.3">
      <c r="A1290" s="73"/>
      <c r="B1290" s="73"/>
      <c r="C1290" s="73"/>
      <c r="D1290" s="73"/>
      <c r="E1290" s="73"/>
      <c r="F1290" s="73"/>
      <c r="G1290" s="73"/>
      <c r="H1290" s="73"/>
      <c r="I1290" s="73"/>
      <c r="J1290" s="73"/>
      <c r="K1290" s="73"/>
      <c r="L1290" s="73"/>
      <c r="M1290" s="73"/>
    </row>
    <row r="1291" spans="1:26" ht="28.7" customHeight="1" x14ac:dyDescent="0.3">
      <c r="A1291" s="136" t="s">
        <v>732</v>
      </c>
      <c r="B1291" s="127"/>
      <c r="C1291" s="127"/>
      <c r="D1291" s="127"/>
      <c r="E1291" s="127"/>
      <c r="F1291" s="127"/>
      <c r="G1291" s="127"/>
      <c r="H1291" s="127"/>
      <c r="I1291" s="127"/>
      <c r="J1291" s="127"/>
      <c r="K1291" s="127"/>
      <c r="L1291" s="144"/>
      <c r="M1291" s="22" t="s">
        <v>7345</v>
      </c>
      <c r="N1291" s="84" t="str">
        <f>HYPERLINK("#N"&amp;ROW(N1293),"_x0005_`BDCOD|B04976_x0007_`POSS|"&amp;ROW(N1292)&amp;"_x0007_`POSE|"&amp;ROW(N1293)&amp;"_x0007_`")</f>
        <v>_x0005_`BDCOD|B04976_x0007_`POSS|1292_x0007_`POSE|1293_x0007_`</v>
      </c>
      <c r="O1291" s="7" t="s">
        <v>7346</v>
      </c>
    </row>
    <row r="1292" spans="1:26" ht="28.7" customHeight="1" x14ac:dyDescent="0.3">
      <c r="A1292" s="10" t="s">
        <v>1793</v>
      </c>
      <c r="B1292" s="10" t="s">
        <v>1721</v>
      </c>
      <c r="C1292" s="75">
        <v>1</v>
      </c>
      <c r="D1292" s="31" t="s">
        <v>14</v>
      </c>
      <c r="E1292" s="55">
        <f>I1292+G1292+K1292</f>
        <v>1258434</v>
      </c>
      <c r="F1292" s="76">
        <f>J1292+H1292+L1292</f>
        <v>1258434</v>
      </c>
      <c r="G1292" s="78">
        <f>일위대가목록표!F709</f>
        <v>1221781</v>
      </c>
      <c r="H1292" s="80">
        <f>IF(C1292=0,0,ROUNDDOWN(G1292*C1292,1))</f>
        <v>1221781</v>
      </c>
      <c r="I1292" s="78">
        <f>일위대가목록표!G709</f>
        <v>0</v>
      </c>
      <c r="J1292" s="80">
        <f>IF(C1292=0,0,ROUNDDOWN(I1292*C1292,1))</f>
        <v>0</v>
      </c>
      <c r="K1292" s="78">
        <f>일위대가목록표!H709</f>
        <v>36653</v>
      </c>
      <c r="L1292" s="80">
        <f>IF(C1292=0,0,ROUNDDOWN(K1292*C1292,1))</f>
        <v>36653</v>
      </c>
      <c r="M1292" s="22" t="s">
        <v>7327</v>
      </c>
      <c r="N1292" s="17" t="s">
        <v>7325</v>
      </c>
      <c r="O1292" s="7" t="s">
        <v>7326</v>
      </c>
      <c r="P1292" s="7" t="s">
        <v>6406</v>
      </c>
      <c r="Z1292" s="3" t="str">
        <f ca="1">HYPERLINK("#"&amp;일위대가목록표!J2&amp;"!A"&amp;ROW(일위대가목록표!A709),"대가706 →")</f>
        <v>대가706 →</v>
      </c>
    </row>
    <row r="1293" spans="1:26" ht="28.7" customHeight="1" x14ac:dyDescent="0.3">
      <c r="A1293" s="10" t="s">
        <v>724</v>
      </c>
      <c r="B1293" s="10" t="s">
        <v>2344</v>
      </c>
      <c r="C1293" s="75">
        <v>1</v>
      </c>
      <c r="D1293" s="31" t="s">
        <v>14</v>
      </c>
      <c r="E1293" s="55">
        <f>I1293+G1293+K1293</f>
        <v>15000000</v>
      </c>
      <c r="F1293" s="77">
        <f>J1293+H1293+L1293</f>
        <v>15000000</v>
      </c>
      <c r="G1293" s="51">
        <v>0</v>
      </c>
      <c r="H1293" s="76">
        <f>IF(C1293=0,0,ROUNDDOWN(G1293*C1293,1))</f>
        <v>0</v>
      </c>
      <c r="I1293" s="78">
        <f>재료비목록표!E105</f>
        <v>15000000</v>
      </c>
      <c r="J1293" s="81">
        <f>IF(C1293=0,0,ROUNDDOWN(I1293*C1293,1))</f>
        <v>15000000</v>
      </c>
      <c r="K1293" s="51">
        <v>0</v>
      </c>
      <c r="L1293" s="76">
        <f>IF(C1293=0,0,ROUNDDOWN(K1293*C1293,1))</f>
        <v>0</v>
      </c>
      <c r="M1293" s="22" t="s">
        <v>7348</v>
      </c>
      <c r="N1293" s="17" t="s">
        <v>7347</v>
      </c>
      <c r="O1293" s="7" t="s">
        <v>5565</v>
      </c>
      <c r="P1293" s="7" t="s">
        <v>6406</v>
      </c>
      <c r="Z1293" s="3" t="str">
        <f ca="1">HYPERLINK("#"&amp;재료비목록표!G2&amp;"!A"&amp;ROW(재료비목록표!A105),"자재102 →")</f>
        <v>자재102 →</v>
      </c>
    </row>
    <row r="1294" spans="1:26" ht="28.7" customHeight="1" x14ac:dyDescent="0.3">
      <c r="A1294" s="22" t="s">
        <v>6</v>
      </c>
      <c r="B1294" s="74"/>
      <c r="C1294" s="74"/>
      <c r="D1294" s="74"/>
      <c r="E1294" s="74"/>
      <c r="F1294" s="48">
        <f>J1294+H1294+L1294</f>
        <v>16258434</v>
      </c>
      <c r="G1294" s="74"/>
      <c r="H1294" s="48">
        <f>ROUNDDOWN(SUMIF(P1292:P1293,O1294,H1292:H1293),0)</f>
        <v>1221781</v>
      </c>
      <c r="I1294" s="74"/>
      <c r="J1294" s="48">
        <f>ROUNDDOWN(SUMIF(P1292:P1293,O1294,J1292:J1293),0)</f>
        <v>15000000</v>
      </c>
      <c r="K1294" s="74"/>
      <c r="L1294" s="48">
        <f>ROUNDDOWN(SUMIF(P1292:P1293,O1294,L1292:L1293),0)</f>
        <v>36653</v>
      </c>
      <c r="M1294" s="74"/>
      <c r="O1294" s="7" t="s">
        <v>6406</v>
      </c>
    </row>
    <row r="1295" spans="1:26" ht="28.7" customHeight="1" x14ac:dyDescent="0.3">
      <c r="A1295" s="73"/>
      <c r="B1295" s="73"/>
      <c r="C1295" s="73"/>
      <c r="D1295" s="73"/>
      <c r="E1295" s="73"/>
      <c r="F1295" s="73"/>
      <c r="G1295" s="73"/>
      <c r="H1295" s="73"/>
      <c r="I1295" s="73"/>
      <c r="J1295" s="73"/>
      <c r="K1295" s="73"/>
      <c r="L1295" s="73"/>
      <c r="M1295" s="73"/>
    </row>
    <row r="1296" spans="1:26" ht="28.7" customHeight="1" x14ac:dyDescent="0.3">
      <c r="A1296" s="136" t="s">
        <v>735</v>
      </c>
      <c r="B1296" s="127"/>
      <c r="C1296" s="127"/>
      <c r="D1296" s="127"/>
      <c r="E1296" s="127"/>
      <c r="F1296" s="127"/>
      <c r="G1296" s="127"/>
      <c r="H1296" s="127"/>
      <c r="I1296" s="127"/>
      <c r="J1296" s="127"/>
      <c r="K1296" s="127"/>
      <c r="L1296" s="144"/>
      <c r="M1296" s="22" t="s">
        <v>7349</v>
      </c>
      <c r="N1296" s="84" t="str">
        <f>HYPERLINK("#N"&amp;ROW(N1297),"_x0005_`BDCOD|B05333_x0007_`POSS|"&amp;ROW(N1297)&amp;"_x0007_`POSE|"&amp;ROW(N1297)&amp;"_x0007_`")</f>
        <v>_x0005_`BDCOD|B05333_x0007_`POSS|1297_x0007_`POSE|1297_x0007_`</v>
      </c>
      <c r="O1296" s="7" t="s">
        <v>7350</v>
      </c>
    </row>
    <row r="1297" spans="1:26" ht="28.7" customHeight="1" x14ac:dyDescent="0.3">
      <c r="A1297" s="10" t="s">
        <v>1793</v>
      </c>
      <c r="B1297" s="10" t="s">
        <v>1784</v>
      </c>
      <c r="C1297" s="75">
        <v>1</v>
      </c>
      <c r="D1297" s="31" t="s">
        <v>14</v>
      </c>
      <c r="E1297" s="55">
        <f>I1297+G1297+K1297</f>
        <v>578663</v>
      </c>
      <c r="F1297" s="76">
        <f>J1297+H1297+L1297</f>
        <v>578663</v>
      </c>
      <c r="G1297" s="78">
        <f>일위대가목록표!F694</f>
        <v>561810</v>
      </c>
      <c r="H1297" s="80">
        <f>IF(C1297=0,0,ROUNDDOWN(G1297*C1297,1))</f>
        <v>561810</v>
      </c>
      <c r="I1297" s="78">
        <f>일위대가목록표!G694</f>
        <v>0</v>
      </c>
      <c r="J1297" s="80">
        <f>IF(C1297=0,0,ROUNDDOWN(I1297*C1297,1))</f>
        <v>0</v>
      </c>
      <c r="K1297" s="78">
        <f>일위대가목록표!H694</f>
        <v>16853</v>
      </c>
      <c r="L1297" s="80">
        <f>IF(C1297=0,0,ROUNDDOWN(K1297*C1297,1))</f>
        <v>16853</v>
      </c>
      <c r="M1297" s="22" t="s">
        <v>7267</v>
      </c>
      <c r="N1297" s="17" t="s">
        <v>7265</v>
      </c>
      <c r="O1297" s="7" t="s">
        <v>7266</v>
      </c>
      <c r="P1297" s="7" t="s">
        <v>6406</v>
      </c>
      <c r="Z1297" s="3" t="str">
        <f ca="1">HYPERLINK("#"&amp;일위대가목록표!J2&amp;"!A"&amp;ROW(일위대가목록표!A694),"대가691 →")</f>
        <v>대가691 →</v>
      </c>
    </row>
    <row r="1298" spans="1:26" ht="28.7" customHeight="1" x14ac:dyDescent="0.3">
      <c r="A1298" s="22" t="s">
        <v>6</v>
      </c>
      <c r="B1298" s="74"/>
      <c r="C1298" s="74"/>
      <c r="D1298" s="74"/>
      <c r="E1298" s="74"/>
      <c r="F1298" s="48">
        <f>J1298+H1298+L1298</f>
        <v>578663</v>
      </c>
      <c r="G1298" s="74"/>
      <c r="H1298" s="48">
        <f>ROUNDDOWN(SUMIF(P1297:P1297,O1298,H1297:H1297),0)</f>
        <v>561810</v>
      </c>
      <c r="I1298" s="74"/>
      <c r="J1298" s="48">
        <f>ROUNDDOWN(SUMIF(P1297:P1297,O1298,J1297:J1297),0)</f>
        <v>0</v>
      </c>
      <c r="K1298" s="74"/>
      <c r="L1298" s="48">
        <f>ROUNDDOWN(SUMIF(P1297:P1297,O1298,L1297:L1297),0)</f>
        <v>16853</v>
      </c>
      <c r="M1298" s="74"/>
      <c r="O1298" s="7" t="s">
        <v>6406</v>
      </c>
    </row>
    <row r="1299" spans="1:26" ht="28.7" customHeight="1" x14ac:dyDescent="0.3">
      <c r="A1299" s="73"/>
      <c r="B1299" s="73"/>
      <c r="C1299" s="73"/>
      <c r="D1299" s="73"/>
      <c r="E1299" s="73"/>
      <c r="F1299" s="73"/>
      <c r="G1299" s="73"/>
      <c r="H1299" s="73"/>
      <c r="I1299" s="73"/>
      <c r="J1299" s="73"/>
      <c r="K1299" s="73"/>
      <c r="L1299" s="73"/>
      <c r="M1299" s="73"/>
    </row>
    <row r="1300" spans="1:26" ht="28.7" customHeight="1" x14ac:dyDescent="0.3">
      <c r="A1300" s="136" t="s">
        <v>738</v>
      </c>
      <c r="B1300" s="127"/>
      <c r="C1300" s="127"/>
      <c r="D1300" s="127"/>
      <c r="E1300" s="127"/>
      <c r="F1300" s="127"/>
      <c r="G1300" s="127"/>
      <c r="H1300" s="127"/>
      <c r="I1300" s="127"/>
      <c r="J1300" s="127"/>
      <c r="K1300" s="127"/>
      <c r="L1300" s="144"/>
      <c r="M1300" s="22" t="s">
        <v>7351</v>
      </c>
      <c r="N1300" s="84" t="str">
        <f>HYPERLINK("#N"&amp;ROW(N1301),"_x0005_`BDCOD|B05334_x0007_`POSS|"&amp;ROW(N1301)&amp;"_x0007_`POSE|"&amp;ROW(N1301)&amp;"_x0007_`")</f>
        <v>_x0005_`BDCOD|B05334_x0007_`POSS|1301_x0007_`POSE|1301_x0007_`</v>
      </c>
      <c r="O1300" s="7" t="s">
        <v>7352</v>
      </c>
    </row>
    <row r="1301" spans="1:26" ht="28.7" customHeight="1" x14ac:dyDescent="0.3">
      <c r="A1301" s="10" t="s">
        <v>1793</v>
      </c>
      <c r="B1301" s="10" t="s">
        <v>1683</v>
      </c>
      <c r="C1301" s="75">
        <v>1</v>
      </c>
      <c r="D1301" s="31" t="s">
        <v>14</v>
      </c>
      <c r="E1301" s="55">
        <f>I1301+G1301+K1301</f>
        <v>654343</v>
      </c>
      <c r="F1301" s="76">
        <f>J1301+H1301+L1301</f>
        <v>654343</v>
      </c>
      <c r="G1301" s="78">
        <f>일위대가목록표!F697</f>
        <v>635285</v>
      </c>
      <c r="H1301" s="80">
        <f>IF(C1301=0,0,ROUNDDOWN(G1301*C1301,1))</f>
        <v>635285</v>
      </c>
      <c r="I1301" s="78">
        <f>일위대가목록표!G697</f>
        <v>0</v>
      </c>
      <c r="J1301" s="80">
        <f>IF(C1301=0,0,ROUNDDOWN(I1301*C1301,1))</f>
        <v>0</v>
      </c>
      <c r="K1301" s="78">
        <f>일위대가목록표!H697</f>
        <v>19058</v>
      </c>
      <c r="L1301" s="80">
        <f>IF(C1301=0,0,ROUNDDOWN(K1301*C1301,1))</f>
        <v>19058</v>
      </c>
      <c r="M1301" s="22" t="s">
        <v>7299</v>
      </c>
      <c r="N1301" s="17" t="s">
        <v>7297</v>
      </c>
      <c r="O1301" s="7" t="s">
        <v>7298</v>
      </c>
      <c r="P1301" s="7" t="s">
        <v>6406</v>
      </c>
      <c r="Z1301" s="3" t="str">
        <f ca="1">HYPERLINK("#"&amp;일위대가목록표!J2&amp;"!A"&amp;ROW(일위대가목록표!A697),"대가694 →")</f>
        <v>대가694 →</v>
      </c>
    </row>
    <row r="1302" spans="1:26" ht="28.7" customHeight="1" x14ac:dyDescent="0.3">
      <c r="A1302" s="22" t="s">
        <v>6</v>
      </c>
      <c r="B1302" s="74"/>
      <c r="C1302" s="74"/>
      <c r="D1302" s="74"/>
      <c r="E1302" s="74"/>
      <c r="F1302" s="48">
        <f>J1302+H1302+L1302</f>
        <v>654343</v>
      </c>
      <c r="G1302" s="74"/>
      <c r="H1302" s="48">
        <f>ROUNDDOWN(SUMIF(P1301:P1301,O1302,H1301:H1301),0)</f>
        <v>635285</v>
      </c>
      <c r="I1302" s="74"/>
      <c r="J1302" s="48">
        <f>ROUNDDOWN(SUMIF(P1301:P1301,O1302,J1301:J1301),0)</f>
        <v>0</v>
      </c>
      <c r="K1302" s="74"/>
      <c r="L1302" s="48">
        <f>ROUNDDOWN(SUMIF(P1301:P1301,O1302,L1301:L1301),0)</f>
        <v>19058</v>
      </c>
      <c r="M1302" s="74"/>
      <c r="O1302" s="7" t="s">
        <v>6406</v>
      </c>
    </row>
    <row r="1303" spans="1:26" ht="28.7" customHeight="1" x14ac:dyDescent="0.3">
      <c r="A1303" s="73"/>
      <c r="B1303" s="73"/>
      <c r="C1303" s="73"/>
      <c r="D1303" s="73"/>
      <c r="E1303" s="73"/>
      <c r="F1303" s="73"/>
      <c r="G1303" s="73"/>
      <c r="H1303" s="73"/>
      <c r="I1303" s="73"/>
      <c r="J1303" s="73"/>
      <c r="K1303" s="73"/>
      <c r="L1303" s="73"/>
      <c r="M1303" s="73"/>
    </row>
    <row r="1304" spans="1:26" ht="28.7" customHeight="1" x14ac:dyDescent="0.3">
      <c r="A1304" s="136" t="s">
        <v>740</v>
      </c>
      <c r="B1304" s="127"/>
      <c r="C1304" s="127"/>
      <c r="D1304" s="127"/>
      <c r="E1304" s="127"/>
      <c r="F1304" s="127"/>
      <c r="G1304" s="127"/>
      <c r="H1304" s="127"/>
      <c r="I1304" s="127"/>
      <c r="J1304" s="127"/>
      <c r="K1304" s="127"/>
      <c r="L1304" s="144"/>
      <c r="M1304" s="22" t="s">
        <v>7353</v>
      </c>
      <c r="N1304" s="84" t="str">
        <f>HYPERLINK("#N"&amp;ROW(N1305),"_x0005_`BDCOD|B05335_x0007_`POSS|"&amp;ROW(N1305)&amp;"_x0007_`POSE|"&amp;ROW(N1305)&amp;"_x0007_`")</f>
        <v>_x0005_`BDCOD|B05335_x0007_`POSS|1305_x0007_`POSE|1305_x0007_`</v>
      </c>
      <c r="O1304" s="7" t="s">
        <v>7354</v>
      </c>
    </row>
    <row r="1305" spans="1:26" ht="28.7" customHeight="1" x14ac:dyDescent="0.3">
      <c r="A1305" s="10" t="s">
        <v>1793</v>
      </c>
      <c r="B1305" s="10" t="s">
        <v>1694</v>
      </c>
      <c r="C1305" s="75">
        <v>1</v>
      </c>
      <c r="D1305" s="31" t="s">
        <v>14</v>
      </c>
      <c r="E1305" s="55">
        <f>I1305+G1305+K1305</f>
        <v>724947</v>
      </c>
      <c r="F1305" s="76">
        <f>J1305+H1305+L1305</f>
        <v>724947</v>
      </c>
      <c r="G1305" s="78">
        <f>일위대가목록표!F700</f>
        <v>703833</v>
      </c>
      <c r="H1305" s="80">
        <f>IF(C1305=0,0,ROUNDDOWN(G1305*C1305,1))</f>
        <v>703833</v>
      </c>
      <c r="I1305" s="78">
        <f>일위대가목록표!G700</f>
        <v>0</v>
      </c>
      <c r="J1305" s="80">
        <f>IF(C1305=0,0,ROUNDDOWN(I1305*C1305,1))</f>
        <v>0</v>
      </c>
      <c r="K1305" s="78">
        <f>일위대가목록표!H700</f>
        <v>21114</v>
      </c>
      <c r="L1305" s="80">
        <f>IF(C1305=0,0,ROUNDDOWN(K1305*C1305,1))</f>
        <v>21114</v>
      </c>
      <c r="M1305" s="22" t="s">
        <v>7306</v>
      </c>
      <c r="N1305" s="17" t="s">
        <v>7304</v>
      </c>
      <c r="O1305" s="7" t="s">
        <v>7305</v>
      </c>
      <c r="P1305" s="7" t="s">
        <v>6406</v>
      </c>
      <c r="Z1305" s="3" t="str">
        <f ca="1">HYPERLINK("#"&amp;일위대가목록표!J2&amp;"!A"&amp;ROW(일위대가목록표!A700),"대가697 →")</f>
        <v>대가697 →</v>
      </c>
    </row>
    <row r="1306" spans="1:26" ht="28.7" customHeight="1" x14ac:dyDescent="0.3">
      <c r="A1306" s="22" t="s">
        <v>6</v>
      </c>
      <c r="B1306" s="74"/>
      <c r="C1306" s="74"/>
      <c r="D1306" s="74"/>
      <c r="E1306" s="74"/>
      <c r="F1306" s="48">
        <f>J1306+H1306+L1306</f>
        <v>724947</v>
      </c>
      <c r="G1306" s="74"/>
      <c r="H1306" s="48">
        <f>ROUNDDOWN(SUMIF(P1305:P1305,O1306,H1305:H1305),0)</f>
        <v>703833</v>
      </c>
      <c r="I1306" s="74"/>
      <c r="J1306" s="48">
        <f>ROUNDDOWN(SUMIF(P1305:P1305,O1306,J1305:J1305),0)</f>
        <v>0</v>
      </c>
      <c r="K1306" s="74"/>
      <c r="L1306" s="48">
        <f>ROUNDDOWN(SUMIF(P1305:P1305,O1306,L1305:L1305),0)</f>
        <v>21114</v>
      </c>
      <c r="M1306" s="74"/>
      <c r="O1306" s="7" t="s">
        <v>6406</v>
      </c>
    </row>
    <row r="1307" spans="1:26" ht="28.7" customHeight="1" x14ac:dyDescent="0.3">
      <c r="A1307" s="73"/>
      <c r="B1307" s="73"/>
      <c r="C1307" s="73"/>
      <c r="D1307" s="73"/>
      <c r="E1307" s="73"/>
      <c r="F1307" s="73"/>
      <c r="G1307" s="73"/>
      <c r="H1307" s="73"/>
      <c r="I1307" s="73"/>
      <c r="J1307" s="73"/>
      <c r="K1307" s="73"/>
      <c r="L1307" s="73"/>
      <c r="M1307" s="73"/>
    </row>
    <row r="1308" spans="1:26" ht="28.7" customHeight="1" x14ac:dyDescent="0.3">
      <c r="A1308" s="136" t="s">
        <v>742</v>
      </c>
      <c r="B1308" s="127"/>
      <c r="C1308" s="127"/>
      <c r="D1308" s="127"/>
      <c r="E1308" s="127"/>
      <c r="F1308" s="127"/>
      <c r="G1308" s="127"/>
      <c r="H1308" s="127"/>
      <c r="I1308" s="127"/>
      <c r="J1308" s="127"/>
      <c r="K1308" s="127"/>
      <c r="L1308" s="144"/>
      <c r="M1308" s="22" t="s">
        <v>7355</v>
      </c>
      <c r="N1308" s="84" t="str">
        <f>HYPERLINK("#N"&amp;ROW(N1309),"_x0005_`BDCOD|B05336_x0007_`POSS|"&amp;ROW(N1309)&amp;"_x0007_`POSE|"&amp;ROW(N1309)&amp;"_x0007_`")</f>
        <v>_x0005_`BDCOD|B05336_x0007_`POSS|1309_x0007_`POSE|1309_x0007_`</v>
      </c>
      <c r="O1308" s="7" t="s">
        <v>7356</v>
      </c>
    </row>
    <row r="1309" spans="1:26" ht="28.7" customHeight="1" x14ac:dyDescent="0.3">
      <c r="A1309" s="10" t="s">
        <v>1793</v>
      </c>
      <c r="B1309" s="10" t="s">
        <v>1703</v>
      </c>
      <c r="C1309" s="75">
        <v>1</v>
      </c>
      <c r="D1309" s="31" t="s">
        <v>14</v>
      </c>
      <c r="E1309" s="55">
        <f>I1309+G1309+K1309</f>
        <v>875708</v>
      </c>
      <c r="F1309" s="76">
        <f>J1309+H1309+L1309</f>
        <v>875708</v>
      </c>
      <c r="G1309" s="78">
        <f>일위대가목록표!F703</f>
        <v>850203</v>
      </c>
      <c r="H1309" s="80">
        <f>IF(C1309=0,0,ROUNDDOWN(G1309*C1309,1))</f>
        <v>850203</v>
      </c>
      <c r="I1309" s="78">
        <f>일위대가목록표!G703</f>
        <v>0</v>
      </c>
      <c r="J1309" s="80">
        <f>IF(C1309=0,0,ROUNDDOWN(I1309*C1309,1))</f>
        <v>0</v>
      </c>
      <c r="K1309" s="78">
        <f>일위대가목록표!H703</f>
        <v>25505</v>
      </c>
      <c r="L1309" s="80">
        <f>IF(C1309=0,0,ROUNDDOWN(K1309*C1309,1))</f>
        <v>25505</v>
      </c>
      <c r="M1309" s="22" t="s">
        <v>7313</v>
      </c>
      <c r="N1309" s="17" t="s">
        <v>7311</v>
      </c>
      <c r="O1309" s="7" t="s">
        <v>7312</v>
      </c>
      <c r="P1309" s="7" t="s">
        <v>6406</v>
      </c>
      <c r="Z1309" s="3" t="str">
        <f ca="1">HYPERLINK("#"&amp;일위대가목록표!J2&amp;"!A"&amp;ROW(일위대가목록표!A703),"대가700 →")</f>
        <v>대가700 →</v>
      </c>
    </row>
    <row r="1310" spans="1:26" ht="28.7" customHeight="1" x14ac:dyDescent="0.3">
      <c r="A1310" s="22" t="s">
        <v>6</v>
      </c>
      <c r="B1310" s="74"/>
      <c r="C1310" s="74"/>
      <c r="D1310" s="74"/>
      <c r="E1310" s="74"/>
      <c r="F1310" s="48">
        <f>J1310+H1310+L1310</f>
        <v>875708</v>
      </c>
      <c r="G1310" s="74"/>
      <c r="H1310" s="48">
        <f>ROUNDDOWN(SUMIF(P1309:P1309,O1310,H1309:H1309),0)</f>
        <v>850203</v>
      </c>
      <c r="I1310" s="74"/>
      <c r="J1310" s="48">
        <f>ROUNDDOWN(SUMIF(P1309:P1309,O1310,J1309:J1309),0)</f>
        <v>0</v>
      </c>
      <c r="K1310" s="74"/>
      <c r="L1310" s="48">
        <f>ROUNDDOWN(SUMIF(P1309:P1309,O1310,L1309:L1309),0)</f>
        <v>25505</v>
      </c>
      <c r="M1310" s="74"/>
      <c r="O1310" s="7" t="s">
        <v>6406</v>
      </c>
    </row>
    <row r="1311" spans="1:26" ht="28.7" customHeight="1" x14ac:dyDescent="0.3">
      <c r="A1311" s="73"/>
      <c r="B1311" s="73"/>
      <c r="C1311" s="73"/>
      <c r="D1311" s="73"/>
      <c r="E1311" s="73"/>
      <c r="F1311" s="73"/>
      <c r="G1311" s="73"/>
      <c r="H1311" s="73"/>
      <c r="I1311" s="73"/>
      <c r="J1311" s="73"/>
      <c r="K1311" s="73"/>
      <c r="L1311" s="73"/>
      <c r="M1311" s="73"/>
    </row>
    <row r="1312" spans="1:26" ht="28.7" customHeight="1" x14ac:dyDescent="0.3">
      <c r="A1312" s="136" t="s">
        <v>744</v>
      </c>
      <c r="B1312" s="127"/>
      <c r="C1312" s="127"/>
      <c r="D1312" s="127"/>
      <c r="E1312" s="127"/>
      <c r="F1312" s="127"/>
      <c r="G1312" s="127"/>
      <c r="H1312" s="127"/>
      <c r="I1312" s="127"/>
      <c r="J1312" s="127"/>
      <c r="K1312" s="127"/>
      <c r="L1312" s="144"/>
      <c r="M1312" s="22" t="s">
        <v>7357</v>
      </c>
      <c r="N1312" s="84" t="str">
        <f>HYPERLINK("#N"&amp;ROW(N1313),"_x0005_`BDCOD|B05337_x0007_`POSS|"&amp;ROW(N1313)&amp;"_x0007_`POSE|"&amp;ROW(N1313)&amp;"_x0007_`")</f>
        <v>_x0005_`BDCOD|B05337_x0007_`POSS|1313_x0007_`POSE|1313_x0007_`</v>
      </c>
      <c r="O1312" s="7" t="s">
        <v>7358</v>
      </c>
    </row>
    <row r="1313" spans="1:26" ht="28.7" customHeight="1" x14ac:dyDescent="0.3">
      <c r="A1313" s="10" t="s">
        <v>1793</v>
      </c>
      <c r="B1313" s="10" t="s">
        <v>1712</v>
      </c>
      <c r="C1313" s="75">
        <v>1</v>
      </c>
      <c r="D1313" s="31" t="s">
        <v>14</v>
      </c>
      <c r="E1313" s="55">
        <f>I1313+G1313+K1313</f>
        <v>1057069</v>
      </c>
      <c r="F1313" s="76">
        <f>J1313+H1313+L1313</f>
        <v>1057069</v>
      </c>
      <c r="G1313" s="78">
        <f>일위대가목록표!F706</f>
        <v>1026282</v>
      </c>
      <c r="H1313" s="80">
        <f>IF(C1313=0,0,ROUNDDOWN(G1313*C1313,1))</f>
        <v>1026282</v>
      </c>
      <c r="I1313" s="78">
        <f>일위대가목록표!G706</f>
        <v>0</v>
      </c>
      <c r="J1313" s="80">
        <f>IF(C1313=0,0,ROUNDDOWN(I1313*C1313,1))</f>
        <v>0</v>
      </c>
      <c r="K1313" s="78">
        <f>일위대가목록표!H706</f>
        <v>30787</v>
      </c>
      <c r="L1313" s="80">
        <f>IF(C1313=0,0,ROUNDDOWN(K1313*C1313,1))</f>
        <v>30787</v>
      </c>
      <c r="M1313" s="22" t="s">
        <v>7320</v>
      </c>
      <c r="N1313" s="17" t="s">
        <v>7318</v>
      </c>
      <c r="O1313" s="7" t="s">
        <v>7319</v>
      </c>
      <c r="P1313" s="7" t="s">
        <v>6406</v>
      </c>
      <c r="Z1313" s="3" t="str">
        <f ca="1">HYPERLINK("#"&amp;일위대가목록표!J2&amp;"!A"&amp;ROW(일위대가목록표!A706),"대가703 →")</f>
        <v>대가703 →</v>
      </c>
    </row>
    <row r="1314" spans="1:26" ht="28.7" customHeight="1" x14ac:dyDescent="0.3">
      <c r="A1314" s="22" t="s">
        <v>6</v>
      </c>
      <c r="B1314" s="74"/>
      <c r="C1314" s="74"/>
      <c r="D1314" s="74"/>
      <c r="E1314" s="74"/>
      <c r="F1314" s="48">
        <f>J1314+H1314+L1314</f>
        <v>1057069</v>
      </c>
      <c r="G1314" s="74"/>
      <c r="H1314" s="48">
        <f>ROUNDDOWN(SUMIF(P1313:P1313,O1314,H1313:H1313),0)</f>
        <v>1026282</v>
      </c>
      <c r="I1314" s="74"/>
      <c r="J1314" s="48">
        <f>ROUNDDOWN(SUMIF(P1313:P1313,O1314,J1313:J1313),0)</f>
        <v>0</v>
      </c>
      <c r="K1314" s="74"/>
      <c r="L1314" s="48">
        <f>ROUNDDOWN(SUMIF(P1313:P1313,O1314,L1313:L1313),0)</f>
        <v>30787</v>
      </c>
      <c r="M1314" s="74"/>
      <c r="O1314" s="7" t="s">
        <v>6406</v>
      </c>
    </row>
    <row r="1315" spans="1:26" ht="28.7" customHeight="1" x14ac:dyDescent="0.3">
      <c r="A1315" s="73"/>
      <c r="B1315" s="73"/>
      <c r="C1315" s="73"/>
      <c r="D1315" s="73"/>
      <c r="E1315" s="73"/>
      <c r="F1315" s="73"/>
      <c r="G1315" s="73"/>
      <c r="H1315" s="73"/>
      <c r="I1315" s="73"/>
      <c r="J1315" s="73"/>
      <c r="K1315" s="73"/>
      <c r="L1315" s="73"/>
      <c r="M1315" s="73"/>
    </row>
    <row r="1316" spans="1:26" ht="28.7" customHeight="1" x14ac:dyDescent="0.3">
      <c r="A1316" s="136" t="s">
        <v>746</v>
      </c>
      <c r="B1316" s="127"/>
      <c r="C1316" s="127"/>
      <c r="D1316" s="127"/>
      <c r="E1316" s="127"/>
      <c r="F1316" s="127"/>
      <c r="G1316" s="127"/>
      <c r="H1316" s="127"/>
      <c r="I1316" s="127"/>
      <c r="J1316" s="127"/>
      <c r="K1316" s="127"/>
      <c r="L1316" s="144"/>
      <c r="M1316" s="22" t="s">
        <v>7359</v>
      </c>
      <c r="N1316" s="84" t="str">
        <f>HYPERLINK("#N"&amp;ROW(N1317),"_x0005_`BDCOD|B05338_x0007_`POSS|"&amp;ROW(N1317)&amp;"_x0007_`POSE|"&amp;ROW(N1317)&amp;"_x0007_`")</f>
        <v>_x0005_`BDCOD|B05338_x0007_`POSS|1317_x0007_`POSE|1317_x0007_`</v>
      </c>
      <c r="O1316" s="7" t="s">
        <v>7360</v>
      </c>
    </row>
    <row r="1317" spans="1:26" ht="28.7" customHeight="1" x14ac:dyDescent="0.3">
      <c r="A1317" s="10" t="s">
        <v>1793</v>
      </c>
      <c r="B1317" s="10" t="s">
        <v>1721</v>
      </c>
      <c r="C1317" s="75">
        <v>1</v>
      </c>
      <c r="D1317" s="31" t="s">
        <v>14</v>
      </c>
      <c r="E1317" s="55">
        <f>I1317+G1317+K1317</f>
        <v>1258434</v>
      </c>
      <c r="F1317" s="76">
        <f>J1317+H1317+L1317</f>
        <v>1258434</v>
      </c>
      <c r="G1317" s="78">
        <f>일위대가목록표!F709</f>
        <v>1221781</v>
      </c>
      <c r="H1317" s="80">
        <f>IF(C1317=0,0,ROUNDDOWN(G1317*C1317,1))</f>
        <v>1221781</v>
      </c>
      <c r="I1317" s="78">
        <f>일위대가목록표!G709</f>
        <v>0</v>
      </c>
      <c r="J1317" s="80">
        <f>IF(C1317=0,0,ROUNDDOWN(I1317*C1317,1))</f>
        <v>0</v>
      </c>
      <c r="K1317" s="78">
        <f>일위대가목록표!H709</f>
        <v>36653</v>
      </c>
      <c r="L1317" s="80">
        <f>IF(C1317=0,0,ROUNDDOWN(K1317*C1317,1))</f>
        <v>36653</v>
      </c>
      <c r="M1317" s="22" t="s">
        <v>7327</v>
      </c>
      <c r="N1317" s="17" t="s">
        <v>7325</v>
      </c>
      <c r="O1317" s="7" t="s">
        <v>7326</v>
      </c>
      <c r="P1317" s="7" t="s">
        <v>6406</v>
      </c>
      <c r="Z1317" s="3" t="str">
        <f ca="1">HYPERLINK("#"&amp;일위대가목록표!J2&amp;"!A"&amp;ROW(일위대가목록표!A709),"대가706 →")</f>
        <v>대가706 →</v>
      </c>
    </row>
    <row r="1318" spans="1:26" ht="28.7" customHeight="1" x14ac:dyDescent="0.3">
      <c r="A1318" s="22" t="s">
        <v>6</v>
      </c>
      <c r="B1318" s="74"/>
      <c r="C1318" s="74"/>
      <c r="D1318" s="74"/>
      <c r="E1318" s="74"/>
      <c r="F1318" s="48">
        <f>J1318+H1318+L1318</f>
        <v>1258434</v>
      </c>
      <c r="G1318" s="74"/>
      <c r="H1318" s="48">
        <f>ROUNDDOWN(SUMIF(P1317:P1317,O1318,H1317:H1317),0)</f>
        <v>1221781</v>
      </c>
      <c r="I1318" s="74"/>
      <c r="J1318" s="48">
        <f>ROUNDDOWN(SUMIF(P1317:P1317,O1318,J1317:J1317),0)</f>
        <v>0</v>
      </c>
      <c r="K1318" s="74"/>
      <c r="L1318" s="48">
        <f>ROUNDDOWN(SUMIF(P1317:P1317,O1318,L1317:L1317),0)</f>
        <v>36653</v>
      </c>
      <c r="M1318" s="74"/>
      <c r="O1318" s="7" t="s">
        <v>6406</v>
      </c>
    </row>
    <row r="1319" spans="1:26" ht="28.7" customHeight="1" x14ac:dyDescent="0.3">
      <c r="A1319" s="73"/>
      <c r="B1319" s="73"/>
      <c r="C1319" s="73"/>
      <c r="D1319" s="73"/>
      <c r="E1319" s="73"/>
      <c r="F1319" s="73"/>
      <c r="G1319" s="73"/>
      <c r="H1319" s="73"/>
      <c r="I1319" s="73"/>
      <c r="J1319" s="73"/>
      <c r="K1319" s="73"/>
      <c r="L1319" s="73"/>
      <c r="M1319" s="73"/>
    </row>
    <row r="1320" spans="1:26" ht="28.7" customHeight="1" x14ac:dyDescent="0.3">
      <c r="A1320" s="136" t="s">
        <v>748</v>
      </c>
      <c r="B1320" s="127"/>
      <c r="C1320" s="127"/>
      <c r="D1320" s="127"/>
      <c r="E1320" s="127"/>
      <c r="F1320" s="127"/>
      <c r="G1320" s="127"/>
      <c r="H1320" s="127"/>
      <c r="I1320" s="127"/>
      <c r="J1320" s="127"/>
      <c r="K1320" s="127"/>
      <c r="L1320" s="144"/>
      <c r="M1320" s="22" t="s">
        <v>7361</v>
      </c>
      <c r="N1320" s="84" t="str">
        <f>HYPERLINK("#N"&amp;ROW(N1321),"_x0005_`BDCOD|B05329_x0007_`POSS|"&amp;ROW(N1321)&amp;"_x0007_`POSE|"&amp;ROW(N1321)&amp;"_x0007_`")</f>
        <v>_x0005_`BDCOD|B05329_x0007_`POSS|1321_x0007_`POSE|1321_x0007_`</v>
      </c>
      <c r="O1320" s="7" t="s">
        <v>7362</v>
      </c>
    </row>
    <row r="1321" spans="1:26" ht="28.7" customHeight="1" x14ac:dyDescent="0.3">
      <c r="A1321" s="10" t="s">
        <v>1793</v>
      </c>
      <c r="B1321" s="10" t="s">
        <v>1721</v>
      </c>
      <c r="C1321" s="75">
        <v>1</v>
      </c>
      <c r="D1321" s="31" t="s">
        <v>14</v>
      </c>
      <c r="E1321" s="55">
        <f>I1321+G1321+K1321</f>
        <v>1258434</v>
      </c>
      <c r="F1321" s="76">
        <f>J1321+H1321+L1321</f>
        <v>1258434</v>
      </c>
      <c r="G1321" s="78">
        <f>일위대가목록표!F709</f>
        <v>1221781</v>
      </c>
      <c r="H1321" s="80">
        <f>IF(C1321=0,0,ROUNDDOWN(G1321*C1321,1))</f>
        <v>1221781</v>
      </c>
      <c r="I1321" s="78">
        <f>일위대가목록표!G709</f>
        <v>0</v>
      </c>
      <c r="J1321" s="80">
        <f>IF(C1321=0,0,ROUNDDOWN(I1321*C1321,1))</f>
        <v>0</v>
      </c>
      <c r="K1321" s="78">
        <f>일위대가목록표!H709</f>
        <v>36653</v>
      </c>
      <c r="L1321" s="80">
        <f>IF(C1321=0,0,ROUNDDOWN(K1321*C1321,1))</f>
        <v>36653</v>
      </c>
      <c r="M1321" s="22" t="s">
        <v>7327</v>
      </c>
      <c r="N1321" s="17" t="s">
        <v>7325</v>
      </c>
      <c r="O1321" s="7" t="s">
        <v>7326</v>
      </c>
      <c r="P1321" s="7" t="s">
        <v>6406</v>
      </c>
      <c r="Z1321" s="3" t="str">
        <f ca="1">HYPERLINK("#"&amp;일위대가목록표!J2&amp;"!A"&amp;ROW(일위대가목록표!A709),"대가706 →")</f>
        <v>대가706 →</v>
      </c>
    </row>
    <row r="1322" spans="1:26" ht="28.7" customHeight="1" x14ac:dyDescent="0.3">
      <c r="A1322" s="22" t="s">
        <v>6</v>
      </c>
      <c r="B1322" s="74"/>
      <c r="C1322" s="74"/>
      <c r="D1322" s="74"/>
      <c r="E1322" s="74"/>
      <c r="F1322" s="48">
        <f>J1322+H1322+L1322</f>
        <v>1258434</v>
      </c>
      <c r="G1322" s="74"/>
      <c r="H1322" s="48">
        <f>ROUNDDOWN(SUMIF(P1321:P1321,O1322,H1321:H1321),0)</f>
        <v>1221781</v>
      </c>
      <c r="I1322" s="74"/>
      <c r="J1322" s="48">
        <f>ROUNDDOWN(SUMIF(P1321:P1321,O1322,J1321:J1321),0)</f>
        <v>0</v>
      </c>
      <c r="K1322" s="74"/>
      <c r="L1322" s="48">
        <f>ROUNDDOWN(SUMIF(P1321:P1321,O1322,L1321:L1321),0)</f>
        <v>36653</v>
      </c>
      <c r="M1322" s="74"/>
      <c r="O1322" s="7" t="s">
        <v>6406</v>
      </c>
    </row>
    <row r="1323" spans="1:26" ht="28.7" customHeight="1" x14ac:dyDescent="0.3">
      <c r="A1323" s="73"/>
      <c r="B1323" s="73"/>
      <c r="C1323" s="73"/>
      <c r="D1323" s="73"/>
      <c r="E1323" s="73"/>
      <c r="F1323" s="73"/>
      <c r="G1323" s="73"/>
      <c r="H1323" s="73"/>
      <c r="I1323" s="73"/>
      <c r="J1323" s="73"/>
      <c r="K1323" s="73"/>
      <c r="L1323" s="73"/>
      <c r="M1323" s="73"/>
    </row>
    <row r="1324" spans="1:26" ht="28.7" customHeight="1" x14ac:dyDescent="0.3">
      <c r="A1324" s="136" t="s">
        <v>751</v>
      </c>
      <c r="B1324" s="127"/>
      <c r="C1324" s="127"/>
      <c r="D1324" s="127"/>
      <c r="E1324" s="127"/>
      <c r="F1324" s="127"/>
      <c r="G1324" s="127"/>
      <c r="H1324" s="127"/>
      <c r="I1324" s="127"/>
      <c r="J1324" s="127"/>
      <c r="K1324" s="127"/>
      <c r="L1324" s="144"/>
      <c r="M1324" s="22" t="s">
        <v>7363</v>
      </c>
      <c r="N1324" s="84" t="str">
        <f>HYPERLINK("#N"&amp;ROW(N1325),"_x0005_`BDCOD|B05330_x0007_`POSS|"&amp;ROW(N1325)&amp;"_x0007_`POSE|"&amp;ROW(N1325)&amp;"_x0007_`")</f>
        <v>_x0005_`BDCOD|B05330_x0007_`POSS|1325_x0007_`POSE|1325_x0007_`</v>
      </c>
      <c r="O1324" s="7" t="s">
        <v>7364</v>
      </c>
    </row>
    <row r="1325" spans="1:26" ht="28.7" customHeight="1" x14ac:dyDescent="0.3">
      <c r="A1325" s="10" t="s">
        <v>1793</v>
      </c>
      <c r="B1325" s="10" t="s">
        <v>1721</v>
      </c>
      <c r="C1325" s="75">
        <v>1</v>
      </c>
      <c r="D1325" s="31" t="s">
        <v>14</v>
      </c>
      <c r="E1325" s="55">
        <f>I1325+G1325+K1325</f>
        <v>1258434</v>
      </c>
      <c r="F1325" s="76">
        <f>J1325+H1325+L1325</f>
        <v>1258434</v>
      </c>
      <c r="G1325" s="78">
        <f>일위대가목록표!F709</f>
        <v>1221781</v>
      </c>
      <c r="H1325" s="80">
        <f>IF(C1325=0,0,ROUNDDOWN(G1325*C1325,1))</f>
        <v>1221781</v>
      </c>
      <c r="I1325" s="78">
        <f>일위대가목록표!G709</f>
        <v>0</v>
      </c>
      <c r="J1325" s="80">
        <f>IF(C1325=0,0,ROUNDDOWN(I1325*C1325,1))</f>
        <v>0</v>
      </c>
      <c r="K1325" s="78">
        <f>일위대가목록표!H709</f>
        <v>36653</v>
      </c>
      <c r="L1325" s="80">
        <f>IF(C1325=0,0,ROUNDDOWN(K1325*C1325,1))</f>
        <v>36653</v>
      </c>
      <c r="M1325" s="22" t="s">
        <v>7327</v>
      </c>
      <c r="N1325" s="17" t="s">
        <v>7325</v>
      </c>
      <c r="O1325" s="7" t="s">
        <v>7326</v>
      </c>
      <c r="P1325" s="7" t="s">
        <v>6406</v>
      </c>
      <c r="Z1325" s="3" t="str">
        <f ca="1">HYPERLINK("#"&amp;일위대가목록표!J2&amp;"!A"&amp;ROW(일위대가목록표!A709),"대가706 →")</f>
        <v>대가706 →</v>
      </c>
    </row>
    <row r="1326" spans="1:26" ht="28.7" customHeight="1" x14ac:dyDescent="0.3">
      <c r="A1326" s="22" t="s">
        <v>6</v>
      </c>
      <c r="B1326" s="74"/>
      <c r="C1326" s="74"/>
      <c r="D1326" s="74"/>
      <c r="E1326" s="74"/>
      <c r="F1326" s="48">
        <f>J1326+H1326+L1326</f>
        <v>1258434</v>
      </c>
      <c r="G1326" s="74"/>
      <c r="H1326" s="48">
        <f>ROUNDDOWN(SUMIF(P1325:P1325,O1326,H1325:H1325),0)</f>
        <v>1221781</v>
      </c>
      <c r="I1326" s="74"/>
      <c r="J1326" s="48">
        <f>ROUNDDOWN(SUMIF(P1325:P1325,O1326,J1325:J1325),0)</f>
        <v>0</v>
      </c>
      <c r="K1326" s="74"/>
      <c r="L1326" s="48">
        <f>ROUNDDOWN(SUMIF(P1325:P1325,O1326,L1325:L1325),0)</f>
        <v>36653</v>
      </c>
      <c r="M1326" s="74"/>
      <c r="O1326" s="7" t="s">
        <v>6406</v>
      </c>
    </row>
    <row r="1327" spans="1:26" ht="28.7" customHeight="1" x14ac:dyDescent="0.3">
      <c r="A1327" s="73"/>
      <c r="B1327" s="73"/>
      <c r="C1327" s="73"/>
      <c r="D1327" s="73"/>
      <c r="E1327" s="73"/>
      <c r="F1327" s="73"/>
      <c r="G1327" s="73"/>
      <c r="H1327" s="73"/>
      <c r="I1327" s="73"/>
      <c r="J1327" s="73"/>
      <c r="K1327" s="73"/>
      <c r="L1327" s="73"/>
      <c r="M1327" s="73"/>
    </row>
    <row r="1328" spans="1:26" ht="28.7" customHeight="1" x14ac:dyDescent="0.3">
      <c r="A1328" s="136" t="s">
        <v>753</v>
      </c>
      <c r="B1328" s="127"/>
      <c r="C1328" s="127"/>
      <c r="D1328" s="127"/>
      <c r="E1328" s="127"/>
      <c r="F1328" s="127"/>
      <c r="G1328" s="127"/>
      <c r="H1328" s="127"/>
      <c r="I1328" s="127"/>
      <c r="J1328" s="127"/>
      <c r="K1328" s="127"/>
      <c r="L1328" s="144"/>
      <c r="M1328" s="22" t="s">
        <v>7365</v>
      </c>
      <c r="N1328" s="84" t="str">
        <f>HYPERLINK("#N"&amp;ROW(N1329),"_x0005_`BDCOD|B05331_x0007_`POSS|"&amp;ROW(N1329)&amp;"_x0007_`POSE|"&amp;ROW(N1329)&amp;"_x0007_`")</f>
        <v>_x0005_`BDCOD|B05331_x0007_`POSS|1329_x0007_`POSE|1329_x0007_`</v>
      </c>
      <c r="O1328" s="7" t="s">
        <v>7366</v>
      </c>
    </row>
    <row r="1329" spans="1:26" ht="28.7" customHeight="1" x14ac:dyDescent="0.3">
      <c r="A1329" s="10" t="s">
        <v>1793</v>
      </c>
      <c r="B1329" s="10" t="s">
        <v>1721</v>
      </c>
      <c r="C1329" s="75">
        <v>1</v>
      </c>
      <c r="D1329" s="31" t="s">
        <v>14</v>
      </c>
      <c r="E1329" s="55">
        <f>I1329+G1329+K1329</f>
        <v>1258434</v>
      </c>
      <c r="F1329" s="76">
        <f>J1329+H1329+L1329</f>
        <v>1258434</v>
      </c>
      <c r="G1329" s="78">
        <f>일위대가목록표!F709</f>
        <v>1221781</v>
      </c>
      <c r="H1329" s="80">
        <f>IF(C1329=0,0,ROUNDDOWN(G1329*C1329,1))</f>
        <v>1221781</v>
      </c>
      <c r="I1329" s="78">
        <f>일위대가목록표!G709</f>
        <v>0</v>
      </c>
      <c r="J1329" s="80">
        <f>IF(C1329=0,0,ROUNDDOWN(I1329*C1329,1))</f>
        <v>0</v>
      </c>
      <c r="K1329" s="78">
        <f>일위대가목록표!H709</f>
        <v>36653</v>
      </c>
      <c r="L1329" s="80">
        <f>IF(C1329=0,0,ROUNDDOWN(K1329*C1329,1))</f>
        <v>36653</v>
      </c>
      <c r="M1329" s="22" t="s">
        <v>7327</v>
      </c>
      <c r="N1329" s="17" t="s">
        <v>7325</v>
      </c>
      <c r="O1329" s="7" t="s">
        <v>7326</v>
      </c>
      <c r="P1329" s="7" t="s">
        <v>6406</v>
      </c>
      <c r="Z1329" s="3" t="str">
        <f ca="1">HYPERLINK("#"&amp;일위대가목록표!J2&amp;"!A"&amp;ROW(일위대가목록표!A709),"대가706 →")</f>
        <v>대가706 →</v>
      </c>
    </row>
    <row r="1330" spans="1:26" ht="28.7" customHeight="1" x14ac:dyDescent="0.3">
      <c r="A1330" s="22" t="s">
        <v>6</v>
      </c>
      <c r="B1330" s="74"/>
      <c r="C1330" s="74"/>
      <c r="D1330" s="74"/>
      <c r="E1330" s="74"/>
      <c r="F1330" s="48">
        <f>J1330+H1330+L1330</f>
        <v>1258434</v>
      </c>
      <c r="G1330" s="74"/>
      <c r="H1330" s="48">
        <f>ROUNDDOWN(SUMIF(P1329:P1329,O1330,H1329:H1329),0)</f>
        <v>1221781</v>
      </c>
      <c r="I1330" s="74"/>
      <c r="J1330" s="48">
        <f>ROUNDDOWN(SUMIF(P1329:P1329,O1330,J1329:J1329),0)</f>
        <v>0</v>
      </c>
      <c r="K1330" s="74"/>
      <c r="L1330" s="48">
        <f>ROUNDDOWN(SUMIF(P1329:P1329,O1330,L1329:L1329),0)</f>
        <v>36653</v>
      </c>
      <c r="M1330" s="74"/>
      <c r="O1330" s="7" t="s">
        <v>6406</v>
      </c>
    </row>
    <row r="1331" spans="1:26" ht="28.7" customHeight="1" x14ac:dyDescent="0.3">
      <c r="A1331" s="73"/>
      <c r="B1331" s="73"/>
      <c r="C1331" s="73"/>
      <c r="D1331" s="73"/>
      <c r="E1331" s="73"/>
      <c r="F1331" s="73"/>
      <c r="G1331" s="73"/>
      <c r="H1331" s="73"/>
      <c r="I1331" s="73"/>
      <c r="J1331" s="73"/>
      <c r="K1331" s="73"/>
      <c r="L1331" s="73"/>
      <c r="M1331" s="73"/>
    </row>
    <row r="1332" spans="1:26" ht="28.7" customHeight="1" x14ac:dyDescent="0.3">
      <c r="A1332" s="136" t="s">
        <v>755</v>
      </c>
      <c r="B1332" s="127"/>
      <c r="C1332" s="127"/>
      <c r="D1332" s="127"/>
      <c r="E1332" s="127"/>
      <c r="F1332" s="127"/>
      <c r="G1332" s="127"/>
      <c r="H1332" s="127"/>
      <c r="I1332" s="127"/>
      <c r="J1332" s="127"/>
      <c r="K1332" s="127"/>
      <c r="L1332" s="144"/>
      <c r="M1332" s="22" t="s">
        <v>7367</v>
      </c>
      <c r="N1332" s="84" t="str">
        <f>HYPERLINK("#N"&amp;ROW(N1333),"_x0005_`BDCOD|B05332_x0007_`POSS|"&amp;ROW(N1333)&amp;"_x0007_`POSE|"&amp;ROW(N1333)&amp;"_x0007_`")</f>
        <v>_x0005_`BDCOD|B05332_x0007_`POSS|1333_x0007_`POSE|1333_x0007_`</v>
      </c>
      <c r="O1332" s="7" t="s">
        <v>7368</v>
      </c>
    </row>
    <row r="1333" spans="1:26" ht="28.7" customHeight="1" x14ac:dyDescent="0.3">
      <c r="A1333" s="10" t="s">
        <v>1793</v>
      </c>
      <c r="B1333" s="10" t="s">
        <v>1721</v>
      </c>
      <c r="C1333" s="75">
        <v>1</v>
      </c>
      <c r="D1333" s="31" t="s">
        <v>14</v>
      </c>
      <c r="E1333" s="55">
        <f>I1333+G1333+K1333</f>
        <v>1258434</v>
      </c>
      <c r="F1333" s="76">
        <f>J1333+H1333+L1333</f>
        <v>1258434</v>
      </c>
      <c r="G1333" s="78">
        <f>일위대가목록표!F709</f>
        <v>1221781</v>
      </c>
      <c r="H1333" s="80">
        <f>IF(C1333=0,0,ROUNDDOWN(G1333*C1333,1))</f>
        <v>1221781</v>
      </c>
      <c r="I1333" s="78">
        <f>일위대가목록표!G709</f>
        <v>0</v>
      </c>
      <c r="J1333" s="80">
        <f>IF(C1333=0,0,ROUNDDOWN(I1333*C1333,1))</f>
        <v>0</v>
      </c>
      <c r="K1333" s="78">
        <f>일위대가목록표!H709</f>
        <v>36653</v>
      </c>
      <c r="L1333" s="80">
        <f>IF(C1333=0,0,ROUNDDOWN(K1333*C1333,1))</f>
        <v>36653</v>
      </c>
      <c r="M1333" s="22" t="s">
        <v>7327</v>
      </c>
      <c r="N1333" s="17" t="s">
        <v>7325</v>
      </c>
      <c r="O1333" s="7" t="s">
        <v>7326</v>
      </c>
      <c r="P1333" s="7" t="s">
        <v>6406</v>
      </c>
      <c r="Z1333" s="3" t="str">
        <f ca="1">HYPERLINK("#"&amp;일위대가목록표!J2&amp;"!A"&amp;ROW(일위대가목록표!A709),"대가706 →")</f>
        <v>대가706 →</v>
      </c>
    </row>
    <row r="1334" spans="1:26" ht="28.7" customHeight="1" x14ac:dyDescent="0.3">
      <c r="A1334" s="22" t="s">
        <v>6</v>
      </c>
      <c r="B1334" s="74"/>
      <c r="C1334" s="74"/>
      <c r="D1334" s="74"/>
      <c r="E1334" s="74"/>
      <c r="F1334" s="48">
        <f>J1334+H1334+L1334</f>
        <v>1258434</v>
      </c>
      <c r="G1334" s="74"/>
      <c r="H1334" s="48">
        <f>ROUNDDOWN(SUMIF(P1333:P1333,O1334,H1333:H1333),0)</f>
        <v>1221781</v>
      </c>
      <c r="I1334" s="74"/>
      <c r="J1334" s="48">
        <f>ROUNDDOWN(SUMIF(P1333:P1333,O1334,J1333:J1333),0)</f>
        <v>0</v>
      </c>
      <c r="K1334" s="74"/>
      <c r="L1334" s="48">
        <f>ROUNDDOWN(SUMIF(P1333:P1333,O1334,L1333:L1333),0)</f>
        <v>36653</v>
      </c>
      <c r="M1334" s="74"/>
      <c r="O1334" s="7" t="s">
        <v>6406</v>
      </c>
    </row>
    <row r="1335" spans="1:26" ht="28.7" customHeight="1" x14ac:dyDescent="0.3">
      <c r="A1335" s="73"/>
      <c r="B1335" s="73"/>
      <c r="C1335" s="73"/>
      <c r="D1335" s="73"/>
      <c r="E1335" s="73"/>
      <c r="F1335" s="73"/>
      <c r="G1335" s="73"/>
      <c r="H1335" s="73"/>
      <c r="I1335" s="73"/>
      <c r="J1335" s="73"/>
      <c r="K1335" s="73"/>
      <c r="L1335" s="73"/>
      <c r="M1335" s="73"/>
    </row>
    <row r="1336" spans="1:26" ht="28.7" customHeight="1" x14ac:dyDescent="0.3">
      <c r="A1336" s="136" t="s">
        <v>757</v>
      </c>
      <c r="B1336" s="127"/>
      <c r="C1336" s="127"/>
      <c r="D1336" s="127"/>
      <c r="E1336" s="127"/>
      <c r="F1336" s="127"/>
      <c r="G1336" s="127"/>
      <c r="H1336" s="127"/>
      <c r="I1336" s="127"/>
      <c r="J1336" s="127"/>
      <c r="K1336" s="127"/>
      <c r="L1336" s="144"/>
      <c r="M1336" s="22" t="s">
        <v>7369</v>
      </c>
      <c r="N1336" s="84" t="str">
        <f>HYPERLINK("#N"&amp;ROW(N1337),"_x0005_`BDCOD|B05323_x0007_`POSS|"&amp;ROW(N1337)&amp;"_x0007_`POSE|"&amp;ROW(N1337)&amp;"_x0007_`")</f>
        <v>_x0005_`BDCOD|B05323_x0007_`POSS|1337_x0007_`POSE|1337_x0007_`</v>
      </c>
      <c r="O1336" s="7" t="s">
        <v>7370</v>
      </c>
    </row>
    <row r="1337" spans="1:26" ht="28.7" customHeight="1" x14ac:dyDescent="0.3">
      <c r="A1337" s="10" t="s">
        <v>1800</v>
      </c>
      <c r="B1337" s="10" t="s">
        <v>1790</v>
      </c>
      <c r="C1337" s="75">
        <v>1</v>
      </c>
      <c r="D1337" s="31" t="s">
        <v>14</v>
      </c>
      <c r="E1337" s="55">
        <f>I1337+G1337+K1337</f>
        <v>413331</v>
      </c>
      <c r="F1337" s="76">
        <f>J1337+H1337+L1337</f>
        <v>413331</v>
      </c>
      <c r="G1337" s="78">
        <f>일위대가목록표!F696</f>
        <v>401293</v>
      </c>
      <c r="H1337" s="80">
        <f>IF(C1337=0,0,ROUNDDOWN(G1337*C1337,1))</f>
        <v>401293</v>
      </c>
      <c r="I1337" s="78">
        <f>일위대가목록표!G696</f>
        <v>0</v>
      </c>
      <c r="J1337" s="80">
        <f>IF(C1337=0,0,ROUNDDOWN(I1337*C1337,1))</f>
        <v>0</v>
      </c>
      <c r="K1337" s="78">
        <f>일위대가목록표!H696</f>
        <v>12038</v>
      </c>
      <c r="L1337" s="80">
        <f>IF(C1337=0,0,ROUNDDOWN(K1337*C1337,1))</f>
        <v>12038</v>
      </c>
      <c r="M1337" s="22" t="s">
        <v>7281</v>
      </c>
      <c r="N1337" s="17" t="s">
        <v>7279</v>
      </c>
      <c r="O1337" s="7" t="s">
        <v>7280</v>
      </c>
      <c r="P1337" s="7" t="s">
        <v>6406</v>
      </c>
      <c r="Z1337" s="3" t="str">
        <f ca="1">HYPERLINK("#"&amp;일위대가목록표!J2&amp;"!A"&amp;ROW(일위대가목록표!A696),"대가693 →")</f>
        <v>대가693 →</v>
      </c>
    </row>
    <row r="1338" spans="1:26" ht="28.7" customHeight="1" x14ac:dyDescent="0.3">
      <c r="A1338" s="22" t="s">
        <v>6</v>
      </c>
      <c r="B1338" s="74"/>
      <c r="C1338" s="74"/>
      <c r="D1338" s="74"/>
      <c r="E1338" s="74"/>
      <c r="F1338" s="48">
        <f>J1338+H1338+L1338</f>
        <v>413331</v>
      </c>
      <c r="G1338" s="74"/>
      <c r="H1338" s="48">
        <f>ROUNDDOWN(SUMIF(P1337:P1337,O1338,H1337:H1337),0)</f>
        <v>401293</v>
      </c>
      <c r="I1338" s="74"/>
      <c r="J1338" s="48">
        <f>ROUNDDOWN(SUMIF(P1337:P1337,O1338,J1337:J1337),0)</f>
        <v>0</v>
      </c>
      <c r="K1338" s="74"/>
      <c r="L1338" s="48">
        <f>ROUNDDOWN(SUMIF(P1337:P1337,O1338,L1337:L1337),0)</f>
        <v>12038</v>
      </c>
      <c r="M1338" s="74"/>
      <c r="O1338" s="7" t="s">
        <v>6406</v>
      </c>
    </row>
    <row r="1339" spans="1:26" ht="28.7" customHeight="1" x14ac:dyDescent="0.3">
      <c r="A1339" s="73"/>
      <c r="B1339" s="73"/>
      <c r="C1339" s="73"/>
      <c r="D1339" s="73"/>
      <c r="E1339" s="73"/>
      <c r="F1339" s="73"/>
      <c r="G1339" s="73"/>
      <c r="H1339" s="73"/>
      <c r="I1339" s="73"/>
      <c r="J1339" s="73"/>
      <c r="K1339" s="73"/>
      <c r="L1339" s="73"/>
      <c r="M1339" s="73"/>
    </row>
    <row r="1340" spans="1:26" ht="28.7" customHeight="1" x14ac:dyDescent="0.3">
      <c r="A1340" s="136" t="s">
        <v>760</v>
      </c>
      <c r="B1340" s="127"/>
      <c r="C1340" s="127"/>
      <c r="D1340" s="127"/>
      <c r="E1340" s="127"/>
      <c r="F1340" s="127"/>
      <c r="G1340" s="127"/>
      <c r="H1340" s="127"/>
      <c r="I1340" s="127"/>
      <c r="J1340" s="127"/>
      <c r="K1340" s="127"/>
      <c r="L1340" s="144"/>
      <c r="M1340" s="22" t="s">
        <v>7371</v>
      </c>
      <c r="N1340" s="84" t="str">
        <f>HYPERLINK("#N"&amp;ROW(N1341),"_x0005_`BDCOD|B05324_x0007_`POSS|"&amp;ROW(N1341)&amp;"_x0007_`POSE|"&amp;ROW(N1341)&amp;"_x0007_`")</f>
        <v>_x0005_`BDCOD|B05324_x0007_`POSS|1341_x0007_`POSE|1341_x0007_`</v>
      </c>
      <c r="O1340" s="7" t="s">
        <v>7372</v>
      </c>
    </row>
    <row r="1341" spans="1:26" ht="28.7" customHeight="1" x14ac:dyDescent="0.3">
      <c r="A1341" s="10" t="s">
        <v>1800</v>
      </c>
      <c r="B1341" s="10" t="s">
        <v>1691</v>
      </c>
      <c r="C1341" s="75">
        <v>1</v>
      </c>
      <c r="D1341" s="31" t="s">
        <v>14</v>
      </c>
      <c r="E1341" s="55">
        <f>I1341+G1341+K1341</f>
        <v>467388</v>
      </c>
      <c r="F1341" s="76">
        <f>J1341+H1341+L1341</f>
        <v>467388</v>
      </c>
      <c r="G1341" s="78">
        <f>일위대가목록표!F699</f>
        <v>453775</v>
      </c>
      <c r="H1341" s="80">
        <f>IF(C1341=0,0,ROUNDDOWN(G1341*C1341,1))</f>
        <v>453775</v>
      </c>
      <c r="I1341" s="78">
        <f>일위대가목록표!G699</f>
        <v>0</v>
      </c>
      <c r="J1341" s="80">
        <f>IF(C1341=0,0,ROUNDDOWN(I1341*C1341,1))</f>
        <v>0</v>
      </c>
      <c r="K1341" s="78">
        <f>일위대가목록표!H699</f>
        <v>13613</v>
      </c>
      <c r="L1341" s="80">
        <f>IF(C1341=0,0,ROUNDDOWN(K1341*C1341,1))</f>
        <v>13613</v>
      </c>
      <c r="M1341" s="22" t="s">
        <v>7375</v>
      </c>
      <c r="N1341" s="17" t="s">
        <v>7373</v>
      </c>
      <c r="O1341" s="7" t="s">
        <v>7374</v>
      </c>
      <c r="P1341" s="7" t="s">
        <v>6406</v>
      </c>
      <c r="Z1341" s="3" t="str">
        <f ca="1">HYPERLINK("#"&amp;일위대가목록표!J2&amp;"!A"&amp;ROW(일위대가목록표!A699),"대가696 →")</f>
        <v>대가696 →</v>
      </c>
    </row>
    <row r="1342" spans="1:26" ht="28.7" customHeight="1" x14ac:dyDescent="0.3">
      <c r="A1342" s="22" t="s">
        <v>6</v>
      </c>
      <c r="B1342" s="74"/>
      <c r="C1342" s="74"/>
      <c r="D1342" s="74"/>
      <c r="E1342" s="74"/>
      <c r="F1342" s="48">
        <f>J1342+H1342+L1342</f>
        <v>467388</v>
      </c>
      <c r="G1342" s="74"/>
      <c r="H1342" s="48">
        <f>ROUNDDOWN(SUMIF(P1341:P1341,O1342,H1341:H1341),0)</f>
        <v>453775</v>
      </c>
      <c r="I1342" s="74"/>
      <c r="J1342" s="48">
        <f>ROUNDDOWN(SUMIF(P1341:P1341,O1342,J1341:J1341),0)</f>
        <v>0</v>
      </c>
      <c r="K1342" s="74"/>
      <c r="L1342" s="48">
        <f>ROUNDDOWN(SUMIF(P1341:P1341,O1342,L1341:L1341),0)</f>
        <v>13613</v>
      </c>
      <c r="M1342" s="74"/>
      <c r="O1342" s="7" t="s">
        <v>6406</v>
      </c>
    </row>
    <row r="1343" spans="1:26" ht="28.7" customHeight="1" x14ac:dyDescent="0.3">
      <c r="A1343" s="73"/>
      <c r="B1343" s="73"/>
      <c r="C1343" s="73"/>
      <c r="D1343" s="73"/>
      <c r="E1343" s="73"/>
      <c r="F1343" s="73"/>
      <c r="G1343" s="73"/>
      <c r="H1343" s="73"/>
      <c r="I1343" s="73"/>
      <c r="J1343" s="73"/>
      <c r="K1343" s="73"/>
      <c r="L1343" s="73"/>
      <c r="M1343" s="73"/>
    </row>
    <row r="1344" spans="1:26" ht="28.7" customHeight="1" x14ac:dyDescent="0.3">
      <c r="A1344" s="136" t="s">
        <v>762</v>
      </c>
      <c r="B1344" s="127"/>
      <c r="C1344" s="127"/>
      <c r="D1344" s="127"/>
      <c r="E1344" s="127"/>
      <c r="F1344" s="127"/>
      <c r="G1344" s="127"/>
      <c r="H1344" s="127"/>
      <c r="I1344" s="127"/>
      <c r="J1344" s="127"/>
      <c r="K1344" s="127"/>
      <c r="L1344" s="144"/>
      <c r="M1344" s="22" t="s">
        <v>7376</v>
      </c>
      <c r="N1344" s="84" t="str">
        <f>HYPERLINK("#N"&amp;ROW(N1345),"_x0005_`BDCOD|B05325_x0007_`POSS|"&amp;ROW(N1345)&amp;"_x0007_`POSE|"&amp;ROW(N1345)&amp;"_x0007_`")</f>
        <v>_x0005_`BDCOD|B05325_x0007_`POSS|1345_x0007_`POSE|1345_x0007_`</v>
      </c>
      <c r="O1344" s="7" t="s">
        <v>7377</v>
      </c>
    </row>
    <row r="1345" spans="1:26" ht="28.7" customHeight="1" x14ac:dyDescent="0.3">
      <c r="A1345" s="10" t="s">
        <v>1800</v>
      </c>
      <c r="B1345" s="10" t="s">
        <v>1700</v>
      </c>
      <c r="C1345" s="75">
        <v>1</v>
      </c>
      <c r="D1345" s="31" t="s">
        <v>14</v>
      </c>
      <c r="E1345" s="55">
        <f>I1345+G1345+K1345</f>
        <v>517820</v>
      </c>
      <c r="F1345" s="76">
        <f>J1345+H1345+L1345</f>
        <v>517820</v>
      </c>
      <c r="G1345" s="78">
        <f>일위대가목록표!F702</f>
        <v>502738</v>
      </c>
      <c r="H1345" s="80">
        <f>IF(C1345=0,0,ROUNDDOWN(G1345*C1345,1))</f>
        <v>502738</v>
      </c>
      <c r="I1345" s="78">
        <f>일위대가목록표!G702</f>
        <v>0</v>
      </c>
      <c r="J1345" s="80">
        <f>IF(C1345=0,0,ROUNDDOWN(I1345*C1345,1))</f>
        <v>0</v>
      </c>
      <c r="K1345" s="78">
        <f>일위대가목록표!H702</f>
        <v>15082</v>
      </c>
      <c r="L1345" s="80">
        <f>IF(C1345=0,0,ROUNDDOWN(K1345*C1345,1))</f>
        <v>15082</v>
      </c>
      <c r="M1345" s="22" t="s">
        <v>7380</v>
      </c>
      <c r="N1345" s="17" t="s">
        <v>7378</v>
      </c>
      <c r="O1345" s="7" t="s">
        <v>7379</v>
      </c>
      <c r="P1345" s="7" t="s">
        <v>6406</v>
      </c>
      <c r="Z1345" s="3" t="str">
        <f ca="1">HYPERLINK("#"&amp;일위대가목록표!J2&amp;"!A"&amp;ROW(일위대가목록표!A702),"대가699 →")</f>
        <v>대가699 →</v>
      </c>
    </row>
    <row r="1346" spans="1:26" ht="28.7" customHeight="1" x14ac:dyDescent="0.3">
      <c r="A1346" s="22" t="s">
        <v>6</v>
      </c>
      <c r="B1346" s="74"/>
      <c r="C1346" s="74"/>
      <c r="D1346" s="74"/>
      <c r="E1346" s="74"/>
      <c r="F1346" s="48">
        <f>J1346+H1346+L1346</f>
        <v>517820</v>
      </c>
      <c r="G1346" s="74"/>
      <c r="H1346" s="48">
        <f>ROUNDDOWN(SUMIF(P1345:P1345,O1346,H1345:H1345),0)</f>
        <v>502738</v>
      </c>
      <c r="I1346" s="74"/>
      <c r="J1346" s="48">
        <f>ROUNDDOWN(SUMIF(P1345:P1345,O1346,J1345:J1345),0)</f>
        <v>0</v>
      </c>
      <c r="K1346" s="74"/>
      <c r="L1346" s="48">
        <f>ROUNDDOWN(SUMIF(P1345:P1345,O1346,L1345:L1345),0)</f>
        <v>15082</v>
      </c>
      <c r="M1346" s="74"/>
      <c r="O1346" s="7" t="s">
        <v>6406</v>
      </c>
    </row>
    <row r="1347" spans="1:26" ht="28.7" customHeight="1" x14ac:dyDescent="0.3">
      <c r="A1347" s="73"/>
      <c r="B1347" s="73"/>
      <c r="C1347" s="73"/>
      <c r="D1347" s="73"/>
      <c r="E1347" s="73"/>
      <c r="F1347" s="73"/>
      <c r="G1347" s="73"/>
      <c r="H1347" s="73"/>
      <c r="I1347" s="73"/>
      <c r="J1347" s="73"/>
      <c r="K1347" s="73"/>
      <c r="L1347" s="73"/>
      <c r="M1347" s="73"/>
    </row>
    <row r="1348" spans="1:26" ht="28.7" customHeight="1" x14ac:dyDescent="0.3">
      <c r="A1348" s="136" t="s">
        <v>764</v>
      </c>
      <c r="B1348" s="127"/>
      <c r="C1348" s="127"/>
      <c r="D1348" s="127"/>
      <c r="E1348" s="127"/>
      <c r="F1348" s="127"/>
      <c r="G1348" s="127"/>
      <c r="H1348" s="127"/>
      <c r="I1348" s="127"/>
      <c r="J1348" s="127"/>
      <c r="K1348" s="127"/>
      <c r="L1348" s="144"/>
      <c r="M1348" s="22" t="s">
        <v>7381</v>
      </c>
      <c r="N1348" s="84" t="str">
        <f>HYPERLINK("#N"&amp;ROW(N1349),"_x0005_`BDCOD|B05326_x0007_`POSS|"&amp;ROW(N1349)&amp;"_x0007_`POSE|"&amp;ROW(N1349)&amp;"_x0007_`")</f>
        <v>_x0005_`BDCOD|B05326_x0007_`POSS|1349_x0007_`POSE|1349_x0007_`</v>
      </c>
      <c r="O1348" s="7" t="s">
        <v>7382</v>
      </c>
    </row>
    <row r="1349" spans="1:26" ht="28.7" customHeight="1" x14ac:dyDescent="0.3">
      <c r="A1349" s="10" t="s">
        <v>1800</v>
      </c>
      <c r="B1349" s="10" t="s">
        <v>1709</v>
      </c>
      <c r="C1349" s="75">
        <v>1</v>
      </c>
      <c r="D1349" s="31" t="s">
        <v>14</v>
      </c>
      <c r="E1349" s="55">
        <f>I1349+G1349+K1349</f>
        <v>625506</v>
      </c>
      <c r="F1349" s="76">
        <f>J1349+H1349+L1349</f>
        <v>625506</v>
      </c>
      <c r="G1349" s="78">
        <f>일위대가목록표!F705</f>
        <v>607288</v>
      </c>
      <c r="H1349" s="80">
        <f>IF(C1349=0,0,ROUNDDOWN(G1349*C1349,1))</f>
        <v>607288</v>
      </c>
      <c r="I1349" s="78">
        <f>일위대가목록표!G705</f>
        <v>0</v>
      </c>
      <c r="J1349" s="80">
        <f>IF(C1349=0,0,ROUNDDOWN(I1349*C1349,1))</f>
        <v>0</v>
      </c>
      <c r="K1349" s="78">
        <f>일위대가목록표!H705</f>
        <v>18218</v>
      </c>
      <c r="L1349" s="80">
        <f>IF(C1349=0,0,ROUNDDOWN(K1349*C1349,1))</f>
        <v>18218</v>
      </c>
      <c r="M1349" s="22" t="s">
        <v>7385</v>
      </c>
      <c r="N1349" s="17" t="s">
        <v>7383</v>
      </c>
      <c r="O1349" s="7" t="s">
        <v>7384</v>
      </c>
      <c r="P1349" s="7" t="s">
        <v>6406</v>
      </c>
      <c r="Z1349" s="3" t="str">
        <f ca="1">HYPERLINK("#"&amp;일위대가목록표!J2&amp;"!A"&amp;ROW(일위대가목록표!A705),"대가702 →")</f>
        <v>대가702 →</v>
      </c>
    </row>
    <row r="1350" spans="1:26" ht="28.7" customHeight="1" x14ac:dyDescent="0.3">
      <c r="A1350" s="22" t="s">
        <v>6</v>
      </c>
      <c r="B1350" s="74"/>
      <c r="C1350" s="74"/>
      <c r="D1350" s="74"/>
      <c r="E1350" s="74"/>
      <c r="F1350" s="48">
        <f>J1350+H1350+L1350</f>
        <v>625506</v>
      </c>
      <c r="G1350" s="74"/>
      <c r="H1350" s="48">
        <f>ROUNDDOWN(SUMIF(P1349:P1349,O1350,H1349:H1349),0)</f>
        <v>607288</v>
      </c>
      <c r="I1350" s="74"/>
      <c r="J1350" s="48">
        <f>ROUNDDOWN(SUMIF(P1349:P1349,O1350,J1349:J1349),0)</f>
        <v>0</v>
      </c>
      <c r="K1350" s="74"/>
      <c r="L1350" s="48">
        <f>ROUNDDOWN(SUMIF(P1349:P1349,O1350,L1349:L1349),0)</f>
        <v>18218</v>
      </c>
      <c r="M1350" s="74"/>
      <c r="O1350" s="7" t="s">
        <v>6406</v>
      </c>
    </row>
    <row r="1351" spans="1:26" ht="28.7" customHeight="1" x14ac:dyDescent="0.3">
      <c r="A1351" s="73"/>
      <c r="B1351" s="73"/>
      <c r="C1351" s="73"/>
      <c r="D1351" s="73"/>
      <c r="E1351" s="73"/>
      <c r="F1351" s="73"/>
      <c r="G1351" s="73"/>
      <c r="H1351" s="73"/>
      <c r="I1351" s="73"/>
      <c r="J1351" s="73"/>
      <c r="K1351" s="73"/>
      <c r="L1351" s="73"/>
      <c r="M1351" s="73"/>
    </row>
    <row r="1352" spans="1:26" ht="28.7" customHeight="1" x14ac:dyDescent="0.3">
      <c r="A1352" s="136" t="s">
        <v>766</v>
      </c>
      <c r="B1352" s="127"/>
      <c r="C1352" s="127"/>
      <c r="D1352" s="127"/>
      <c r="E1352" s="127"/>
      <c r="F1352" s="127"/>
      <c r="G1352" s="127"/>
      <c r="H1352" s="127"/>
      <c r="I1352" s="127"/>
      <c r="J1352" s="127"/>
      <c r="K1352" s="127"/>
      <c r="L1352" s="144"/>
      <c r="M1352" s="22" t="s">
        <v>7386</v>
      </c>
      <c r="N1352" s="84" t="str">
        <f>HYPERLINK("#N"&amp;ROW(N1353),"_x0005_`BDCOD|B05327_x0007_`POSS|"&amp;ROW(N1353)&amp;"_x0007_`POSE|"&amp;ROW(N1353)&amp;"_x0007_`")</f>
        <v>_x0005_`BDCOD|B05327_x0007_`POSS|1353_x0007_`POSE|1353_x0007_`</v>
      </c>
      <c r="O1352" s="7" t="s">
        <v>7387</v>
      </c>
    </row>
    <row r="1353" spans="1:26" ht="28.7" customHeight="1" x14ac:dyDescent="0.3">
      <c r="A1353" s="10" t="s">
        <v>1800</v>
      </c>
      <c r="B1353" s="10" t="s">
        <v>1718</v>
      </c>
      <c r="C1353" s="75">
        <v>1</v>
      </c>
      <c r="D1353" s="31" t="s">
        <v>14</v>
      </c>
      <c r="E1353" s="55">
        <f>I1353+G1353+K1353</f>
        <v>755050</v>
      </c>
      <c r="F1353" s="76">
        <f>J1353+H1353+L1353</f>
        <v>755050</v>
      </c>
      <c r="G1353" s="78">
        <f>일위대가목록표!F708</f>
        <v>733059</v>
      </c>
      <c r="H1353" s="80">
        <f>IF(C1353=0,0,ROUNDDOWN(G1353*C1353,1))</f>
        <v>733059</v>
      </c>
      <c r="I1353" s="78">
        <f>일위대가목록표!G708</f>
        <v>0</v>
      </c>
      <c r="J1353" s="80">
        <f>IF(C1353=0,0,ROUNDDOWN(I1353*C1353,1))</f>
        <v>0</v>
      </c>
      <c r="K1353" s="78">
        <f>일위대가목록표!H708</f>
        <v>21991</v>
      </c>
      <c r="L1353" s="80">
        <f>IF(C1353=0,0,ROUNDDOWN(K1353*C1353,1))</f>
        <v>21991</v>
      </c>
      <c r="M1353" s="22" t="s">
        <v>7390</v>
      </c>
      <c r="N1353" s="17" t="s">
        <v>7388</v>
      </c>
      <c r="O1353" s="7" t="s">
        <v>7389</v>
      </c>
      <c r="P1353" s="7" t="s">
        <v>6406</v>
      </c>
      <c r="Z1353" s="3" t="str">
        <f ca="1">HYPERLINK("#"&amp;일위대가목록표!J2&amp;"!A"&amp;ROW(일위대가목록표!A708),"대가705 →")</f>
        <v>대가705 →</v>
      </c>
    </row>
    <row r="1354" spans="1:26" ht="28.7" customHeight="1" x14ac:dyDescent="0.3">
      <c r="A1354" s="22" t="s">
        <v>6</v>
      </c>
      <c r="B1354" s="74"/>
      <c r="C1354" s="74"/>
      <c r="D1354" s="74"/>
      <c r="E1354" s="74"/>
      <c r="F1354" s="48">
        <f>J1354+H1354+L1354</f>
        <v>755050</v>
      </c>
      <c r="G1354" s="74"/>
      <c r="H1354" s="48">
        <f>ROUNDDOWN(SUMIF(P1353:P1353,O1354,H1353:H1353),0)</f>
        <v>733059</v>
      </c>
      <c r="I1354" s="74"/>
      <c r="J1354" s="48">
        <f>ROUNDDOWN(SUMIF(P1353:P1353,O1354,J1353:J1353),0)</f>
        <v>0</v>
      </c>
      <c r="K1354" s="74"/>
      <c r="L1354" s="48">
        <f>ROUNDDOWN(SUMIF(P1353:P1353,O1354,L1353:L1353),0)</f>
        <v>21991</v>
      </c>
      <c r="M1354" s="74"/>
      <c r="O1354" s="7" t="s">
        <v>6406</v>
      </c>
    </row>
    <row r="1355" spans="1:26" ht="28.7" customHeight="1" x14ac:dyDescent="0.3">
      <c r="A1355" s="73"/>
      <c r="B1355" s="73"/>
      <c r="C1355" s="73"/>
      <c r="D1355" s="73"/>
      <c r="E1355" s="73"/>
      <c r="F1355" s="73"/>
      <c r="G1355" s="73"/>
      <c r="H1355" s="73"/>
      <c r="I1355" s="73"/>
      <c r="J1355" s="73"/>
      <c r="K1355" s="73"/>
      <c r="L1355" s="73"/>
      <c r="M1355" s="73"/>
    </row>
    <row r="1356" spans="1:26" ht="28.7" customHeight="1" x14ac:dyDescent="0.3">
      <c r="A1356" s="136" t="s">
        <v>768</v>
      </c>
      <c r="B1356" s="127"/>
      <c r="C1356" s="127"/>
      <c r="D1356" s="127"/>
      <c r="E1356" s="127"/>
      <c r="F1356" s="127"/>
      <c r="G1356" s="127"/>
      <c r="H1356" s="127"/>
      <c r="I1356" s="127"/>
      <c r="J1356" s="127"/>
      <c r="K1356" s="127"/>
      <c r="L1356" s="144"/>
      <c r="M1356" s="22" t="s">
        <v>7391</v>
      </c>
      <c r="N1356" s="84" t="str">
        <f>HYPERLINK("#N"&amp;ROW(N1357),"_x0005_`BDCOD|B05328_x0007_`POSS|"&amp;ROW(N1357)&amp;"_x0007_`POSE|"&amp;ROW(N1357)&amp;"_x0007_`")</f>
        <v>_x0005_`BDCOD|B05328_x0007_`POSS|1357_x0007_`POSE|1357_x0007_`</v>
      </c>
      <c r="O1356" s="7" t="s">
        <v>7392</v>
      </c>
    </row>
    <row r="1357" spans="1:26" ht="28.7" customHeight="1" x14ac:dyDescent="0.3">
      <c r="A1357" s="10" t="s">
        <v>1800</v>
      </c>
      <c r="B1357" s="10" t="s">
        <v>1727</v>
      </c>
      <c r="C1357" s="75">
        <v>1</v>
      </c>
      <c r="D1357" s="31" t="s">
        <v>14</v>
      </c>
      <c r="E1357" s="55">
        <f>I1357+G1357+K1357</f>
        <v>898882</v>
      </c>
      <c r="F1357" s="76">
        <f>J1357+H1357+L1357</f>
        <v>898882</v>
      </c>
      <c r="G1357" s="78">
        <f>일위대가목록표!F711</f>
        <v>872701</v>
      </c>
      <c r="H1357" s="80">
        <f>IF(C1357=0,0,ROUNDDOWN(G1357*C1357,1))</f>
        <v>872701</v>
      </c>
      <c r="I1357" s="78">
        <f>일위대가목록표!G711</f>
        <v>0</v>
      </c>
      <c r="J1357" s="80">
        <f>IF(C1357=0,0,ROUNDDOWN(I1357*C1357,1))</f>
        <v>0</v>
      </c>
      <c r="K1357" s="78">
        <f>일위대가목록표!H711</f>
        <v>26181</v>
      </c>
      <c r="L1357" s="80">
        <f>IF(C1357=0,0,ROUNDDOWN(K1357*C1357,1))</f>
        <v>26181</v>
      </c>
      <c r="M1357" s="22" t="s">
        <v>7395</v>
      </c>
      <c r="N1357" s="17" t="s">
        <v>7393</v>
      </c>
      <c r="O1357" s="7" t="s">
        <v>7394</v>
      </c>
      <c r="P1357" s="7" t="s">
        <v>6406</v>
      </c>
      <c r="Z1357" s="3" t="str">
        <f ca="1">HYPERLINK("#"&amp;일위대가목록표!J2&amp;"!A"&amp;ROW(일위대가목록표!A711),"대가708 →")</f>
        <v>대가708 →</v>
      </c>
    </row>
    <row r="1358" spans="1:26" ht="28.7" customHeight="1" x14ac:dyDescent="0.3">
      <c r="A1358" s="22" t="s">
        <v>6</v>
      </c>
      <c r="B1358" s="74"/>
      <c r="C1358" s="74"/>
      <c r="D1358" s="74"/>
      <c r="E1358" s="74"/>
      <c r="F1358" s="48">
        <f>J1358+H1358+L1358</f>
        <v>898882</v>
      </c>
      <c r="G1358" s="74"/>
      <c r="H1358" s="48">
        <f>ROUNDDOWN(SUMIF(P1357:P1357,O1358,H1357:H1357),0)</f>
        <v>872701</v>
      </c>
      <c r="I1358" s="74"/>
      <c r="J1358" s="48">
        <f>ROUNDDOWN(SUMIF(P1357:P1357,O1358,J1357:J1357),0)</f>
        <v>0</v>
      </c>
      <c r="K1358" s="74"/>
      <c r="L1358" s="48">
        <f>ROUNDDOWN(SUMIF(P1357:P1357,O1358,L1357:L1357),0)</f>
        <v>26181</v>
      </c>
      <c r="M1358" s="74"/>
      <c r="O1358" s="7" t="s">
        <v>6406</v>
      </c>
    </row>
    <row r="1359" spans="1:26" ht="28.7" customHeight="1" x14ac:dyDescent="0.3">
      <c r="A1359" s="73"/>
      <c r="B1359" s="73"/>
      <c r="C1359" s="73"/>
      <c r="D1359" s="73"/>
      <c r="E1359" s="73"/>
      <c r="F1359" s="73"/>
      <c r="G1359" s="73"/>
      <c r="H1359" s="73"/>
      <c r="I1359" s="73"/>
      <c r="J1359" s="73"/>
      <c r="K1359" s="73"/>
      <c r="L1359" s="73"/>
      <c r="M1359" s="73"/>
    </row>
    <row r="1360" spans="1:26" ht="28.7" customHeight="1" x14ac:dyDescent="0.3">
      <c r="A1360" s="136" t="s">
        <v>770</v>
      </c>
      <c r="B1360" s="127"/>
      <c r="C1360" s="127"/>
      <c r="D1360" s="127"/>
      <c r="E1360" s="127"/>
      <c r="F1360" s="127"/>
      <c r="G1360" s="127"/>
      <c r="H1360" s="127"/>
      <c r="I1360" s="127"/>
      <c r="J1360" s="127"/>
      <c r="K1360" s="127"/>
      <c r="L1360" s="144"/>
      <c r="M1360" s="22" t="s">
        <v>7396</v>
      </c>
      <c r="N1360" s="84" t="str">
        <f>HYPERLINK("#N"&amp;ROW(N1361),"_x0005_`BDCOD|B05339_x0007_`POSS|"&amp;ROW(N1361)&amp;"_x0007_`POSE|"&amp;ROW(N1361)&amp;"_x0007_`")</f>
        <v>_x0005_`BDCOD|B05339_x0007_`POSS|1361_x0007_`POSE|1361_x0007_`</v>
      </c>
      <c r="O1360" s="7" t="s">
        <v>7397</v>
      </c>
    </row>
    <row r="1361" spans="1:26" ht="28.7" customHeight="1" x14ac:dyDescent="0.3">
      <c r="A1361" s="10" t="s">
        <v>1800</v>
      </c>
      <c r="B1361" s="10" t="s">
        <v>1727</v>
      </c>
      <c r="C1361" s="75">
        <v>1</v>
      </c>
      <c r="D1361" s="31" t="s">
        <v>14</v>
      </c>
      <c r="E1361" s="55">
        <f>I1361+G1361+K1361</f>
        <v>898882</v>
      </c>
      <c r="F1361" s="76">
        <f>J1361+H1361+L1361</f>
        <v>898882</v>
      </c>
      <c r="G1361" s="78">
        <f>일위대가목록표!F711</f>
        <v>872701</v>
      </c>
      <c r="H1361" s="80">
        <f>IF(C1361=0,0,ROUNDDOWN(G1361*C1361,1))</f>
        <v>872701</v>
      </c>
      <c r="I1361" s="78">
        <f>일위대가목록표!G711</f>
        <v>0</v>
      </c>
      <c r="J1361" s="80">
        <f>IF(C1361=0,0,ROUNDDOWN(I1361*C1361,1))</f>
        <v>0</v>
      </c>
      <c r="K1361" s="78">
        <f>일위대가목록표!H711</f>
        <v>26181</v>
      </c>
      <c r="L1361" s="80">
        <f>IF(C1361=0,0,ROUNDDOWN(K1361*C1361,1))</f>
        <v>26181</v>
      </c>
      <c r="M1361" s="22" t="s">
        <v>7395</v>
      </c>
      <c r="N1361" s="17" t="s">
        <v>7393</v>
      </c>
      <c r="O1361" s="7" t="s">
        <v>7394</v>
      </c>
      <c r="P1361" s="7" t="s">
        <v>6406</v>
      </c>
      <c r="Z1361" s="3" t="str">
        <f ca="1">HYPERLINK("#"&amp;일위대가목록표!J2&amp;"!A"&amp;ROW(일위대가목록표!A711),"대가708 →")</f>
        <v>대가708 →</v>
      </c>
    </row>
    <row r="1362" spans="1:26" ht="28.7" customHeight="1" x14ac:dyDescent="0.3">
      <c r="A1362" s="22" t="s">
        <v>6</v>
      </c>
      <c r="B1362" s="74"/>
      <c r="C1362" s="74"/>
      <c r="D1362" s="74"/>
      <c r="E1362" s="74"/>
      <c r="F1362" s="48">
        <f>J1362+H1362+L1362</f>
        <v>898882</v>
      </c>
      <c r="G1362" s="74"/>
      <c r="H1362" s="48">
        <f>ROUNDDOWN(SUMIF(P1361:P1361,O1362,H1361:H1361),0)</f>
        <v>872701</v>
      </c>
      <c r="I1362" s="74"/>
      <c r="J1362" s="48">
        <f>ROUNDDOWN(SUMIF(P1361:P1361,O1362,J1361:J1361),0)</f>
        <v>0</v>
      </c>
      <c r="K1362" s="74"/>
      <c r="L1362" s="48">
        <f>ROUNDDOWN(SUMIF(P1361:P1361,O1362,L1361:L1361),0)</f>
        <v>26181</v>
      </c>
      <c r="M1362" s="74"/>
      <c r="O1362" s="7" t="s">
        <v>6406</v>
      </c>
    </row>
    <row r="1363" spans="1:26" ht="28.7" customHeight="1" x14ac:dyDescent="0.3">
      <c r="A1363" s="73"/>
      <c r="B1363" s="73"/>
      <c r="C1363" s="73"/>
      <c r="D1363" s="73"/>
      <c r="E1363" s="73"/>
      <c r="F1363" s="73"/>
      <c r="G1363" s="73"/>
      <c r="H1363" s="73"/>
      <c r="I1363" s="73"/>
      <c r="J1363" s="73"/>
      <c r="K1363" s="73"/>
      <c r="L1363" s="73"/>
      <c r="M1363" s="73"/>
    </row>
    <row r="1364" spans="1:26" ht="28.7" customHeight="1" x14ac:dyDescent="0.3">
      <c r="A1364" s="136" t="s">
        <v>773</v>
      </c>
      <c r="B1364" s="127"/>
      <c r="C1364" s="127"/>
      <c r="D1364" s="127"/>
      <c r="E1364" s="127"/>
      <c r="F1364" s="127"/>
      <c r="G1364" s="127"/>
      <c r="H1364" s="127"/>
      <c r="I1364" s="127"/>
      <c r="J1364" s="127"/>
      <c r="K1364" s="127"/>
      <c r="L1364" s="144"/>
      <c r="M1364" s="22" t="s">
        <v>7398</v>
      </c>
      <c r="N1364" s="84" t="str">
        <f>HYPERLINK("#N"&amp;ROW(N1365),"_x0005_`BDCOD|B05340_x0007_`POSS|"&amp;ROW(N1365)&amp;"_x0007_`POSE|"&amp;ROW(N1365)&amp;"_x0007_`")</f>
        <v>_x0005_`BDCOD|B05340_x0007_`POSS|1365_x0007_`POSE|1365_x0007_`</v>
      </c>
      <c r="O1364" s="7" t="s">
        <v>7399</v>
      </c>
    </row>
    <row r="1365" spans="1:26" ht="28.7" customHeight="1" x14ac:dyDescent="0.3">
      <c r="A1365" s="10" t="s">
        <v>1800</v>
      </c>
      <c r="B1365" s="10" t="s">
        <v>1727</v>
      </c>
      <c r="C1365" s="75">
        <v>1</v>
      </c>
      <c r="D1365" s="31" t="s">
        <v>14</v>
      </c>
      <c r="E1365" s="55">
        <f>I1365+G1365+K1365</f>
        <v>898882</v>
      </c>
      <c r="F1365" s="76">
        <f>J1365+H1365+L1365</f>
        <v>898882</v>
      </c>
      <c r="G1365" s="78">
        <f>일위대가목록표!F711</f>
        <v>872701</v>
      </c>
      <c r="H1365" s="80">
        <f>IF(C1365=0,0,ROUNDDOWN(G1365*C1365,1))</f>
        <v>872701</v>
      </c>
      <c r="I1365" s="78">
        <f>일위대가목록표!G711</f>
        <v>0</v>
      </c>
      <c r="J1365" s="80">
        <f>IF(C1365=0,0,ROUNDDOWN(I1365*C1365,1))</f>
        <v>0</v>
      </c>
      <c r="K1365" s="78">
        <f>일위대가목록표!H711</f>
        <v>26181</v>
      </c>
      <c r="L1365" s="80">
        <f>IF(C1365=0,0,ROUNDDOWN(K1365*C1365,1))</f>
        <v>26181</v>
      </c>
      <c r="M1365" s="22" t="s">
        <v>7395</v>
      </c>
      <c r="N1365" s="17" t="s">
        <v>7393</v>
      </c>
      <c r="O1365" s="7" t="s">
        <v>7394</v>
      </c>
      <c r="P1365" s="7" t="s">
        <v>6406</v>
      </c>
      <c r="Z1365" s="3" t="str">
        <f ca="1">HYPERLINK("#"&amp;일위대가목록표!J2&amp;"!A"&amp;ROW(일위대가목록표!A711),"대가708 →")</f>
        <v>대가708 →</v>
      </c>
    </row>
    <row r="1366" spans="1:26" ht="28.7" customHeight="1" x14ac:dyDescent="0.3">
      <c r="A1366" s="22" t="s">
        <v>6</v>
      </c>
      <c r="B1366" s="74"/>
      <c r="C1366" s="74"/>
      <c r="D1366" s="74"/>
      <c r="E1366" s="74"/>
      <c r="F1366" s="48">
        <f>J1366+H1366+L1366</f>
        <v>898882</v>
      </c>
      <c r="G1366" s="74"/>
      <c r="H1366" s="48">
        <f>ROUNDDOWN(SUMIF(P1365:P1365,O1366,H1365:H1365),0)</f>
        <v>872701</v>
      </c>
      <c r="I1366" s="74"/>
      <c r="J1366" s="48">
        <f>ROUNDDOWN(SUMIF(P1365:P1365,O1366,J1365:J1365),0)</f>
        <v>0</v>
      </c>
      <c r="K1366" s="74"/>
      <c r="L1366" s="48">
        <f>ROUNDDOWN(SUMIF(P1365:P1365,O1366,L1365:L1365),0)</f>
        <v>26181</v>
      </c>
      <c r="M1366" s="74"/>
      <c r="O1366" s="7" t="s">
        <v>6406</v>
      </c>
    </row>
    <row r="1367" spans="1:26" ht="28.7" customHeight="1" x14ac:dyDescent="0.3">
      <c r="A1367" s="73"/>
      <c r="B1367" s="73"/>
      <c r="C1367" s="73"/>
      <c r="D1367" s="73"/>
      <c r="E1367" s="73"/>
      <c r="F1367" s="73"/>
      <c r="G1367" s="73"/>
      <c r="H1367" s="73"/>
      <c r="I1367" s="73"/>
      <c r="J1367" s="73"/>
      <c r="K1367" s="73"/>
      <c r="L1367" s="73"/>
      <c r="M1367" s="73"/>
    </row>
    <row r="1368" spans="1:26" ht="28.7" customHeight="1" x14ac:dyDescent="0.3">
      <c r="A1368" s="136" t="s">
        <v>775</v>
      </c>
      <c r="B1368" s="127"/>
      <c r="C1368" s="127"/>
      <c r="D1368" s="127"/>
      <c r="E1368" s="127"/>
      <c r="F1368" s="127"/>
      <c r="G1368" s="127"/>
      <c r="H1368" s="127"/>
      <c r="I1368" s="127"/>
      <c r="J1368" s="127"/>
      <c r="K1368" s="127"/>
      <c r="L1368" s="144"/>
      <c r="M1368" s="22" t="s">
        <v>7400</v>
      </c>
      <c r="N1368" s="84" t="str">
        <f>HYPERLINK("#N"&amp;ROW(N1369),"_x0005_`BDCOD|B05341_x0007_`POSS|"&amp;ROW(N1369)&amp;"_x0007_`POSE|"&amp;ROW(N1369)&amp;"_x0007_`")</f>
        <v>_x0005_`BDCOD|B05341_x0007_`POSS|1369_x0007_`POSE|1369_x0007_`</v>
      </c>
      <c r="O1368" s="7" t="s">
        <v>7401</v>
      </c>
    </row>
    <row r="1369" spans="1:26" ht="28.7" customHeight="1" x14ac:dyDescent="0.3">
      <c r="A1369" s="10" t="s">
        <v>1800</v>
      </c>
      <c r="B1369" s="10" t="s">
        <v>1727</v>
      </c>
      <c r="C1369" s="75">
        <v>1</v>
      </c>
      <c r="D1369" s="31" t="s">
        <v>14</v>
      </c>
      <c r="E1369" s="55">
        <f>I1369+G1369+K1369</f>
        <v>898882</v>
      </c>
      <c r="F1369" s="76">
        <f>J1369+H1369+L1369</f>
        <v>898882</v>
      </c>
      <c r="G1369" s="78">
        <f>일위대가목록표!F711</f>
        <v>872701</v>
      </c>
      <c r="H1369" s="80">
        <f>IF(C1369=0,0,ROUNDDOWN(G1369*C1369,1))</f>
        <v>872701</v>
      </c>
      <c r="I1369" s="78">
        <f>일위대가목록표!G711</f>
        <v>0</v>
      </c>
      <c r="J1369" s="80">
        <f>IF(C1369=0,0,ROUNDDOWN(I1369*C1369,1))</f>
        <v>0</v>
      </c>
      <c r="K1369" s="78">
        <f>일위대가목록표!H711</f>
        <v>26181</v>
      </c>
      <c r="L1369" s="80">
        <f>IF(C1369=0,0,ROUNDDOWN(K1369*C1369,1))</f>
        <v>26181</v>
      </c>
      <c r="M1369" s="22" t="s">
        <v>7395</v>
      </c>
      <c r="N1369" s="17" t="s">
        <v>7393</v>
      </c>
      <c r="O1369" s="7" t="s">
        <v>7394</v>
      </c>
      <c r="P1369" s="7" t="s">
        <v>6406</v>
      </c>
      <c r="Z1369" s="3" t="str">
        <f ca="1">HYPERLINK("#"&amp;일위대가목록표!J2&amp;"!A"&amp;ROW(일위대가목록표!A711),"대가708 →")</f>
        <v>대가708 →</v>
      </c>
    </row>
    <row r="1370" spans="1:26" ht="28.7" customHeight="1" x14ac:dyDescent="0.3">
      <c r="A1370" s="22" t="s">
        <v>6</v>
      </c>
      <c r="B1370" s="74"/>
      <c r="C1370" s="74"/>
      <c r="D1370" s="74"/>
      <c r="E1370" s="74"/>
      <c r="F1370" s="48">
        <f>J1370+H1370+L1370</f>
        <v>898882</v>
      </c>
      <c r="G1370" s="74"/>
      <c r="H1370" s="48">
        <f>ROUNDDOWN(SUMIF(P1369:P1369,O1370,H1369:H1369),0)</f>
        <v>872701</v>
      </c>
      <c r="I1370" s="74"/>
      <c r="J1370" s="48">
        <f>ROUNDDOWN(SUMIF(P1369:P1369,O1370,J1369:J1369),0)</f>
        <v>0</v>
      </c>
      <c r="K1370" s="74"/>
      <c r="L1370" s="48">
        <f>ROUNDDOWN(SUMIF(P1369:P1369,O1370,L1369:L1369),0)</f>
        <v>26181</v>
      </c>
      <c r="M1370" s="74"/>
      <c r="O1370" s="7" t="s">
        <v>6406</v>
      </c>
    </row>
    <row r="1371" spans="1:26" ht="28.7" customHeight="1" x14ac:dyDescent="0.3">
      <c r="A1371" s="73"/>
      <c r="B1371" s="73"/>
      <c r="C1371" s="73"/>
      <c r="D1371" s="73"/>
      <c r="E1371" s="73"/>
      <c r="F1371" s="73"/>
      <c r="G1371" s="73"/>
      <c r="H1371" s="73"/>
      <c r="I1371" s="73"/>
      <c r="J1371" s="73"/>
      <c r="K1371" s="73"/>
      <c r="L1371" s="73"/>
      <c r="M1371" s="73"/>
    </row>
    <row r="1372" spans="1:26" ht="28.7" customHeight="1" x14ac:dyDescent="0.3">
      <c r="A1372" s="136" t="s">
        <v>777</v>
      </c>
      <c r="B1372" s="127"/>
      <c r="C1372" s="127"/>
      <c r="D1372" s="127"/>
      <c r="E1372" s="127"/>
      <c r="F1372" s="127"/>
      <c r="G1372" s="127"/>
      <c r="H1372" s="127"/>
      <c r="I1372" s="127"/>
      <c r="J1372" s="127"/>
      <c r="K1372" s="127"/>
      <c r="L1372" s="144"/>
      <c r="M1372" s="22" t="s">
        <v>7402</v>
      </c>
      <c r="N1372" s="84" t="str">
        <f>HYPERLINK("#N"&amp;ROW(N1373),"_x0005_`BDCOD|B05342_x0007_`POSS|"&amp;ROW(N1373)&amp;"_x0007_`POSE|"&amp;ROW(N1373)&amp;"_x0007_`")</f>
        <v>_x0005_`BDCOD|B05342_x0007_`POSS|1373_x0007_`POSE|1373_x0007_`</v>
      </c>
      <c r="O1372" s="7" t="s">
        <v>7403</v>
      </c>
    </row>
    <row r="1373" spans="1:26" ht="28.7" customHeight="1" x14ac:dyDescent="0.3">
      <c r="A1373" s="10" t="s">
        <v>1800</v>
      </c>
      <c r="B1373" s="10" t="s">
        <v>1727</v>
      </c>
      <c r="C1373" s="75">
        <v>1</v>
      </c>
      <c r="D1373" s="31" t="s">
        <v>14</v>
      </c>
      <c r="E1373" s="55">
        <f>I1373+G1373+K1373</f>
        <v>898882</v>
      </c>
      <c r="F1373" s="76">
        <f>J1373+H1373+L1373</f>
        <v>898882</v>
      </c>
      <c r="G1373" s="78">
        <f>일위대가목록표!F711</f>
        <v>872701</v>
      </c>
      <c r="H1373" s="80">
        <f>IF(C1373=0,0,ROUNDDOWN(G1373*C1373,1))</f>
        <v>872701</v>
      </c>
      <c r="I1373" s="78">
        <f>일위대가목록표!G711</f>
        <v>0</v>
      </c>
      <c r="J1373" s="80">
        <f>IF(C1373=0,0,ROUNDDOWN(I1373*C1373,1))</f>
        <v>0</v>
      </c>
      <c r="K1373" s="78">
        <f>일위대가목록표!H711</f>
        <v>26181</v>
      </c>
      <c r="L1373" s="80">
        <f>IF(C1373=0,0,ROUNDDOWN(K1373*C1373,1))</f>
        <v>26181</v>
      </c>
      <c r="M1373" s="22" t="s">
        <v>7395</v>
      </c>
      <c r="N1373" s="17" t="s">
        <v>7393</v>
      </c>
      <c r="O1373" s="7" t="s">
        <v>7394</v>
      </c>
      <c r="P1373" s="7" t="s">
        <v>6406</v>
      </c>
      <c r="Z1373" s="3" t="str">
        <f ca="1">HYPERLINK("#"&amp;일위대가목록표!J2&amp;"!A"&amp;ROW(일위대가목록표!A711),"대가708 →")</f>
        <v>대가708 →</v>
      </c>
    </row>
    <row r="1374" spans="1:26" ht="28.7" customHeight="1" x14ac:dyDescent="0.3">
      <c r="A1374" s="22" t="s">
        <v>6</v>
      </c>
      <c r="B1374" s="74"/>
      <c r="C1374" s="74"/>
      <c r="D1374" s="74"/>
      <c r="E1374" s="74"/>
      <c r="F1374" s="48">
        <f>J1374+H1374+L1374</f>
        <v>898882</v>
      </c>
      <c r="G1374" s="74"/>
      <c r="H1374" s="48">
        <f>ROUNDDOWN(SUMIF(P1373:P1373,O1374,H1373:H1373),0)</f>
        <v>872701</v>
      </c>
      <c r="I1374" s="74"/>
      <c r="J1374" s="48">
        <f>ROUNDDOWN(SUMIF(P1373:P1373,O1374,J1373:J1373),0)</f>
        <v>0</v>
      </c>
      <c r="K1374" s="74"/>
      <c r="L1374" s="48">
        <f>ROUNDDOWN(SUMIF(P1373:P1373,O1374,L1373:L1373),0)</f>
        <v>26181</v>
      </c>
      <c r="M1374" s="74"/>
      <c r="O1374" s="7" t="s">
        <v>6406</v>
      </c>
    </row>
    <row r="1375" spans="1:26" ht="28.7" customHeight="1" x14ac:dyDescent="0.3">
      <c r="A1375" s="73"/>
      <c r="B1375" s="73"/>
      <c r="C1375" s="73"/>
      <c r="D1375" s="73"/>
      <c r="E1375" s="73"/>
      <c r="F1375" s="73"/>
      <c r="G1375" s="73"/>
      <c r="H1375" s="73"/>
      <c r="I1375" s="73"/>
      <c r="J1375" s="73"/>
      <c r="K1375" s="73"/>
      <c r="L1375" s="73"/>
      <c r="M1375" s="73"/>
    </row>
    <row r="1376" spans="1:26" ht="28.7" customHeight="1" x14ac:dyDescent="0.3">
      <c r="A1376" s="136" t="s">
        <v>779</v>
      </c>
      <c r="B1376" s="127"/>
      <c r="C1376" s="127"/>
      <c r="D1376" s="127"/>
      <c r="E1376" s="127"/>
      <c r="F1376" s="127"/>
      <c r="G1376" s="127"/>
      <c r="H1376" s="127"/>
      <c r="I1376" s="127"/>
      <c r="J1376" s="127"/>
      <c r="K1376" s="127"/>
      <c r="L1376" s="144"/>
      <c r="M1376" s="22" t="s">
        <v>7404</v>
      </c>
      <c r="N1376" s="84" t="str">
        <f>HYPERLINK("#N"&amp;ROW(N1377),"_x0005_`BDCOD|B05343_x0007_`POSS|"&amp;ROW(N1377)&amp;"_x0007_`POSE|"&amp;ROW(N1377)&amp;"_x0007_`")</f>
        <v>_x0005_`BDCOD|B05343_x0007_`POSS|1377_x0007_`POSE|1377_x0007_`</v>
      </c>
      <c r="O1376" s="7" t="s">
        <v>7405</v>
      </c>
    </row>
    <row r="1377" spans="1:26" ht="28.7" customHeight="1" x14ac:dyDescent="0.3">
      <c r="A1377" s="10" t="s">
        <v>1796</v>
      </c>
      <c r="B1377" s="10" t="s">
        <v>1797</v>
      </c>
      <c r="C1377" s="75">
        <v>1</v>
      </c>
      <c r="D1377" s="31" t="s">
        <v>14</v>
      </c>
      <c r="E1377" s="55">
        <f>I1377+G1377+K1377</f>
        <v>165332</v>
      </c>
      <c r="F1377" s="76">
        <f>J1377+H1377+L1377</f>
        <v>165332</v>
      </c>
      <c r="G1377" s="78">
        <f>일위대가목록표!F695</f>
        <v>160517</v>
      </c>
      <c r="H1377" s="80">
        <f>IF(C1377=0,0,ROUNDDOWN(G1377*C1377,1))</f>
        <v>160517</v>
      </c>
      <c r="I1377" s="78">
        <f>일위대가목록표!G695</f>
        <v>0</v>
      </c>
      <c r="J1377" s="80">
        <f>IF(C1377=0,0,ROUNDDOWN(I1377*C1377,1))</f>
        <v>0</v>
      </c>
      <c r="K1377" s="78">
        <f>일위대가목록표!H695</f>
        <v>4815</v>
      </c>
      <c r="L1377" s="80">
        <f>IF(C1377=0,0,ROUNDDOWN(K1377*C1377,1))</f>
        <v>4815</v>
      </c>
      <c r="M1377" s="22" t="s">
        <v>7288</v>
      </c>
      <c r="N1377" s="17" t="s">
        <v>7286</v>
      </c>
      <c r="O1377" s="7" t="s">
        <v>7287</v>
      </c>
      <c r="P1377" s="7" t="s">
        <v>6406</v>
      </c>
      <c r="Z1377" s="3" t="str">
        <f ca="1">HYPERLINK("#"&amp;일위대가목록표!J2&amp;"!A"&amp;ROW(일위대가목록표!A695),"대가692 →")</f>
        <v>대가692 →</v>
      </c>
    </row>
    <row r="1378" spans="1:26" ht="28.7" customHeight="1" x14ac:dyDescent="0.3">
      <c r="A1378" s="22" t="s">
        <v>6</v>
      </c>
      <c r="B1378" s="74"/>
      <c r="C1378" s="74"/>
      <c r="D1378" s="74"/>
      <c r="E1378" s="74"/>
      <c r="F1378" s="48">
        <f>J1378+H1378+L1378</f>
        <v>165332</v>
      </c>
      <c r="G1378" s="74"/>
      <c r="H1378" s="48">
        <f>ROUNDDOWN(SUMIF(P1377:P1377,O1378,H1377:H1377),0)</f>
        <v>160517</v>
      </c>
      <c r="I1378" s="74"/>
      <c r="J1378" s="48">
        <f>ROUNDDOWN(SUMIF(P1377:P1377,O1378,J1377:J1377),0)</f>
        <v>0</v>
      </c>
      <c r="K1378" s="74"/>
      <c r="L1378" s="48">
        <f>ROUNDDOWN(SUMIF(P1377:P1377,O1378,L1377:L1377),0)</f>
        <v>4815</v>
      </c>
      <c r="M1378" s="74"/>
      <c r="O1378" s="7" t="s">
        <v>6406</v>
      </c>
    </row>
    <row r="1379" spans="1:26" ht="28.7" customHeight="1" x14ac:dyDescent="0.3">
      <c r="A1379" s="73"/>
      <c r="B1379" s="73"/>
      <c r="C1379" s="73"/>
      <c r="D1379" s="73"/>
      <c r="E1379" s="73"/>
      <c r="F1379" s="73"/>
      <c r="G1379" s="73"/>
      <c r="H1379" s="73"/>
      <c r="I1379" s="73"/>
      <c r="J1379" s="73"/>
      <c r="K1379" s="73"/>
      <c r="L1379" s="73"/>
      <c r="M1379" s="73"/>
    </row>
    <row r="1380" spans="1:26" ht="28.7" customHeight="1" x14ac:dyDescent="0.3">
      <c r="A1380" s="136" t="s">
        <v>782</v>
      </c>
      <c r="B1380" s="127"/>
      <c r="C1380" s="127"/>
      <c r="D1380" s="127"/>
      <c r="E1380" s="127"/>
      <c r="F1380" s="127"/>
      <c r="G1380" s="127"/>
      <c r="H1380" s="127"/>
      <c r="I1380" s="127"/>
      <c r="J1380" s="127"/>
      <c r="K1380" s="127"/>
      <c r="L1380" s="144"/>
      <c r="M1380" s="22" t="s">
        <v>7406</v>
      </c>
      <c r="N1380" s="84" t="str">
        <f>HYPERLINK("#N"&amp;ROW(N1381),"_x0005_`BDCOD|B05344_x0007_`POSS|"&amp;ROW(N1381)&amp;"_x0007_`POSE|"&amp;ROW(N1381)&amp;"_x0007_`")</f>
        <v>_x0005_`BDCOD|B05344_x0007_`POSS|1381_x0007_`POSE|1381_x0007_`</v>
      </c>
      <c r="O1380" s="7" t="s">
        <v>7407</v>
      </c>
    </row>
    <row r="1381" spans="1:26" ht="28.7" customHeight="1" x14ac:dyDescent="0.3">
      <c r="A1381" s="10" t="s">
        <v>1796</v>
      </c>
      <c r="B1381" s="10" t="s">
        <v>1805</v>
      </c>
      <c r="C1381" s="75">
        <v>1</v>
      </c>
      <c r="D1381" s="31" t="s">
        <v>14</v>
      </c>
      <c r="E1381" s="55">
        <f>I1381+G1381+K1381</f>
        <v>186955</v>
      </c>
      <c r="F1381" s="76">
        <f>J1381+H1381+L1381</f>
        <v>186955</v>
      </c>
      <c r="G1381" s="78">
        <f>일위대가목록표!F698</f>
        <v>181510</v>
      </c>
      <c r="H1381" s="80">
        <f>IF(C1381=0,0,ROUNDDOWN(G1381*C1381,1))</f>
        <v>181510</v>
      </c>
      <c r="I1381" s="78">
        <f>일위대가목록표!G698</f>
        <v>0</v>
      </c>
      <c r="J1381" s="80">
        <f>IF(C1381=0,0,ROUNDDOWN(I1381*C1381,1))</f>
        <v>0</v>
      </c>
      <c r="K1381" s="78">
        <f>일위대가목록표!H698</f>
        <v>5445</v>
      </c>
      <c r="L1381" s="80">
        <f>IF(C1381=0,0,ROUNDDOWN(K1381*C1381,1))</f>
        <v>5445</v>
      </c>
      <c r="M1381" s="22" t="s">
        <v>7410</v>
      </c>
      <c r="N1381" s="17" t="s">
        <v>7408</v>
      </c>
      <c r="O1381" s="7" t="s">
        <v>7409</v>
      </c>
      <c r="P1381" s="7" t="s">
        <v>6406</v>
      </c>
      <c r="Z1381" s="3" t="str">
        <f ca="1">HYPERLINK("#"&amp;일위대가목록표!J2&amp;"!A"&amp;ROW(일위대가목록표!A698),"대가695 →")</f>
        <v>대가695 →</v>
      </c>
    </row>
    <row r="1382" spans="1:26" ht="28.7" customHeight="1" x14ac:dyDescent="0.3">
      <c r="A1382" s="22" t="s">
        <v>6</v>
      </c>
      <c r="B1382" s="74"/>
      <c r="C1382" s="74"/>
      <c r="D1382" s="74"/>
      <c r="E1382" s="74"/>
      <c r="F1382" s="48">
        <f>J1382+H1382+L1382</f>
        <v>186955</v>
      </c>
      <c r="G1382" s="74"/>
      <c r="H1382" s="48">
        <f>ROUNDDOWN(SUMIF(P1381:P1381,O1382,H1381:H1381),0)</f>
        <v>181510</v>
      </c>
      <c r="I1382" s="74"/>
      <c r="J1382" s="48">
        <f>ROUNDDOWN(SUMIF(P1381:P1381,O1382,J1381:J1381),0)</f>
        <v>0</v>
      </c>
      <c r="K1382" s="74"/>
      <c r="L1382" s="48">
        <f>ROUNDDOWN(SUMIF(P1381:P1381,O1382,L1381:L1381),0)</f>
        <v>5445</v>
      </c>
      <c r="M1382" s="74"/>
      <c r="O1382" s="7" t="s">
        <v>6406</v>
      </c>
    </row>
    <row r="1383" spans="1:26" ht="28.7" customHeight="1" x14ac:dyDescent="0.3">
      <c r="A1383" s="73"/>
      <c r="B1383" s="73"/>
      <c r="C1383" s="73"/>
      <c r="D1383" s="73"/>
      <c r="E1383" s="73"/>
      <c r="F1383" s="73"/>
      <c r="G1383" s="73"/>
      <c r="H1383" s="73"/>
      <c r="I1383" s="73"/>
      <c r="J1383" s="73"/>
      <c r="K1383" s="73"/>
      <c r="L1383" s="73"/>
      <c r="M1383" s="73"/>
    </row>
    <row r="1384" spans="1:26" ht="28.7" customHeight="1" x14ac:dyDescent="0.3">
      <c r="A1384" s="136" t="s">
        <v>784</v>
      </c>
      <c r="B1384" s="127"/>
      <c r="C1384" s="127"/>
      <c r="D1384" s="127"/>
      <c r="E1384" s="127"/>
      <c r="F1384" s="127"/>
      <c r="G1384" s="127"/>
      <c r="H1384" s="127"/>
      <c r="I1384" s="127"/>
      <c r="J1384" s="127"/>
      <c r="K1384" s="127"/>
      <c r="L1384" s="144"/>
      <c r="M1384" s="22" t="s">
        <v>7411</v>
      </c>
      <c r="N1384" s="84" t="str">
        <f>HYPERLINK("#N"&amp;ROW(N1385),"_x0005_`BDCOD|B05345_x0007_`POSS|"&amp;ROW(N1385)&amp;"_x0007_`POSE|"&amp;ROW(N1385)&amp;"_x0007_`")</f>
        <v>_x0005_`BDCOD|B05345_x0007_`POSS|1385_x0007_`POSE|1385_x0007_`</v>
      </c>
      <c r="O1384" s="7" t="s">
        <v>7412</v>
      </c>
    </row>
    <row r="1385" spans="1:26" ht="28.7" customHeight="1" x14ac:dyDescent="0.3">
      <c r="A1385" s="10" t="s">
        <v>1796</v>
      </c>
      <c r="B1385" s="10" t="s">
        <v>1812</v>
      </c>
      <c r="C1385" s="75">
        <v>1</v>
      </c>
      <c r="D1385" s="31" t="s">
        <v>14</v>
      </c>
      <c r="E1385" s="55">
        <f>I1385+G1385+K1385</f>
        <v>207127</v>
      </c>
      <c r="F1385" s="76">
        <f>J1385+H1385+L1385</f>
        <v>207127</v>
      </c>
      <c r="G1385" s="78">
        <f>일위대가목록표!F701</f>
        <v>201095</v>
      </c>
      <c r="H1385" s="80">
        <f>IF(C1385=0,0,ROUNDDOWN(G1385*C1385,1))</f>
        <v>201095</v>
      </c>
      <c r="I1385" s="78">
        <f>일위대가목록표!G701</f>
        <v>0</v>
      </c>
      <c r="J1385" s="80">
        <f>IF(C1385=0,0,ROUNDDOWN(I1385*C1385,1))</f>
        <v>0</v>
      </c>
      <c r="K1385" s="78">
        <f>일위대가목록표!H701</f>
        <v>6032</v>
      </c>
      <c r="L1385" s="80">
        <f>IF(C1385=0,0,ROUNDDOWN(K1385*C1385,1))</f>
        <v>6032</v>
      </c>
      <c r="M1385" s="22" t="s">
        <v>7415</v>
      </c>
      <c r="N1385" s="17" t="s">
        <v>7413</v>
      </c>
      <c r="O1385" s="7" t="s">
        <v>7414</v>
      </c>
      <c r="P1385" s="7" t="s">
        <v>6406</v>
      </c>
      <c r="Z1385" s="3" t="str">
        <f ca="1">HYPERLINK("#"&amp;일위대가목록표!J2&amp;"!A"&amp;ROW(일위대가목록표!A701),"대가698 →")</f>
        <v>대가698 →</v>
      </c>
    </row>
    <row r="1386" spans="1:26" ht="28.7" customHeight="1" x14ac:dyDescent="0.3">
      <c r="A1386" s="22" t="s">
        <v>6</v>
      </c>
      <c r="B1386" s="74"/>
      <c r="C1386" s="74"/>
      <c r="D1386" s="74"/>
      <c r="E1386" s="74"/>
      <c r="F1386" s="48">
        <f>J1386+H1386+L1386</f>
        <v>207127</v>
      </c>
      <c r="G1386" s="74"/>
      <c r="H1386" s="48">
        <f>ROUNDDOWN(SUMIF(P1385:P1385,O1386,H1385:H1385),0)</f>
        <v>201095</v>
      </c>
      <c r="I1386" s="74"/>
      <c r="J1386" s="48">
        <f>ROUNDDOWN(SUMIF(P1385:P1385,O1386,J1385:J1385),0)</f>
        <v>0</v>
      </c>
      <c r="K1386" s="74"/>
      <c r="L1386" s="48">
        <f>ROUNDDOWN(SUMIF(P1385:P1385,O1386,L1385:L1385),0)</f>
        <v>6032</v>
      </c>
      <c r="M1386" s="74"/>
      <c r="O1386" s="7" t="s">
        <v>6406</v>
      </c>
    </row>
    <row r="1387" spans="1:26" ht="28.7" customHeight="1" x14ac:dyDescent="0.3">
      <c r="A1387" s="73"/>
      <c r="B1387" s="73"/>
      <c r="C1387" s="73"/>
      <c r="D1387" s="73"/>
      <c r="E1387" s="73"/>
      <c r="F1387" s="73"/>
      <c r="G1387" s="73"/>
      <c r="H1387" s="73"/>
      <c r="I1387" s="73"/>
      <c r="J1387" s="73"/>
      <c r="K1387" s="73"/>
      <c r="L1387" s="73"/>
      <c r="M1387" s="73"/>
    </row>
    <row r="1388" spans="1:26" ht="28.7" customHeight="1" x14ac:dyDescent="0.3">
      <c r="A1388" s="136" t="s">
        <v>786</v>
      </c>
      <c r="B1388" s="127"/>
      <c r="C1388" s="127"/>
      <c r="D1388" s="127"/>
      <c r="E1388" s="127"/>
      <c r="F1388" s="127"/>
      <c r="G1388" s="127"/>
      <c r="H1388" s="127"/>
      <c r="I1388" s="127"/>
      <c r="J1388" s="127"/>
      <c r="K1388" s="127"/>
      <c r="L1388" s="144"/>
      <c r="M1388" s="22" t="s">
        <v>7416</v>
      </c>
      <c r="N1388" s="84" t="str">
        <f>HYPERLINK("#N"&amp;ROW(N1389),"_x0005_`BDCOD|B05346_x0007_`POSS|"&amp;ROW(N1389)&amp;"_x0007_`POSE|"&amp;ROW(N1389)&amp;"_x0007_`")</f>
        <v>_x0005_`BDCOD|B05346_x0007_`POSS|1389_x0007_`POSE|1389_x0007_`</v>
      </c>
      <c r="O1388" s="7" t="s">
        <v>7417</v>
      </c>
    </row>
    <row r="1389" spans="1:26" ht="28.7" customHeight="1" x14ac:dyDescent="0.3">
      <c r="A1389" s="10" t="s">
        <v>1796</v>
      </c>
      <c r="B1389" s="10" t="s">
        <v>1819</v>
      </c>
      <c r="C1389" s="75">
        <v>1</v>
      </c>
      <c r="D1389" s="31" t="s">
        <v>14</v>
      </c>
      <c r="E1389" s="55">
        <f>I1389+G1389+K1389</f>
        <v>250202</v>
      </c>
      <c r="F1389" s="76">
        <f>J1389+H1389+L1389</f>
        <v>250202</v>
      </c>
      <c r="G1389" s="78">
        <f>일위대가목록표!F704</f>
        <v>242915</v>
      </c>
      <c r="H1389" s="80">
        <f>IF(C1389=0,0,ROUNDDOWN(G1389*C1389,1))</f>
        <v>242915</v>
      </c>
      <c r="I1389" s="78">
        <f>일위대가목록표!G704</f>
        <v>0</v>
      </c>
      <c r="J1389" s="80">
        <f>IF(C1389=0,0,ROUNDDOWN(I1389*C1389,1))</f>
        <v>0</v>
      </c>
      <c r="K1389" s="78">
        <f>일위대가목록표!H704</f>
        <v>7287</v>
      </c>
      <c r="L1389" s="80">
        <f>IF(C1389=0,0,ROUNDDOWN(K1389*C1389,1))</f>
        <v>7287</v>
      </c>
      <c r="M1389" s="22" t="s">
        <v>7420</v>
      </c>
      <c r="N1389" s="17" t="s">
        <v>7418</v>
      </c>
      <c r="O1389" s="7" t="s">
        <v>7419</v>
      </c>
      <c r="P1389" s="7" t="s">
        <v>6406</v>
      </c>
      <c r="Z1389" s="3" t="str">
        <f ca="1">HYPERLINK("#"&amp;일위대가목록표!J2&amp;"!A"&amp;ROW(일위대가목록표!A704),"대가701 →")</f>
        <v>대가701 →</v>
      </c>
    </row>
    <row r="1390" spans="1:26" ht="28.7" customHeight="1" x14ac:dyDescent="0.3">
      <c r="A1390" s="22" t="s">
        <v>6</v>
      </c>
      <c r="B1390" s="74"/>
      <c r="C1390" s="74"/>
      <c r="D1390" s="74"/>
      <c r="E1390" s="74"/>
      <c r="F1390" s="48">
        <f>J1390+H1390+L1390</f>
        <v>250202</v>
      </c>
      <c r="G1390" s="74"/>
      <c r="H1390" s="48">
        <f>ROUNDDOWN(SUMIF(P1389:P1389,O1390,H1389:H1389),0)</f>
        <v>242915</v>
      </c>
      <c r="I1390" s="74"/>
      <c r="J1390" s="48">
        <f>ROUNDDOWN(SUMIF(P1389:P1389,O1390,J1389:J1389),0)</f>
        <v>0</v>
      </c>
      <c r="K1390" s="74"/>
      <c r="L1390" s="48">
        <f>ROUNDDOWN(SUMIF(P1389:P1389,O1390,L1389:L1389),0)</f>
        <v>7287</v>
      </c>
      <c r="M1390" s="74"/>
      <c r="O1390" s="7" t="s">
        <v>6406</v>
      </c>
    </row>
    <row r="1391" spans="1:26" ht="28.7" customHeight="1" x14ac:dyDescent="0.3">
      <c r="A1391" s="73"/>
      <c r="B1391" s="73"/>
      <c r="C1391" s="73"/>
      <c r="D1391" s="73"/>
      <c r="E1391" s="73"/>
      <c r="F1391" s="73"/>
      <c r="G1391" s="73"/>
      <c r="H1391" s="73"/>
      <c r="I1391" s="73"/>
      <c r="J1391" s="73"/>
      <c r="K1391" s="73"/>
      <c r="L1391" s="73"/>
      <c r="M1391" s="73"/>
    </row>
    <row r="1392" spans="1:26" ht="28.7" customHeight="1" x14ac:dyDescent="0.3">
      <c r="A1392" s="136" t="s">
        <v>788</v>
      </c>
      <c r="B1392" s="127"/>
      <c r="C1392" s="127"/>
      <c r="D1392" s="127"/>
      <c r="E1392" s="127"/>
      <c r="F1392" s="127"/>
      <c r="G1392" s="127"/>
      <c r="H1392" s="127"/>
      <c r="I1392" s="127"/>
      <c r="J1392" s="127"/>
      <c r="K1392" s="127"/>
      <c r="L1392" s="144"/>
      <c r="M1392" s="22" t="s">
        <v>7421</v>
      </c>
      <c r="N1392" s="84" t="str">
        <f>HYPERLINK("#N"&amp;ROW(N1393),"_x0005_`BDCOD|B05347_x0007_`POSS|"&amp;ROW(N1393)&amp;"_x0007_`POSE|"&amp;ROW(N1393)&amp;"_x0007_`")</f>
        <v>_x0005_`BDCOD|B05347_x0007_`POSS|1393_x0007_`POSE|1393_x0007_`</v>
      </c>
      <c r="O1392" s="7" t="s">
        <v>7422</v>
      </c>
    </row>
    <row r="1393" spans="1:26" ht="28.7" customHeight="1" x14ac:dyDescent="0.3">
      <c r="A1393" s="10" t="s">
        <v>1796</v>
      </c>
      <c r="B1393" s="10" t="s">
        <v>1826</v>
      </c>
      <c r="C1393" s="75">
        <v>1</v>
      </c>
      <c r="D1393" s="31" t="s">
        <v>14</v>
      </c>
      <c r="E1393" s="55">
        <f>I1393+G1393+K1393</f>
        <v>302019</v>
      </c>
      <c r="F1393" s="76">
        <f>J1393+H1393+L1393</f>
        <v>302019</v>
      </c>
      <c r="G1393" s="78">
        <f>일위대가목록표!F707</f>
        <v>293223</v>
      </c>
      <c r="H1393" s="80">
        <f>IF(C1393=0,0,ROUNDDOWN(G1393*C1393,1))</f>
        <v>293223</v>
      </c>
      <c r="I1393" s="78">
        <f>일위대가목록표!G707</f>
        <v>0</v>
      </c>
      <c r="J1393" s="80">
        <f>IF(C1393=0,0,ROUNDDOWN(I1393*C1393,1))</f>
        <v>0</v>
      </c>
      <c r="K1393" s="78">
        <f>일위대가목록표!H707</f>
        <v>8796</v>
      </c>
      <c r="L1393" s="80">
        <f>IF(C1393=0,0,ROUNDDOWN(K1393*C1393,1))</f>
        <v>8796</v>
      </c>
      <c r="M1393" s="22" t="s">
        <v>7425</v>
      </c>
      <c r="N1393" s="17" t="s">
        <v>7423</v>
      </c>
      <c r="O1393" s="7" t="s">
        <v>7424</v>
      </c>
      <c r="P1393" s="7" t="s">
        <v>6406</v>
      </c>
      <c r="Z1393" s="3" t="str">
        <f ca="1">HYPERLINK("#"&amp;일위대가목록표!J2&amp;"!A"&amp;ROW(일위대가목록표!A707),"대가704 →")</f>
        <v>대가704 →</v>
      </c>
    </row>
    <row r="1394" spans="1:26" ht="28.7" customHeight="1" x14ac:dyDescent="0.3">
      <c r="A1394" s="22" t="s">
        <v>6</v>
      </c>
      <c r="B1394" s="74"/>
      <c r="C1394" s="74"/>
      <c r="D1394" s="74"/>
      <c r="E1394" s="74"/>
      <c r="F1394" s="48">
        <f>J1394+H1394+L1394</f>
        <v>302019</v>
      </c>
      <c r="G1394" s="74"/>
      <c r="H1394" s="48">
        <f>ROUNDDOWN(SUMIF(P1393:P1393,O1394,H1393:H1393),0)</f>
        <v>293223</v>
      </c>
      <c r="I1394" s="74"/>
      <c r="J1394" s="48">
        <f>ROUNDDOWN(SUMIF(P1393:P1393,O1394,J1393:J1393),0)</f>
        <v>0</v>
      </c>
      <c r="K1394" s="74"/>
      <c r="L1394" s="48">
        <f>ROUNDDOWN(SUMIF(P1393:P1393,O1394,L1393:L1393),0)</f>
        <v>8796</v>
      </c>
      <c r="M1394" s="74"/>
      <c r="O1394" s="7" t="s">
        <v>6406</v>
      </c>
    </row>
    <row r="1395" spans="1:26" ht="28.7" customHeight="1" x14ac:dyDescent="0.3">
      <c r="A1395" s="73"/>
      <c r="B1395" s="73"/>
      <c r="C1395" s="73"/>
      <c r="D1395" s="73"/>
      <c r="E1395" s="73"/>
      <c r="F1395" s="73"/>
      <c r="G1395" s="73"/>
      <c r="H1395" s="73"/>
      <c r="I1395" s="73"/>
      <c r="J1395" s="73"/>
      <c r="K1395" s="73"/>
      <c r="L1395" s="73"/>
      <c r="M1395" s="73"/>
    </row>
    <row r="1396" spans="1:26" ht="28.7" customHeight="1" x14ac:dyDescent="0.3">
      <c r="A1396" s="136" t="s">
        <v>790</v>
      </c>
      <c r="B1396" s="127"/>
      <c r="C1396" s="127"/>
      <c r="D1396" s="127"/>
      <c r="E1396" s="127"/>
      <c r="F1396" s="127"/>
      <c r="G1396" s="127"/>
      <c r="H1396" s="127"/>
      <c r="I1396" s="127"/>
      <c r="J1396" s="127"/>
      <c r="K1396" s="127"/>
      <c r="L1396" s="144"/>
      <c r="M1396" s="22" t="s">
        <v>7426</v>
      </c>
      <c r="N1396" s="84" t="str">
        <f>HYPERLINK("#N"&amp;ROW(N1397),"_x0005_`BDCOD|B05348_x0007_`POSS|"&amp;ROW(N1397)&amp;"_x0007_`POSE|"&amp;ROW(N1397)&amp;"_x0007_`")</f>
        <v>_x0005_`BDCOD|B05348_x0007_`POSS|1397_x0007_`POSE|1397_x0007_`</v>
      </c>
      <c r="O1396" s="7" t="s">
        <v>7427</v>
      </c>
    </row>
    <row r="1397" spans="1:26" ht="28.7" customHeight="1" x14ac:dyDescent="0.3">
      <c r="A1397" s="10" t="s">
        <v>1796</v>
      </c>
      <c r="B1397" s="10" t="s">
        <v>1833</v>
      </c>
      <c r="C1397" s="75">
        <v>1</v>
      </c>
      <c r="D1397" s="31" t="s">
        <v>14</v>
      </c>
      <c r="E1397" s="55">
        <f>I1397+G1397+K1397</f>
        <v>359552</v>
      </c>
      <c r="F1397" s="76">
        <f>J1397+H1397+L1397</f>
        <v>359552</v>
      </c>
      <c r="G1397" s="78">
        <f>일위대가목록표!F710</f>
        <v>349080</v>
      </c>
      <c r="H1397" s="80">
        <f>IF(C1397=0,0,ROUNDDOWN(G1397*C1397,1))</f>
        <v>349080</v>
      </c>
      <c r="I1397" s="78">
        <f>일위대가목록표!G710</f>
        <v>0</v>
      </c>
      <c r="J1397" s="80">
        <f>IF(C1397=0,0,ROUNDDOWN(I1397*C1397,1))</f>
        <v>0</v>
      </c>
      <c r="K1397" s="78">
        <f>일위대가목록표!H710</f>
        <v>10472</v>
      </c>
      <c r="L1397" s="80">
        <f>IF(C1397=0,0,ROUNDDOWN(K1397*C1397,1))</f>
        <v>10472</v>
      </c>
      <c r="M1397" s="22" t="s">
        <v>7334</v>
      </c>
      <c r="N1397" s="17" t="s">
        <v>7332</v>
      </c>
      <c r="O1397" s="7" t="s">
        <v>7333</v>
      </c>
      <c r="P1397" s="7" t="s">
        <v>6406</v>
      </c>
      <c r="Z1397" s="3" t="str">
        <f ca="1">HYPERLINK("#"&amp;일위대가목록표!J2&amp;"!A"&amp;ROW(일위대가목록표!A710),"대가707 →")</f>
        <v>대가707 →</v>
      </c>
    </row>
    <row r="1398" spans="1:26" ht="28.7" customHeight="1" x14ac:dyDescent="0.3">
      <c r="A1398" s="22" t="s">
        <v>6</v>
      </c>
      <c r="B1398" s="74"/>
      <c r="C1398" s="74"/>
      <c r="D1398" s="74"/>
      <c r="E1398" s="74"/>
      <c r="F1398" s="48">
        <f>J1398+H1398+L1398</f>
        <v>359552</v>
      </c>
      <c r="G1398" s="74"/>
      <c r="H1398" s="48">
        <f>ROUNDDOWN(SUMIF(P1397:P1397,O1398,H1397:H1397),0)</f>
        <v>349080</v>
      </c>
      <c r="I1398" s="74"/>
      <c r="J1398" s="48">
        <f>ROUNDDOWN(SUMIF(P1397:P1397,O1398,J1397:J1397),0)</f>
        <v>0</v>
      </c>
      <c r="K1398" s="74"/>
      <c r="L1398" s="48">
        <f>ROUNDDOWN(SUMIF(P1397:P1397,O1398,L1397:L1397),0)</f>
        <v>10472</v>
      </c>
      <c r="M1398" s="74"/>
      <c r="O1398" s="7" t="s">
        <v>6406</v>
      </c>
    </row>
    <row r="1399" spans="1:26" ht="28.7" customHeight="1" x14ac:dyDescent="0.3">
      <c r="A1399" s="73"/>
      <c r="B1399" s="73"/>
      <c r="C1399" s="73"/>
      <c r="D1399" s="73"/>
      <c r="E1399" s="73"/>
      <c r="F1399" s="73"/>
      <c r="G1399" s="73"/>
      <c r="H1399" s="73"/>
      <c r="I1399" s="73"/>
      <c r="J1399" s="73"/>
      <c r="K1399" s="73"/>
      <c r="L1399" s="73"/>
      <c r="M1399" s="73"/>
    </row>
    <row r="1400" spans="1:26" ht="28.7" customHeight="1" x14ac:dyDescent="0.3">
      <c r="A1400" s="136" t="s">
        <v>792</v>
      </c>
      <c r="B1400" s="127"/>
      <c r="C1400" s="127"/>
      <c r="D1400" s="127"/>
      <c r="E1400" s="127"/>
      <c r="F1400" s="127"/>
      <c r="G1400" s="127"/>
      <c r="H1400" s="127"/>
      <c r="I1400" s="127"/>
      <c r="J1400" s="127"/>
      <c r="K1400" s="127"/>
      <c r="L1400" s="144"/>
      <c r="M1400" s="22" t="s">
        <v>7428</v>
      </c>
      <c r="N1400" s="84" t="str">
        <f>HYPERLINK("#N"&amp;ROW(N1401),"_x0005_`BDCOD|B05349_x0007_`POSS|"&amp;ROW(N1401)&amp;"_x0007_`POSE|"&amp;ROW(N1401)&amp;"_x0007_`")</f>
        <v>_x0005_`BDCOD|B05349_x0007_`POSS|1401_x0007_`POSE|1401_x0007_`</v>
      </c>
      <c r="O1400" s="7" t="s">
        <v>7429</v>
      </c>
    </row>
    <row r="1401" spans="1:26" ht="28.7" customHeight="1" x14ac:dyDescent="0.3">
      <c r="A1401" s="10" t="s">
        <v>1796</v>
      </c>
      <c r="B1401" s="10" t="s">
        <v>1833</v>
      </c>
      <c r="C1401" s="75">
        <v>1</v>
      </c>
      <c r="D1401" s="31" t="s">
        <v>14</v>
      </c>
      <c r="E1401" s="55">
        <f>I1401+G1401+K1401</f>
        <v>359552</v>
      </c>
      <c r="F1401" s="76">
        <f>J1401+H1401+L1401</f>
        <v>359552</v>
      </c>
      <c r="G1401" s="78">
        <f>일위대가목록표!F710</f>
        <v>349080</v>
      </c>
      <c r="H1401" s="80">
        <f>IF(C1401=0,0,ROUNDDOWN(G1401*C1401,1))</f>
        <v>349080</v>
      </c>
      <c r="I1401" s="78">
        <f>일위대가목록표!G710</f>
        <v>0</v>
      </c>
      <c r="J1401" s="80">
        <f>IF(C1401=0,0,ROUNDDOWN(I1401*C1401,1))</f>
        <v>0</v>
      </c>
      <c r="K1401" s="78">
        <f>일위대가목록표!H710</f>
        <v>10472</v>
      </c>
      <c r="L1401" s="80">
        <f>IF(C1401=0,0,ROUNDDOWN(K1401*C1401,1))</f>
        <v>10472</v>
      </c>
      <c r="M1401" s="22" t="s">
        <v>7334</v>
      </c>
      <c r="N1401" s="17" t="s">
        <v>7332</v>
      </c>
      <c r="O1401" s="7" t="s">
        <v>7333</v>
      </c>
      <c r="P1401" s="7" t="s">
        <v>6406</v>
      </c>
      <c r="Z1401" s="3" t="str">
        <f ca="1">HYPERLINK("#"&amp;일위대가목록표!J2&amp;"!A"&amp;ROW(일위대가목록표!A710),"대가707 →")</f>
        <v>대가707 →</v>
      </c>
    </row>
    <row r="1402" spans="1:26" ht="28.7" customHeight="1" x14ac:dyDescent="0.3">
      <c r="A1402" s="22" t="s">
        <v>6</v>
      </c>
      <c r="B1402" s="74"/>
      <c r="C1402" s="74"/>
      <c r="D1402" s="74"/>
      <c r="E1402" s="74"/>
      <c r="F1402" s="48">
        <f>J1402+H1402+L1402</f>
        <v>359552</v>
      </c>
      <c r="G1402" s="74"/>
      <c r="H1402" s="48">
        <f>ROUNDDOWN(SUMIF(P1401:P1401,O1402,H1401:H1401),0)</f>
        <v>349080</v>
      </c>
      <c r="I1402" s="74"/>
      <c r="J1402" s="48">
        <f>ROUNDDOWN(SUMIF(P1401:P1401,O1402,J1401:J1401),0)</f>
        <v>0</v>
      </c>
      <c r="K1402" s="74"/>
      <c r="L1402" s="48">
        <f>ROUNDDOWN(SUMIF(P1401:P1401,O1402,L1401:L1401),0)</f>
        <v>10472</v>
      </c>
      <c r="M1402" s="74"/>
      <c r="O1402" s="7" t="s">
        <v>6406</v>
      </c>
    </row>
    <row r="1403" spans="1:26" ht="28.7" customHeight="1" x14ac:dyDescent="0.3">
      <c r="A1403" s="73"/>
      <c r="B1403" s="73"/>
      <c r="C1403" s="73"/>
      <c r="D1403" s="73"/>
      <c r="E1403" s="73"/>
      <c r="F1403" s="73"/>
      <c r="G1403" s="73"/>
      <c r="H1403" s="73"/>
      <c r="I1403" s="73"/>
      <c r="J1403" s="73"/>
      <c r="K1403" s="73"/>
      <c r="L1403" s="73"/>
      <c r="M1403" s="73"/>
    </row>
    <row r="1404" spans="1:26" ht="28.7" customHeight="1" x14ac:dyDescent="0.3">
      <c r="A1404" s="136" t="s">
        <v>795</v>
      </c>
      <c r="B1404" s="127"/>
      <c r="C1404" s="127"/>
      <c r="D1404" s="127"/>
      <c r="E1404" s="127"/>
      <c r="F1404" s="127"/>
      <c r="G1404" s="127"/>
      <c r="H1404" s="127"/>
      <c r="I1404" s="127"/>
      <c r="J1404" s="127"/>
      <c r="K1404" s="127"/>
      <c r="L1404" s="144"/>
      <c r="M1404" s="22" t="s">
        <v>7430</v>
      </c>
      <c r="N1404" s="84" t="str">
        <f>HYPERLINK("#N"&amp;ROW(N1405),"_x0005_`BDCOD|B05350_x0007_`POSS|"&amp;ROW(N1405)&amp;"_x0007_`POSE|"&amp;ROW(N1405)&amp;"_x0007_`")</f>
        <v>_x0005_`BDCOD|B05350_x0007_`POSS|1405_x0007_`POSE|1405_x0007_`</v>
      </c>
      <c r="O1404" s="7" t="s">
        <v>7431</v>
      </c>
    </row>
    <row r="1405" spans="1:26" ht="28.7" customHeight="1" x14ac:dyDescent="0.3">
      <c r="A1405" s="10" t="s">
        <v>1796</v>
      </c>
      <c r="B1405" s="10" t="s">
        <v>1833</v>
      </c>
      <c r="C1405" s="75">
        <v>1</v>
      </c>
      <c r="D1405" s="31" t="s">
        <v>14</v>
      </c>
      <c r="E1405" s="55">
        <f>I1405+G1405+K1405</f>
        <v>359552</v>
      </c>
      <c r="F1405" s="76">
        <f>J1405+H1405+L1405</f>
        <v>359552</v>
      </c>
      <c r="G1405" s="78">
        <f>일위대가목록표!F710</f>
        <v>349080</v>
      </c>
      <c r="H1405" s="80">
        <f>IF(C1405=0,0,ROUNDDOWN(G1405*C1405,1))</f>
        <v>349080</v>
      </c>
      <c r="I1405" s="78">
        <f>일위대가목록표!G710</f>
        <v>0</v>
      </c>
      <c r="J1405" s="80">
        <f>IF(C1405=0,0,ROUNDDOWN(I1405*C1405,1))</f>
        <v>0</v>
      </c>
      <c r="K1405" s="78">
        <f>일위대가목록표!H710</f>
        <v>10472</v>
      </c>
      <c r="L1405" s="80">
        <f>IF(C1405=0,0,ROUNDDOWN(K1405*C1405,1))</f>
        <v>10472</v>
      </c>
      <c r="M1405" s="22" t="s">
        <v>7334</v>
      </c>
      <c r="N1405" s="17" t="s">
        <v>7332</v>
      </c>
      <c r="O1405" s="7" t="s">
        <v>7333</v>
      </c>
      <c r="P1405" s="7" t="s">
        <v>6406</v>
      </c>
      <c r="Z1405" s="3" t="str">
        <f ca="1">HYPERLINK("#"&amp;일위대가목록표!J2&amp;"!A"&amp;ROW(일위대가목록표!A710),"대가707 →")</f>
        <v>대가707 →</v>
      </c>
    </row>
    <row r="1406" spans="1:26" ht="28.7" customHeight="1" x14ac:dyDescent="0.3">
      <c r="A1406" s="22" t="s">
        <v>6</v>
      </c>
      <c r="B1406" s="74"/>
      <c r="C1406" s="74"/>
      <c r="D1406" s="74"/>
      <c r="E1406" s="74"/>
      <c r="F1406" s="48">
        <f>J1406+H1406+L1406</f>
        <v>359552</v>
      </c>
      <c r="G1406" s="74"/>
      <c r="H1406" s="48">
        <f>ROUNDDOWN(SUMIF(P1405:P1405,O1406,H1405:H1405),0)</f>
        <v>349080</v>
      </c>
      <c r="I1406" s="74"/>
      <c r="J1406" s="48">
        <f>ROUNDDOWN(SUMIF(P1405:P1405,O1406,J1405:J1405),0)</f>
        <v>0</v>
      </c>
      <c r="K1406" s="74"/>
      <c r="L1406" s="48">
        <f>ROUNDDOWN(SUMIF(P1405:P1405,O1406,L1405:L1405),0)</f>
        <v>10472</v>
      </c>
      <c r="M1406" s="74"/>
      <c r="O1406" s="7" t="s">
        <v>6406</v>
      </c>
    </row>
    <row r="1407" spans="1:26" ht="28.7" customHeight="1" x14ac:dyDescent="0.3">
      <c r="A1407" s="73"/>
      <c r="B1407" s="73"/>
      <c r="C1407" s="73"/>
      <c r="D1407" s="73"/>
      <c r="E1407" s="73"/>
      <c r="F1407" s="73"/>
      <c r="G1407" s="73"/>
      <c r="H1407" s="73"/>
      <c r="I1407" s="73"/>
      <c r="J1407" s="73"/>
      <c r="K1407" s="73"/>
      <c r="L1407" s="73"/>
      <c r="M1407" s="73"/>
    </row>
    <row r="1408" spans="1:26" ht="28.7" customHeight="1" x14ac:dyDescent="0.3">
      <c r="A1408" s="136" t="s">
        <v>797</v>
      </c>
      <c r="B1408" s="127"/>
      <c r="C1408" s="127"/>
      <c r="D1408" s="127"/>
      <c r="E1408" s="127"/>
      <c r="F1408" s="127"/>
      <c r="G1408" s="127"/>
      <c r="H1408" s="127"/>
      <c r="I1408" s="127"/>
      <c r="J1408" s="127"/>
      <c r="K1408" s="127"/>
      <c r="L1408" s="144"/>
      <c r="M1408" s="22" t="s">
        <v>7432</v>
      </c>
      <c r="N1408" s="84" t="str">
        <f>HYPERLINK("#N"&amp;ROW(N1409),"_x0005_`BDCOD|B05351_x0007_`POSS|"&amp;ROW(N1409)&amp;"_x0007_`POSE|"&amp;ROW(N1409)&amp;"_x0007_`")</f>
        <v>_x0005_`BDCOD|B05351_x0007_`POSS|1409_x0007_`POSE|1409_x0007_`</v>
      </c>
      <c r="O1408" s="7" t="s">
        <v>7433</v>
      </c>
    </row>
    <row r="1409" spans="1:26" ht="28.7" customHeight="1" x14ac:dyDescent="0.3">
      <c r="A1409" s="10" t="s">
        <v>1796</v>
      </c>
      <c r="B1409" s="10" t="s">
        <v>1833</v>
      </c>
      <c r="C1409" s="75">
        <v>1</v>
      </c>
      <c r="D1409" s="31" t="s">
        <v>14</v>
      </c>
      <c r="E1409" s="55">
        <f>I1409+G1409+K1409</f>
        <v>359552</v>
      </c>
      <c r="F1409" s="76">
        <f>J1409+H1409+L1409</f>
        <v>359552</v>
      </c>
      <c r="G1409" s="78">
        <f>일위대가목록표!F710</f>
        <v>349080</v>
      </c>
      <c r="H1409" s="80">
        <f>IF(C1409=0,0,ROUNDDOWN(G1409*C1409,1))</f>
        <v>349080</v>
      </c>
      <c r="I1409" s="78">
        <f>일위대가목록표!G710</f>
        <v>0</v>
      </c>
      <c r="J1409" s="80">
        <f>IF(C1409=0,0,ROUNDDOWN(I1409*C1409,1))</f>
        <v>0</v>
      </c>
      <c r="K1409" s="78">
        <f>일위대가목록표!H710</f>
        <v>10472</v>
      </c>
      <c r="L1409" s="80">
        <f>IF(C1409=0,0,ROUNDDOWN(K1409*C1409,1))</f>
        <v>10472</v>
      </c>
      <c r="M1409" s="22" t="s">
        <v>7334</v>
      </c>
      <c r="N1409" s="17" t="s">
        <v>7332</v>
      </c>
      <c r="O1409" s="7" t="s">
        <v>7333</v>
      </c>
      <c r="P1409" s="7" t="s">
        <v>6406</v>
      </c>
      <c r="Z1409" s="3" t="str">
        <f ca="1">HYPERLINK("#"&amp;일위대가목록표!J2&amp;"!A"&amp;ROW(일위대가목록표!A710),"대가707 →")</f>
        <v>대가707 →</v>
      </c>
    </row>
    <row r="1410" spans="1:26" ht="28.7" customHeight="1" x14ac:dyDescent="0.3">
      <c r="A1410" s="22" t="s">
        <v>6</v>
      </c>
      <c r="B1410" s="74"/>
      <c r="C1410" s="74"/>
      <c r="D1410" s="74"/>
      <c r="E1410" s="74"/>
      <c r="F1410" s="48">
        <f>J1410+H1410+L1410</f>
        <v>359552</v>
      </c>
      <c r="G1410" s="74"/>
      <c r="H1410" s="48">
        <f>ROUNDDOWN(SUMIF(P1409:P1409,O1410,H1409:H1409),0)</f>
        <v>349080</v>
      </c>
      <c r="I1410" s="74"/>
      <c r="J1410" s="48">
        <f>ROUNDDOWN(SUMIF(P1409:P1409,O1410,J1409:J1409),0)</f>
        <v>0</v>
      </c>
      <c r="K1410" s="74"/>
      <c r="L1410" s="48">
        <f>ROUNDDOWN(SUMIF(P1409:P1409,O1410,L1409:L1409),0)</f>
        <v>10472</v>
      </c>
      <c r="M1410" s="74"/>
      <c r="O1410" s="7" t="s">
        <v>6406</v>
      </c>
    </row>
    <row r="1411" spans="1:26" ht="28.7" customHeight="1" x14ac:dyDescent="0.3">
      <c r="A1411" s="73"/>
      <c r="B1411" s="73"/>
      <c r="C1411" s="73"/>
      <c r="D1411" s="73"/>
      <c r="E1411" s="73"/>
      <c r="F1411" s="73"/>
      <c r="G1411" s="73"/>
      <c r="H1411" s="73"/>
      <c r="I1411" s="73"/>
      <c r="J1411" s="73"/>
      <c r="K1411" s="73"/>
      <c r="L1411" s="73"/>
      <c r="M1411" s="73"/>
    </row>
    <row r="1412" spans="1:26" ht="28.7" customHeight="1" x14ac:dyDescent="0.3">
      <c r="A1412" s="136" t="s">
        <v>799</v>
      </c>
      <c r="B1412" s="127"/>
      <c r="C1412" s="127"/>
      <c r="D1412" s="127"/>
      <c r="E1412" s="127"/>
      <c r="F1412" s="127"/>
      <c r="G1412" s="127"/>
      <c r="H1412" s="127"/>
      <c r="I1412" s="127"/>
      <c r="J1412" s="127"/>
      <c r="K1412" s="127"/>
      <c r="L1412" s="144"/>
      <c r="M1412" s="22" t="s">
        <v>7434</v>
      </c>
      <c r="N1412" s="84" t="str">
        <f>HYPERLINK("#N"&amp;ROW(N1413),"_x0005_`BDCOD|B05352_x0007_`POSS|"&amp;ROW(N1413)&amp;"_x0007_`POSE|"&amp;ROW(N1413)&amp;"_x0007_`")</f>
        <v>_x0005_`BDCOD|B05352_x0007_`POSS|1413_x0007_`POSE|1413_x0007_`</v>
      </c>
      <c r="O1412" s="7" t="s">
        <v>7435</v>
      </c>
    </row>
    <row r="1413" spans="1:26" ht="28.7" customHeight="1" x14ac:dyDescent="0.3">
      <c r="A1413" s="10" t="s">
        <v>1796</v>
      </c>
      <c r="B1413" s="10" t="s">
        <v>1833</v>
      </c>
      <c r="C1413" s="75">
        <v>1</v>
      </c>
      <c r="D1413" s="31" t="s">
        <v>14</v>
      </c>
      <c r="E1413" s="55">
        <f>I1413+G1413+K1413</f>
        <v>359552</v>
      </c>
      <c r="F1413" s="76">
        <f>J1413+H1413+L1413</f>
        <v>359552</v>
      </c>
      <c r="G1413" s="78">
        <f>일위대가목록표!F710</f>
        <v>349080</v>
      </c>
      <c r="H1413" s="80">
        <f>IF(C1413=0,0,ROUNDDOWN(G1413*C1413,1))</f>
        <v>349080</v>
      </c>
      <c r="I1413" s="78">
        <f>일위대가목록표!G710</f>
        <v>0</v>
      </c>
      <c r="J1413" s="80">
        <f>IF(C1413=0,0,ROUNDDOWN(I1413*C1413,1))</f>
        <v>0</v>
      </c>
      <c r="K1413" s="78">
        <f>일위대가목록표!H710</f>
        <v>10472</v>
      </c>
      <c r="L1413" s="80">
        <f>IF(C1413=0,0,ROUNDDOWN(K1413*C1413,1))</f>
        <v>10472</v>
      </c>
      <c r="M1413" s="22" t="s">
        <v>7334</v>
      </c>
      <c r="N1413" s="17" t="s">
        <v>7332</v>
      </c>
      <c r="O1413" s="7" t="s">
        <v>7333</v>
      </c>
      <c r="P1413" s="7" t="s">
        <v>6406</v>
      </c>
      <c r="Z1413" s="3" t="str">
        <f ca="1">HYPERLINK("#"&amp;일위대가목록표!J2&amp;"!A"&amp;ROW(일위대가목록표!A710),"대가707 →")</f>
        <v>대가707 →</v>
      </c>
    </row>
    <row r="1414" spans="1:26" ht="28.7" customHeight="1" x14ac:dyDescent="0.3">
      <c r="A1414" s="22" t="s">
        <v>6</v>
      </c>
      <c r="B1414" s="74"/>
      <c r="C1414" s="74"/>
      <c r="D1414" s="74"/>
      <c r="E1414" s="74"/>
      <c r="F1414" s="48">
        <f>J1414+H1414+L1414</f>
        <v>359552</v>
      </c>
      <c r="G1414" s="74"/>
      <c r="H1414" s="48">
        <f>ROUNDDOWN(SUMIF(P1413:P1413,O1414,H1413:H1413),0)</f>
        <v>349080</v>
      </c>
      <c r="I1414" s="74"/>
      <c r="J1414" s="48">
        <f>ROUNDDOWN(SUMIF(P1413:P1413,O1414,J1413:J1413),0)</f>
        <v>0</v>
      </c>
      <c r="K1414" s="74"/>
      <c r="L1414" s="48">
        <f>ROUNDDOWN(SUMIF(P1413:P1413,O1414,L1413:L1413),0)</f>
        <v>10472</v>
      </c>
      <c r="M1414" s="74"/>
      <c r="O1414" s="7" t="s">
        <v>6406</v>
      </c>
    </row>
    <row r="1415" spans="1:26" ht="28.7" customHeight="1" x14ac:dyDescent="0.3">
      <c r="A1415" s="73"/>
      <c r="B1415" s="73"/>
      <c r="C1415" s="73"/>
      <c r="D1415" s="73"/>
      <c r="E1415" s="73"/>
      <c r="F1415" s="73"/>
      <c r="G1415" s="73"/>
      <c r="H1415" s="73"/>
      <c r="I1415" s="73"/>
      <c r="J1415" s="73"/>
      <c r="K1415" s="73"/>
      <c r="L1415" s="73"/>
      <c r="M1415" s="73"/>
    </row>
    <row r="1416" spans="1:26" ht="28.7" customHeight="1" x14ac:dyDescent="0.3">
      <c r="A1416" s="136" t="s">
        <v>801</v>
      </c>
      <c r="B1416" s="127"/>
      <c r="C1416" s="127"/>
      <c r="D1416" s="127"/>
      <c r="E1416" s="127"/>
      <c r="F1416" s="127"/>
      <c r="G1416" s="127"/>
      <c r="H1416" s="127"/>
      <c r="I1416" s="127"/>
      <c r="J1416" s="127"/>
      <c r="K1416" s="127"/>
      <c r="L1416" s="144"/>
      <c r="M1416" s="22" t="s">
        <v>7436</v>
      </c>
      <c r="N1416" s="84" t="str">
        <f>HYPERLINK("#N"&amp;ROW(N1418),"_x0005_`BDCOD|B04977_x0007_`POSS|"&amp;ROW(N1417)&amp;"_x0007_`POSE|"&amp;ROW(N1418)&amp;"_x0007_`")</f>
        <v>_x0005_`BDCOD|B04977_x0007_`POSS|1417_x0007_`POSE|1418_x0007_`</v>
      </c>
      <c r="O1416" s="7" t="s">
        <v>7437</v>
      </c>
    </row>
    <row r="1417" spans="1:26" ht="28.7" customHeight="1" x14ac:dyDescent="0.3">
      <c r="A1417" s="10" t="s">
        <v>840</v>
      </c>
      <c r="B1417" s="10" t="s">
        <v>841</v>
      </c>
      <c r="C1417" s="75">
        <v>1</v>
      </c>
      <c r="D1417" s="31" t="s">
        <v>14</v>
      </c>
      <c r="E1417" s="55">
        <f>I1417+G1417+K1417</f>
        <v>207713</v>
      </c>
      <c r="F1417" s="76">
        <f>J1417+H1417+L1417</f>
        <v>207713</v>
      </c>
      <c r="G1417" s="78">
        <f>일위대가목록표!F347</f>
        <v>207713</v>
      </c>
      <c r="H1417" s="80">
        <f>IF(C1417=0,0,ROUNDDOWN(G1417*C1417,1))</f>
        <v>207713</v>
      </c>
      <c r="I1417" s="78">
        <f>일위대가목록표!G347</f>
        <v>0</v>
      </c>
      <c r="J1417" s="80">
        <f>IF(C1417=0,0,ROUNDDOWN(I1417*C1417,1))</f>
        <v>0</v>
      </c>
      <c r="K1417" s="78">
        <f>일위대가목록표!H347</f>
        <v>0</v>
      </c>
      <c r="L1417" s="80">
        <f>IF(C1417=0,0,ROUNDDOWN(K1417*C1417,1))</f>
        <v>0</v>
      </c>
      <c r="M1417" s="22" t="s">
        <v>4375</v>
      </c>
      <c r="N1417" s="17" t="s">
        <v>6742</v>
      </c>
      <c r="O1417" s="7" t="s">
        <v>4373</v>
      </c>
      <c r="P1417" s="7" t="s">
        <v>6406</v>
      </c>
      <c r="Z1417" s="3" t="str">
        <f ca="1">HYPERLINK("#"&amp;일위대가목록표!J2&amp;"!A"&amp;ROW(일위대가목록표!A347),"대가344 →")</f>
        <v>대가344 →</v>
      </c>
    </row>
    <row r="1418" spans="1:26" ht="28.7" customHeight="1" x14ac:dyDescent="0.3">
      <c r="A1418" s="10" t="s">
        <v>803</v>
      </c>
      <c r="B1418" s="10" t="s">
        <v>2746</v>
      </c>
      <c r="C1418" s="75">
        <v>1</v>
      </c>
      <c r="D1418" s="31" t="s">
        <v>14</v>
      </c>
      <c r="E1418" s="55">
        <f>I1418+G1418+K1418</f>
        <v>708000</v>
      </c>
      <c r="F1418" s="77">
        <f>J1418+H1418+L1418</f>
        <v>708000</v>
      </c>
      <c r="G1418" s="51">
        <v>0</v>
      </c>
      <c r="H1418" s="76">
        <f>IF(C1418=0,0,ROUNDDOWN(G1418*C1418,1))</f>
        <v>0</v>
      </c>
      <c r="I1418" s="78">
        <f>재료비목록표!E254</f>
        <v>708000</v>
      </c>
      <c r="J1418" s="81">
        <f>IF(C1418=0,0,ROUNDDOWN(I1418*C1418,1))</f>
        <v>708000</v>
      </c>
      <c r="K1418" s="51">
        <v>0</v>
      </c>
      <c r="L1418" s="76">
        <f>IF(C1418=0,0,ROUNDDOWN(K1418*C1418,1))</f>
        <v>0</v>
      </c>
      <c r="M1418" s="22" t="s">
        <v>7439</v>
      </c>
      <c r="N1418" s="17" t="s">
        <v>7438</v>
      </c>
      <c r="O1418" s="7" t="s">
        <v>5568</v>
      </c>
      <c r="P1418" s="7" t="s">
        <v>6406</v>
      </c>
      <c r="Z1418" s="3" t="str">
        <f ca="1">HYPERLINK("#"&amp;재료비목록표!G2&amp;"!A"&amp;ROW(재료비목록표!A254),"자재251 →")</f>
        <v>자재251 →</v>
      </c>
    </row>
    <row r="1419" spans="1:26" ht="28.7" customHeight="1" x14ac:dyDescent="0.3">
      <c r="A1419" s="22" t="s">
        <v>6</v>
      </c>
      <c r="B1419" s="74"/>
      <c r="C1419" s="74"/>
      <c r="D1419" s="74"/>
      <c r="E1419" s="74"/>
      <c r="F1419" s="48">
        <f>J1419+H1419+L1419</f>
        <v>915713</v>
      </c>
      <c r="G1419" s="74"/>
      <c r="H1419" s="48">
        <f>ROUNDDOWN(SUMIF(P1417:P1418,O1419,H1417:H1418),0)</f>
        <v>207713</v>
      </c>
      <c r="I1419" s="74"/>
      <c r="J1419" s="48">
        <f>ROUNDDOWN(SUMIF(P1417:P1418,O1419,J1417:J1418),0)</f>
        <v>708000</v>
      </c>
      <c r="K1419" s="74"/>
      <c r="L1419" s="48">
        <f>ROUNDDOWN(SUMIF(P1417:P1418,O1419,L1417:L1418),0)</f>
        <v>0</v>
      </c>
      <c r="M1419" s="74"/>
      <c r="O1419" s="7" t="s">
        <v>6406</v>
      </c>
    </row>
    <row r="1420" spans="1:26" ht="28.7" customHeight="1" x14ac:dyDescent="0.3">
      <c r="A1420" s="73"/>
      <c r="B1420" s="73"/>
      <c r="C1420" s="73"/>
      <c r="D1420" s="73"/>
      <c r="E1420" s="73"/>
      <c r="F1420" s="73"/>
      <c r="G1420" s="73"/>
      <c r="H1420" s="73"/>
      <c r="I1420" s="73"/>
      <c r="J1420" s="73"/>
      <c r="K1420" s="73"/>
      <c r="L1420" s="73"/>
      <c r="M1420" s="73"/>
    </row>
    <row r="1421" spans="1:26" ht="28.7" customHeight="1" x14ac:dyDescent="0.3">
      <c r="A1421" s="136" t="s">
        <v>805</v>
      </c>
      <c r="B1421" s="127"/>
      <c r="C1421" s="127"/>
      <c r="D1421" s="127"/>
      <c r="E1421" s="127"/>
      <c r="F1421" s="127"/>
      <c r="G1421" s="127"/>
      <c r="H1421" s="127"/>
      <c r="I1421" s="127"/>
      <c r="J1421" s="127"/>
      <c r="K1421" s="127"/>
      <c r="L1421" s="144"/>
      <c r="M1421" s="22" t="s">
        <v>7440</v>
      </c>
      <c r="N1421" s="84" t="str">
        <f>HYPERLINK("#N"&amp;ROW(N1423),"_x0005_`BDCOD|B04978_x0007_`POSS|"&amp;ROW(N1422)&amp;"_x0007_`POSE|"&amp;ROW(N1423)&amp;"_x0007_`")</f>
        <v>_x0005_`BDCOD|B04978_x0007_`POSS|1422_x0007_`POSE|1423_x0007_`</v>
      </c>
      <c r="O1421" s="7" t="s">
        <v>7441</v>
      </c>
    </row>
    <row r="1422" spans="1:26" ht="28.7" customHeight="1" x14ac:dyDescent="0.3">
      <c r="A1422" s="10" t="s">
        <v>840</v>
      </c>
      <c r="B1422" s="10" t="s">
        <v>841</v>
      </c>
      <c r="C1422" s="75">
        <v>1</v>
      </c>
      <c r="D1422" s="31" t="s">
        <v>14</v>
      </c>
      <c r="E1422" s="55">
        <f>I1422+G1422+K1422</f>
        <v>207713</v>
      </c>
      <c r="F1422" s="76">
        <f>J1422+H1422+L1422</f>
        <v>207713</v>
      </c>
      <c r="G1422" s="78">
        <f>일위대가목록표!F347</f>
        <v>207713</v>
      </c>
      <c r="H1422" s="80">
        <f>IF(C1422=0,0,ROUNDDOWN(G1422*C1422,1))</f>
        <v>207713</v>
      </c>
      <c r="I1422" s="78">
        <f>일위대가목록표!G347</f>
        <v>0</v>
      </c>
      <c r="J1422" s="80">
        <f>IF(C1422=0,0,ROUNDDOWN(I1422*C1422,1))</f>
        <v>0</v>
      </c>
      <c r="K1422" s="78">
        <f>일위대가목록표!H347</f>
        <v>0</v>
      </c>
      <c r="L1422" s="80">
        <f>IF(C1422=0,0,ROUNDDOWN(K1422*C1422,1))</f>
        <v>0</v>
      </c>
      <c r="M1422" s="22" t="s">
        <v>4375</v>
      </c>
      <c r="N1422" s="17" t="s">
        <v>6742</v>
      </c>
      <c r="O1422" s="7" t="s">
        <v>4373</v>
      </c>
      <c r="P1422" s="7" t="s">
        <v>6406</v>
      </c>
      <c r="Z1422" s="3" t="str">
        <f ca="1">HYPERLINK("#"&amp;일위대가목록표!J2&amp;"!A"&amp;ROW(일위대가목록표!A347),"대가344 →")</f>
        <v>대가344 →</v>
      </c>
    </row>
    <row r="1423" spans="1:26" ht="28.7" customHeight="1" x14ac:dyDescent="0.3">
      <c r="A1423" s="10" t="s">
        <v>803</v>
      </c>
      <c r="B1423" s="10" t="s">
        <v>2752</v>
      </c>
      <c r="C1423" s="75">
        <v>1</v>
      </c>
      <c r="D1423" s="31" t="s">
        <v>1010</v>
      </c>
      <c r="E1423" s="55">
        <f>I1423+G1423+K1423</f>
        <v>873000</v>
      </c>
      <c r="F1423" s="77">
        <f>J1423+H1423+L1423</f>
        <v>873000</v>
      </c>
      <c r="G1423" s="51">
        <v>0</v>
      </c>
      <c r="H1423" s="76">
        <f>IF(C1423=0,0,ROUNDDOWN(G1423*C1423,1))</f>
        <v>0</v>
      </c>
      <c r="I1423" s="78">
        <f>재료비목록표!E256</f>
        <v>873000</v>
      </c>
      <c r="J1423" s="81">
        <f>IF(C1423=0,0,ROUNDDOWN(I1423*C1423,1))</f>
        <v>873000</v>
      </c>
      <c r="K1423" s="51">
        <v>0</v>
      </c>
      <c r="L1423" s="76">
        <f>IF(C1423=0,0,ROUNDDOWN(K1423*C1423,1))</f>
        <v>0</v>
      </c>
      <c r="M1423" s="22" t="s">
        <v>7443</v>
      </c>
      <c r="N1423" s="17" t="s">
        <v>7442</v>
      </c>
      <c r="O1423" s="7" t="s">
        <v>5571</v>
      </c>
      <c r="P1423" s="7" t="s">
        <v>6406</v>
      </c>
      <c r="Z1423" s="3" t="str">
        <f ca="1">HYPERLINK("#"&amp;재료비목록표!G2&amp;"!A"&amp;ROW(재료비목록표!A256),"자재253 →")</f>
        <v>자재253 →</v>
      </c>
    </row>
    <row r="1424" spans="1:26" ht="28.7" customHeight="1" x14ac:dyDescent="0.3">
      <c r="A1424" s="22" t="s">
        <v>6</v>
      </c>
      <c r="B1424" s="74"/>
      <c r="C1424" s="74"/>
      <c r="D1424" s="74"/>
      <c r="E1424" s="74"/>
      <c r="F1424" s="48">
        <f>J1424+H1424+L1424</f>
        <v>1080713</v>
      </c>
      <c r="G1424" s="74"/>
      <c r="H1424" s="48">
        <f>ROUNDDOWN(SUMIF(P1422:P1423,O1424,H1422:H1423),0)</f>
        <v>207713</v>
      </c>
      <c r="I1424" s="74"/>
      <c r="J1424" s="48">
        <f>ROUNDDOWN(SUMIF(P1422:P1423,O1424,J1422:J1423),0)</f>
        <v>873000</v>
      </c>
      <c r="K1424" s="74"/>
      <c r="L1424" s="48">
        <f>ROUNDDOWN(SUMIF(P1422:P1423,O1424,L1422:L1423),0)</f>
        <v>0</v>
      </c>
      <c r="M1424" s="74"/>
      <c r="O1424" s="7" t="s">
        <v>6406</v>
      </c>
    </row>
    <row r="1425" spans="1:26" ht="28.7" customHeight="1" x14ac:dyDescent="0.3">
      <c r="A1425" s="73"/>
      <c r="B1425" s="73"/>
      <c r="C1425" s="73"/>
      <c r="D1425" s="73"/>
      <c r="E1425" s="73"/>
      <c r="F1425" s="73"/>
      <c r="G1425" s="73"/>
      <c r="H1425" s="73"/>
      <c r="I1425" s="73"/>
      <c r="J1425" s="73"/>
      <c r="K1425" s="73"/>
      <c r="L1425" s="73"/>
      <c r="M1425" s="73"/>
    </row>
    <row r="1426" spans="1:26" ht="28.7" customHeight="1" x14ac:dyDescent="0.3">
      <c r="A1426" s="136" t="s">
        <v>808</v>
      </c>
      <c r="B1426" s="127"/>
      <c r="C1426" s="127"/>
      <c r="D1426" s="127"/>
      <c r="E1426" s="127"/>
      <c r="F1426" s="127"/>
      <c r="G1426" s="127"/>
      <c r="H1426" s="127"/>
      <c r="I1426" s="127"/>
      <c r="J1426" s="127"/>
      <c r="K1426" s="127"/>
      <c r="L1426" s="144"/>
      <c r="M1426" s="22" t="s">
        <v>7444</v>
      </c>
      <c r="N1426" s="84" t="str">
        <f>HYPERLINK("#N"&amp;ROW(N1428),"_x0005_`BDCOD|B04979_x0007_`POSS|"&amp;ROW(N1427)&amp;"_x0007_`POSE|"&amp;ROW(N1428)&amp;"_x0007_`")</f>
        <v>_x0005_`BDCOD|B04979_x0007_`POSS|1427_x0007_`POSE|1428_x0007_`</v>
      </c>
      <c r="O1426" s="7" t="s">
        <v>7445</v>
      </c>
    </row>
    <row r="1427" spans="1:26" ht="28.7" customHeight="1" x14ac:dyDescent="0.3">
      <c r="A1427" s="10" t="s">
        <v>840</v>
      </c>
      <c r="B1427" s="10" t="s">
        <v>844</v>
      </c>
      <c r="C1427" s="75">
        <v>1</v>
      </c>
      <c r="D1427" s="31" t="s">
        <v>14</v>
      </c>
      <c r="E1427" s="55">
        <f>I1427+G1427+K1427</f>
        <v>249256</v>
      </c>
      <c r="F1427" s="76">
        <f>J1427+H1427+L1427</f>
        <v>249256</v>
      </c>
      <c r="G1427" s="78">
        <f>일위대가목록표!F348</f>
        <v>249256</v>
      </c>
      <c r="H1427" s="80">
        <f>IF(C1427=0,0,ROUNDDOWN(G1427*C1427,1))</f>
        <v>249256</v>
      </c>
      <c r="I1427" s="78">
        <f>일위대가목록표!G348</f>
        <v>0</v>
      </c>
      <c r="J1427" s="80">
        <f>IF(C1427=0,0,ROUNDDOWN(I1427*C1427,1))</f>
        <v>0</v>
      </c>
      <c r="K1427" s="78">
        <f>일위대가목록표!H348</f>
        <v>0</v>
      </c>
      <c r="L1427" s="80">
        <f>IF(C1427=0,0,ROUNDDOWN(K1427*C1427,1))</f>
        <v>0</v>
      </c>
      <c r="M1427" s="22" t="s">
        <v>4378</v>
      </c>
      <c r="N1427" s="17" t="s">
        <v>6752</v>
      </c>
      <c r="O1427" s="7" t="s">
        <v>4376</v>
      </c>
      <c r="P1427" s="7" t="s">
        <v>6406</v>
      </c>
      <c r="Z1427" s="3" t="str">
        <f ca="1">HYPERLINK("#"&amp;일위대가목록표!J2&amp;"!A"&amp;ROW(일위대가목록표!A348),"대가345 →")</f>
        <v>대가345 →</v>
      </c>
    </row>
    <row r="1428" spans="1:26" ht="28.7" customHeight="1" x14ac:dyDescent="0.3">
      <c r="A1428" s="10" t="s">
        <v>803</v>
      </c>
      <c r="B1428" s="10" t="s">
        <v>2761</v>
      </c>
      <c r="C1428" s="75">
        <v>1</v>
      </c>
      <c r="D1428" s="31" t="s">
        <v>1010</v>
      </c>
      <c r="E1428" s="55">
        <f>I1428+G1428+K1428</f>
        <v>1070000</v>
      </c>
      <c r="F1428" s="77">
        <f>J1428+H1428+L1428</f>
        <v>1070000</v>
      </c>
      <c r="G1428" s="51">
        <v>0</v>
      </c>
      <c r="H1428" s="76">
        <f>IF(C1428=0,0,ROUNDDOWN(G1428*C1428,1))</f>
        <v>0</v>
      </c>
      <c r="I1428" s="78">
        <f>재료비목록표!E259</f>
        <v>1070000</v>
      </c>
      <c r="J1428" s="81">
        <f>IF(C1428=0,0,ROUNDDOWN(I1428*C1428,1))</f>
        <v>1070000</v>
      </c>
      <c r="K1428" s="51">
        <v>0</v>
      </c>
      <c r="L1428" s="76">
        <f>IF(C1428=0,0,ROUNDDOWN(K1428*C1428,1))</f>
        <v>0</v>
      </c>
      <c r="M1428" s="22" t="s">
        <v>7447</v>
      </c>
      <c r="N1428" s="17" t="s">
        <v>7446</v>
      </c>
      <c r="O1428" s="7" t="s">
        <v>5574</v>
      </c>
      <c r="P1428" s="7" t="s">
        <v>6406</v>
      </c>
      <c r="Z1428" s="3" t="str">
        <f ca="1">HYPERLINK("#"&amp;재료비목록표!G2&amp;"!A"&amp;ROW(재료비목록표!A259),"자재256 →")</f>
        <v>자재256 →</v>
      </c>
    </row>
    <row r="1429" spans="1:26" ht="28.7" customHeight="1" x14ac:dyDescent="0.3">
      <c r="A1429" s="22" t="s">
        <v>6</v>
      </c>
      <c r="B1429" s="74"/>
      <c r="C1429" s="74"/>
      <c r="D1429" s="74"/>
      <c r="E1429" s="74"/>
      <c r="F1429" s="48">
        <f>J1429+H1429+L1429</f>
        <v>1319256</v>
      </c>
      <c r="G1429" s="74"/>
      <c r="H1429" s="48">
        <f>ROUNDDOWN(SUMIF(P1427:P1428,O1429,H1427:H1428),0)</f>
        <v>249256</v>
      </c>
      <c r="I1429" s="74"/>
      <c r="J1429" s="48">
        <f>ROUNDDOWN(SUMIF(P1427:P1428,O1429,J1427:J1428),0)</f>
        <v>1070000</v>
      </c>
      <c r="K1429" s="74"/>
      <c r="L1429" s="48">
        <f>ROUNDDOWN(SUMIF(P1427:P1428,O1429,L1427:L1428),0)</f>
        <v>0</v>
      </c>
      <c r="M1429" s="74"/>
      <c r="O1429" s="7" t="s">
        <v>6406</v>
      </c>
    </row>
    <row r="1430" spans="1:26" ht="28.7" customHeight="1" x14ac:dyDescent="0.3">
      <c r="A1430" s="73"/>
      <c r="B1430" s="73"/>
      <c r="C1430" s="73"/>
      <c r="D1430" s="73"/>
      <c r="E1430" s="73"/>
      <c r="F1430" s="73"/>
      <c r="G1430" s="73"/>
      <c r="H1430" s="73"/>
      <c r="I1430" s="73"/>
      <c r="J1430" s="73"/>
      <c r="K1430" s="73"/>
      <c r="L1430" s="73"/>
      <c r="M1430" s="73"/>
    </row>
    <row r="1431" spans="1:26" ht="28.7" customHeight="1" x14ac:dyDescent="0.3">
      <c r="A1431" s="136" t="s">
        <v>811</v>
      </c>
      <c r="B1431" s="127"/>
      <c r="C1431" s="127"/>
      <c r="D1431" s="127"/>
      <c r="E1431" s="127"/>
      <c r="F1431" s="127"/>
      <c r="G1431" s="127"/>
      <c r="H1431" s="127"/>
      <c r="I1431" s="127"/>
      <c r="J1431" s="127"/>
      <c r="K1431" s="127"/>
      <c r="L1431" s="144"/>
      <c r="M1431" s="22" t="s">
        <v>7448</v>
      </c>
      <c r="N1431" s="84" t="str">
        <f>HYPERLINK("#N"&amp;ROW(N1433),"_x0005_`BDCOD|B04980_x0007_`POSS|"&amp;ROW(N1432)&amp;"_x0007_`POSE|"&amp;ROW(N1433)&amp;"_x0007_`")</f>
        <v>_x0005_`BDCOD|B04980_x0007_`POSS|1432_x0007_`POSE|1433_x0007_`</v>
      </c>
      <c r="O1431" s="7" t="s">
        <v>7449</v>
      </c>
    </row>
    <row r="1432" spans="1:26" ht="28.7" customHeight="1" x14ac:dyDescent="0.3">
      <c r="A1432" s="10" t="s">
        <v>840</v>
      </c>
      <c r="B1432" s="10" t="s">
        <v>847</v>
      </c>
      <c r="C1432" s="75">
        <v>1</v>
      </c>
      <c r="D1432" s="31" t="s">
        <v>14</v>
      </c>
      <c r="E1432" s="55">
        <f>I1432+G1432+K1432</f>
        <v>290799</v>
      </c>
      <c r="F1432" s="76">
        <f>J1432+H1432+L1432</f>
        <v>290799</v>
      </c>
      <c r="G1432" s="78">
        <f>일위대가목록표!F349</f>
        <v>290799</v>
      </c>
      <c r="H1432" s="80">
        <f>IF(C1432=0,0,ROUNDDOWN(G1432*C1432,1))</f>
        <v>290799</v>
      </c>
      <c r="I1432" s="78">
        <f>일위대가목록표!G349</f>
        <v>0</v>
      </c>
      <c r="J1432" s="80">
        <f>IF(C1432=0,0,ROUNDDOWN(I1432*C1432,1))</f>
        <v>0</v>
      </c>
      <c r="K1432" s="78">
        <f>일위대가목록표!H349</f>
        <v>0</v>
      </c>
      <c r="L1432" s="80">
        <f>IF(C1432=0,0,ROUNDDOWN(K1432*C1432,1))</f>
        <v>0</v>
      </c>
      <c r="M1432" s="22" t="s">
        <v>4381</v>
      </c>
      <c r="N1432" s="17" t="s">
        <v>6757</v>
      </c>
      <c r="O1432" s="7" t="s">
        <v>4379</v>
      </c>
      <c r="P1432" s="7" t="s">
        <v>6406</v>
      </c>
      <c r="Z1432" s="3" t="str">
        <f ca="1">HYPERLINK("#"&amp;일위대가목록표!J2&amp;"!A"&amp;ROW(일위대가목록표!A349),"대가346 →")</f>
        <v>대가346 →</v>
      </c>
    </row>
    <row r="1433" spans="1:26" ht="28.7" customHeight="1" x14ac:dyDescent="0.3">
      <c r="A1433" s="10" t="s">
        <v>803</v>
      </c>
      <c r="B1433" s="10" t="s">
        <v>2767</v>
      </c>
      <c r="C1433" s="75">
        <v>1</v>
      </c>
      <c r="D1433" s="31" t="s">
        <v>1010</v>
      </c>
      <c r="E1433" s="55">
        <f>I1433+G1433+K1433</f>
        <v>1595000</v>
      </c>
      <c r="F1433" s="77">
        <f>J1433+H1433+L1433</f>
        <v>1595000</v>
      </c>
      <c r="G1433" s="51">
        <v>0</v>
      </c>
      <c r="H1433" s="76">
        <f>IF(C1433=0,0,ROUNDDOWN(G1433*C1433,1))</f>
        <v>0</v>
      </c>
      <c r="I1433" s="78">
        <f>재료비목록표!E261</f>
        <v>1595000</v>
      </c>
      <c r="J1433" s="81">
        <f>IF(C1433=0,0,ROUNDDOWN(I1433*C1433,1))</f>
        <v>1595000</v>
      </c>
      <c r="K1433" s="51">
        <v>0</v>
      </c>
      <c r="L1433" s="76">
        <f>IF(C1433=0,0,ROUNDDOWN(K1433*C1433,1))</f>
        <v>0</v>
      </c>
      <c r="M1433" s="22" t="s">
        <v>7451</v>
      </c>
      <c r="N1433" s="17" t="s">
        <v>7450</v>
      </c>
      <c r="O1433" s="7" t="s">
        <v>5577</v>
      </c>
      <c r="P1433" s="7" t="s">
        <v>6406</v>
      </c>
      <c r="Z1433" s="3" t="str">
        <f ca="1">HYPERLINK("#"&amp;재료비목록표!G2&amp;"!A"&amp;ROW(재료비목록표!A261),"자재258 →")</f>
        <v>자재258 →</v>
      </c>
    </row>
    <row r="1434" spans="1:26" ht="28.7" customHeight="1" x14ac:dyDescent="0.3">
      <c r="A1434" s="22" t="s">
        <v>6</v>
      </c>
      <c r="B1434" s="74"/>
      <c r="C1434" s="74"/>
      <c r="D1434" s="74"/>
      <c r="E1434" s="74"/>
      <c r="F1434" s="48">
        <f>J1434+H1434+L1434</f>
        <v>1885799</v>
      </c>
      <c r="G1434" s="74"/>
      <c r="H1434" s="48">
        <f>ROUNDDOWN(SUMIF(P1432:P1433,O1434,H1432:H1433),0)</f>
        <v>290799</v>
      </c>
      <c r="I1434" s="74"/>
      <c r="J1434" s="48">
        <f>ROUNDDOWN(SUMIF(P1432:P1433,O1434,J1432:J1433),0)</f>
        <v>1595000</v>
      </c>
      <c r="K1434" s="74"/>
      <c r="L1434" s="48">
        <f>ROUNDDOWN(SUMIF(P1432:P1433,O1434,L1432:L1433),0)</f>
        <v>0</v>
      </c>
      <c r="M1434" s="74"/>
      <c r="O1434" s="7" t="s">
        <v>6406</v>
      </c>
    </row>
    <row r="1435" spans="1:26" ht="28.7" customHeight="1" x14ac:dyDescent="0.3">
      <c r="A1435" s="73"/>
      <c r="B1435" s="73"/>
      <c r="C1435" s="73"/>
      <c r="D1435" s="73"/>
      <c r="E1435" s="73"/>
      <c r="F1435" s="73"/>
      <c r="G1435" s="73"/>
      <c r="H1435" s="73"/>
      <c r="I1435" s="73"/>
      <c r="J1435" s="73"/>
      <c r="K1435" s="73"/>
      <c r="L1435" s="73"/>
      <c r="M1435" s="73"/>
    </row>
    <row r="1436" spans="1:26" ht="28.7" customHeight="1" x14ac:dyDescent="0.3">
      <c r="A1436" s="136" t="s">
        <v>814</v>
      </c>
      <c r="B1436" s="127"/>
      <c r="C1436" s="127"/>
      <c r="D1436" s="127"/>
      <c r="E1436" s="127"/>
      <c r="F1436" s="127"/>
      <c r="G1436" s="127"/>
      <c r="H1436" s="127"/>
      <c r="I1436" s="127"/>
      <c r="J1436" s="127"/>
      <c r="K1436" s="127"/>
      <c r="L1436" s="144"/>
      <c r="M1436" s="22" t="s">
        <v>7452</v>
      </c>
      <c r="N1436" s="84" t="str">
        <f>HYPERLINK("#N"&amp;ROW(N1438),"_x0005_`BDCOD|B04981_x0007_`POSS|"&amp;ROW(N1437)&amp;"_x0007_`POSE|"&amp;ROW(N1438)&amp;"_x0007_`")</f>
        <v>_x0005_`BDCOD|B04981_x0007_`POSS|1437_x0007_`POSE|1438_x0007_`</v>
      </c>
      <c r="O1436" s="7" t="s">
        <v>7453</v>
      </c>
    </row>
    <row r="1437" spans="1:26" ht="28.7" customHeight="1" x14ac:dyDescent="0.3">
      <c r="A1437" s="10" t="s">
        <v>840</v>
      </c>
      <c r="B1437" s="10" t="s">
        <v>850</v>
      </c>
      <c r="C1437" s="75">
        <v>1</v>
      </c>
      <c r="D1437" s="31" t="s">
        <v>14</v>
      </c>
      <c r="E1437" s="55">
        <f>I1437+G1437+K1437</f>
        <v>373885</v>
      </c>
      <c r="F1437" s="76">
        <f>J1437+H1437+L1437</f>
        <v>373885</v>
      </c>
      <c r="G1437" s="78">
        <f>일위대가목록표!F350</f>
        <v>373885</v>
      </c>
      <c r="H1437" s="80">
        <f>IF(C1437=0,0,ROUNDDOWN(G1437*C1437,1))</f>
        <v>373885</v>
      </c>
      <c r="I1437" s="78">
        <f>일위대가목록표!G350</f>
        <v>0</v>
      </c>
      <c r="J1437" s="80">
        <f>IF(C1437=0,0,ROUNDDOWN(I1437*C1437,1))</f>
        <v>0</v>
      </c>
      <c r="K1437" s="78">
        <f>일위대가목록표!H350</f>
        <v>0</v>
      </c>
      <c r="L1437" s="80">
        <f>IF(C1437=0,0,ROUNDDOWN(K1437*C1437,1))</f>
        <v>0</v>
      </c>
      <c r="M1437" s="22" t="s">
        <v>4384</v>
      </c>
      <c r="N1437" s="17" t="s">
        <v>6762</v>
      </c>
      <c r="O1437" s="7" t="s">
        <v>4382</v>
      </c>
      <c r="P1437" s="7" t="s">
        <v>6406</v>
      </c>
      <c r="Z1437" s="3" t="str">
        <f ca="1">HYPERLINK("#"&amp;일위대가목록표!J2&amp;"!A"&amp;ROW(일위대가목록표!A350),"대가347 →")</f>
        <v>대가347 →</v>
      </c>
    </row>
    <row r="1438" spans="1:26" ht="28.7" customHeight="1" x14ac:dyDescent="0.3">
      <c r="A1438" s="10" t="s">
        <v>803</v>
      </c>
      <c r="B1438" s="10" t="s">
        <v>2737</v>
      </c>
      <c r="C1438" s="75">
        <v>1</v>
      </c>
      <c r="D1438" s="31" t="s">
        <v>1010</v>
      </c>
      <c r="E1438" s="55">
        <f>I1438+G1438+K1438</f>
        <v>1856000</v>
      </c>
      <c r="F1438" s="77">
        <f>J1438+H1438+L1438</f>
        <v>1856000</v>
      </c>
      <c r="G1438" s="51">
        <v>0</v>
      </c>
      <c r="H1438" s="76">
        <f>IF(C1438=0,0,ROUNDDOWN(G1438*C1438,1))</f>
        <v>0</v>
      </c>
      <c r="I1438" s="78">
        <f>재료비목록표!E251</f>
        <v>1856000</v>
      </c>
      <c r="J1438" s="81">
        <f>IF(C1438=0,0,ROUNDDOWN(I1438*C1438,1))</f>
        <v>1856000</v>
      </c>
      <c r="K1438" s="51">
        <v>0</v>
      </c>
      <c r="L1438" s="76">
        <f>IF(C1438=0,0,ROUNDDOWN(K1438*C1438,1))</f>
        <v>0</v>
      </c>
      <c r="M1438" s="22" t="s">
        <v>7455</v>
      </c>
      <c r="N1438" s="17" t="s">
        <v>7454</v>
      </c>
      <c r="O1438" s="7" t="s">
        <v>5580</v>
      </c>
      <c r="P1438" s="7" t="s">
        <v>6406</v>
      </c>
      <c r="Z1438" s="3" t="str">
        <f ca="1">HYPERLINK("#"&amp;재료비목록표!G2&amp;"!A"&amp;ROW(재료비목록표!A251),"자재248 →")</f>
        <v>자재248 →</v>
      </c>
    </row>
    <row r="1439" spans="1:26" ht="28.7" customHeight="1" x14ac:dyDescent="0.3">
      <c r="A1439" s="22" t="s">
        <v>6</v>
      </c>
      <c r="B1439" s="74"/>
      <c r="C1439" s="74"/>
      <c r="D1439" s="74"/>
      <c r="E1439" s="74"/>
      <c r="F1439" s="48">
        <f>J1439+H1439+L1439</f>
        <v>2229885</v>
      </c>
      <c r="G1439" s="74"/>
      <c r="H1439" s="48">
        <f>ROUNDDOWN(SUMIF(P1437:P1438,O1439,H1437:H1438),0)</f>
        <v>373885</v>
      </c>
      <c r="I1439" s="74"/>
      <c r="J1439" s="48">
        <f>ROUNDDOWN(SUMIF(P1437:P1438,O1439,J1437:J1438),0)</f>
        <v>1856000</v>
      </c>
      <c r="K1439" s="74"/>
      <c r="L1439" s="48">
        <f>ROUNDDOWN(SUMIF(P1437:P1438,O1439,L1437:L1438),0)</f>
        <v>0</v>
      </c>
      <c r="M1439" s="74"/>
      <c r="O1439" s="7" t="s">
        <v>6406</v>
      </c>
    </row>
    <row r="1440" spans="1:26" ht="28.7" customHeight="1" x14ac:dyDescent="0.3">
      <c r="A1440" s="73"/>
      <c r="B1440" s="73"/>
      <c r="C1440" s="73"/>
      <c r="D1440" s="73"/>
      <c r="E1440" s="73"/>
      <c r="F1440" s="73"/>
      <c r="G1440" s="73"/>
      <c r="H1440" s="73"/>
      <c r="I1440" s="73"/>
      <c r="J1440" s="73"/>
      <c r="K1440" s="73"/>
      <c r="L1440" s="73"/>
      <c r="M1440" s="73"/>
    </row>
    <row r="1441" spans="1:26" ht="28.7" customHeight="1" x14ac:dyDescent="0.3">
      <c r="A1441" s="136" t="s">
        <v>817</v>
      </c>
      <c r="B1441" s="127"/>
      <c r="C1441" s="127"/>
      <c r="D1441" s="127"/>
      <c r="E1441" s="127"/>
      <c r="F1441" s="127"/>
      <c r="G1441" s="127"/>
      <c r="H1441" s="127"/>
      <c r="I1441" s="127"/>
      <c r="J1441" s="127"/>
      <c r="K1441" s="127"/>
      <c r="L1441" s="144"/>
      <c r="M1441" s="22" t="s">
        <v>7456</v>
      </c>
      <c r="N1441" s="84" t="str">
        <f>HYPERLINK("#N"&amp;ROW(N1443),"_x0005_`BDCOD|B04982_x0007_`POSS|"&amp;ROW(N1442)&amp;"_x0007_`POSE|"&amp;ROW(N1443)&amp;"_x0007_`")</f>
        <v>_x0005_`BDCOD|B04982_x0007_`POSS|1442_x0007_`POSE|1443_x0007_`</v>
      </c>
      <c r="O1441" s="7" t="s">
        <v>7457</v>
      </c>
    </row>
    <row r="1442" spans="1:26" ht="28.7" customHeight="1" x14ac:dyDescent="0.3">
      <c r="A1442" s="10" t="s">
        <v>840</v>
      </c>
      <c r="B1442" s="10" t="s">
        <v>874</v>
      </c>
      <c r="C1442" s="75">
        <v>1</v>
      </c>
      <c r="D1442" s="31" t="s">
        <v>14</v>
      </c>
      <c r="E1442" s="55">
        <f>I1442+G1442+K1442</f>
        <v>2613964</v>
      </c>
      <c r="F1442" s="76">
        <f>J1442+H1442+L1442</f>
        <v>2613964</v>
      </c>
      <c r="G1442" s="78">
        <f>일위대가목록표!F358</f>
        <v>2613964</v>
      </c>
      <c r="H1442" s="80">
        <f>IF(C1442=0,0,ROUNDDOWN(G1442*C1442,1))</f>
        <v>2613964</v>
      </c>
      <c r="I1442" s="78">
        <f>일위대가목록표!G358</f>
        <v>0</v>
      </c>
      <c r="J1442" s="80">
        <f>IF(C1442=0,0,ROUNDDOWN(I1442*C1442,1))</f>
        <v>0</v>
      </c>
      <c r="K1442" s="78">
        <f>일위대가목록표!H358</f>
        <v>0</v>
      </c>
      <c r="L1442" s="80">
        <f>IF(C1442=0,0,ROUNDDOWN(K1442*C1442,1))</f>
        <v>0</v>
      </c>
      <c r="M1442" s="22" t="s">
        <v>4408</v>
      </c>
      <c r="N1442" s="17" t="s">
        <v>6796</v>
      </c>
      <c r="O1442" s="7" t="s">
        <v>4406</v>
      </c>
      <c r="P1442" s="7" t="s">
        <v>6406</v>
      </c>
      <c r="Z1442" s="3" t="str">
        <f ca="1">HYPERLINK("#"&amp;일위대가목록표!J2&amp;"!A"&amp;ROW(일위대가목록표!A358),"대가355 →")</f>
        <v>대가355 →</v>
      </c>
    </row>
    <row r="1443" spans="1:26" ht="28.7" customHeight="1" x14ac:dyDescent="0.3">
      <c r="A1443" s="10" t="s">
        <v>803</v>
      </c>
      <c r="B1443" s="10" t="s">
        <v>2740</v>
      </c>
      <c r="C1443" s="75">
        <v>1</v>
      </c>
      <c r="D1443" s="31" t="s">
        <v>1010</v>
      </c>
      <c r="E1443" s="55">
        <f>I1443+G1443+K1443</f>
        <v>2497000</v>
      </c>
      <c r="F1443" s="77">
        <f>J1443+H1443+L1443</f>
        <v>2497000</v>
      </c>
      <c r="G1443" s="51">
        <v>0</v>
      </c>
      <c r="H1443" s="76">
        <f>IF(C1443=0,0,ROUNDDOWN(G1443*C1443,1))</f>
        <v>0</v>
      </c>
      <c r="I1443" s="78">
        <f>재료비목록표!E252</f>
        <v>2497000</v>
      </c>
      <c r="J1443" s="81">
        <f>IF(C1443=0,0,ROUNDDOWN(I1443*C1443,1))</f>
        <v>2497000</v>
      </c>
      <c r="K1443" s="51">
        <v>0</v>
      </c>
      <c r="L1443" s="76">
        <f>IF(C1443=0,0,ROUNDDOWN(K1443*C1443,1))</f>
        <v>0</v>
      </c>
      <c r="M1443" s="22" t="s">
        <v>7459</v>
      </c>
      <c r="N1443" s="17" t="s">
        <v>7458</v>
      </c>
      <c r="O1443" s="7" t="s">
        <v>5583</v>
      </c>
      <c r="P1443" s="7" t="s">
        <v>6406</v>
      </c>
      <c r="Z1443" s="3" t="str">
        <f ca="1">HYPERLINK("#"&amp;재료비목록표!G2&amp;"!A"&amp;ROW(재료비목록표!A252),"자재249 →")</f>
        <v>자재249 →</v>
      </c>
    </row>
    <row r="1444" spans="1:26" ht="28.7" customHeight="1" x14ac:dyDescent="0.3">
      <c r="A1444" s="22" t="s">
        <v>6</v>
      </c>
      <c r="B1444" s="74"/>
      <c r="C1444" s="74"/>
      <c r="D1444" s="74"/>
      <c r="E1444" s="74"/>
      <c r="F1444" s="48">
        <f>J1444+H1444+L1444</f>
        <v>5110964</v>
      </c>
      <c r="G1444" s="74"/>
      <c r="H1444" s="48">
        <f>ROUNDDOWN(SUMIF(P1442:P1443,O1444,H1442:H1443),0)</f>
        <v>2613964</v>
      </c>
      <c r="I1444" s="74"/>
      <c r="J1444" s="48">
        <f>ROUNDDOWN(SUMIF(P1442:P1443,O1444,J1442:J1443),0)</f>
        <v>2497000</v>
      </c>
      <c r="K1444" s="74"/>
      <c r="L1444" s="48">
        <f>ROUNDDOWN(SUMIF(P1442:P1443,O1444,L1442:L1443),0)</f>
        <v>0</v>
      </c>
      <c r="M1444" s="74"/>
      <c r="O1444" s="7" t="s">
        <v>6406</v>
      </c>
    </row>
    <row r="1445" spans="1:26" ht="28.7" customHeight="1" x14ac:dyDescent="0.3">
      <c r="A1445" s="73"/>
      <c r="B1445" s="73"/>
      <c r="C1445" s="73"/>
      <c r="D1445" s="73"/>
      <c r="E1445" s="73"/>
      <c r="F1445" s="73"/>
      <c r="G1445" s="73"/>
      <c r="H1445" s="73"/>
      <c r="I1445" s="73"/>
      <c r="J1445" s="73"/>
      <c r="K1445" s="73"/>
      <c r="L1445" s="73"/>
      <c r="M1445" s="73"/>
    </row>
    <row r="1446" spans="1:26" ht="28.7" customHeight="1" x14ac:dyDescent="0.3">
      <c r="A1446" s="136" t="s">
        <v>820</v>
      </c>
      <c r="B1446" s="127"/>
      <c r="C1446" s="127"/>
      <c r="D1446" s="127"/>
      <c r="E1446" s="127"/>
      <c r="F1446" s="127"/>
      <c r="G1446" s="127"/>
      <c r="H1446" s="127"/>
      <c r="I1446" s="127"/>
      <c r="J1446" s="127"/>
      <c r="K1446" s="127"/>
      <c r="L1446" s="144"/>
      <c r="M1446" s="22" t="s">
        <v>7460</v>
      </c>
      <c r="N1446" s="84" t="str">
        <f>HYPERLINK("#N"&amp;ROW(N1448),"_x0005_`BDCOD|B04983_x0007_`POSS|"&amp;ROW(N1447)&amp;"_x0007_`POSE|"&amp;ROW(N1448)&amp;"_x0007_`")</f>
        <v>_x0005_`BDCOD|B04983_x0007_`POSS|1447_x0007_`POSE|1448_x0007_`</v>
      </c>
      <c r="O1446" s="7" t="s">
        <v>7461</v>
      </c>
    </row>
    <row r="1447" spans="1:26" ht="28.7" customHeight="1" x14ac:dyDescent="0.3">
      <c r="A1447" s="10" t="s">
        <v>840</v>
      </c>
      <c r="B1447" s="10" t="s">
        <v>856</v>
      </c>
      <c r="C1447" s="75">
        <v>1</v>
      </c>
      <c r="D1447" s="31" t="s">
        <v>14</v>
      </c>
      <c r="E1447" s="55">
        <f>I1447+G1447+K1447</f>
        <v>581599</v>
      </c>
      <c r="F1447" s="76">
        <f>J1447+H1447+L1447</f>
        <v>581599</v>
      </c>
      <c r="G1447" s="78">
        <f>일위대가목록표!F352</f>
        <v>581599</v>
      </c>
      <c r="H1447" s="80">
        <f>IF(C1447=0,0,ROUNDDOWN(G1447*C1447,1))</f>
        <v>581599</v>
      </c>
      <c r="I1447" s="78">
        <f>일위대가목록표!G352</f>
        <v>0</v>
      </c>
      <c r="J1447" s="80">
        <f>IF(C1447=0,0,ROUNDDOWN(I1447*C1447,1))</f>
        <v>0</v>
      </c>
      <c r="K1447" s="78">
        <f>일위대가목록표!H352</f>
        <v>0</v>
      </c>
      <c r="L1447" s="80">
        <f>IF(C1447=0,0,ROUNDDOWN(K1447*C1447,1))</f>
        <v>0</v>
      </c>
      <c r="M1447" s="22" t="s">
        <v>4390</v>
      </c>
      <c r="N1447" s="17" t="s">
        <v>6767</v>
      </c>
      <c r="O1447" s="7" t="s">
        <v>4388</v>
      </c>
      <c r="P1447" s="7" t="s">
        <v>6406</v>
      </c>
      <c r="Z1447" s="3" t="str">
        <f ca="1">HYPERLINK("#"&amp;일위대가목록표!J2&amp;"!A"&amp;ROW(일위대가목록표!A352),"대가349 →")</f>
        <v>대가349 →</v>
      </c>
    </row>
    <row r="1448" spans="1:26" ht="28.7" customHeight="1" x14ac:dyDescent="0.3">
      <c r="A1448" s="10" t="s">
        <v>803</v>
      </c>
      <c r="B1448" s="10" t="s">
        <v>2743</v>
      </c>
      <c r="C1448" s="75">
        <v>1</v>
      </c>
      <c r="D1448" s="31" t="s">
        <v>1010</v>
      </c>
      <c r="E1448" s="55">
        <f>I1448+G1448+K1448</f>
        <v>3388000</v>
      </c>
      <c r="F1448" s="77">
        <f>J1448+H1448+L1448</f>
        <v>3388000</v>
      </c>
      <c r="G1448" s="51">
        <v>0</v>
      </c>
      <c r="H1448" s="76">
        <f>IF(C1448=0,0,ROUNDDOWN(G1448*C1448,1))</f>
        <v>0</v>
      </c>
      <c r="I1448" s="78">
        <f>재료비목록표!E253</f>
        <v>3388000</v>
      </c>
      <c r="J1448" s="81">
        <f>IF(C1448=0,0,ROUNDDOWN(I1448*C1448,1))</f>
        <v>3388000</v>
      </c>
      <c r="K1448" s="51">
        <v>0</v>
      </c>
      <c r="L1448" s="76">
        <f>IF(C1448=0,0,ROUNDDOWN(K1448*C1448,1))</f>
        <v>0</v>
      </c>
      <c r="M1448" s="22" t="s">
        <v>7463</v>
      </c>
      <c r="N1448" s="17" t="s">
        <v>7462</v>
      </c>
      <c r="O1448" s="7" t="s">
        <v>5586</v>
      </c>
      <c r="P1448" s="7" t="s">
        <v>6406</v>
      </c>
      <c r="Z1448" s="3" t="str">
        <f ca="1">HYPERLINK("#"&amp;재료비목록표!G2&amp;"!A"&amp;ROW(재료비목록표!A253),"자재250 →")</f>
        <v>자재250 →</v>
      </c>
    </row>
    <row r="1449" spans="1:26" ht="28.7" customHeight="1" x14ac:dyDescent="0.3">
      <c r="A1449" s="22" t="s">
        <v>6</v>
      </c>
      <c r="B1449" s="74"/>
      <c r="C1449" s="74"/>
      <c r="D1449" s="74"/>
      <c r="E1449" s="74"/>
      <c r="F1449" s="48">
        <f>J1449+H1449+L1449</f>
        <v>3969599</v>
      </c>
      <c r="G1449" s="74"/>
      <c r="H1449" s="48">
        <f>ROUNDDOWN(SUMIF(P1447:P1448,O1449,H1447:H1448),0)</f>
        <v>581599</v>
      </c>
      <c r="I1449" s="74"/>
      <c r="J1449" s="48">
        <f>ROUNDDOWN(SUMIF(P1447:P1448,O1449,J1447:J1448),0)</f>
        <v>3388000</v>
      </c>
      <c r="K1449" s="74"/>
      <c r="L1449" s="48">
        <f>ROUNDDOWN(SUMIF(P1447:P1448,O1449,L1447:L1448),0)</f>
        <v>0</v>
      </c>
      <c r="M1449" s="74"/>
      <c r="O1449" s="7" t="s">
        <v>6406</v>
      </c>
    </row>
    <row r="1450" spans="1:26" ht="28.7" customHeight="1" x14ac:dyDescent="0.3">
      <c r="A1450" s="73"/>
      <c r="B1450" s="73"/>
      <c r="C1450" s="73"/>
      <c r="D1450" s="73"/>
      <c r="E1450" s="73"/>
      <c r="F1450" s="73"/>
      <c r="G1450" s="73"/>
      <c r="H1450" s="73"/>
      <c r="I1450" s="73"/>
      <c r="J1450" s="73"/>
      <c r="K1450" s="73"/>
      <c r="L1450" s="73"/>
      <c r="M1450" s="73"/>
    </row>
    <row r="1451" spans="1:26" ht="28.7" customHeight="1" x14ac:dyDescent="0.3">
      <c r="A1451" s="136" t="s">
        <v>823</v>
      </c>
      <c r="B1451" s="127"/>
      <c r="C1451" s="127"/>
      <c r="D1451" s="127"/>
      <c r="E1451" s="127"/>
      <c r="F1451" s="127"/>
      <c r="G1451" s="127"/>
      <c r="H1451" s="127"/>
      <c r="I1451" s="127"/>
      <c r="J1451" s="127"/>
      <c r="K1451" s="127"/>
      <c r="L1451" s="144"/>
      <c r="M1451" s="22" t="s">
        <v>7464</v>
      </c>
      <c r="N1451" s="84" t="str">
        <f>HYPERLINK("#N"&amp;ROW(N1453),"_x0005_`BDCOD|B04984_x0007_`POSS|"&amp;ROW(N1452)&amp;"_x0007_`POSE|"&amp;ROW(N1453)&amp;"_x0007_`")</f>
        <v>_x0005_`BDCOD|B04984_x0007_`POSS|1452_x0007_`POSE|1453_x0007_`</v>
      </c>
      <c r="O1451" s="7" t="s">
        <v>7465</v>
      </c>
    </row>
    <row r="1452" spans="1:26" ht="28.7" customHeight="1" x14ac:dyDescent="0.3">
      <c r="A1452" s="10" t="s">
        <v>840</v>
      </c>
      <c r="B1452" s="10" t="s">
        <v>859</v>
      </c>
      <c r="C1452" s="75">
        <v>1</v>
      </c>
      <c r="D1452" s="31" t="s">
        <v>14</v>
      </c>
      <c r="E1452" s="55">
        <f>I1452+G1452+K1452</f>
        <v>827080</v>
      </c>
      <c r="F1452" s="76">
        <f>J1452+H1452+L1452</f>
        <v>827080</v>
      </c>
      <c r="G1452" s="78">
        <f>일위대가목록표!F353</f>
        <v>827080</v>
      </c>
      <c r="H1452" s="80">
        <f>IF(C1452=0,0,ROUNDDOWN(G1452*C1452,1))</f>
        <v>827080</v>
      </c>
      <c r="I1452" s="78">
        <f>일위대가목록표!G353</f>
        <v>0</v>
      </c>
      <c r="J1452" s="80">
        <f>IF(C1452=0,0,ROUNDDOWN(I1452*C1452,1))</f>
        <v>0</v>
      </c>
      <c r="K1452" s="78">
        <f>일위대가목록표!H353</f>
        <v>0</v>
      </c>
      <c r="L1452" s="80">
        <f>IF(C1452=0,0,ROUNDDOWN(K1452*C1452,1))</f>
        <v>0</v>
      </c>
      <c r="M1452" s="22" t="s">
        <v>4393</v>
      </c>
      <c r="N1452" s="17" t="s">
        <v>6776</v>
      </c>
      <c r="O1452" s="7" t="s">
        <v>4391</v>
      </c>
      <c r="P1452" s="7" t="s">
        <v>6406</v>
      </c>
      <c r="Z1452" s="3" t="str">
        <f ca="1">HYPERLINK("#"&amp;일위대가목록표!J2&amp;"!A"&amp;ROW(일위대가목록표!A353),"대가350 →")</f>
        <v>대가350 →</v>
      </c>
    </row>
    <row r="1453" spans="1:26" ht="28.7" customHeight="1" x14ac:dyDescent="0.3">
      <c r="A1453" s="10" t="s">
        <v>803</v>
      </c>
      <c r="B1453" s="10" t="s">
        <v>2749</v>
      </c>
      <c r="C1453" s="75">
        <v>1</v>
      </c>
      <c r="D1453" s="31" t="s">
        <v>1010</v>
      </c>
      <c r="E1453" s="55">
        <f>I1453+G1453+K1453</f>
        <v>5258000</v>
      </c>
      <c r="F1453" s="77">
        <f>J1453+H1453+L1453</f>
        <v>5258000</v>
      </c>
      <c r="G1453" s="51">
        <v>0</v>
      </c>
      <c r="H1453" s="76">
        <f>IF(C1453=0,0,ROUNDDOWN(G1453*C1453,1))</f>
        <v>0</v>
      </c>
      <c r="I1453" s="78">
        <f>재료비목록표!E255</f>
        <v>5258000</v>
      </c>
      <c r="J1453" s="81">
        <f>IF(C1453=0,0,ROUNDDOWN(I1453*C1453,1))</f>
        <v>5258000</v>
      </c>
      <c r="K1453" s="51">
        <v>0</v>
      </c>
      <c r="L1453" s="76">
        <f>IF(C1453=0,0,ROUNDDOWN(K1453*C1453,1))</f>
        <v>0</v>
      </c>
      <c r="M1453" s="22" t="s">
        <v>7467</v>
      </c>
      <c r="N1453" s="17" t="s">
        <v>7466</v>
      </c>
      <c r="O1453" s="7" t="s">
        <v>5589</v>
      </c>
      <c r="P1453" s="7" t="s">
        <v>6406</v>
      </c>
      <c r="Z1453" s="3" t="str">
        <f ca="1">HYPERLINK("#"&amp;재료비목록표!G2&amp;"!A"&amp;ROW(재료비목록표!A255),"자재252 →")</f>
        <v>자재252 →</v>
      </c>
    </row>
    <row r="1454" spans="1:26" ht="28.7" customHeight="1" x14ac:dyDescent="0.3">
      <c r="A1454" s="22" t="s">
        <v>6</v>
      </c>
      <c r="B1454" s="74"/>
      <c r="C1454" s="74"/>
      <c r="D1454" s="74"/>
      <c r="E1454" s="74"/>
      <c r="F1454" s="48">
        <f>J1454+H1454+L1454</f>
        <v>6085080</v>
      </c>
      <c r="G1454" s="74"/>
      <c r="H1454" s="48">
        <f>ROUNDDOWN(SUMIF(P1452:P1453,O1454,H1452:H1453),0)</f>
        <v>827080</v>
      </c>
      <c r="I1454" s="74"/>
      <c r="J1454" s="48">
        <f>ROUNDDOWN(SUMIF(P1452:P1453,O1454,J1452:J1453),0)</f>
        <v>5258000</v>
      </c>
      <c r="K1454" s="74"/>
      <c r="L1454" s="48">
        <f>ROUNDDOWN(SUMIF(P1452:P1453,O1454,L1452:L1453),0)</f>
        <v>0</v>
      </c>
      <c r="M1454" s="74"/>
      <c r="O1454" s="7" t="s">
        <v>6406</v>
      </c>
    </row>
    <row r="1455" spans="1:26" ht="28.7" customHeight="1" x14ac:dyDescent="0.3">
      <c r="A1455" s="73"/>
      <c r="B1455" s="73"/>
      <c r="C1455" s="73"/>
      <c r="D1455" s="73"/>
      <c r="E1455" s="73"/>
      <c r="F1455" s="73"/>
      <c r="G1455" s="73"/>
      <c r="H1455" s="73"/>
      <c r="I1455" s="73"/>
      <c r="J1455" s="73"/>
      <c r="K1455" s="73"/>
      <c r="L1455" s="73"/>
      <c r="M1455" s="73"/>
    </row>
    <row r="1456" spans="1:26" ht="28.7" customHeight="1" x14ac:dyDescent="0.3">
      <c r="A1456" s="136" t="s">
        <v>826</v>
      </c>
      <c r="B1456" s="127"/>
      <c r="C1456" s="127"/>
      <c r="D1456" s="127"/>
      <c r="E1456" s="127"/>
      <c r="F1456" s="127"/>
      <c r="G1456" s="127"/>
      <c r="H1456" s="127"/>
      <c r="I1456" s="127"/>
      <c r="J1456" s="127"/>
      <c r="K1456" s="127"/>
      <c r="L1456" s="144"/>
      <c r="M1456" s="22" t="s">
        <v>7468</v>
      </c>
      <c r="N1456" s="84" t="str">
        <f>HYPERLINK("#N"&amp;ROW(N1458),"_x0005_`BDCOD|B04985_x0007_`POSS|"&amp;ROW(N1457)&amp;"_x0007_`POSE|"&amp;ROW(N1458)&amp;"_x0007_`")</f>
        <v>_x0005_`BDCOD|B04985_x0007_`POSS|1457_x0007_`POSE|1458_x0007_`</v>
      </c>
      <c r="O1456" s="7" t="s">
        <v>7469</v>
      </c>
    </row>
    <row r="1457" spans="1:26" ht="28.7" customHeight="1" x14ac:dyDescent="0.3">
      <c r="A1457" s="10" t="s">
        <v>840</v>
      </c>
      <c r="B1457" s="10" t="s">
        <v>862</v>
      </c>
      <c r="C1457" s="75">
        <v>1</v>
      </c>
      <c r="D1457" s="31" t="s">
        <v>14</v>
      </c>
      <c r="E1457" s="55">
        <f>I1457+G1457+K1457</f>
        <v>1076338</v>
      </c>
      <c r="F1457" s="76">
        <f>J1457+H1457+L1457</f>
        <v>1076338</v>
      </c>
      <c r="G1457" s="78">
        <f>일위대가목록표!F354</f>
        <v>1076338</v>
      </c>
      <c r="H1457" s="80">
        <f>IF(C1457=0,0,ROUNDDOWN(G1457*C1457,1))</f>
        <v>1076338</v>
      </c>
      <c r="I1457" s="78">
        <f>일위대가목록표!G354</f>
        <v>0</v>
      </c>
      <c r="J1457" s="80">
        <f>IF(C1457=0,0,ROUNDDOWN(I1457*C1457,1))</f>
        <v>0</v>
      </c>
      <c r="K1457" s="78">
        <f>일위대가목록표!H354</f>
        <v>0</v>
      </c>
      <c r="L1457" s="80">
        <f>IF(C1457=0,0,ROUNDDOWN(K1457*C1457,1))</f>
        <v>0</v>
      </c>
      <c r="M1457" s="22" t="s">
        <v>4396</v>
      </c>
      <c r="N1457" s="17" t="s">
        <v>6781</v>
      </c>
      <c r="O1457" s="7" t="s">
        <v>4394</v>
      </c>
      <c r="P1457" s="7" t="s">
        <v>6406</v>
      </c>
      <c r="Z1457" s="3" t="str">
        <f ca="1">HYPERLINK("#"&amp;일위대가목록표!J2&amp;"!A"&amp;ROW(일위대가목록표!A354),"대가351 →")</f>
        <v>대가351 →</v>
      </c>
    </row>
    <row r="1458" spans="1:26" ht="28.7" customHeight="1" x14ac:dyDescent="0.3">
      <c r="A1458" s="10" t="s">
        <v>803</v>
      </c>
      <c r="B1458" s="10" t="s">
        <v>2755</v>
      </c>
      <c r="C1458" s="75">
        <v>1</v>
      </c>
      <c r="D1458" s="31" t="s">
        <v>1010</v>
      </c>
      <c r="E1458" s="55">
        <f>I1458+G1458+K1458</f>
        <v>7532000</v>
      </c>
      <c r="F1458" s="77">
        <f>J1458+H1458+L1458</f>
        <v>7532000</v>
      </c>
      <c r="G1458" s="51">
        <v>0</v>
      </c>
      <c r="H1458" s="76">
        <f>IF(C1458=0,0,ROUNDDOWN(G1458*C1458,1))</f>
        <v>0</v>
      </c>
      <c r="I1458" s="78">
        <f>재료비목록표!E257</f>
        <v>7532000</v>
      </c>
      <c r="J1458" s="81">
        <f>IF(C1458=0,0,ROUNDDOWN(I1458*C1458,1))</f>
        <v>7532000</v>
      </c>
      <c r="K1458" s="51">
        <v>0</v>
      </c>
      <c r="L1458" s="76">
        <f>IF(C1458=0,0,ROUNDDOWN(K1458*C1458,1))</f>
        <v>0</v>
      </c>
      <c r="M1458" s="22" t="s">
        <v>7471</v>
      </c>
      <c r="N1458" s="17" t="s">
        <v>7470</v>
      </c>
      <c r="O1458" s="7" t="s">
        <v>5592</v>
      </c>
      <c r="P1458" s="7" t="s">
        <v>6406</v>
      </c>
      <c r="Z1458" s="3" t="str">
        <f ca="1">HYPERLINK("#"&amp;재료비목록표!G2&amp;"!A"&amp;ROW(재료비목록표!A257),"자재254 →")</f>
        <v>자재254 →</v>
      </c>
    </row>
    <row r="1459" spans="1:26" ht="28.7" customHeight="1" x14ac:dyDescent="0.3">
      <c r="A1459" s="22" t="s">
        <v>6</v>
      </c>
      <c r="B1459" s="74"/>
      <c r="C1459" s="74"/>
      <c r="D1459" s="74"/>
      <c r="E1459" s="74"/>
      <c r="F1459" s="48">
        <f>J1459+H1459+L1459</f>
        <v>8608338</v>
      </c>
      <c r="G1459" s="74"/>
      <c r="H1459" s="48">
        <f>ROUNDDOWN(SUMIF(P1457:P1458,O1459,H1457:H1458),0)</f>
        <v>1076338</v>
      </c>
      <c r="I1459" s="74"/>
      <c r="J1459" s="48">
        <f>ROUNDDOWN(SUMIF(P1457:P1458,O1459,J1457:J1458),0)</f>
        <v>7532000</v>
      </c>
      <c r="K1459" s="74"/>
      <c r="L1459" s="48">
        <f>ROUNDDOWN(SUMIF(P1457:P1458,O1459,L1457:L1458),0)</f>
        <v>0</v>
      </c>
      <c r="M1459" s="74"/>
      <c r="O1459" s="7" t="s">
        <v>6406</v>
      </c>
    </row>
    <row r="1460" spans="1:26" ht="28.7" customHeight="1" x14ac:dyDescent="0.3">
      <c r="A1460" s="73"/>
      <c r="B1460" s="73"/>
      <c r="C1460" s="73"/>
      <c r="D1460" s="73"/>
      <c r="E1460" s="73"/>
      <c r="F1460" s="73"/>
      <c r="G1460" s="73"/>
      <c r="H1460" s="73"/>
      <c r="I1460" s="73"/>
      <c r="J1460" s="73"/>
      <c r="K1460" s="73"/>
      <c r="L1460" s="73"/>
      <c r="M1460" s="73"/>
    </row>
    <row r="1461" spans="1:26" ht="28.7" customHeight="1" x14ac:dyDescent="0.3">
      <c r="A1461" s="136" t="s">
        <v>829</v>
      </c>
      <c r="B1461" s="127"/>
      <c r="C1461" s="127"/>
      <c r="D1461" s="127"/>
      <c r="E1461" s="127"/>
      <c r="F1461" s="127"/>
      <c r="G1461" s="127"/>
      <c r="H1461" s="127"/>
      <c r="I1461" s="127"/>
      <c r="J1461" s="127"/>
      <c r="K1461" s="127"/>
      <c r="L1461" s="144"/>
      <c r="M1461" s="22" t="s">
        <v>7472</v>
      </c>
      <c r="N1461" s="84" t="str">
        <f>HYPERLINK("#N"&amp;ROW(N1463),"_x0005_`BDCOD|B04986_x0007_`POSS|"&amp;ROW(N1462)&amp;"_x0007_`POSE|"&amp;ROW(N1463)&amp;"_x0007_`")</f>
        <v>_x0005_`BDCOD|B04986_x0007_`POSS|1462_x0007_`POSE|1463_x0007_`</v>
      </c>
      <c r="O1461" s="7" t="s">
        <v>7473</v>
      </c>
    </row>
    <row r="1462" spans="1:26" ht="28.7" customHeight="1" x14ac:dyDescent="0.3">
      <c r="A1462" s="10" t="s">
        <v>840</v>
      </c>
      <c r="B1462" s="10" t="s">
        <v>865</v>
      </c>
      <c r="C1462" s="75">
        <v>1</v>
      </c>
      <c r="D1462" s="31" t="s">
        <v>14</v>
      </c>
      <c r="E1462" s="55">
        <f>I1462+G1462+K1462</f>
        <v>1242509</v>
      </c>
      <c r="F1462" s="76">
        <f>J1462+H1462+L1462</f>
        <v>1242509</v>
      </c>
      <c r="G1462" s="78">
        <f>일위대가목록표!F355</f>
        <v>1242509</v>
      </c>
      <c r="H1462" s="80">
        <f>IF(C1462=0,0,ROUNDDOWN(G1462*C1462,1))</f>
        <v>1242509</v>
      </c>
      <c r="I1462" s="78">
        <f>일위대가목록표!G355</f>
        <v>0</v>
      </c>
      <c r="J1462" s="80">
        <f>IF(C1462=0,0,ROUNDDOWN(I1462*C1462,1))</f>
        <v>0</v>
      </c>
      <c r="K1462" s="78">
        <f>일위대가목록표!H355</f>
        <v>0</v>
      </c>
      <c r="L1462" s="80">
        <f>IF(C1462=0,0,ROUNDDOWN(K1462*C1462,1))</f>
        <v>0</v>
      </c>
      <c r="M1462" s="22" t="s">
        <v>4399</v>
      </c>
      <c r="N1462" s="17" t="s">
        <v>6786</v>
      </c>
      <c r="O1462" s="7" t="s">
        <v>4397</v>
      </c>
      <c r="P1462" s="7" t="s">
        <v>6406</v>
      </c>
      <c r="Z1462" s="3" t="str">
        <f ca="1">HYPERLINK("#"&amp;일위대가목록표!J2&amp;"!A"&amp;ROW(일위대가목록표!A355),"대가352 →")</f>
        <v>대가352 →</v>
      </c>
    </row>
    <row r="1463" spans="1:26" ht="28.7" customHeight="1" x14ac:dyDescent="0.3">
      <c r="A1463" s="10" t="s">
        <v>803</v>
      </c>
      <c r="B1463" s="10" t="s">
        <v>2758</v>
      </c>
      <c r="C1463" s="75">
        <v>1</v>
      </c>
      <c r="D1463" s="31" t="s">
        <v>1010</v>
      </c>
      <c r="E1463" s="55">
        <f>I1463+G1463+K1463</f>
        <v>9512000</v>
      </c>
      <c r="F1463" s="77">
        <f>J1463+H1463+L1463</f>
        <v>9512000</v>
      </c>
      <c r="G1463" s="51">
        <v>0</v>
      </c>
      <c r="H1463" s="76">
        <f>IF(C1463=0,0,ROUNDDOWN(G1463*C1463,1))</f>
        <v>0</v>
      </c>
      <c r="I1463" s="78">
        <f>재료비목록표!E258</f>
        <v>9512000</v>
      </c>
      <c r="J1463" s="81">
        <f>IF(C1463=0,0,ROUNDDOWN(I1463*C1463,1))</f>
        <v>9512000</v>
      </c>
      <c r="K1463" s="51">
        <v>0</v>
      </c>
      <c r="L1463" s="76">
        <f>IF(C1463=0,0,ROUNDDOWN(K1463*C1463,1))</f>
        <v>0</v>
      </c>
      <c r="M1463" s="22" t="s">
        <v>7475</v>
      </c>
      <c r="N1463" s="17" t="s">
        <v>7474</v>
      </c>
      <c r="O1463" s="7" t="s">
        <v>5595</v>
      </c>
      <c r="P1463" s="7" t="s">
        <v>6406</v>
      </c>
      <c r="Z1463" s="3" t="str">
        <f ca="1">HYPERLINK("#"&amp;재료비목록표!G2&amp;"!A"&amp;ROW(재료비목록표!A258),"자재255 →")</f>
        <v>자재255 →</v>
      </c>
    </row>
    <row r="1464" spans="1:26" ht="28.7" customHeight="1" x14ac:dyDescent="0.3">
      <c r="A1464" s="22" t="s">
        <v>6</v>
      </c>
      <c r="B1464" s="74"/>
      <c r="C1464" s="74"/>
      <c r="D1464" s="74"/>
      <c r="E1464" s="74"/>
      <c r="F1464" s="48">
        <f>J1464+H1464+L1464</f>
        <v>10754509</v>
      </c>
      <c r="G1464" s="74"/>
      <c r="H1464" s="48">
        <f>ROUNDDOWN(SUMIF(P1462:P1463,O1464,H1462:H1463),0)</f>
        <v>1242509</v>
      </c>
      <c r="I1464" s="74"/>
      <c r="J1464" s="48">
        <f>ROUNDDOWN(SUMIF(P1462:P1463,O1464,J1462:J1463),0)</f>
        <v>9512000</v>
      </c>
      <c r="K1464" s="74"/>
      <c r="L1464" s="48">
        <f>ROUNDDOWN(SUMIF(P1462:P1463,O1464,L1462:L1463),0)</f>
        <v>0</v>
      </c>
      <c r="M1464" s="74"/>
      <c r="O1464" s="7" t="s">
        <v>6406</v>
      </c>
    </row>
    <row r="1465" spans="1:26" ht="28.7" customHeight="1" x14ac:dyDescent="0.3">
      <c r="A1465" s="73"/>
      <c r="B1465" s="73"/>
      <c r="C1465" s="73"/>
      <c r="D1465" s="73"/>
      <c r="E1465" s="73"/>
      <c r="F1465" s="73"/>
      <c r="G1465" s="73"/>
      <c r="H1465" s="73"/>
      <c r="I1465" s="73"/>
      <c r="J1465" s="73"/>
      <c r="K1465" s="73"/>
      <c r="L1465" s="73"/>
      <c r="M1465" s="73"/>
    </row>
    <row r="1466" spans="1:26" ht="28.7" customHeight="1" x14ac:dyDescent="0.3">
      <c r="A1466" s="136" t="s">
        <v>832</v>
      </c>
      <c r="B1466" s="127"/>
      <c r="C1466" s="127"/>
      <c r="D1466" s="127"/>
      <c r="E1466" s="127"/>
      <c r="F1466" s="127"/>
      <c r="G1466" s="127"/>
      <c r="H1466" s="127"/>
      <c r="I1466" s="127"/>
      <c r="J1466" s="127"/>
      <c r="K1466" s="127"/>
      <c r="L1466" s="144"/>
      <c r="M1466" s="22" t="s">
        <v>7476</v>
      </c>
      <c r="N1466" s="84" t="str">
        <f>HYPERLINK("#N"&amp;ROW(N1468),"_x0005_`BDCOD|B04987_x0007_`POSS|"&amp;ROW(N1467)&amp;"_x0007_`POSE|"&amp;ROW(N1468)&amp;"_x0007_`")</f>
        <v>_x0005_`BDCOD|B04987_x0007_`POSS|1467_x0007_`POSE|1468_x0007_`</v>
      </c>
      <c r="O1466" s="7" t="s">
        <v>7477</v>
      </c>
    </row>
    <row r="1467" spans="1:26" ht="28.7" customHeight="1" x14ac:dyDescent="0.3">
      <c r="A1467" s="10" t="s">
        <v>840</v>
      </c>
      <c r="B1467" s="10" t="s">
        <v>868</v>
      </c>
      <c r="C1467" s="75">
        <v>1</v>
      </c>
      <c r="D1467" s="31" t="s">
        <v>14</v>
      </c>
      <c r="E1467" s="55">
        <f>I1467+G1467+K1467</f>
        <v>1408681</v>
      </c>
      <c r="F1467" s="76">
        <f>J1467+H1467+L1467</f>
        <v>1408681</v>
      </c>
      <c r="G1467" s="78">
        <f>일위대가목록표!F356</f>
        <v>1408681</v>
      </c>
      <c r="H1467" s="80">
        <f>IF(C1467=0,0,ROUNDDOWN(G1467*C1467,1))</f>
        <v>1408681</v>
      </c>
      <c r="I1467" s="78">
        <f>일위대가목록표!G356</f>
        <v>0</v>
      </c>
      <c r="J1467" s="80">
        <f>IF(C1467=0,0,ROUNDDOWN(I1467*C1467,1))</f>
        <v>0</v>
      </c>
      <c r="K1467" s="78">
        <f>일위대가목록표!H356</f>
        <v>0</v>
      </c>
      <c r="L1467" s="80">
        <f>IF(C1467=0,0,ROUNDDOWN(K1467*C1467,1))</f>
        <v>0</v>
      </c>
      <c r="M1467" s="22" t="s">
        <v>4402</v>
      </c>
      <c r="N1467" s="17" t="s">
        <v>6791</v>
      </c>
      <c r="O1467" s="7" t="s">
        <v>4400</v>
      </c>
      <c r="P1467" s="7" t="s">
        <v>6406</v>
      </c>
      <c r="Z1467" s="3" t="str">
        <f ca="1">HYPERLINK("#"&amp;일위대가목록표!J2&amp;"!A"&amp;ROW(일위대가목록표!A356),"대가353 →")</f>
        <v>대가353 →</v>
      </c>
    </row>
    <row r="1468" spans="1:26" ht="28.7" customHeight="1" x14ac:dyDescent="0.3">
      <c r="A1468" s="10" t="s">
        <v>803</v>
      </c>
      <c r="B1468" s="10" t="s">
        <v>2764</v>
      </c>
      <c r="C1468" s="75">
        <v>1</v>
      </c>
      <c r="D1468" s="31" t="s">
        <v>1010</v>
      </c>
      <c r="E1468" s="55">
        <f>I1468+G1468+K1468</f>
        <v>8659000</v>
      </c>
      <c r="F1468" s="77">
        <f>J1468+H1468+L1468</f>
        <v>8659000</v>
      </c>
      <c r="G1468" s="51">
        <v>0</v>
      </c>
      <c r="H1468" s="76">
        <f>IF(C1468=0,0,ROUNDDOWN(G1468*C1468,1))</f>
        <v>0</v>
      </c>
      <c r="I1468" s="78">
        <f>재료비목록표!E260</f>
        <v>8659000</v>
      </c>
      <c r="J1468" s="81">
        <f>IF(C1468=0,0,ROUNDDOWN(I1468*C1468,1))</f>
        <v>8659000</v>
      </c>
      <c r="K1468" s="51">
        <v>0</v>
      </c>
      <c r="L1468" s="76">
        <f>IF(C1468=0,0,ROUNDDOWN(K1468*C1468,1))</f>
        <v>0</v>
      </c>
      <c r="M1468" s="22" t="s">
        <v>7480</v>
      </c>
      <c r="N1468" s="17" t="s">
        <v>7478</v>
      </c>
      <c r="O1468" s="7" t="s">
        <v>7479</v>
      </c>
      <c r="P1468" s="7" t="s">
        <v>6406</v>
      </c>
      <c r="Z1468" s="3" t="str">
        <f ca="1">HYPERLINK("#"&amp;재료비목록표!G2&amp;"!A"&amp;ROW(재료비목록표!A260),"자재257 →")</f>
        <v>자재257 →</v>
      </c>
    </row>
    <row r="1469" spans="1:26" ht="28.7" customHeight="1" x14ac:dyDescent="0.3">
      <c r="A1469" s="22" t="s">
        <v>6</v>
      </c>
      <c r="B1469" s="74"/>
      <c r="C1469" s="74"/>
      <c r="D1469" s="74"/>
      <c r="E1469" s="74"/>
      <c r="F1469" s="48">
        <f>J1469+H1469+L1469</f>
        <v>10067681</v>
      </c>
      <c r="G1469" s="74"/>
      <c r="H1469" s="48">
        <f>ROUNDDOWN(SUMIF(P1467:P1468,O1469,H1467:H1468),0)</f>
        <v>1408681</v>
      </c>
      <c r="I1469" s="74"/>
      <c r="J1469" s="48">
        <f>ROUNDDOWN(SUMIF(P1467:P1468,O1469,J1467:J1468),0)</f>
        <v>8659000</v>
      </c>
      <c r="K1469" s="74"/>
      <c r="L1469" s="48">
        <f>ROUNDDOWN(SUMIF(P1467:P1468,O1469,L1467:L1468),0)</f>
        <v>0</v>
      </c>
      <c r="M1469" s="74"/>
      <c r="O1469" s="7" t="s">
        <v>6406</v>
      </c>
    </row>
    <row r="1470" spans="1:26" ht="28.7" customHeight="1" x14ac:dyDescent="0.3">
      <c r="A1470" s="73"/>
      <c r="B1470" s="73"/>
      <c r="C1470" s="73"/>
      <c r="D1470" s="73"/>
      <c r="E1470" s="73"/>
      <c r="F1470" s="73"/>
      <c r="G1470" s="73"/>
      <c r="H1470" s="73"/>
      <c r="I1470" s="73"/>
      <c r="J1470" s="73"/>
      <c r="K1470" s="73"/>
      <c r="L1470" s="73"/>
      <c r="M1470" s="73"/>
    </row>
    <row r="1471" spans="1:26" ht="28.7" customHeight="1" x14ac:dyDescent="0.3">
      <c r="A1471" s="136" t="s">
        <v>835</v>
      </c>
      <c r="B1471" s="127"/>
      <c r="C1471" s="127"/>
      <c r="D1471" s="127"/>
      <c r="E1471" s="127"/>
      <c r="F1471" s="127"/>
      <c r="G1471" s="127"/>
      <c r="H1471" s="127"/>
      <c r="I1471" s="127"/>
      <c r="J1471" s="127"/>
      <c r="K1471" s="127"/>
      <c r="L1471" s="144"/>
      <c r="M1471" s="22" t="s">
        <v>7481</v>
      </c>
      <c r="N1471" s="84" t="str">
        <f>HYPERLINK("#N"&amp;ROW(N1473),"_x0005_`BDCOD|B04988_x0007_`POSS|"&amp;ROW(N1472)&amp;"_x0007_`POSE|"&amp;ROW(N1473)&amp;"_x0007_`")</f>
        <v>_x0005_`BDCOD|B04988_x0007_`POSS|1472_x0007_`POSE|1473_x0007_`</v>
      </c>
      <c r="O1471" s="7" t="s">
        <v>7482</v>
      </c>
    </row>
    <row r="1472" spans="1:26" ht="28.7" customHeight="1" x14ac:dyDescent="0.3">
      <c r="A1472" s="10" t="s">
        <v>840</v>
      </c>
      <c r="B1472" s="10" t="s">
        <v>871</v>
      </c>
      <c r="C1472" s="75">
        <v>1</v>
      </c>
      <c r="D1472" s="31" t="s">
        <v>14</v>
      </c>
      <c r="E1472" s="55">
        <f>I1472+G1472+K1472</f>
        <v>2013211</v>
      </c>
      <c r="F1472" s="76">
        <f>J1472+H1472+L1472</f>
        <v>2013211</v>
      </c>
      <c r="G1472" s="78">
        <f>일위대가목록표!F357</f>
        <v>2013211</v>
      </c>
      <c r="H1472" s="80">
        <f>IF(C1472=0,0,ROUNDDOWN(G1472*C1472,1))</f>
        <v>2013211</v>
      </c>
      <c r="I1472" s="78">
        <f>일위대가목록표!G357</f>
        <v>0</v>
      </c>
      <c r="J1472" s="80">
        <f>IF(C1472=0,0,ROUNDDOWN(I1472*C1472,1))</f>
        <v>0</v>
      </c>
      <c r="K1472" s="78">
        <f>일위대가목록표!H357</f>
        <v>0</v>
      </c>
      <c r="L1472" s="80">
        <f>IF(C1472=0,0,ROUNDDOWN(K1472*C1472,1))</f>
        <v>0</v>
      </c>
      <c r="M1472" s="22" t="s">
        <v>4405</v>
      </c>
      <c r="N1472" s="17" t="s">
        <v>7483</v>
      </c>
      <c r="O1472" s="7" t="s">
        <v>4403</v>
      </c>
      <c r="P1472" s="7" t="s">
        <v>6406</v>
      </c>
      <c r="Z1472" s="3" t="str">
        <f ca="1">HYPERLINK("#"&amp;일위대가목록표!J2&amp;"!A"&amp;ROW(일위대가목록표!A357),"대가354 →")</f>
        <v>대가354 →</v>
      </c>
    </row>
    <row r="1473" spans="1:26" ht="28.7" customHeight="1" x14ac:dyDescent="0.3">
      <c r="A1473" s="10" t="s">
        <v>803</v>
      </c>
      <c r="B1473" s="10" t="s">
        <v>2770</v>
      </c>
      <c r="C1473" s="75">
        <v>1</v>
      </c>
      <c r="D1473" s="31" t="s">
        <v>1010</v>
      </c>
      <c r="E1473" s="55">
        <f>I1473+G1473+K1473</f>
        <v>16461000</v>
      </c>
      <c r="F1473" s="77">
        <f>J1473+H1473+L1473</f>
        <v>16461000</v>
      </c>
      <c r="G1473" s="51">
        <v>0</v>
      </c>
      <c r="H1473" s="76">
        <f>IF(C1473=0,0,ROUNDDOWN(G1473*C1473,1))</f>
        <v>0</v>
      </c>
      <c r="I1473" s="78">
        <f>재료비목록표!E262</f>
        <v>16461000</v>
      </c>
      <c r="J1473" s="81">
        <f>IF(C1473=0,0,ROUNDDOWN(I1473*C1473,1))</f>
        <v>16461000</v>
      </c>
      <c r="K1473" s="51">
        <v>0</v>
      </c>
      <c r="L1473" s="76">
        <f>IF(C1473=0,0,ROUNDDOWN(K1473*C1473,1))</f>
        <v>0</v>
      </c>
      <c r="M1473" s="22" t="s">
        <v>7485</v>
      </c>
      <c r="N1473" s="17" t="s">
        <v>7484</v>
      </c>
      <c r="O1473" s="7" t="s">
        <v>5598</v>
      </c>
      <c r="P1473" s="7" t="s">
        <v>6406</v>
      </c>
      <c r="Z1473" s="3" t="str">
        <f ca="1">HYPERLINK("#"&amp;재료비목록표!G2&amp;"!A"&amp;ROW(재료비목록표!A262),"자재259 →")</f>
        <v>자재259 →</v>
      </c>
    </row>
    <row r="1474" spans="1:26" ht="28.7" customHeight="1" x14ac:dyDescent="0.3">
      <c r="A1474" s="22" t="s">
        <v>6</v>
      </c>
      <c r="B1474" s="74"/>
      <c r="C1474" s="74"/>
      <c r="D1474" s="74"/>
      <c r="E1474" s="74"/>
      <c r="F1474" s="48">
        <f>J1474+H1474+L1474</f>
        <v>18474211</v>
      </c>
      <c r="G1474" s="74"/>
      <c r="H1474" s="48">
        <f>ROUNDDOWN(SUMIF(P1472:P1473,O1474,H1472:H1473),0)</f>
        <v>2013211</v>
      </c>
      <c r="I1474" s="74"/>
      <c r="J1474" s="48">
        <f>ROUNDDOWN(SUMIF(P1472:P1473,O1474,J1472:J1473),0)</f>
        <v>16461000</v>
      </c>
      <c r="K1474" s="74"/>
      <c r="L1474" s="48">
        <f>ROUNDDOWN(SUMIF(P1472:P1473,O1474,L1472:L1473),0)</f>
        <v>0</v>
      </c>
      <c r="M1474" s="74"/>
      <c r="O1474" s="7" t="s">
        <v>6406</v>
      </c>
    </row>
    <row r="1475" spans="1:26" ht="28.7" customHeight="1" x14ac:dyDescent="0.3">
      <c r="A1475" s="73"/>
      <c r="B1475" s="73"/>
      <c r="C1475" s="73"/>
      <c r="D1475" s="73"/>
      <c r="E1475" s="73"/>
      <c r="F1475" s="73"/>
      <c r="G1475" s="73"/>
      <c r="H1475" s="73"/>
      <c r="I1475" s="73"/>
      <c r="J1475" s="73"/>
      <c r="K1475" s="73"/>
      <c r="L1475" s="73"/>
      <c r="M1475" s="73"/>
    </row>
    <row r="1476" spans="1:26" ht="28.7" customHeight="1" x14ac:dyDescent="0.3">
      <c r="A1476" s="136" t="s">
        <v>838</v>
      </c>
      <c r="B1476" s="127"/>
      <c r="C1476" s="127"/>
      <c r="D1476" s="127"/>
      <c r="E1476" s="127"/>
      <c r="F1476" s="127"/>
      <c r="G1476" s="127"/>
      <c r="H1476" s="127"/>
      <c r="I1476" s="127"/>
      <c r="J1476" s="127"/>
      <c r="K1476" s="127"/>
      <c r="L1476" s="144"/>
      <c r="M1476" s="22" t="s">
        <v>7486</v>
      </c>
      <c r="N1476" s="84" t="str">
        <f>HYPERLINK("#N"&amp;ROW(N1479),"_x0005_`BDCOD|B04921_x0007_`POSS|"&amp;ROW(N1477)&amp;"_x0007_`POSE|"&amp;ROW(N1479)&amp;"_x0007_`")</f>
        <v>_x0005_`BDCOD|B04921_x0007_`POSS|1477_x0007_`POSE|1479_x0007_`</v>
      </c>
      <c r="O1476" s="7" t="s">
        <v>7487</v>
      </c>
    </row>
    <row r="1477" spans="1:26" ht="28.7" customHeight="1" x14ac:dyDescent="0.3">
      <c r="A1477" s="10"/>
      <c r="B1477" s="10" t="s">
        <v>7488</v>
      </c>
      <c r="C1477" s="75">
        <v>0</v>
      </c>
      <c r="D1477" s="31"/>
      <c r="E1477" s="33">
        <v>0</v>
      </c>
      <c r="F1477" s="11">
        <v>0</v>
      </c>
      <c r="G1477" s="42"/>
      <c r="H1477" s="11">
        <v>0</v>
      </c>
      <c r="I1477" s="42"/>
      <c r="J1477" s="33">
        <v>0</v>
      </c>
      <c r="K1477" s="46"/>
      <c r="L1477" s="33">
        <v>0</v>
      </c>
      <c r="M1477" s="22" t="s">
        <v>6509</v>
      </c>
      <c r="N1477" s="17" t="s">
        <v>6507</v>
      </c>
      <c r="O1477" s="7" t="s">
        <v>6508</v>
      </c>
      <c r="P1477" s="7" t="s">
        <v>6508</v>
      </c>
    </row>
    <row r="1478" spans="1:26" ht="28.7" customHeight="1" x14ac:dyDescent="0.3">
      <c r="A1478" s="10" t="s">
        <v>914</v>
      </c>
      <c r="B1478" s="10" t="s">
        <v>915</v>
      </c>
      <c r="C1478" s="75">
        <v>1</v>
      </c>
      <c r="D1478" s="31" t="s">
        <v>14</v>
      </c>
      <c r="E1478" s="55">
        <f>I1478+G1478+K1478</f>
        <v>59346</v>
      </c>
      <c r="F1478" s="76">
        <f>J1478+H1478+L1478</f>
        <v>59346</v>
      </c>
      <c r="G1478" s="78">
        <f>일위대가목록표!F371</f>
        <v>59346</v>
      </c>
      <c r="H1478" s="80">
        <f>IF(C1478=0,0,ROUNDDOWN(G1478*C1478,1))</f>
        <v>59346</v>
      </c>
      <c r="I1478" s="78">
        <f>일위대가목록표!G371</f>
        <v>0</v>
      </c>
      <c r="J1478" s="80">
        <f>IF(C1478=0,0,ROUNDDOWN(I1478*C1478,1))</f>
        <v>0</v>
      </c>
      <c r="K1478" s="78">
        <f>일위대가목록표!H371</f>
        <v>0</v>
      </c>
      <c r="L1478" s="80">
        <f>IF(C1478=0,0,ROUNDDOWN(K1478*C1478,1))</f>
        <v>0</v>
      </c>
      <c r="M1478" s="22" t="s">
        <v>4447</v>
      </c>
      <c r="N1478" s="17" t="s">
        <v>6861</v>
      </c>
      <c r="O1478" s="7" t="s">
        <v>4445</v>
      </c>
      <c r="P1478" s="7" t="s">
        <v>6406</v>
      </c>
      <c r="Z1478" s="3" t="str">
        <f ca="1">HYPERLINK("#"&amp;일위대가목록표!J2&amp;"!A"&amp;ROW(일위대가목록표!A371),"대가368 →")</f>
        <v>대가368 →</v>
      </c>
    </row>
    <row r="1479" spans="1:26" ht="28.7" customHeight="1" x14ac:dyDescent="0.3">
      <c r="A1479" s="10" t="s">
        <v>877</v>
      </c>
      <c r="B1479" s="10" t="s">
        <v>878</v>
      </c>
      <c r="C1479" s="75">
        <v>1</v>
      </c>
      <c r="D1479" s="31" t="s">
        <v>14</v>
      </c>
      <c r="E1479" s="55">
        <f>I1479+G1479+K1479</f>
        <v>148367</v>
      </c>
      <c r="F1479" s="76">
        <f>J1479+H1479+L1479</f>
        <v>148367</v>
      </c>
      <c r="G1479" s="78">
        <f>일위대가목록표!F359</f>
        <v>148367</v>
      </c>
      <c r="H1479" s="80">
        <f>IF(C1479=0,0,ROUNDDOWN(G1479*C1479,1))</f>
        <v>148367</v>
      </c>
      <c r="I1479" s="78">
        <f>일위대가목록표!G359</f>
        <v>0</v>
      </c>
      <c r="J1479" s="80">
        <f>IF(C1479=0,0,ROUNDDOWN(I1479*C1479,1))</f>
        <v>0</v>
      </c>
      <c r="K1479" s="78">
        <f>일위대가목록표!H359</f>
        <v>0</v>
      </c>
      <c r="L1479" s="80">
        <f>IF(C1479=0,0,ROUNDDOWN(K1479*C1479,1))</f>
        <v>0</v>
      </c>
      <c r="M1479" s="22" t="s">
        <v>4411</v>
      </c>
      <c r="N1479" s="17" t="s">
        <v>6826</v>
      </c>
      <c r="O1479" s="7" t="s">
        <v>4409</v>
      </c>
      <c r="P1479" s="7" t="s">
        <v>6406</v>
      </c>
      <c r="Z1479" s="3" t="str">
        <f ca="1">HYPERLINK("#"&amp;일위대가목록표!J2&amp;"!A"&amp;ROW(일위대가목록표!A359),"대가356 →")</f>
        <v>대가356 →</v>
      </c>
    </row>
    <row r="1480" spans="1:26" ht="28.7" customHeight="1" x14ac:dyDescent="0.3">
      <c r="A1480" s="22" t="s">
        <v>6</v>
      </c>
      <c r="B1480" s="74"/>
      <c r="C1480" s="74"/>
      <c r="D1480" s="74"/>
      <c r="E1480" s="74"/>
      <c r="F1480" s="48">
        <f>J1480+H1480+L1480</f>
        <v>207713</v>
      </c>
      <c r="G1480" s="74"/>
      <c r="H1480" s="48">
        <f>ROUNDDOWN(SUMIF(P1477:P1479,O1480,H1477:H1479),0)</f>
        <v>207713</v>
      </c>
      <c r="I1480" s="74"/>
      <c r="J1480" s="48">
        <f>ROUNDDOWN(SUMIF(P1477:P1479,O1480,J1477:J1479),0)</f>
        <v>0</v>
      </c>
      <c r="K1480" s="74"/>
      <c r="L1480" s="48">
        <f>ROUNDDOWN(SUMIF(P1477:P1479,O1480,L1477:L1479),0)</f>
        <v>0</v>
      </c>
      <c r="M1480" s="74"/>
      <c r="O1480" s="7" t="s">
        <v>6406</v>
      </c>
    </row>
    <row r="1481" spans="1:26" ht="28.7" customHeight="1" x14ac:dyDescent="0.3">
      <c r="A1481" s="73"/>
      <c r="B1481" s="73"/>
      <c r="C1481" s="73"/>
      <c r="D1481" s="73"/>
      <c r="E1481" s="73"/>
      <c r="F1481" s="73"/>
      <c r="G1481" s="73"/>
      <c r="H1481" s="73"/>
      <c r="I1481" s="73"/>
      <c r="J1481" s="73"/>
      <c r="K1481" s="73"/>
      <c r="L1481" s="73"/>
      <c r="M1481" s="73"/>
    </row>
    <row r="1482" spans="1:26" ht="28.7" customHeight="1" x14ac:dyDescent="0.3">
      <c r="A1482" s="136" t="s">
        <v>842</v>
      </c>
      <c r="B1482" s="127"/>
      <c r="C1482" s="127"/>
      <c r="D1482" s="127"/>
      <c r="E1482" s="127"/>
      <c r="F1482" s="127"/>
      <c r="G1482" s="127"/>
      <c r="H1482" s="127"/>
      <c r="I1482" s="127"/>
      <c r="J1482" s="127"/>
      <c r="K1482" s="127"/>
      <c r="L1482" s="144"/>
      <c r="M1482" s="22" t="s">
        <v>7489</v>
      </c>
      <c r="N1482" s="84" t="str">
        <f>HYPERLINK("#N"&amp;ROW(N1485),"_x0005_`BDCOD|B04813_x0007_`POSS|"&amp;ROW(N1483)&amp;"_x0007_`POSE|"&amp;ROW(N1485)&amp;"_x0007_`")</f>
        <v>_x0005_`BDCOD|B04813_x0007_`POSS|1483_x0007_`POSE|1485_x0007_`</v>
      </c>
      <c r="O1482" s="7" t="s">
        <v>7490</v>
      </c>
    </row>
    <row r="1483" spans="1:26" ht="28.7" customHeight="1" x14ac:dyDescent="0.3">
      <c r="A1483" s="10"/>
      <c r="B1483" s="10" t="s">
        <v>7488</v>
      </c>
      <c r="C1483" s="75">
        <v>0</v>
      </c>
      <c r="D1483" s="31"/>
      <c r="E1483" s="33">
        <v>0</v>
      </c>
      <c r="F1483" s="11">
        <v>0</v>
      </c>
      <c r="G1483" s="42"/>
      <c r="H1483" s="11">
        <v>0</v>
      </c>
      <c r="I1483" s="42"/>
      <c r="J1483" s="33">
        <v>0</v>
      </c>
      <c r="K1483" s="46"/>
      <c r="L1483" s="33">
        <v>0</v>
      </c>
      <c r="M1483" s="22" t="s">
        <v>6509</v>
      </c>
      <c r="N1483" s="17" t="s">
        <v>6507</v>
      </c>
      <c r="O1483" s="7" t="s">
        <v>6508</v>
      </c>
      <c r="P1483" s="7" t="s">
        <v>6508</v>
      </c>
    </row>
    <row r="1484" spans="1:26" ht="28.7" customHeight="1" x14ac:dyDescent="0.3">
      <c r="A1484" s="10" t="s">
        <v>914</v>
      </c>
      <c r="B1484" s="10" t="s">
        <v>918</v>
      </c>
      <c r="C1484" s="75">
        <v>1</v>
      </c>
      <c r="D1484" s="31" t="s">
        <v>14</v>
      </c>
      <c r="E1484" s="55">
        <f>I1484+G1484+K1484</f>
        <v>71216</v>
      </c>
      <c r="F1484" s="76">
        <f>J1484+H1484+L1484</f>
        <v>71216</v>
      </c>
      <c r="G1484" s="78">
        <f>일위대가목록표!F372</f>
        <v>71216</v>
      </c>
      <c r="H1484" s="80">
        <f>IF(C1484=0,0,ROUNDDOWN(G1484*C1484,1))</f>
        <v>71216</v>
      </c>
      <c r="I1484" s="78">
        <f>일위대가목록표!G372</f>
        <v>0</v>
      </c>
      <c r="J1484" s="80">
        <f>IF(C1484=0,0,ROUNDDOWN(I1484*C1484,1))</f>
        <v>0</v>
      </c>
      <c r="K1484" s="78">
        <f>일위대가목록표!H372</f>
        <v>0</v>
      </c>
      <c r="L1484" s="80">
        <f>IF(C1484=0,0,ROUNDDOWN(K1484*C1484,1))</f>
        <v>0</v>
      </c>
      <c r="M1484" s="22" t="s">
        <v>4450</v>
      </c>
      <c r="N1484" s="17" t="s">
        <v>6866</v>
      </c>
      <c r="O1484" s="7" t="s">
        <v>4448</v>
      </c>
      <c r="P1484" s="7" t="s">
        <v>6406</v>
      </c>
      <c r="Z1484" s="3" t="str">
        <f ca="1">HYPERLINK("#"&amp;일위대가목록표!J2&amp;"!A"&amp;ROW(일위대가목록표!A372),"대가369 →")</f>
        <v>대가369 →</v>
      </c>
    </row>
    <row r="1485" spans="1:26" ht="28.7" customHeight="1" x14ac:dyDescent="0.3">
      <c r="A1485" s="10" t="s">
        <v>877</v>
      </c>
      <c r="B1485" s="10" t="s">
        <v>881</v>
      </c>
      <c r="C1485" s="75">
        <v>1</v>
      </c>
      <c r="D1485" s="31" t="s">
        <v>14</v>
      </c>
      <c r="E1485" s="55">
        <f>I1485+G1485+K1485</f>
        <v>178040</v>
      </c>
      <c r="F1485" s="76">
        <f>J1485+H1485+L1485</f>
        <v>178040</v>
      </c>
      <c r="G1485" s="78">
        <f>일위대가목록표!F360</f>
        <v>178040</v>
      </c>
      <c r="H1485" s="80">
        <f>IF(C1485=0,0,ROUNDDOWN(G1485*C1485,1))</f>
        <v>178040</v>
      </c>
      <c r="I1485" s="78">
        <f>일위대가목록표!G360</f>
        <v>0</v>
      </c>
      <c r="J1485" s="80">
        <f>IF(C1485=0,0,ROUNDDOWN(I1485*C1485,1))</f>
        <v>0</v>
      </c>
      <c r="K1485" s="78">
        <f>일위대가목록표!H360</f>
        <v>0</v>
      </c>
      <c r="L1485" s="80">
        <f>IF(C1485=0,0,ROUNDDOWN(K1485*C1485,1))</f>
        <v>0</v>
      </c>
      <c r="M1485" s="22" t="s">
        <v>4414</v>
      </c>
      <c r="N1485" s="17" t="s">
        <v>6831</v>
      </c>
      <c r="O1485" s="7" t="s">
        <v>4412</v>
      </c>
      <c r="P1485" s="7" t="s">
        <v>6406</v>
      </c>
      <c r="Z1485" s="3" t="str">
        <f ca="1">HYPERLINK("#"&amp;일위대가목록표!J2&amp;"!A"&amp;ROW(일위대가목록표!A360),"대가357 →")</f>
        <v>대가357 →</v>
      </c>
    </row>
    <row r="1486" spans="1:26" ht="28.7" customHeight="1" x14ac:dyDescent="0.3">
      <c r="A1486" s="22" t="s">
        <v>6</v>
      </c>
      <c r="B1486" s="74"/>
      <c r="C1486" s="74"/>
      <c r="D1486" s="74"/>
      <c r="E1486" s="74"/>
      <c r="F1486" s="48">
        <f>J1486+H1486+L1486</f>
        <v>249256</v>
      </c>
      <c r="G1486" s="74"/>
      <c r="H1486" s="48">
        <f>ROUNDDOWN(SUMIF(P1483:P1485,O1486,H1483:H1485),0)</f>
        <v>249256</v>
      </c>
      <c r="I1486" s="74"/>
      <c r="J1486" s="48">
        <f>ROUNDDOWN(SUMIF(P1483:P1485,O1486,J1483:J1485),0)</f>
        <v>0</v>
      </c>
      <c r="K1486" s="74"/>
      <c r="L1486" s="48">
        <f>ROUNDDOWN(SUMIF(P1483:P1485,O1486,L1483:L1485),0)</f>
        <v>0</v>
      </c>
      <c r="M1486" s="74"/>
      <c r="O1486" s="7" t="s">
        <v>6406</v>
      </c>
    </row>
    <row r="1487" spans="1:26" ht="28.7" customHeight="1" x14ac:dyDescent="0.3">
      <c r="A1487" s="73"/>
      <c r="B1487" s="73"/>
      <c r="C1487" s="73"/>
      <c r="D1487" s="73"/>
      <c r="E1487" s="73"/>
      <c r="F1487" s="73"/>
      <c r="G1487" s="73"/>
      <c r="H1487" s="73"/>
      <c r="I1487" s="73"/>
      <c r="J1487" s="73"/>
      <c r="K1487" s="73"/>
      <c r="L1487" s="73"/>
      <c r="M1487" s="73"/>
    </row>
    <row r="1488" spans="1:26" ht="28.7" customHeight="1" x14ac:dyDescent="0.3">
      <c r="A1488" s="136" t="s">
        <v>845</v>
      </c>
      <c r="B1488" s="127"/>
      <c r="C1488" s="127"/>
      <c r="D1488" s="127"/>
      <c r="E1488" s="127"/>
      <c r="F1488" s="127"/>
      <c r="G1488" s="127"/>
      <c r="H1488" s="127"/>
      <c r="I1488" s="127"/>
      <c r="J1488" s="127"/>
      <c r="K1488" s="127"/>
      <c r="L1488" s="144"/>
      <c r="M1488" s="22" t="s">
        <v>7491</v>
      </c>
      <c r="N1488" s="84" t="str">
        <f>HYPERLINK("#N"&amp;ROW(N1491),"_x0005_`BDCOD|B04814_x0007_`POSS|"&amp;ROW(N1489)&amp;"_x0007_`POSE|"&amp;ROW(N1491)&amp;"_x0007_`")</f>
        <v>_x0005_`BDCOD|B04814_x0007_`POSS|1489_x0007_`POSE|1491_x0007_`</v>
      </c>
      <c r="O1488" s="7" t="s">
        <v>7492</v>
      </c>
    </row>
    <row r="1489" spans="1:26" ht="28.7" customHeight="1" x14ac:dyDescent="0.3">
      <c r="A1489" s="10"/>
      <c r="B1489" s="10" t="s">
        <v>7488</v>
      </c>
      <c r="C1489" s="75">
        <v>0</v>
      </c>
      <c r="D1489" s="31"/>
      <c r="E1489" s="33">
        <v>0</v>
      </c>
      <c r="F1489" s="11">
        <v>0</v>
      </c>
      <c r="G1489" s="42"/>
      <c r="H1489" s="11">
        <v>0</v>
      </c>
      <c r="I1489" s="42"/>
      <c r="J1489" s="33">
        <v>0</v>
      </c>
      <c r="K1489" s="46"/>
      <c r="L1489" s="33">
        <v>0</v>
      </c>
      <c r="M1489" s="22" t="s">
        <v>6509</v>
      </c>
      <c r="N1489" s="17" t="s">
        <v>6507</v>
      </c>
      <c r="O1489" s="7" t="s">
        <v>6508</v>
      </c>
      <c r="P1489" s="7" t="s">
        <v>6508</v>
      </c>
    </row>
    <row r="1490" spans="1:26" ht="28.7" customHeight="1" x14ac:dyDescent="0.3">
      <c r="A1490" s="10" t="s">
        <v>914</v>
      </c>
      <c r="B1490" s="10" t="s">
        <v>921</v>
      </c>
      <c r="C1490" s="75">
        <v>1</v>
      </c>
      <c r="D1490" s="31" t="s">
        <v>14</v>
      </c>
      <c r="E1490" s="55">
        <f>I1490+G1490+K1490</f>
        <v>83085</v>
      </c>
      <c r="F1490" s="76">
        <f>J1490+H1490+L1490</f>
        <v>83085</v>
      </c>
      <c r="G1490" s="78">
        <f>일위대가목록표!F373</f>
        <v>83085</v>
      </c>
      <c r="H1490" s="80">
        <f>IF(C1490=0,0,ROUNDDOWN(G1490*C1490,1))</f>
        <v>83085</v>
      </c>
      <c r="I1490" s="78">
        <f>일위대가목록표!G373</f>
        <v>0</v>
      </c>
      <c r="J1490" s="80">
        <f>IF(C1490=0,0,ROUNDDOWN(I1490*C1490,1))</f>
        <v>0</v>
      </c>
      <c r="K1490" s="78">
        <f>일위대가목록표!H373</f>
        <v>0</v>
      </c>
      <c r="L1490" s="80">
        <f>IF(C1490=0,0,ROUNDDOWN(K1490*C1490,1))</f>
        <v>0</v>
      </c>
      <c r="M1490" s="22" t="s">
        <v>4453</v>
      </c>
      <c r="N1490" s="17" t="s">
        <v>6869</v>
      </c>
      <c r="O1490" s="7" t="s">
        <v>4451</v>
      </c>
      <c r="P1490" s="7" t="s">
        <v>6406</v>
      </c>
      <c r="Z1490" s="3" t="str">
        <f ca="1">HYPERLINK("#"&amp;일위대가목록표!J2&amp;"!A"&amp;ROW(일위대가목록표!A373),"대가370 →")</f>
        <v>대가370 →</v>
      </c>
    </row>
    <row r="1491" spans="1:26" ht="28.7" customHeight="1" x14ac:dyDescent="0.3">
      <c r="A1491" s="10" t="s">
        <v>877</v>
      </c>
      <c r="B1491" s="10" t="s">
        <v>884</v>
      </c>
      <c r="C1491" s="75">
        <v>1</v>
      </c>
      <c r="D1491" s="31" t="s">
        <v>14</v>
      </c>
      <c r="E1491" s="55">
        <f>I1491+G1491+K1491</f>
        <v>207714</v>
      </c>
      <c r="F1491" s="76">
        <f>J1491+H1491+L1491</f>
        <v>207714</v>
      </c>
      <c r="G1491" s="78">
        <f>일위대가목록표!F361</f>
        <v>207714</v>
      </c>
      <c r="H1491" s="80">
        <f>IF(C1491=0,0,ROUNDDOWN(G1491*C1491,1))</f>
        <v>207714</v>
      </c>
      <c r="I1491" s="78">
        <f>일위대가목록표!G361</f>
        <v>0</v>
      </c>
      <c r="J1491" s="80">
        <f>IF(C1491=0,0,ROUNDDOWN(I1491*C1491,1))</f>
        <v>0</v>
      </c>
      <c r="K1491" s="78">
        <f>일위대가목록표!H361</f>
        <v>0</v>
      </c>
      <c r="L1491" s="80">
        <f>IF(C1491=0,0,ROUNDDOWN(K1491*C1491,1))</f>
        <v>0</v>
      </c>
      <c r="M1491" s="22" t="s">
        <v>4417</v>
      </c>
      <c r="N1491" s="17" t="s">
        <v>6834</v>
      </c>
      <c r="O1491" s="7" t="s">
        <v>4415</v>
      </c>
      <c r="P1491" s="7" t="s">
        <v>6406</v>
      </c>
      <c r="Z1491" s="3" t="str">
        <f ca="1">HYPERLINK("#"&amp;일위대가목록표!J2&amp;"!A"&amp;ROW(일위대가목록표!A361),"대가358 →")</f>
        <v>대가358 →</v>
      </c>
    </row>
    <row r="1492" spans="1:26" ht="28.7" customHeight="1" x14ac:dyDescent="0.3">
      <c r="A1492" s="22" t="s">
        <v>6</v>
      </c>
      <c r="B1492" s="74"/>
      <c r="C1492" s="74"/>
      <c r="D1492" s="74"/>
      <c r="E1492" s="74"/>
      <c r="F1492" s="48">
        <f>J1492+H1492+L1492</f>
        <v>290799</v>
      </c>
      <c r="G1492" s="74"/>
      <c r="H1492" s="48">
        <f>ROUNDDOWN(SUMIF(P1489:P1491,O1492,H1489:H1491),0)</f>
        <v>290799</v>
      </c>
      <c r="I1492" s="74"/>
      <c r="J1492" s="48">
        <f>ROUNDDOWN(SUMIF(P1489:P1491,O1492,J1489:J1491),0)</f>
        <v>0</v>
      </c>
      <c r="K1492" s="74"/>
      <c r="L1492" s="48">
        <f>ROUNDDOWN(SUMIF(P1489:P1491,O1492,L1489:L1491),0)</f>
        <v>0</v>
      </c>
      <c r="M1492" s="74"/>
      <c r="O1492" s="7" t="s">
        <v>6406</v>
      </c>
    </row>
    <row r="1493" spans="1:26" ht="28.7" customHeight="1" x14ac:dyDescent="0.3">
      <c r="A1493" s="73"/>
      <c r="B1493" s="73"/>
      <c r="C1493" s="73"/>
      <c r="D1493" s="73"/>
      <c r="E1493" s="73"/>
      <c r="F1493" s="73"/>
      <c r="G1493" s="73"/>
      <c r="H1493" s="73"/>
      <c r="I1493" s="73"/>
      <c r="J1493" s="73"/>
      <c r="K1493" s="73"/>
      <c r="L1493" s="73"/>
      <c r="M1493" s="73"/>
    </row>
    <row r="1494" spans="1:26" ht="28.7" customHeight="1" x14ac:dyDescent="0.3">
      <c r="A1494" s="136" t="s">
        <v>848</v>
      </c>
      <c r="B1494" s="127"/>
      <c r="C1494" s="127"/>
      <c r="D1494" s="127"/>
      <c r="E1494" s="127"/>
      <c r="F1494" s="127"/>
      <c r="G1494" s="127"/>
      <c r="H1494" s="127"/>
      <c r="I1494" s="127"/>
      <c r="J1494" s="127"/>
      <c r="K1494" s="127"/>
      <c r="L1494" s="144"/>
      <c r="M1494" s="22" t="s">
        <v>7493</v>
      </c>
      <c r="N1494" s="84" t="str">
        <f>HYPERLINK("#N"&amp;ROW(N1497),"_x0005_`BDCOD|B04815_x0007_`POSS|"&amp;ROW(N1495)&amp;"_x0007_`POSE|"&amp;ROW(N1497)&amp;"_x0007_`")</f>
        <v>_x0005_`BDCOD|B04815_x0007_`POSS|1495_x0007_`POSE|1497_x0007_`</v>
      </c>
      <c r="O1494" s="7" t="s">
        <v>7494</v>
      </c>
    </row>
    <row r="1495" spans="1:26" ht="28.7" customHeight="1" x14ac:dyDescent="0.3">
      <c r="A1495" s="10"/>
      <c r="B1495" s="10" t="s">
        <v>7488</v>
      </c>
      <c r="C1495" s="75">
        <v>0</v>
      </c>
      <c r="D1495" s="31"/>
      <c r="E1495" s="33">
        <v>0</v>
      </c>
      <c r="F1495" s="11">
        <v>0</v>
      </c>
      <c r="G1495" s="42"/>
      <c r="H1495" s="11">
        <v>0</v>
      </c>
      <c r="I1495" s="42"/>
      <c r="J1495" s="33">
        <v>0</v>
      </c>
      <c r="K1495" s="46"/>
      <c r="L1495" s="33">
        <v>0</v>
      </c>
      <c r="M1495" s="22" t="s">
        <v>6509</v>
      </c>
      <c r="N1495" s="17" t="s">
        <v>6507</v>
      </c>
      <c r="O1495" s="7" t="s">
        <v>6508</v>
      </c>
      <c r="P1495" s="7" t="s">
        <v>6508</v>
      </c>
    </row>
    <row r="1496" spans="1:26" ht="28.7" customHeight="1" x14ac:dyDescent="0.3">
      <c r="A1496" s="10" t="s">
        <v>914</v>
      </c>
      <c r="B1496" s="10" t="s">
        <v>924</v>
      </c>
      <c r="C1496" s="75">
        <v>1</v>
      </c>
      <c r="D1496" s="31" t="s">
        <v>14</v>
      </c>
      <c r="E1496" s="55">
        <f>I1496+G1496+K1496</f>
        <v>106824</v>
      </c>
      <c r="F1496" s="76">
        <f>J1496+H1496+L1496</f>
        <v>106824</v>
      </c>
      <c r="G1496" s="78">
        <f>일위대가목록표!F374</f>
        <v>106824</v>
      </c>
      <c r="H1496" s="80">
        <f>IF(C1496=0,0,ROUNDDOWN(G1496*C1496,1))</f>
        <v>106824</v>
      </c>
      <c r="I1496" s="78">
        <f>일위대가목록표!G374</f>
        <v>0</v>
      </c>
      <c r="J1496" s="80">
        <f>IF(C1496=0,0,ROUNDDOWN(I1496*C1496,1))</f>
        <v>0</v>
      </c>
      <c r="K1496" s="78">
        <f>일위대가목록표!H374</f>
        <v>0</v>
      </c>
      <c r="L1496" s="80">
        <f>IF(C1496=0,0,ROUNDDOWN(K1496*C1496,1))</f>
        <v>0</v>
      </c>
      <c r="M1496" s="22" t="s">
        <v>4456</v>
      </c>
      <c r="N1496" s="17" t="s">
        <v>6872</v>
      </c>
      <c r="O1496" s="7" t="s">
        <v>4454</v>
      </c>
      <c r="P1496" s="7" t="s">
        <v>6406</v>
      </c>
      <c r="Z1496" s="3" t="str">
        <f ca="1">HYPERLINK("#"&amp;일위대가목록표!J2&amp;"!A"&amp;ROW(일위대가목록표!A374),"대가371 →")</f>
        <v>대가371 →</v>
      </c>
    </row>
    <row r="1497" spans="1:26" ht="28.7" customHeight="1" x14ac:dyDescent="0.3">
      <c r="A1497" s="10" t="s">
        <v>877</v>
      </c>
      <c r="B1497" s="10" t="s">
        <v>887</v>
      </c>
      <c r="C1497" s="75">
        <v>1</v>
      </c>
      <c r="D1497" s="31" t="s">
        <v>14</v>
      </c>
      <c r="E1497" s="55">
        <f>I1497+G1497+K1497</f>
        <v>267061</v>
      </c>
      <c r="F1497" s="76">
        <f>J1497+H1497+L1497</f>
        <v>267061</v>
      </c>
      <c r="G1497" s="78">
        <f>일위대가목록표!F362</f>
        <v>267061</v>
      </c>
      <c r="H1497" s="80">
        <f>IF(C1497=0,0,ROUNDDOWN(G1497*C1497,1))</f>
        <v>267061</v>
      </c>
      <c r="I1497" s="78">
        <f>일위대가목록표!G362</f>
        <v>0</v>
      </c>
      <c r="J1497" s="80">
        <f>IF(C1497=0,0,ROUNDDOWN(I1497*C1497,1))</f>
        <v>0</v>
      </c>
      <c r="K1497" s="78">
        <f>일위대가목록표!H362</f>
        <v>0</v>
      </c>
      <c r="L1497" s="80">
        <f>IF(C1497=0,0,ROUNDDOWN(K1497*C1497,1))</f>
        <v>0</v>
      </c>
      <c r="M1497" s="22" t="s">
        <v>4420</v>
      </c>
      <c r="N1497" s="17" t="s">
        <v>6837</v>
      </c>
      <c r="O1497" s="7" t="s">
        <v>4418</v>
      </c>
      <c r="P1497" s="7" t="s">
        <v>6406</v>
      </c>
      <c r="Z1497" s="3" t="str">
        <f ca="1">HYPERLINK("#"&amp;일위대가목록표!J2&amp;"!A"&amp;ROW(일위대가목록표!A362),"대가359 →")</f>
        <v>대가359 →</v>
      </c>
    </row>
    <row r="1498" spans="1:26" ht="28.7" customHeight="1" x14ac:dyDescent="0.3">
      <c r="A1498" s="22" t="s">
        <v>6</v>
      </c>
      <c r="B1498" s="74"/>
      <c r="C1498" s="74"/>
      <c r="D1498" s="74"/>
      <c r="E1498" s="74"/>
      <c r="F1498" s="48">
        <f>J1498+H1498+L1498</f>
        <v>373885</v>
      </c>
      <c r="G1498" s="74"/>
      <c r="H1498" s="48">
        <f>ROUNDDOWN(SUMIF(P1495:P1497,O1498,H1495:H1497),0)</f>
        <v>373885</v>
      </c>
      <c r="I1498" s="74"/>
      <c r="J1498" s="48">
        <f>ROUNDDOWN(SUMIF(P1495:P1497,O1498,J1495:J1497),0)</f>
        <v>0</v>
      </c>
      <c r="K1498" s="74"/>
      <c r="L1498" s="48">
        <f>ROUNDDOWN(SUMIF(P1495:P1497,O1498,L1495:L1497),0)</f>
        <v>0</v>
      </c>
      <c r="M1498" s="74"/>
      <c r="O1498" s="7" t="s">
        <v>6406</v>
      </c>
    </row>
    <row r="1499" spans="1:26" ht="28.7" customHeight="1" x14ac:dyDescent="0.3">
      <c r="A1499" s="73"/>
      <c r="B1499" s="73"/>
      <c r="C1499" s="73"/>
      <c r="D1499" s="73"/>
      <c r="E1499" s="73"/>
      <c r="F1499" s="73"/>
      <c r="G1499" s="73"/>
      <c r="H1499" s="73"/>
      <c r="I1499" s="73"/>
      <c r="J1499" s="73"/>
      <c r="K1499" s="73"/>
      <c r="L1499" s="73"/>
      <c r="M1499" s="73"/>
    </row>
    <row r="1500" spans="1:26" ht="28.7" customHeight="1" x14ac:dyDescent="0.3">
      <c r="A1500" s="136" t="s">
        <v>851</v>
      </c>
      <c r="B1500" s="127"/>
      <c r="C1500" s="127"/>
      <c r="D1500" s="127"/>
      <c r="E1500" s="127"/>
      <c r="F1500" s="127"/>
      <c r="G1500" s="127"/>
      <c r="H1500" s="127"/>
      <c r="I1500" s="127"/>
      <c r="J1500" s="127"/>
      <c r="K1500" s="127"/>
      <c r="L1500" s="144"/>
      <c r="M1500" s="22" t="s">
        <v>7495</v>
      </c>
      <c r="N1500" s="84" t="str">
        <f>HYPERLINK("#N"&amp;ROW(N1503),"_x0005_`BDCOD|B04816_x0007_`POSS|"&amp;ROW(N1501)&amp;"_x0007_`POSE|"&amp;ROW(N1503)&amp;"_x0007_`")</f>
        <v>_x0005_`BDCOD|B04816_x0007_`POSS|1501_x0007_`POSE|1503_x0007_`</v>
      </c>
      <c r="O1500" s="7" t="s">
        <v>7496</v>
      </c>
    </row>
    <row r="1501" spans="1:26" ht="28.7" customHeight="1" x14ac:dyDescent="0.3">
      <c r="A1501" s="10"/>
      <c r="B1501" s="10" t="s">
        <v>7488</v>
      </c>
      <c r="C1501" s="75">
        <v>0</v>
      </c>
      <c r="D1501" s="31"/>
      <c r="E1501" s="33">
        <v>0</v>
      </c>
      <c r="F1501" s="11">
        <v>0</v>
      </c>
      <c r="G1501" s="42"/>
      <c r="H1501" s="11">
        <v>0</v>
      </c>
      <c r="I1501" s="42"/>
      <c r="J1501" s="33">
        <v>0</v>
      </c>
      <c r="K1501" s="46"/>
      <c r="L1501" s="33">
        <v>0</v>
      </c>
      <c r="M1501" s="22" t="s">
        <v>6509</v>
      </c>
      <c r="N1501" s="17" t="s">
        <v>6507</v>
      </c>
      <c r="O1501" s="7" t="s">
        <v>6508</v>
      </c>
      <c r="P1501" s="7" t="s">
        <v>6508</v>
      </c>
    </row>
    <row r="1502" spans="1:26" ht="28.7" customHeight="1" x14ac:dyDescent="0.3">
      <c r="A1502" s="10" t="s">
        <v>914</v>
      </c>
      <c r="B1502" s="10" t="s">
        <v>927</v>
      </c>
      <c r="C1502" s="75">
        <v>1</v>
      </c>
      <c r="D1502" s="31" t="s">
        <v>14</v>
      </c>
      <c r="E1502" s="55">
        <f>I1502+G1502+K1502</f>
        <v>130563</v>
      </c>
      <c r="F1502" s="76">
        <f>J1502+H1502+L1502</f>
        <v>130563</v>
      </c>
      <c r="G1502" s="78">
        <f>일위대가목록표!F375</f>
        <v>130563</v>
      </c>
      <c r="H1502" s="80">
        <f>IF(C1502=0,0,ROUNDDOWN(G1502*C1502,1))</f>
        <v>130563</v>
      </c>
      <c r="I1502" s="78">
        <f>일위대가목록표!G375</f>
        <v>0</v>
      </c>
      <c r="J1502" s="80">
        <f>IF(C1502=0,0,ROUNDDOWN(I1502*C1502,1))</f>
        <v>0</v>
      </c>
      <c r="K1502" s="78">
        <f>일위대가목록표!H375</f>
        <v>0</v>
      </c>
      <c r="L1502" s="80">
        <f>IF(C1502=0,0,ROUNDDOWN(K1502*C1502,1))</f>
        <v>0</v>
      </c>
      <c r="M1502" s="22" t="s">
        <v>4459</v>
      </c>
      <c r="N1502" s="17" t="s">
        <v>6875</v>
      </c>
      <c r="O1502" s="7" t="s">
        <v>4457</v>
      </c>
      <c r="P1502" s="7" t="s">
        <v>6406</v>
      </c>
      <c r="Z1502" s="3" t="str">
        <f ca="1">HYPERLINK("#"&amp;일위대가목록표!J2&amp;"!A"&amp;ROW(일위대가목록표!A375),"대가372 →")</f>
        <v>대가372 →</v>
      </c>
    </row>
    <row r="1503" spans="1:26" ht="28.7" customHeight="1" x14ac:dyDescent="0.3">
      <c r="A1503" s="10" t="s">
        <v>877</v>
      </c>
      <c r="B1503" s="10" t="s">
        <v>890</v>
      </c>
      <c r="C1503" s="75">
        <v>1</v>
      </c>
      <c r="D1503" s="31" t="s">
        <v>14</v>
      </c>
      <c r="E1503" s="55">
        <f>I1503+G1503+K1503</f>
        <v>326408</v>
      </c>
      <c r="F1503" s="76">
        <f>J1503+H1503+L1503</f>
        <v>326408</v>
      </c>
      <c r="G1503" s="78">
        <f>일위대가목록표!F363</f>
        <v>326408</v>
      </c>
      <c r="H1503" s="80">
        <f>IF(C1503=0,0,ROUNDDOWN(G1503*C1503,1))</f>
        <v>326408</v>
      </c>
      <c r="I1503" s="78">
        <f>일위대가목록표!G363</f>
        <v>0</v>
      </c>
      <c r="J1503" s="80">
        <f>IF(C1503=0,0,ROUNDDOWN(I1503*C1503,1))</f>
        <v>0</v>
      </c>
      <c r="K1503" s="78">
        <f>일위대가목록표!H363</f>
        <v>0</v>
      </c>
      <c r="L1503" s="80">
        <f>IF(C1503=0,0,ROUNDDOWN(K1503*C1503,1))</f>
        <v>0</v>
      </c>
      <c r="M1503" s="22" t="s">
        <v>4423</v>
      </c>
      <c r="N1503" s="17" t="s">
        <v>6840</v>
      </c>
      <c r="O1503" s="7" t="s">
        <v>4421</v>
      </c>
      <c r="P1503" s="7" t="s">
        <v>6406</v>
      </c>
      <c r="Z1503" s="3" t="str">
        <f ca="1">HYPERLINK("#"&amp;일위대가목록표!J2&amp;"!A"&amp;ROW(일위대가목록표!A363),"대가360 →")</f>
        <v>대가360 →</v>
      </c>
    </row>
    <row r="1504" spans="1:26" ht="28.7" customHeight="1" x14ac:dyDescent="0.3">
      <c r="A1504" s="22" t="s">
        <v>6</v>
      </c>
      <c r="B1504" s="74"/>
      <c r="C1504" s="74"/>
      <c r="D1504" s="74"/>
      <c r="E1504" s="74"/>
      <c r="F1504" s="48">
        <f>J1504+H1504+L1504</f>
        <v>456971</v>
      </c>
      <c r="G1504" s="74"/>
      <c r="H1504" s="48">
        <f>ROUNDDOWN(SUMIF(P1501:P1503,O1504,H1501:H1503),0)</f>
        <v>456971</v>
      </c>
      <c r="I1504" s="74"/>
      <c r="J1504" s="48">
        <f>ROUNDDOWN(SUMIF(P1501:P1503,O1504,J1501:J1503),0)</f>
        <v>0</v>
      </c>
      <c r="K1504" s="74"/>
      <c r="L1504" s="48">
        <f>ROUNDDOWN(SUMIF(P1501:P1503,O1504,L1501:L1503),0)</f>
        <v>0</v>
      </c>
      <c r="M1504" s="74"/>
      <c r="O1504" s="7" t="s">
        <v>6406</v>
      </c>
    </row>
    <row r="1505" spans="1:26" ht="28.7" customHeight="1" x14ac:dyDescent="0.3">
      <c r="A1505" s="73"/>
      <c r="B1505" s="73"/>
      <c r="C1505" s="73"/>
      <c r="D1505" s="73"/>
      <c r="E1505" s="73"/>
      <c r="F1505" s="73"/>
      <c r="G1505" s="73"/>
      <c r="H1505" s="73"/>
      <c r="I1505" s="73"/>
      <c r="J1505" s="73"/>
      <c r="K1505" s="73"/>
      <c r="L1505" s="73"/>
      <c r="M1505" s="73"/>
    </row>
    <row r="1506" spans="1:26" ht="28.7" customHeight="1" x14ac:dyDescent="0.3">
      <c r="A1506" s="136" t="s">
        <v>854</v>
      </c>
      <c r="B1506" s="127"/>
      <c r="C1506" s="127"/>
      <c r="D1506" s="127"/>
      <c r="E1506" s="127"/>
      <c r="F1506" s="127"/>
      <c r="G1506" s="127"/>
      <c r="H1506" s="127"/>
      <c r="I1506" s="127"/>
      <c r="J1506" s="127"/>
      <c r="K1506" s="127"/>
      <c r="L1506" s="144"/>
      <c r="M1506" s="22" t="s">
        <v>7497</v>
      </c>
      <c r="N1506" s="84" t="str">
        <f>HYPERLINK("#N"&amp;ROW(N1509),"_x0005_`BDCOD|B04817_x0007_`POSS|"&amp;ROW(N1507)&amp;"_x0007_`POSE|"&amp;ROW(N1509)&amp;"_x0007_`")</f>
        <v>_x0005_`BDCOD|B04817_x0007_`POSS|1507_x0007_`POSE|1509_x0007_`</v>
      </c>
      <c r="O1506" s="7" t="s">
        <v>7498</v>
      </c>
    </row>
    <row r="1507" spans="1:26" ht="28.7" customHeight="1" x14ac:dyDescent="0.3">
      <c r="A1507" s="10"/>
      <c r="B1507" s="10" t="s">
        <v>7488</v>
      </c>
      <c r="C1507" s="75">
        <v>0</v>
      </c>
      <c r="D1507" s="31"/>
      <c r="E1507" s="33">
        <v>0</v>
      </c>
      <c r="F1507" s="11">
        <v>0</v>
      </c>
      <c r="G1507" s="42"/>
      <c r="H1507" s="11">
        <v>0</v>
      </c>
      <c r="I1507" s="42"/>
      <c r="J1507" s="33">
        <v>0</v>
      </c>
      <c r="K1507" s="46"/>
      <c r="L1507" s="33">
        <v>0</v>
      </c>
      <c r="M1507" s="22" t="s">
        <v>6509</v>
      </c>
      <c r="N1507" s="17" t="s">
        <v>6507</v>
      </c>
      <c r="O1507" s="7" t="s">
        <v>6508</v>
      </c>
      <c r="P1507" s="7" t="s">
        <v>6508</v>
      </c>
    </row>
    <row r="1508" spans="1:26" ht="28.7" customHeight="1" x14ac:dyDescent="0.3">
      <c r="A1508" s="10" t="s">
        <v>914</v>
      </c>
      <c r="B1508" s="10" t="s">
        <v>930</v>
      </c>
      <c r="C1508" s="75">
        <v>1</v>
      </c>
      <c r="D1508" s="31" t="s">
        <v>14</v>
      </c>
      <c r="E1508" s="55">
        <f>I1508+G1508+K1508</f>
        <v>166171</v>
      </c>
      <c r="F1508" s="76">
        <f>J1508+H1508+L1508</f>
        <v>166171</v>
      </c>
      <c r="G1508" s="78">
        <f>일위대가목록표!F376</f>
        <v>166171</v>
      </c>
      <c r="H1508" s="80">
        <f>IF(C1508=0,0,ROUNDDOWN(G1508*C1508,1))</f>
        <v>166171</v>
      </c>
      <c r="I1508" s="78">
        <f>일위대가목록표!G376</f>
        <v>0</v>
      </c>
      <c r="J1508" s="80">
        <f>IF(C1508=0,0,ROUNDDOWN(I1508*C1508,1))</f>
        <v>0</v>
      </c>
      <c r="K1508" s="78">
        <f>일위대가목록표!H376</f>
        <v>0</v>
      </c>
      <c r="L1508" s="80">
        <f>IF(C1508=0,0,ROUNDDOWN(K1508*C1508,1))</f>
        <v>0</v>
      </c>
      <c r="M1508" s="22" t="s">
        <v>4462</v>
      </c>
      <c r="N1508" s="17" t="s">
        <v>6878</v>
      </c>
      <c r="O1508" s="7" t="s">
        <v>4460</v>
      </c>
      <c r="P1508" s="7" t="s">
        <v>6406</v>
      </c>
      <c r="Z1508" s="3" t="str">
        <f ca="1">HYPERLINK("#"&amp;일위대가목록표!J2&amp;"!A"&amp;ROW(일위대가목록표!A376),"대가373 →")</f>
        <v>대가373 →</v>
      </c>
    </row>
    <row r="1509" spans="1:26" ht="28.7" customHeight="1" x14ac:dyDescent="0.3">
      <c r="A1509" s="10" t="s">
        <v>877</v>
      </c>
      <c r="B1509" s="10" t="s">
        <v>893</v>
      </c>
      <c r="C1509" s="75">
        <v>1</v>
      </c>
      <c r="D1509" s="31" t="s">
        <v>14</v>
      </c>
      <c r="E1509" s="55">
        <f>I1509+G1509+K1509</f>
        <v>415428</v>
      </c>
      <c r="F1509" s="76">
        <f>J1509+H1509+L1509</f>
        <v>415428</v>
      </c>
      <c r="G1509" s="78">
        <f>일위대가목록표!F364</f>
        <v>415428</v>
      </c>
      <c r="H1509" s="80">
        <f>IF(C1509=0,0,ROUNDDOWN(G1509*C1509,1))</f>
        <v>415428</v>
      </c>
      <c r="I1509" s="78">
        <f>일위대가목록표!G364</f>
        <v>0</v>
      </c>
      <c r="J1509" s="80">
        <f>IF(C1509=0,0,ROUNDDOWN(I1509*C1509,1))</f>
        <v>0</v>
      </c>
      <c r="K1509" s="78">
        <f>일위대가목록표!H364</f>
        <v>0</v>
      </c>
      <c r="L1509" s="80">
        <f>IF(C1509=0,0,ROUNDDOWN(K1509*C1509,1))</f>
        <v>0</v>
      </c>
      <c r="M1509" s="22" t="s">
        <v>4426</v>
      </c>
      <c r="N1509" s="17" t="s">
        <v>6843</v>
      </c>
      <c r="O1509" s="7" t="s">
        <v>4424</v>
      </c>
      <c r="P1509" s="7" t="s">
        <v>6406</v>
      </c>
      <c r="Z1509" s="3" t="str">
        <f ca="1">HYPERLINK("#"&amp;일위대가목록표!J2&amp;"!A"&amp;ROW(일위대가목록표!A364),"대가361 →")</f>
        <v>대가361 →</v>
      </c>
    </row>
    <row r="1510" spans="1:26" ht="28.7" customHeight="1" x14ac:dyDescent="0.3">
      <c r="A1510" s="22" t="s">
        <v>6</v>
      </c>
      <c r="B1510" s="74"/>
      <c r="C1510" s="74"/>
      <c r="D1510" s="74"/>
      <c r="E1510" s="74"/>
      <c r="F1510" s="48">
        <f>J1510+H1510+L1510</f>
        <v>581599</v>
      </c>
      <c r="G1510" s="74"/>
      <c r="H1510" s="48">
        <f>ROUNDDOWN(SUMIF(P1507:P1509,O1510,H1507:H1509),0)</f>
        <v>581599</v>
      </c>
      <c r="I1510" s="74"/>
      <c r="J1510" s="48">
        <f>ROUNDDOWN(SUMIF(P1507:P1509,O1510,J1507:J1509),0)</f>
        <v>0</v>
      </c>
      <c r="K1510" s="74"/>
      <c r="L1510" s="48">
        <f>ROUNDDOWN(SUMIF(P1507:P1509,O1510,L1507:L1509),0)</f>
        <v>0</v>
      </c>
      <c r="M1510" s="74"/>
      <c r="O1510" s="7" t="s">
        <v>6406</v>
      </c>
    </row>
    <row r="1511" spans="1:26" ht="28.7" customHeight="1" x14ac:dyDescent="0.3">
      <c r="A1511" s="73"/>
      <c r="B1511" s="73"/>
      <c r="C1511" s="73"/>
      <c r="D1511" s="73"/>
      <c r="E1511" s="73"/>
      <c r="F1511" s="73"/>
      <c r="G1511" s="73"/>
      <c r="H1511" s="73"/>
      <c r="I1511" s="73"/>
      <c r="J1511" s="73"/>
      <c r="K1511" s="73"/>
      <c r="L1511" s="73"/>
      <c r="M1511" s="73"/>
    </row>
    <row r="1512" spans="1:26" ht="28.7" customHeight="1" x14ac:dyDescent="0.3">
      <c r="A1512" s="136" t="s">
        <v>857</v>
      </c>
      <c r="B1512" s="127"/>
      <c r="C1512" s="127"/>
      <c r="D1512" s="127"/>
      <c r="E1512" s="127"/>
      <c r="F1512" s="127"/>
      <c r="G1512" s="127"/>
      <c r="H1512" s="127"/>
      <c r="I1512" s="127"/>
      <c r="J1512" s="127"/>
      <c r="K1512" s="127"/>
      <c r="L1512" s="144"/>
      <c r="M1512" s="22" t="s">
        <v>7499</v>
      </c>
      <c r="N1512" s="84" t="str">
        <f>HYPERLINK("#N"&amp;ROW(N1515),"_x0005_`BDCOD|B04818_x0007_`POSS|"&amp;ROW(N1513)&amp;"_x0007_`POSE|"&amp;ROW(N1515)&amp;"_x0007_`")</f>
        <v>_x0005_`BDCOD|B04818_x0007_`POSS|1513_x0007_`POSE|1515_x0007_`</v>
      </c>
      <c r="O1512" s="7" t="s">
        <v>7500</v>
      </c>
    </row>
    <row r="1513" spans="1:26" ht="28.7" customHeight="1" x14ac:dyDescent="0.3">
      <c r="A1513" s="10"/>
      <c r="B1513" s="10" t="s">
        <v>7488</v>
      </c>
      <c r="C1513" s="75">
        <v>0</v>
      </c>
      <c r="D1513" s="31"/>
      <c r="E1513" s="33">
        <v>0</v>
      </c>
      <c r="F1513" s="11">
        <v>0</v>
      </c>
      <c r="G1513" s="42"/>
      <c r="H1513" s="11">
        <v>0</v>
      </c>
      <c r="I1513" s="42"/>
      <c r="J1513" s="33">
        <v>0</v>
      </c>
      <c r="K1513" s="46"/>
      <c r="L1513" s="33">
        <v>0</v>
      </c>
      <c r="M1513" s="22" t="s">
        <v>6509</v>
      </c>
      <c r="N1513" s="17" t="s">
        <v>6507</v>
      </c>
      <c r="O1513" s="7" t="s">
        <v>6508</v>
      </c>
      <c r="P1513" s="7" t="s">
        <v>6508</v>
      </c>
    </row>
    <row r="1514" spans="1:26" ht="28.7" customHeight="1" x14ac:dyDescent="0.3">
      <c r="A1514" s="10" t="s">
        <v>914</v>
      </c>
      <c r="B1514" s="10" t="s">
        <v>933</v>
      </c>
      <c r="C1514" s="75">
        <v>1</v>
      </c>
      <c r="D1514" s="31" t="s">
        <v>14</v>
      </c>
      <c r="E1514" s="55">
        <f>I1514+G1514+K1514</f>
        <v>236308</v>
      </c>
      <c r="F1514" s="76">
        <f>J1514+H1514+L1514</f>
        <v>236308</v>
      </c>
      <c r="G1514" s="78">
        <f>일위대가목록표!F377</f>
        <v>236308</v>
      </c>
      <c r="H1514" s="80">
        <f>IF(C1514=0,0,ROUNDDOWN(G1514*C1514,1))</f>
        <v>236308</v>
      </c>
      <c r="I1514" s="78">
        <f>일위대가목록표!G377</f>
        <v>0</v>
      </c>
      <c r="J1514" s="80">
        <f>IF(C1514=0,0,ROUNDDOWN(I1514*C1514,1))</f>
        <v>0</v>
      </c>
      <c r="K1514" s="78">
        <f>일위대가목록표!H377</f>
        <v>0</v>
      </c>
      <c r="L1514" s="80">
        <f>IF(C1514=0,0,ROUNDDOWN(K1514*C1514,1))</f>
        <v>0</v>
      </c>
      <c r="M1514" s="22" t="s">
        <v>4465</v>
      </c>
      <c r="N1514" s="17" t="s">
        <v>6881</v>
      </c>
      <c r="O1514" s="7" t="s">
        <v>4463</v>
      </c>
      <c r="P1514" s="7" t="s">
        <v>6406</v>
      </c>
      <c r="Z1514" s="3" t="str">
        <f ca="1">HYPERLINK("#"&amp;일위대가목록표!J2&amp;"!A"&amp;ROW(일위대가목록표!A377),"대가374 →")</f>
        <v>대가374 →</v>
      </c>
    </row>
    <row r="1515" spans="1:26" ht="28.7" customHeight="1" x14ac:dyDescent="0.3">
      <c r="A1515" s="10" t="s">
        <v>877</v>
      </c>
      <c r="B1515" s="10" t="s">
        <v>896</v>
      </c>
      <c r="C1515" s="75">
        <v>1</v>
      </c>
      <c r="D1515" s="31" t="s">
        <v>14</v>
      </c>
      <c r="E1515" s="55">
        <f>I1515+G1515+K1515</f>
        <v>590772</v>
      </c>
      <c r="F1515" s="76">
        <f>J1515+H1515+L1515</f>
        <v>590772</v>
      </c>
      <c r="G1515" s="78">
        <f>일위대가목록표!F365</f>
        <v>590772</v>
      </c>
      <c r="H1515" s="80">
        <f>IF(C1515=0,0,ROUNDDOWN(G1515*C1515,1))</f>
        <v>590772</v>
      </c>
      <c r="I1515" s="78">
        <f>일위대가목록표!G365</f>
        <v>0</v>
      </c>
      <c r="J1515" s="80">
        <f>IF(C1515=0,0,ROUNDDOWN(I1515*C1515,1))</f>
        <v>0</v>
      </c>
      <c r="K1515" s="78">
        <f>일위대가목록표!H365</f>
        <v>0</v>
      </c>
      <c r="L1515" s="80">
        <f>IF(C1515=0,0,ROUNDDOWN(K1515*C1515,1))</f>
        <v>0</v>
      </c>
      <c r="M1515" s="22" t="s">
        <v>4429</v>
      </c>
      <c r="N1515" s="17" t="s">
        <v>6846</v>
      </c>
      <c r="O1515" s="7" t="s">
        <v>4427</v>
      </c>
      <c r="P1515" s="7" t="s">
        <v>6406</v>
      </c>
      <c r="Z1515" s="3" t="str">
        <f ca="1">HYPERLINK("#"&amp;일위대가목록표!J2&amp;"!A"&amp;ROW(일위대가목록표!A365),"대가362 →")</f>
        <v>대가362 →</v>
      </c>
    </row>
    <row r="1516" spans="1:26" ht="28.7" customHeight="1" x14ac:dyDescent="0.3">
      <c r="A1516" s="22" t="s">
        <v>6</v>
      </c>
      <c r="B1516" s="74"/>
      <c r="C1516" s="74"/>
      <c r="D1516" s="74"/>
      <c r="E1516" s="74"/>
      <c r="F1516" s="48">
        <f>J1516+H1516+L1516</f>
        <v>827080</v>
      </c>
      <c r="G1516" s="74"/>
      <c r="H1516" s="48">
        <f>ROUNDDOWN(SUMIF(P1513:P1515,O1516,H1513:H1515),0)</f>
        <v>827080</v>
      </c>
      <c r="I1516" s="74"/>
      <c r="J1516" s="48">
        <f>ROUNDDOWN(SUMIF(P1513:P1515,O1516,J1513:J1515),0)</f>
        <v>0</v>
      </c>
      <c r="K1516" s="74"/>
      <c r="L1516" s="48">
        <f>ROUNDDOWN(SUMIF(P1513:P1515,O1516,L1513:L1515),0)</f>
        <v>0</v>
      </c>
      <c r="M1516" s="74"/>
      <c r="O1516" s="7" t="s">
        <v>6406</v>
      </c>
    </row>
    <row r="1517" spans="1:26" ht="28.7" customHeight="1" x14ac:dyDescent="0.3">
      <c r="A1517" s="73"/>
      <c r="B1517" s="73"/>
      <c r="C1517" s="73"/>
      <c r="D1517" s="73"/>
      <c r="E1517" s="73"/>
      <c r="F1517" s="73"/>
      <c r="G1517" s="73"/>
      <c r="H1517" s="73"/>
      <c r="I1517" s="73"/>
      <c r="J1517" s="73"/>
      <c r="K1517" s="73"/>
      <c r="L1517" s="73"/>
      <c r="M1517" s="73"/>
    </row>
    <row r="1518" spans="1:26" ht="28.7" customHeight="1" x14ac:dyDescent="0.3">
      <c r="A1518" s="136" t="s">
        <v>860</v>
      </c>
      <c r="B1518" s="127"/>
      <c r="C1518" s="127"/>
      <c r="D1518" s="127"/>
      <c r="E1518" s="127"/>
      <c r="F1518" s="127"/>
      <c r="G1518" s="127"/>
      <c r="H1518" s="127"/>
      <c r="I1518" s="127"/>
      <c r="J1518" s="127"/>
      <c r="K1518" s="127"/>
      <c r="L1518" s="144"/>
      <c r="M1518" s="22" t="s">
        <v>7501</v>
      </c>
      <c r="N1518" s="84" t="str">
        <f>HYPERLINK("#N"&amp;ROW(N1521),"_x0005_`BDCOD|B04819_x0007_`POSS|"&amp;ROW(N1519)&amp;"_x0007_`POSE|"&amp;ROW(N1521)&amp;"_x0007_`")</f>
        <v>_x0005_`BDCOD|B04819_x0007_`POSS|1519_x0007_`POSE|1521_x0007_`</v>
      </c>
      <c r="O1518" s="7" t="s">
        <v>7502</v>
      </c>
    </row>
    <row r="1519" spans="1:26" ht="28.7" customHeight="1" x14ac:dyDescent="0.3">
      <c r="A1519" s="10"/>
      <c r="B1519" s="10" t="s">
        <v>7488</v>
      </c>
      <c r="C1519" s="75">
        <v>0</v>
      </c>
      <c r="D1519" s="31"/>
      <c r="E1519" s="33">
        <v>0</v>
      </c>
      <c r="F1519" s="11">
        <v>0</v>
      </c>
      <c r="G1519" s="42"/>
      <c r="H1519" s="11">
        <v>0</v>
      </c>
      <c r="I1519" s="42"/>
      <c r="J1519" s="33">
        <v>0</v>
      </c>
      <c r="K1519" s="46"/>
      <c r="L1519" s="33">
        <v>0</v>
      </c>
      <c r="M1519" s="22" t="s">
        <v>6509</v>
      </c>
      <c r="N1519" s="17" t="s">
        <v>6507</v>
      </c>
      <c r="O1519" s="7" t="s">
        <v>6508</v>
      </c>
      <c r="P1519" s="7" t="s">
        <v>6508</v>
      </c>
    </row>
    <row r="1520" spans="1:26" ht="28.7" customHeight="1" x14ac:dyDescent="0.3">
      <c r="A1520" s="10" t="s">
        <v>914</v>
      </c>
      <c r="B1520" s="10" t="s">
        <v>936</v>
      </c>
      <c r="C1520" s="75">
        <v>1</v>
      </c>
      <c r="D1520" s="31" t="s">
        <v>14</v>
      </c>
      <c r="E1520" s="55">
        <f>I1520+G1520+K1520</f>
        <v>307525</v>
      </c>
      <c r="F1520" s="76">
        <f>J1520+H1520+L1520</f>
        <v>307525</v>
      </c>
      <c r="G1520" s="78">
        <f>일위대가목록표!F378</f>
        <v>307525</v>
      </c>
      <c r="H1520" s="80">
        <f>IF(C1520=0,0,ROUNDDOWN(G1520*C1520,1))</f>
        <v>307525</v>
      </c>
      <c r="I1520" s="78">
        <f>일위대가목록표!G378</f>
        <v>0</v>
      </c>
      <c r="J1520" s="80">
        <f>IF(C1520=0,0,ROUNDDOWN(I1520*C1520,1))</f>
        <v>0</v>
      </c>
      <c r="K1520" s="78">
        <f>일위대가목록표!H378</f>
        <v>0</v>
      </c>
      <c r="L1520" s="80">
        <f>IF(C1520=0,0,ROUNDDOWN(K1520*C1520,1))</f>
        <v>0</v>
      </c>
      <c r="M1520" s="22" t="s">
        <v>4468</v>
      </c>
      <c r="N1520" s="17" t="s">
        <v>6884</v>
      </c>
      <c r="O1520" s="7" t="s">
        <v>4466</v>
      </c>
      <c r="P1520" s="7" t="s">
        <v>6406</v>
      </c>
      <c r="Z1520" s="3" t="str">
        <f ca="1">HYPERLINK("#"&amp;일위대가목록표!J2&amp;"!A"&amp;ROW(일위대가목록표!A378),"대가375 →")</f>
        <v>대가375 →</v>
      </c>
    </row>
    <row r="1521" spans="1:26" ht="28.7" customHeight="1" x14ac:dyDescent="0.3">
      <c r="A1521" s="10" t="s">
        <v>877</v>
      </c>
      <c r="B1521" s="10" t="s">
        <v>899</v>
      </c>
      <c r="C1521" s="75">
        <v>1</v>
      </c>
      <c r="D1521" s="31" t="s">
        <v>14</v>
      </c>
      <c r="E1521" s="55">
        <f>I1521+G1521+K1521</f>
        <v>768813</v>
      </c>
      <c r="F1521" s="76">
        <f>J1521+H1521+L1521</f>
        <v>768813</v>
      </c>
      <c r="G1521" s="78">
        <f>일위대가목록표!F366</f>
        <v>768813</v>
      </c>
      <c r="H1521" s="80">
        <f>IF(C1521=0,0,ROUNDDOWN(G1521*C1521,1))</f>
        <v>768813</v>
      </c>
      <c r="I1521" s="78">
        <f>일위대가목록표!G366</f>
        <v>0</v>
      </c>
      <c r="J1521" s="80">
        <f>IF(C1521=0,0,ROUNDDOWN(I1521*C1521,1))</f>
        <v>0</v>
      </c>
      <c r="K1521" s="78">
        <f>일위대가목록표!H366</f>
        <v>0</v>
      </c>
      <c r="L1521" s="80">
        <f>IF(C1521=0,0,ROUNDDOWN(K1521*C1521,1))</f>
        <v>0</v>
      </c>
      <c r="M1521" s="22" t="s">
        <v>4432</v>
      </c>
      <c r="N1521" s="17" t="s">
        <v>6849</v>
      </c>
      <c r="O1521" s="7" t="s">
        <v>4430</v>
      </c>
      <c r="P1521" s="7" t="s">
        <v>6406</v>
      </c>
      <c r="Z1521" s="3" t="str">
        <f ca="1">HYPERLINK("#"&amp;일위대가목록표!J2&amp;"!A"&amp;ROW(일위대가목록표!A366),"대가363 →")</f>
        <v>대가363 →</v>
      </c>
    </row>
    <row r="1522" spans="1:26" ht="28.7" customHeight="1" x14ac:dyDescent="0.3">
      <c r="A1522" s="22" t="s">
        <v>6</v>
      </c>
      <c r="B1522" s="74"/>
      <c r="C1522" s="74"/>
      <c r="D1522" s="74"/>
      <c r="E1522" s="74"/>
      <c r="F1522" s="48">
        <f>J1522+H1522+L1522</f>
        <v>1076338</v>
      </c>
      <c r="G1522" s="74"/>
      <c r="H1522" s="48">
        <f>ROUNDDOWN(SUMIF(P1519:P1521,O1522,H1519:H1521),0)</f>
        <v>1076338</v>
      </c>
      <c r="I1522" s="74"/>
      <c r="J1522" s="48">
        <f>ROUNDDOWN(SUMIF(P1519:P1521,O1522,J1519:J1521),0)</f>
        <v>0</v>
      </c>
      <c r="K1522" s="74"/>
      <c r="L1522" s="48">
        <f>ROUNDDOWN(SUMIF(P1519:P1521,O1522,L1519:L1521),0)</f>
        <v>0</v>
      </c>
      <c r="M1522" s="74"/>
      <c r="O1522" s="7" t="s">
        <v>6406</v>
      </c>
    </row>
    <row r="1523" spans="1:26" ht="28.7" customHeight="1" x14ac:dyDescent="0.3">
      <c r="A1523" s="73"/>
      <c r="B1523" s="73"/>
      <c r="C1523" s="73"/>
      <c r="D1523" s="73"/>
      <c r="E1523" s="73"/>
      <c r="F1523" s="73"/>
      <c r="G1523" s="73"/>
      <c r="H1523" s="73"/>
      <c r="I1523" s="73"/>
      <c r="J1523" s="73"/>
      <c r="K1523" s="73"/>
      <c r="L1523" s="73"/>
      <c r="M1523" s="73"/>
    </row>
    <row r="1524" spans="1:26" ht="28.7" customHeight="1" x14ac:dyDescent="0.3">
      <c r="A1524" s="136" t="s">
        <v>863</v>
      </c>
      <c r="B1524" s="127"/>
      <c r="C1524" s="127"/>
      <c r="D1524" s="127"/>
      <c r="E1524" s="127"/>
      <c r="F1524" s="127"/>
      <c r="G1524" s="127"/>
      <c r="H1524" s="127"/>
      <c r="I1524" s="127"/>
      <c r="J1524" s="127"/>
      <c r="K1524" s="127"/>
      <c r="L1524" s="144"/>
      <c r="M1524" s="22" t="s">
        <v>7503</v>
      </c>
      <c r="N1524" s="84" t="str">
        <f>HYPERLINK("#N"&amp;ROW(N1527),"_x0005_`BDCOD|B04820_x0007_`POSS|"&amp;ROW(N1525)&amp;"_x0007_`POSE|"&amp;ROW(N1527)&amp;"_x0007_`")</f>
        <v>_x0005_`BDCOD|B04820_x0007_`POSS|1525_x0007_`POSE|1527_x0007_`</v>
      </c>
      <c r="O1524" s="7" t="s">
        <v>7504</v>
      </c>
    </row>
    <row r="1525" spans="1:26" ht="28.7" customHeight="1" x14ac:dyDescent="0.3">
      <c r="A1525" s="10"/>
      <c r="B1525" s="10" t="s">
        <v>7488</v>
      </c>
      <c r="C1525" s="75">
        <v>0</v>
      </c>
      <c r="D1525" s="31"/>
      <c r="E1525" s="33">
        <v>0</v>
      </c>
      <c r="F1525" s="11">
        <v>0</v>
      </c>
      <c r="G1525" s="42"/>
      <c r="H1525" s="11">
        <v>0</v>
      </c>
      <c r="I1525" s="42"/>
      <c r="J1525" s="33">
        <v>0</v>
      </c>
      <c r="K1525" s="46"/>
      <c r="L1525" s="33">
        <v>0</v>
      </c>
      <c r="M1525" s="22" t="s">
        <v>6509</v>
      </c>
      <c r="N1525" s="17" t="s">
        <v>6507</v>
      </c>
      <c r="O1525" s="7" t="s">
        <v>6508</v>
      </c>
      <c r="P1525" s="7" t="s">
        <v>6508</v>
      </c>
    </row>
    <row r="1526" spans="1:26" ht="28.7" customHeight="1" x14ac:dyDescent="0.3">
      <c r="A1526" s="10" t="s">
        <v>914</v>
      </c>
      <c r="B1526" s="10" t="s">
        <v>939</v>
      </c>
      <c r="C1526" s="75">
        <v>1</v>
      </c>
      <c r="D1526" s="31" t="s">
        <v>14</v>
      </c>
      <c r="E1526" s="55">
        <f>I1526+G1526+K1526</f>
        <v>355002</v>
      </c>
      <c r="F1526" s="76">
        <f>J1526+H1526+L1526</f>
        <v>355002</v>
      </c>
      <c r="G1526" s="78">
        <f>일위대가목록표!F379</f>
        <v>355002</v>
      </c>
      <c r="H1526" s="80">
        <f>IF(C1526=0,0,ROUNDDOWN(G1526*C1526,1))</f>
        <v>355002</v>
      </c>
      <c r="I1526" s="78">
        <f>일위대가목록표!G379</f>
        <v>0</v>
      </c>
      <c r="J1526" s="80">
        <f>IF(C1526=0,0,ROUNDDOWN(I1526*C1526,1))</f>
        <v>0</v>
      </c>
      <c r="K1526" s="78">
        <f>일위대가목록표!H379</f>
        <v>0</v>
      </c>
      <c r="L1526" s="80">
        <f>IF(C1526=0,0,ROUNDDOWN(K1526*C1526,1))</f>
        <v>0</v>
      </c>
      <c r="M1526" s="22" t="s">
        <v>4471</v>
      </c>
      <c r="N1526" s="17" t="s">
        <v>6887</v>
      </c>
      <c r="O1526" s="7" t="s">
        <v>4469</v>
      </c>
      <c r="P1526" s="7" t="s">
        <v>6406</v>
      </c>
      <c r="Z1526" s="3" t="str">
        <f ca="1">HYPERLINK("#"&amp;일위대가목록표!J2&amp;"!A"&amp;ROW(일위대가목록표!A379),"대가376 →")</f>
        <v>대가376 →</v>
      </c>
    </row>
    <row r="1527" spans="1:26" ht="28.7" customHeight="1" x14ac:dyDescent="0.3">
      <c r="A1527" s="10" t="s">
        <v>877</v>
      </c>
      <c r="B1527" s="10" t="s">
        <v>902</v>
      </c>
      <c r="C1527" s="75">
        <v>1</v>
      </c>
      <c r="D1527" s="31" t="s">
        <v>14</v>
      </c>
      <c r="E1527" s="55">
        <f>I1527+G1527+K1527</f>
        <v>887507</v>
      </c>
      <c r="F1527" s="76">
        <f>J1527+H1527+L1527</f>
        <v>887507</v>
      </c>
      <c r="G1527" s="78">
        <f>일위대가목록표!F367</f>
        <v>887507</v>
      </c>
      <c r="H1527" s="80">
        <f>IF(C1527=0,0,ROUNDDOWN(G1527*C1527,1))</f>
        <v>887507</v>
      </c>
      <c r="I1527" s="78">
        <f>일위대가목록표!G367</f>
        <v>0</v>
      </c>
      <c r="J1527" s="80">
        <f>IF(C1527=0,0,ROUNDDOWN(I1527*C1527,1))</f>
        <v>0</v>
      </c>
      <c r="K1527" s="78">
        <f>일위대가목록표!H367</f>
        <v>0</v>
      </c>
      <c r="L1527" s="80">
        <f>IF(C1527=0,0,ROUNDDOWN(K1527*C1527,1))</f>
        <v>0</v>
      </c>
      <c r="M1527" s="22" t="s">
        <v>4435</v>
      </c>
      <c r="N1527" s="17" t="s">
        <v>6852</v>
      </c>
      <c r="O1527" s="7" t="s">
        <v>4433</v>
      </c>
      <c r="P1527" s="7" t="s">
        <v>6406</v>
      </c>
      <c r="Z1527" s="3" t="str">
        <f ca="1">HYPERLINK("#"&amp;일위대가목록표!J2&amp;"!A"&amp;ROW(일위대가목록표!A367),"대가364 →")</f>
        <v>대가364 →</v>
      </c>
    </row>
    <row r="1528" spans="1:26" ht="28.7" customHeight="1" x14ac:dyDescent="0.3">
      <c r="A1528" s="22" t="s">
        <v>6</v>
      </c>
      <c r="B1528" s="74"/>
      <c r="C1528" s="74"/>
      <c r="D1528" s="74"/>
      <c r="E1528" s="74"/>
      <c r="F1528" s="48">
        <f>J1528+H1528+L1528</f>
        <v>1242509</v>
      </c>
      <c r="G1528" s="74"/>
      <c r="H1528" s="48">
        <f>ROUNDDOWN(SUMIF(P1525:P1527,O1528,H1525:H1527),0)</f>
        <v>1242509</v>
      </c>
      <c r="I1528" s="74"/>
      <c r="J1528" s="48">
        <f>ROUNDDOWN(SUMIF(P1525:P1527,O1528,J1525:J1527),0)</f>
        <v>0</v>
      </c>
      <c r="K1528" s="74"/>
      <c r="L1528" s="48">
        <f>ROUNDDOWN(SUMIF(P1525:P1527,O1528,L1525:L1527),0)</f>
        <v>0</v>
      </c>
      <c r="M1528" s="74"/>
      <c r="O1528" s="7" t="s">
        <v>6406</v>
      </c>
    </row>
    <row r="1529" spans="1:26" ht="28.7" customHeight="1" x14ac:dyDescent="0.3">
      <c r="A1529" s="73"/>
      <c r="B1529" s="73"/>
      <c r="C1529" s="73"/>
      <c r="D1529" s="73"/>
      <c r="E1529" s="73"/>
      <c r="F1529" s="73"/>
      <c r="G1529" s="73"/>
      <c r="H1529" s="73"/>
      <c r="I1529" s="73"/>
      <c r="J1529" s="73"/>
      <c r="K1529" s="73"/>
      <c r="L1529" s="73"/>
      <c r="M1529" s="73"/>
    </row>
    <row r="1530" spans="1:26" ht="28.7" customHeight="1" x14ac:dyDescent="0.3">
      <c r="A1530" s="136" t="s">
        <v>866</v>
      </c>
      <c r="B1530" s="127"/>
      <c r="C1530" s="127"/>
      <c r="D1530" s="127"/>
      <c r="E1530" s="127"/>
      <c r="F1530" s="127"/>
      <c r="G1530" s="127"/>
      <c r="H1530" s="127"/>
      <c r="I1530" s="127"/>
      <c r="J1530" s="127"/>
      <c r="K1530" s="127"/>
      <c r="L1530" s="144"/>
      <c r="M1530" s="22" t="s">
        <v>7505</v>
      </c>
      <c r="N1530" s="84" t="str">
        <f>HYPERLINK("#N"&amp;ROW(N1533),"_x0005_`BDCOD|B04821_x0007_`POSS|"&amp;ROW(N1531)&amp;"_x0007_`POSE|"&amp;ROW(N1533)&amp;"_x0007_`")</f>
        <v>_x0005_`BDCOD|B04821_x0007_`POSS|1531_x0007_`POSE|1533_x0007_`</v>
      </c>
      <c r="O1530" s="7" t="s">
        <v>7506</v>
      </c>
    </row>
    <row r="1531" spans="1:26" ht="28.7" customHeight="1" x14ac:dyDescent="0.3">
      <c r="A1531" s="10"/>
      <c r="B1531" s="10" t="s">
        <v>7488</v>
      </c>
      <c r="C1531" s="75">
        <v>0</v>
      </c>
      <c r="D1531" s="31"/>
      <c r="E1531" s="33">
        <v>0</v>
      </c>
      <c r="F1531" s="11">
        <v>0</v>
      </c>
      <c r="G1531" s="42"/>
      <c r="H1531" s="11">
        <v>0</v>
      </c>
      <c r="I1531" s="42"/>
      <c r="J1531" s="33">
        <v>0</v>
      </c>
      <c r="K1531" s="46"/>
      <c r="L1531" s="33">
        <v>0</v>
      </c>
      <c r="M1531" s="22" t="s">
        <v>6509</v>
      </c>
      <c r="N1531" s="17" t="s">
        <v>6507</v>
      </c>
      <c r="O1531" s="7" t="s">
        <v>6508</v>
      </c>
      <c r="P1531" s="7" t="s">
        <v>6508</v>
      </c>
    </row>
    <row r="1532" spans="1:26" ht="28.7" customHeight="1" x14ac:dyDescent="0.3">
      <c r="A1532" s="10" t="s">
        <v>914</v>
      </c>
      <c r="B1532" s="10" t="s">
        <v>942</v>
      </c>
      <c r="C1532" s="75">
        <v>1</v>
      </c>
      <c r="D1532" s="31" t="s">
        <v>14</v>
      </c>
      <c r="E1532" s="55">
        <f>I1532+G1532+K1532</f>
        <v>402480</v>
      </c>
      <c r="F1532" s="76">
        <f>J1532+H1532+L1532</f>
        <v>402480</v>
      </c>
      <c r="G1532" s="78">
        <f>일위대가목록표!F380</f>
        <v>402480</v>
      </c>
      <c r="H1532" s="80">
        <f>IF(C1532=0,0,ROUNDDOWN(G1532*C1532,1))</f>
        <v>402480</v>
      </c>
      <c r="I1532" s="78">
        <f>일위대가목록표!G380</f>
        <v>0</v>
      </c>
      <c r="J1532" s="80">
        <f>IF(C1532=0,0,ROUNDDOWN(I1532*C1532,1))</f>
        <v>0</v>
      </c>
      <c r="K1532" s="78">
        <f>일위대가목록표!H380</f>
        <v>0</v>
      </c>
      <c r="L1532" s="80">
        <f>IF(C1532=0,0,ROUNDDOWN(K1532*C1532,1))</f>
        <v>0</v>
      </c>
      <c r="M1532" s="22" t="s">
        <v>4474</v>
      </c>
      <c r="N1532" s="17" t="s">
        <v>6890</v>
      </c>
      <c r="O1532" s="7" t="s">
        <v>4472</v>
      </c>
      <c r="P1532" s="7" t="s">
        <v>6406</v>
      </c>
      <c r="Z1532" s="3" t="str">
        <f ca="1">HYPERLINK("#"&amp;일위대가목록표!J2&amp;"!A"&amp;ROW(일위대가목록표!A380),"대가377 →")</f>
        <v>대가377 →</v>
      </c>
    </row>
    <row r="1533" spans="1:26" ht="28.7" customHeight="1" x14ac:dyDescent="0.3">
      <c r="A1533" s="10" t="s">
        <v>877</v>
      </c>
      <c r="B1533" s="10" t="s">
        <v>905</v>
      </c>
      <c r="C1533" s="75">
        <v>1</v>
      </c>
      <c r="D1533" s="31" t="s">
        <v>14</v>
      </c>
      <c r="E1533" s="55">
        <f>I1533+G1533+K1533</f>
        <v>1006201</v>
      </c>
      <c r="F1533" s="76">
        <f>J1533+H1533+L1533</f>
        <v>1006201</v>
      </c>
      <c r="G1533" s="78">
        <f>일위대가목록표!F368</f>
        <v>1006201</v>
      </c>
      <c r="H1533" s="80">
        <f>IF(C1533=0,0,ROUNDDOWN(G1533*C1533,1))</f>
        <v>1006201</v>
      </c>
      <c r="I1533" s="78">
        <f>일위대가목록표!G368</f>
        <v>0</v>
      </c>
      <c r="J1533" s="80">
        <f>IF(C1533=0,0,ROUNDDOWN(I1533*C1533,1))</f>
        <v>0</v>
      </c>
      <c r="K1533" s="78">
        <f>일위대가목록표!H368</f>
        <v>0</v>
      </c>
      <c r="L1533" s="80">
        <f>IF(C1533=0,0,ROUNDDOWN(K1533*C1533,1))</f>
        <v>0</v>
      </c>
      <c r="M1533" s="22" t="s">
        <v>4438</v>
      </c>
      <c r="N1533" s="17" t="s">
        <v>6855</v>
      </c>
      <c r="O1533" s="7" t="s">
        <v>4436</v>
      </c>
      <c r="P1533" s="7" t="s">
        <v>6406</v>
      </c>
      <c r="Z1533" s="3" t="str">
        <f ca="1">HYPERLINK("#"&amp;일위대가목록표!J2&amp;"!A"&amp;ROW(일위대가목록표!A368),"대가365 →")</f>
        <v>대가365 →</v>
      </c>
    </row>
    <row r="1534" spans="1:26" ht="28.7" customHeight="1" x14ac:dyDescent="0.3">
      <c r="A1534" s="22" t="s">
        <v>6</v>
      </c>
      <c r="B1534" s="74"/>
      <c r="C1534" s="74"/>
      <c r="D1534" s="74"/>
      <c r="E1534" s="74"/>
      <c r="F1534" s="48">
        <f>J1534+H1534+L1534</f>
        <v>1408681</v>
      </c>
      <c r="G1534" s="74"/>
      <c r="H1534" s="48">
        <f>ROUNDDOWN(SUMIF(P1531:P1533,O1534,H1531:H1533),0)</f>
        <v>1408681</v>
      </c>
      <c r="I1534" s="74"/>
      <c r="J1534" s="48">
        <f>ROUNDDOWN(SUMIF(P1531:P1533,O1534,J1531:J1533),0)</f>
        <v>0</v>
      </c>
      <c r="K1534" s="74"/>
      <c r="L1534" s="48">
        <f>ROUNDDOWN(SUMIF(P1531:P1533,O1534,L1531:L1533),0)</f>
        <v>0</v>
      </c>
      <c r="M1534" s="74"/>
      <c r="O1534" s="7" t="s">
        <v>6406</v>
      </c>
    </row>
    <row r="1535" spans="1:26" ht="28.7" customHeight="1" x14ac:dyDescent="0.3">
      <c r="A1535" s="73"/>
      <c r="B1535" s="73"/>
      <c r="C1535" s="73"/>
      <c r="D1535" s="73"/>
      <c r="E1535" s="73"/>
      <c r="F1535" s="73"/>
      <c r="G1535" s="73"/>
      <c r="H1535" s="73"/>
      <c r="I1535" s="73"/>
      <c r="J1535" s="73"/>
      <c r="K1535" s="73"/>
      <c r="L1535" s="73"/>
      <c r="M1535" s="73"/>
    </row>
    <row r="1536" spans="1:26" ht="28.7" customHeight="1" x14ac:dyDescent="0.3">
      <c r="A1536" s="136" t="s">
        <v>869</v>
      </c>
      <c r="B1536" s="127"/>
      <c r="C1536" s="127"/>
      <c r="D1536" s="127"/>
      <c r="E1536" s="127"/>
      <c r="F1536" s="127"/>
      <c r="G1536" s="127"/>
      <c r="H1536" s="127"/>
      <c r="I1536" s="127"/>
      <c r="J1536" s="127"/>
      <c r="K1536" s="127"/>
      <c r="L1536" s="144"/>
      <c r="M1536" s="22" t="s">
        <v>7507</v>
      </c>
      <c r="N1536" s="84" t="str">
        <f>HYPERLINK("#N"&amp;ROW(N1539),"_x0005_`BDCOD|B04822_x0007_`POSS|"&amp;ROW(N1537)&amp;"_x0007_`POSE|"&amp;ROW(N1539)&amp;"_x0007_`")</f>
        <v>_x0005_`BDCOD|B04822_x0007_`POSS|1537_x0007_`POSE|1539_x0007_`</v>
      </c>
      <c r="O1536" s="7" t="s">
        <v>7508</v>
      </c>
    </row>
    <row r="1537" spans="1:26" ht="28.7" customHeight="1" x14ac:dyDescent="0.3">
      <c r="A1537" s="10"/>
      <c r="B1537" s="10" t="s">
        <v>7488</v>
      </c>
      <c r="C1537" s="75">
        <v>0</v>
      </c>
      <c r="D1537" s="31"/>
      <c r="E1537" s="33">
        <v>0</v>
      </c>
      <c r="F1537" s="11">
        <v>0</v>
      </c>
      <c r="G1537" s="42"/>
      <c r="H1537" s="11">
        <v>0</v>
      </c>
      <c r="I1537" s="42"/>
      <c r="J1537" s="33">
        <v>0</v>
      </c>
      <c r="K1537" s="46"/>
      <c r="L1537" s="33">
        <v>0</v>
      </c>
      <c r="M1537" s="22" t="s">
        <v>6509</v>
      </c>
      <c r="N1537" s="17" t="s">
        <v>6507</v>
      </c>
      <c r="O1537" s="7" t="s">
        <v>6508</v>
      </c>
      <c r="P1537" s="7" t="s">
        <v>6508</v>
      </c>
    </row>
    <row r="1538" spans="1:26" ht="28.7" customHeight="1" x14ac:dyDescent="0.3">
      <c r="A1538" s="10" t="s">
        <v>914</v>
      </c>
      <c r="B1538" s="10" t="s">
        <v>945</v>
      </c>
      <c r="C1538" s="75">
        <v>1</v>
      </c>
      <c r="D1538" s="31" t="s">
        <v>14</v>
      </c>
      <c r="E1538" s="55">
        <f>I1538+G1538+K1538</f>
        <v>828969</v>
      </c>
      <c r="F1538" s="76">
        <f>J1538+H1538+L1538</f>
        <v>828969</v>
      </c>
      <c r="G1538" s="78">
        <f>일위대가목록표!F381</f>
        <v>828969</v>
      </c>
      <c r="H1538" s="80">
        <f>IF(C1538=0,0,ROUNDDOWN(G1538*C1538,1))</f>
        <v>828969</v>
      </c>
      <c r="I1538" s="78">
        <f>일위대가목록표!G381</f>
        <v>0</v>
      </c>
      <c r="J1538" s="80">
        <f>IF(C1538=0,0,ROUNDDOWN(I1538*C1538,1))</f>
        <v>0</v>
      </c>
      <c r="K1538" s="78">
        <f>일위대가목록표!H381</f>
        <v>0</v>
      </c>
      <c r="L1538" s="80">
        <f>IF(C1538=0,0,ROUNDDOWN(K1538*C1538,1))</f>
        <v>0</v>
      </c>
      <c r="M1538" s="22" t="s">
        <v>4477</v>
      </c>
      <c r="N1538" s="17" t="s">
        <v>7509</v>
      </c>
      <c r="O1538" s="7" t="s">
        <v>4475</v>
      </c>
      <c r="P1538" s="7" t="s">
        <v>6406</v>
      </c>
      <c r="Z1538" s="3" t="str">
        <f ca="1">HYPERLINK("#"&amp;일위대가목록표!J2&amp;"!A"&amp;ROW(일위대가목록표!A381),"대가378 →")</f>
        <v>대가378 →</v>
      </c>
    </row>
    <row r="1539" spans="1:26" ht="28.7" customHeight="1" x14ac:dyDescent="0.3">
      <c r="A1539" s="10" t="s">
        <v>877</v>
      </c>
      <c r="B1539" s="10" t="s">
        <v>908</v>
      </c>
      <c r="C1539" s="75">
        <v>1</v>
      </c>
      <c r="D1539" s="31" t="s">
        <v>14</v>
      </c>
      <c r="E1539" s="55">
        <f>I1539+G1539+K1539</f>
        <v>1184242</v>
      </c>
      <c r="F1539" s="76">
        <f>J1539+H1539+L1539</f>
        <v>1184242</v>
      </c>
      <c r="G1539" s="78">
        <f>일위대가목록표!F369</f>
        <v>1184242</v>
      </c>
      <c r="H1539" s="80">
        <f>IF(C1539=0,0,ROUNDDOWN(G1539*C1539,1))</f>
        <v>1184242</v>
      </c>
      <c r="I1539" s="78">
        <f>일위대가목록표!G369</f>
        <v>0</v>
      </c>
      <c r="J1539" s="80">
        <f>IF(C1539=0,0,ROUNDDOWN(I1539*C1539,1))</f>
        <v>0</v>
      </c>
      <c r="K1539" s="78">
        <f>일위대가목록표!H369</f>
        <v>0</v>
      </c>
      <c r="L1539" s="80">
        <f>IF(C1539=0,0,ROUNDDOWN(K1539*C1539,1))</f>
        <v>0</v>
      </c>
      <c r="M1539" s="22" t="s">
        <v>4441</v>
      </c>
      <c r="N1539" s="17" t="s">
        <v>7510</v>
      </c>
      <c r="O1539" s="7" t="s">
        <v>4439</v>
      </c>
      <c r="P1539" s="7" t="s">
        <v>6406</v>
      </c>
      <c r="Z1539" s="3" t="str">
        <f ca="1">HYPERLINK("#"&amp;일위대가목록표!J2&amp;"!A"&amp;ROW(일위대가목록표!A369),"대가366 →")</f>
        <v>대가366 →</v>
      </c>
    </row>
    <row r="1540" spans="1:26" ht="28.7" customHeight="1" x14ac:dyDescent="0.3">
      <c r="A1540" s="22" t="s">
        <v>6</v>
      </c>
      <c r="B1540" s="74"/>
      <c r="C1540" s="74"/>
      <c r="D1540" s="74"/>
      <c r="E1540" s="74"/>
      <c r="F1540" s="48">
        <f>J1540+H1540+L1540</f>
        <v>2013211</v>
      </c>
      <c r="G1540" s="74"/>
      <c r="H1540" s="48">
        <f>ROUNDDOWN(SUMIF(P1537:P1539,O1540,H1537:H1539),0)</f>
        <v>2013211</v>
      </c>
      <c r="I1540" s="74"/>
      <c r="J1540" s="48">
        <f>ROUNDDOWN(SUMIF(P1537:P1539,O1540,J1537:J1539),0)</f>
        <v>0</v>
      </c>
      <c r="K1540" s="74"/>
      <c r="L1540" s="48">
        <f>ROUNDDOWN(SUMIF(P1537:P1539,O1540,L1537:L1539),0)</f>
        <v>0</v>
      </c>
      <c r="M1540" s="74"/>
      <c r="O1540" s="7" t="s">
        <v>6406</v>
      </c>
    </row>
    <row r="1541" spans="1:26" ht="28.7" customHeight="1" x14ac:dyDescent="0.3">
      <c r="A1541" s="73"/>
      <c r="B1541" s="73"/>
      <c r="C1541" s="73"/>
      <c r="D1541" s="73"/>
      <c r="E1541" s="73"/>
      <c r="F1541" s="73"/>
      <c r="G1541" s="73"/>
      <c r="H1541" s="73"/>
      <c r="I1541" s="73"/>
      <c r="J1541" s="73"/>
      <c r="K1541" s="73"/>
      <c r="L1541" s="73"/>
      <c r="M1541" s="73"/>
    </row>
    <row r="1542" spans="1:26" ht="28.7" customHeight="1" x14ac:dyDescent="0.3">
      <c r="A1542" s="136" t="s">
        <v>872</v>
      </c>
      <c r="B1542" s="127"/>
      <c r="C1542" s="127"/>
      <c r="D1542" s="127"/>
      <c r="E1542" s="127"/>
      <c r="F1542" s="127"/>
      <c r="G1542" s="127"/>
      <c r="H1542" s="127"/>
      <c r="I1542" s="127"/>
      <c r="J1542" s="127"/>
      <c r="K1542" s="127"/>
      <c r="L1542" s="144"/>
      <c r="M1542" s="22" t="s">
        <v>7511</v>
      </c>
      <c r="N1542" s="84" t="str">
        <f>HYPERLINK("#N"&amp;ROW(N1545),"_x0005_`BDCOD|B04823_x0007_`POSS|"&amp;ROW(N1543)&amp;"_x0007_`POSE|"&amp;ROW(N1545)&amp;"_x0007_`")</f>
        <v>_x0005_`BDCOD|B04823_x0007_`POSS|1543_x0007_`POSE|1545_x0007_`</v>
      </c>
      <c r="O1542" s="7" t="s">
        <v>7512</v>
      </c>
    </row>
    <row r="1543" spans="1:26" ht="28.7" customHeight="1" x14ac:dyDescent="0.3">
      <c r="A1543" s="10"/>
      <c r="B1543" s="10" t="s">
        <v>7488</v>
      </c>
      <c r="C1543" s="75">
        <v>0</v>
      </c>
      <c r="D1543" s="31"/>
      <c r="E1543" s="33">
        <v>0</v>
      </c>
      <c r="F1543" s="11">
        <v>0</v>
      </c>
      <c r="G1543" s="42"/>
      <c r="H1543" s="11">
        <v>0</v>
      </c>
      <c r="I1543" s="42"/>
      <c r="J1543" s="33">
        <v>0</v>
      </c>
      <c r="K1543" s="46"/>
      <c r="L1543" s="33">
        <v>0</v>
      </c>
      <c r="M1543" s="22" t="s">
        <v>6509</v>
      </c>
      <c r="N1543" s="17" t="s">
        <v>6507</v>
      </c>
      <c r="O1543" s="7" t="s">
        <v>6508</v>
      </c>
      <c r="P1543" s="7" t="s">
        <v>6508</v>
      </c>
    </row>
    <row r="1544" spans="1:26" ht="28.7" customHeight="1" x14ac:dyDescent="0.3">
      <c r="A1544" s="10" t="s">
        <v>914</v>
      </c>
      <c r="B1544" s="10" t="s">
        <v>948</v>
      </c>
      <c r="C1544" s="75">
        <v>1</v>
      </c>
      <c r="D1544" s="31" t="s">
        <v>14</v>
      </c>
      <c r="E1544" s="55">
        <f>I1544+G1544+K1544</f>
        <v>1076338</v>
      </c>
      <c r="F1544" s="76">
        <f>J1544+H1544+L1544</f>
        <v>1076338</v>
      </c>
      <c r="G1544" s="78">
        <f>일위대가목록표!F382</f>
        <v>1076338</v>
      </c>
      <c r="H1544" s="80">
        <f>IF(C1544=0,0,ROUNDDOWN(G1544*C1544,1))</f>
        <v>1076338</v>
      </c>
      <c r="I1544" s="78">
        <f>일위대가목록표!G382</f>
        <v>0</v>
      </c>
      <c r="J1544" s="80">
        <f>IF(C1544=0,0,ROUNDDOWN(I1544*C1544,1))</f>
        <v>0</v>
      </c>
      <c r="K1544" s="78">
        <f>일위대가목록표!H382</f>
        <v>0</v>
      </c>
      <c r="L1544" s="80">
        <f>IF(C1544=0,0,ROUNDDOWN(K1544*C1544,1))</f>
        <v>0</v>
      </c>
      <c r="M1544" s="22" t="s">
        <v>4480</v>
      </c>
      <c r="N1544" s="17" t="s">
        <v>6893</v>
      </c>
      <c r="O1544" s="7" t="s">
        <v>4478</v>
      </c>
      <c r="P1544" s="7" t="s">
        <v>6406</v>
      </c>
      <c r="Z1544" s="3" t="str">
        <f ca="1">HYPERLINK("#"&amp;일위대가목록표!J2&amp;"!A"&amp;ROW(일위대가목록표!A382),"대가379 →")</f>
        <v>대가379 →</v>
      </c>
    </row>
    <row r="1545" spans="1:26" ht="28.7" customHeight="1" x14ac:dyDescent="0.3">
      <c r="A1545" s="10" t="s">
        <v>877</v>
      </c>
      <c r="B1545" s="10" t="s">
        <v>911</v>
      </c>
      <c r="C1545" s="75">
        <v>1</v>
      </c>
      <c r="D1545" s="31" t="s">
        <v>14</v>
      </c>
      <c r="E1545" s="55">
        <f>I1545+G1545+K1545</f>
        <v>1537626</v>
      </c>
      <c r="F1545" s="76">
        <f>J1545+H1545+L1545</f>
        <v>1537626</v>
      </c>
      <c r="G1545" s="78">
        <f>일위대가목록표!F370</f>
        <v>1537626</v>
      </c>
      <c r="H1545" s="80">
        <f>IF(C1545=0,0,ROUNDDOWN(G1545*C1545,1))</f>
        <v>1537626</v>
      </c>
      <c r="I1545" s="78">
        <f>일위대가목록표!G370</f>
        <v>0</v>
      </c>
      <c r="J1545" s="80">
        <f>IF(C1545=0,0,ROUNDDOWN(I1545*C1545,1))</f>
        <v>0</v>
      </c>
      <c r="K1545" s="78">
        <f>일위대가목록표!H370</f>
        <v>0</v>
      </c>
      <c r="L1545" s="80">
        <f>IF(C1545=0,0,ROUNDDOWN(K1545*C1545,1))</f>
        <v>0</v>
      </c>
      <c r="M1545" s="22" t="s">
        <v>4444</v>
      </c>
      <c r="N1545" s="17" t="s">
        <v>6858</v>
      </c>
      <c r="O1545" s="7" t="s">
        <v>4442</v>
      </c>
      <c r="P1545" s="7" t="s">
        <v>6406</v>
      </c>
      <c r="Z1545" s="3" t="str">
        <f ca="1">HYPERLINK("#"&amp;일위대가목록표!J2&amp;"!A"&amp;ROW(일위대가목록표!A370),"대가367 →")</f>
        <v>대가367 →</v>
      </c>
    </row>
    <row r="1546" spans="1:26" ht="28.7" customHeight="1" x14ac:dyDescent="0.3">
      <c r="A1546" s="22" t="s">
        <v>6</v>
      </c>
      <c r="B1546" s="74"/>
      <c r="C1546" s="74"/>
      <c r="D1546" s="74"/>
      <c r="E1546" s="74"/>
      <c r="F1546" s="48">
        <f>J1546+H1546+L1546</f>
        <v>2613964</v>
      </c>
      <c r="G1546" s="74"/>
      <c r="H1546" s="48">
        <f>ROUNDDOWN(SUMIF(P1543:P1545,O1546,H1543:H1545),0)</f>
        <v>2613964</v>
      </c>
      <c r="I1546" s="74"/>
      <c r="J1546" s="48">
        <f>ROUNDDOWN(SUMIF(P1543:P1545,O1546,J1543:J1545),0)</f>
        <v>0</v>
      </c>
      <c r="K1546" s="74"/>
      <c r="L1546" s="48">
        <f>ROUNDDOWN(SUMIF(P1543:P1545,O1546,L1543:L1545),0)</f>
        <v>0</v>
      </c>
      <c r="M1546" s="74"/>
      <c r="O1546" s="7" t="s">
        <v>6406</v>
      </c>
    </row>
    <row r="1547" spans="1:26" ht="28.7" customHeight="1" x14ac:dyDescent="0.3">
      <c r="A1547" s="73"/>
      <c r="B1547" s="73"/>
      <c r="C1547" s="73"/>
      <c r="D1547" s="73"/>
      <c r="E1547" s="73"/>
      <c r="F1547" s="73"/>
      <c r="G1547" s="73"/>
      <c r="H1547" s="73"/>
      <c r="I1547" s="73"/>
      <c r="J1547" s="73"/>
      <c r="K1547" s="73"/>
      <c r="L1547" s="73"/>
      <c r="M1547" s="73"/>
    </row>
    <row r="1548" spans="1:26" ht="28.7" customHeight="1" x14ac:dyDescent="0.3">
      <c r="A1548" s="136" t="s">
        <v>875</v>
      </c>
      <c r="B1548" s="127"/>
      <c r="C1548" s="127"/>
      <c r="D1548" s="127"/>
      <c r="E1548" s="127"/>
      <c r="F1548" s="127"/>
      <c r="G1548" s="127"/>
      <c r="H1548" s="127"/>
      <c r="I1548" s="127"/>
      <c r="J1548" s="127"/>
      <c r="K1548" s="127"/>
      <c r="L1548" s="144"/>
      <c r="M1548" s="22" t="s">
        <v>7513</v>
      </c>
      <c r="N1548" s="84" t="str">
        <f>HYPERLINK("#N"&amp;ROW(N1550),"_x0005_`BDCOD|B04788_x0007_`POSS|"&amp;ROW(N1549)&amp;"_x0007_`POSE|"&amp;ROW(N1550)&amp;"_x0007_`")</f>
        <v>_x0005_`BDCOD|B04788_x0007_`POSS|1549_x0007_`POSE|1550_x0007_`</v>
      </c>
      <c r="O1548" s="7" t="s">
        <v>7514</v>
      </c>
    </row>
    <row r="1549" spans="1:26" ht="28.7" customHeight="1" x14ac:dyDescent="0.3">
      <c r="A1549" s="10"/>
      <c r="B1549" s="10" t="s">
        <v>7488</v>
      </c>
      <c r="C1549" s="75">
        <v>0</v>
      </c>
      <c r="D1549" s="31"/>
      <c r="E1549" s="33">
        <v>0</v>
      </c>
      <c r="F1549" s="11">
        <v>0</v>
      </c>
      <c r="G1549" s="42"/>
      <c r="H1549" s="11">
        <v>0</v>
      </c>
      <c r="I1549" s="42"/>
      <c r="J1549" s="33">
        <v>0</v>
      </c>
      <c r="K1549" s="46"/>
      <c r="L1549" s="33">
        <v>0</v>
      </c>
      <c r="M1549" s="22" t="s">
        <v>6509</v>
      </c>
      <c r="N1549" s="17" t="s">
        <v>6507</v>
      </c>
      <c r="O1549" s="7" t="s">
        <v>6508</v>
      </c>
      <c r="P1549" s="7" t="s">
        <v>6508</v>
      </c>
    </row>
    <row r="1550" spans="1:26" ht="28.7" customHeight="1" x14ac:dyDescent="0.3">
      <c r="A1550" s="10" t="s">
        <v>3109</v>
      </c>
      <c r="B1550" s="10"/>
      <c r="C1550" s="75">
        <v>0.55000000000000004</v>
      </c>
      <c r="D1550" s="31" t="s">
        <v>3074</v>
      </c>
      <c r="E1550" s="55">
        <f>I1550+G1550+K1550</f>
        <v>269759</v>
      </c>
      <c r="F1550" s="76">
        <f>J1550+H1550+L1550</f>
        <v>148367.4</v>
      </c>
      <c r="G1550" s="78">
        <f>노무비목록표!E22</f>
        <v>269759</v>
      </c>
      <c r="H1550" s="81">
        <f>IF(C1550=0,0,ROUNDDOWN(G1550*C1550,1))</f>
        <v>148367.4</v>
      </c>
      <c r="I1550" s="51">
        <v>0</v>
      </c>
      <c r="J1550" s="77">
        <f>IF(C1550=0,0,ROUNDDOWN(I1550*C1550,1))</f>
        <v>0</v>
      </c>
      <c r="K1550" s="51">
        <v>0</v>
      </c>
      <c r="L1550" s="76">
        <f>IF(C1550=0,0,ROUNDDOWN(K1550*C1550,1))</f>
        <v>0</v>
      </c>
      <c r="M1550" s="22" t="s">
        <v>7517</v>
      </c>
      <c r="N1550" s="17" t="s">
        <v>7515</v>
      </c>
      <c r="O1550" s="7" t="s">
        <v>7516</v>
      </c>
      <c r="P1550" s="7" t="s">
        <v>6406</v>
      </c>
      <c r="Z1550" s="3" t="str">
        <f ca="1">HYPERLINK("#"&amp;노무비목록표!G2&amp;"!A"&amp;ROW(노무비목록표!A22),"노무19 →")</f>
        <v>노무19 →</v>
      </c>
    </row>
    <row r="1551" spans="1:26" ht="28.7" customHeight="1" x14ac:dyDescent="0.3">
      <c r="A1551" s="22" t="s">
        <v>6</v>
      </c>
      <c r="B1551" s="74"/>
      <c r="C1551" s="74"/>
      <c r="D1551" s="74"/>
      <c r="E1551" s="74"/>
      <c r="F1551" s="48">
        <f>J1551+H1551+L1551</f>
        <v>148367</v>
      </c>
      <c r="G1551" s="74"/>
      <c r="H1551" s="48">
        <f>ROUNDDOWN(SUMIF(P1549:P1550,O1551,H1549:H1550),0)</f>
        <v>148367</v>
      </c>
      <c r="I1551" s="74"/>
      <c r="J1551" s="48">
        <f>ROUNDDOWN(SUMIF(P1549:P1550,O1551,J1549:J1550),0)</f>
        <v>0</v>
      </c>
      <c r="K1551" s="74"/>
      <c r="L1551" s="48">
        <f>ROUNDDOWN(SUMIF(P1549:P1550,O1551,L1549:L1550),0)</f>
        <v>0</v>
      </c>
      <c r="M1551" s="74"/>
      <c r="O1551" s="7" t="s">
        <v>6406</v>
      </c>
    </row>
    <row r="1552" spans="1:26" ht="28.7" customHeight="1" x14ac:dyDescent="0.3">
      <c r="A1552" s="73"/>
      <c r="B1552" s="73"/>
      <c r="C1552" s="73"/>
      <c r="D1552" s="73"/>
      <c r="E1552" s="73"/>
      <c r="F1552" s="73"/>
      <c r="G1552" s="73"/>
      <c r="H1552" s="73"/>
      <c r="I1552" s="73"/>
      <c r="J1552" s="73"/>
      <c r="K1552" s="73"/>
      <c r="L1552" s="73"/>
      <c r="M1552" s="73"/>
    </row>
    <row r="1553" spans="1:26" ht="28.7" customHeight="1" x14ac:dyDescent="0.3">
      <c r="A1553" s="136" t="s">
        <v>879</v>
      </c>
      <c r="B1553" s="127"/>
      <c r="C1553" s="127"/>
      <c r="D1553" s="127"/>
      <c r="E1553" s="127"/>
      <c r="F1553" s="127"/>
      <c r="G1553" s="127"/>
      <c r="H1553" s="127"/>
      <c r="I1553" s="127"/>
      <c r="J1553" s="127"/>
      <c r="K1553" s="127"/>
      <c r="L1553" s="144"/>
      <c r="M1553" s="22" t="s">
        <v>7518</v>
      </c>
      <c r="N1553" s="84" t="str">
        <f>HYPERLINK("#N"&amp;ROW(N1555),"_x0005_`BDCOD|B04789_x0007_`POSS|"&amp;ROW(N1554)&amp;"_x0007_`POSE|"&amp;ROW(N1555)&amp;"_x0007_`")</f>
        <v>_x0005_`BDCOD|B04789_x0007_`POSS|1554_x0007_`POSE|1555_x0007_`</v>
      </c>
      <c r="O1553" s="7" t="s">
        <v>7519</v>
      </c>
    </row>
    <row r="1554" spans="1:26" ht="28.7" customHeight="1" x14ac:dyDescent="0.3">
      <c r="A1554" s="10"/>
      <c r="B1554" s="10" t="s">
        <v>7488</v>
      </c>
      <c r="C1554" s="75">
        <v>0</v>
      </c>
      <c r="D1554" s="31"/>
      <c r="E1554" s="33">
        <v>0</v>
      </c>
      <c r="F1554" s="11">
        <v>0</v>
      </c>
      <c r="G1554" s="42"/>
      <c r="H1554" s="11">
        <v>0</v>
      </c>
      <c r="I1554" s="42"/>
      <c r="J1554" s="33">
        <v>0</v>
      </c>
      <c r="K1554" s="46"/>
      <c r="L1554" s="33">
        <v>0</v>
      </c>
      <c r="M1554" s="22" t="s">
        <v>6509</v>
      </c>
      <c r="N1554" s="17" t="s">
        <v>6507</v>
      </c>
      <c r="O1554" s="7" t="s">
        <v>6508</v>
      </c>
      <c r="P1554" s="7" t="s">
        <v>6508</v>
      </c>
    </row>
    <row r="1555" spans="1:26" ht="28.7" customHeight="1" x14ac:dyDescent="0.3">
      <c r="A1555" s="10" t="s">
        <v>3109</v>
      </c>
      <c r="B1555" s="10"/>
      <c r="C1555" s="75">
        <v>0.66</v>
      </c>
      <c r="D1555" s="31" t="s">
        <v>3074</v>
      </c>
      <c r="E1555" s="55">
        <f>I1555+G1555+K1555</f>
        <v>269759</v>
      </c>
      <c r="F1555" s="76">
        <f>J1555+H1555+L1555</f>
        <v>178040.9</v>
      </c>
      <c r="G1555" s="78">
        <f>노무비목록표!E22</f>
        <v>269759</v>
      </c>
      <c r="H1555" s="81">
        <f>IF(C1555=0,0,ROUNDDOWN(G1555*C1555,1))</f>
        <v>178040.9</v>
      </c>
      <c r="I1555" s="51">
        <v>0</v>
      </c>
      <c r="J1555" s="77">
        <f>IF(C1555=0,0,ROUNDDOWN(I1555*C1555,1))</f>
        <v>0</v>
      </c>
      <c r="K1555" s="51">
        <v>0</v>
      </c>
      <c r="L1555" s="76">
        <f>IF(C1555=0,0,ROUNDDOWN(K1555*C1555,1))</f>
        <v>0</v>
      </c>
      <c r="M1555" s="22" t="s">
        <v>7517</v>
      </c>
      <c r="N1555" s="17" t="s">
        <v>7515</v>
      </c>
      <c r="O1555" s="7" t="s">
        <v>7516</v>
      </c>
      <c r="P1555" s="7" t="s">
        <v>6406</v>
      </c>
      <c r="Z1555" s="3" t="str">
        <f ca="1">HYPERLINK("#"&amp;노무비목록표!G2&amp;"!A"&amp;ROW(노무비목록표!A22),"노무19 →")</f>
        <v>노무19 →</v>
      </c>
    </row>
    <row r="1556" spans="1:26" ht="28.7" customHeight="1" x14ac:dyDescent="0.3">
      <c r="A1556" s="22" t="s">
        <v>6</v>
      </c>
      <c r="B1556" s="74"/>
      <c r="C1556" s="74"/>
      <c r="D1556" s="74"/>
      <c r="E1556" s="74"/>
      <c r="F1556" s="48">
        <f>J1556+H1556+L1556</f>
        <v>178040</v>
      </c>
      <c r="G1556" s="74"/>
      <c r="H1556" s="48">
        <f>ROUNDDOWN(SUMIF(P1554:P1555,O1556,H1554:H1555),0)</f>
        <v>178040</v>
      </c>
      <c r="I1556" s="74"/>
      <c r="J1556" s="48">
        <f>ROUNDDOWN(SUMIF(P1554:P1555,O1556,J1554:J1555),0)</f>
        <v>0</v>
      </c>
      <c r="K1556" s="74"/>
      <c r="L1556" s="48">
        <f>ROUNDDOWN(SUMIF(P1554:P1555,O1556,L1554:L1555),0)</f>
        <v>0</v>
      </c>
      <c r="M1556" s="74"/>
      <c r="O1556" s="7" t="s">
        <v>6406</v>
      </c>
    </row>
    <row r="1557" spans="1:26" ht="28.7" customHeight="1" x14ac:dyDescent="0.3">
      <c r="A1557" s="73"/>
      <c r="B1557" s="73"/>
      <c r="C1557" s="73"/>
      <c r="D1557" s="73"/>
      <c r="E1557" s="73"/>
      <c r="F1557" s="73"/>
      <c r="G1557" s="73"/>
      <c r="H1557" s="73"/>
      <c r="I1557" s="73"/>
      <c r="J1557" s="73"/>
      <c r="K1557" s="73"/>
      <c r="L1557" s="73"/>
      <c r="M1557" s="73"/>
    </row>
    <row r="1558" spans="1:26" ht="28.7" customHeight="1" x14ac:dyDescent="0.3">
      <c r="A1558" s="136" t="s">
        <v>882</v>
      </c>
      <c r="B1558" s="127"/>
      <c r="C1558" s="127"/>
      <c r="D1558" s="127"/>
      <c r="E1558" s="127"/>
      <c r="F1558" s="127"/>
      <c r="G1558" s="127"/>
      <c r="H1558" s="127"/>
      <c r="I1558" s="127"/>
      <c r="J1558" s="127"/>
      <c r="K1558" s="127"/>
      <c r="L1558" s="144"/>
      <c r="M1558" s="22" t="s">
        <v>7520</v>
      </c>
      <c r="N1558" s="84" t="str">
        <f>HYPERLINK("#N"&amp;ROW(N1560),"_x0005_`BDCOD|B04790_x0007_`POSS|"&amp;ROW(N1559)&amp;"_x0007_`POSE|"&amp;ROW(N1560)&amp;"_x0007_`")</f>
        <v>_x0005_`BDCOD|B04790_x0007_`POSS|1559_x0007_`POSE|1560_x0007_`</v>
      </c>
      <c r="O1558" s="7" t="s">
        <v>7521</v>
      </c>
    </row>
    <row r="1559" spans="1:26" ht="28.7" customHeight="1" x14ac:dyDescent="0.3">
      <c r="A1559" s="10"/>
      <c r="B1559" s="10" t="s">
        <v>7488</v>
      </c>
      <c r="C1559" s="75">
        <v>0</v>
      </c>
      <c r="D1559" s="31"/>
      <c r="E1559" s="33">
        <v>0</v>
      </c>
      <c r="F1559" s="11">
        <v>0</v>
      </c>
      <c r="G1559" s="42"/>
      <c r="H1559" s="11">
        <v>0</v>
      </c>
      <c r="I1559" s="42"/>
      <c r="J1559" s="33">
        <v>0</v>
      </c>
      <c r="K1559" s="46"/>
      <c r="L1559" s="33">
        <v>0</v>
      </c>
      <c r="M1559" s="22" t="s">
        <v>6509</v>
      </c>
      <c r="N1559" s="17" t="s">
        <v>6507</v>
      </c>
      <c r="O1559" s="7" t="s">
        <v>6508</v>
      </c>
      <c r="P1559" s="7" t="s">
        <v>6508</v>
      </c>
    </row>
    <row r="1560" spans="1:26" ht="28.7" customHeight="1" x14ac:dyDescent="0.3">
      <c r="A1560" s="10" t="s">
        <v>3109</v>
      </c>
      <c r="B1560" s="10"/>
      <c r="C1560" s="75">
        <v>0.77</v>
      </c>
      <c r="D1560" s="31" t="s">
        <v>3074</v>
      </c>
      <c r="E1560" s="55">
        <f>I1560+G1560+K1560</f>
        <v>269759</v>
      </c>
      <c r="F1560" s="76">
        <f>J1560+H1560+L1560</f>
        <v>207714.4</v>
      </c>
      <c r="G1560" s="78">
        <f>노무비목록표!E22</f>
        <v>269759</v>
      </c>
      <c r="H1560" s="81">
        <f>IF(C1560=0,0,ROUNDDOWN(G1560*C1560,1))</f>
        <v>207714.4</v>
      </c>
      <c r="I1560" s="51">
        <v>0</v>
      </c>
      <c r="J1560" s="77">
        <f>IF(C1560=0,0,ROUNDDOWN(I1560*C1560,1))</f>
        <v>0</v>
      </c>
      <c r="K1560" s="51">
        <v>0</v>
      </c>
      <c r="L1560" s="76">
        <f>IF(C1560=0,0,ROUNDDOWN(K1560*C1560,1))</f>
        <v>0</v>
      </c>
      <c r="M1560" s="22" t="s">
        <v>7517</v>
      </c>
      <c r="N1560" s="17" t="s">
        <v>7515</v>
      </c>
      <c r="O1560" s="7" t="s">
        <v>7516</v>
      </c>
      <c r="P1560" s="7" t="s">
        <v>6406</v>
      </c>
      <c r="Z1560" s="3" t="str">
        <f ca="1">HYPERLINK("#"&amp;노무비목록표!G2&amp;"!A"&amp;ROW(노무비목록표!A22),"노무19 →")</f>
        <v>노무19 →</v>
      </c>
    </row>
    <row r="1561" spans="1:26" ht="28.7" customHeight="1" x14ac:dyDescent="0.3">
      <c r="A1561" s="22" t="s">
        <v>6</v>
      </c>
      <c r="B1561" s="74"/>
      <c r="C1561" s="74"/>
      <c r="D1561" s="74"/>
      <c r="E1561" s="74"/>
      <c r="F1561" s="48">
        <f>J1561+H1561+L1561</f>
        <v>207714</v>
      </c>
      <c r="G1561" s="74"/>
      <c r="H1561" s="48">
        <f>ROUNDDOWN(SUMIF(P1559:P1560,O1561,H1559:H1560),0)</f>
        <v>207714</v>
      </c>
      <c r="I1561" s="74"/>
      <c r="J1561" s="48">
        <f>ROUNDDOWN(SUMIF(P1559:P1560,O1561,J1559:J1560),0)</f>
        <v>0</v>
      </c>
      <c r="K1561" s="74"/>
      <c r="L1561" s="48">
        <f>ROUNDDOWN(SUMIF(P1559:P1560,O1561,L1559:L1560),0)</f>
        <v>0</v>
      </c>
      <c r="M1561" s="74"/>
      <c r="O1561" s="7" t="s">
        <v>6406</v>
      </c>
    </row>
    <row r="1562" spans="1:26" ht="28.7" customHeight="1" x14ac:dyDescent="0.3">
      <c r="A1562" s="73"/>
      <c r="B1562" s="73"/>
      <c r="C1562" s="73"/>
      <c r="D1562" s="73"/>
      <c r="E1562" s="73"/>
      <c r="F1562" s="73"/>
      <c r="G1562" s="73"/>
      <c r="H1562" s="73"/>
      <c r="I1562" s="73"/>
      <c r="J1562" s="73"/>
      <c r="K1562" s="73"/>
      <c r="L1562" s="73"/>
      <c r="M1562" s="73"/>
    </row>
    <row r="1563" spans="1:26" ht="28.7" customHeight="1" x14ac:dyDescent="0.3">
      <c r="A1563" s="136" t="s">
        <v>885</v>
      </c>
      <c r="B1563" s="127"/>
      <c r="C1563" s="127"/>
      <c r="D1563" s="127"/>
      <c r="E1563" s="127"/>
      <c r="F1563" s="127"/>
      <c r="G1563" s="127"/>
      <c r="H1563" s="127"/>
      <c r="I1563" s="127"/>
      <c r="J1563" s="127"/>
      <c r="K1563" s="127"/>
      <c r="L1563" s="144"/>
      <c r="M1563" s="22" t="s">
        <v>7522</v>
      </c>
      <c r="N1563" s="84" t="str">
        <f>HYPERLINK("#N"&amp;ROW(N1565),"_x0005_`BDCOD|B04791_x0007_`POSS|"&amp;ROW(N1564)&amp;"_x0007_`POSE|"&amp;ROW(N1565)&amp;"_x0007_`")</f>
        <v>_x0005_`BDCOD|B04791_x0007_`POSS|1564_x0007_`POSE|1565_x0007_`</v>
      </c>
      <c r="O1563" s="7" t="s">
        <v>7523</v>
      </c>
    </row>
    <row r="1564" spans="1:26" ht="28.7" customHeight="1" x14ac:dyDescent="0.3">
      <c r="A1564" s="10"/>
      <c r="B1564" s="10" t="s">
        <v>7488</v>
      </c>
      <c r="C1564" s="75">
        <v>0</v>
      </c>
      <c r="D1564" s="31"/>
      <c r="E1564" s="33">
        <v>0</v>
      </c>
      <c r="F1564" s="11">
        <v>0</v>
      </c>
      <c r="G1564" s="42"/>
      <c r="H1564" s="11">
        <v>0</v>
      </c>
      <c r="I1564" s="42"/>
      <c r="J1564" s="33">
        <v>0</v>
      </c>
      <c r="K1564" s="46"/>
      <c r="L1564" s="33">
        <v>0</v>
      </c>
      <c r="M1564" s="22" t="s">
        <v>6509</v>
      </c>
      <c r="N1564" s="17" t="s">
        <v>6507</v>
      </c>
      <c r="O1564" s="7" t="s">
        <v>6508</v>
      </c>
      <c r="P1564" s="7" t="s">
        <v>6508</v>
      </c>
    </row>
    <row r="1565" spans="1:26" ht="28.7" customHeight="1" x14ac:dyDescent="0.3">
      <c r="A1565" s="10" t="s">
        <v>3109</v>
      </c>
      <c r="B1565" s="10"/>
      <c r="C1565" s="75">
        <v>0.99</v>
      </c>
      <c r="D1565" s="31" t="s">
        <v>3074</v>
      </c>
      <c r="E1565" s="55">
        <f>I1565+G1565+K1565</f>
        <v>269759</v>
      </c>
      <c r="F1565" s="76">
        <f>J1565+H1565+L1565</f>
        <v>267061.40000000002</v>
      </c>
      <c r="G1565" s="78">
        <f>노무비목록표!E22</f>
        <v>269759</v>
      </c>
      <c r="H1565" s="81">
        <f>IF(C1565=0,0,ROUNDDOWN(G1565*C1565,1))</f>
        <v>267061.40000000002</v>
      </c>
      <c r="I1565" s="51">
        <v>0</v>
      </c>
      <c r="J1565" s="77">
        <f>IF(C1565=0,0,ROUNDDOWN(I1565*C1565,1))</f>
        <v>0</v>
      </c>
      <c r="K1565" s="51">
        <v>0</v>
      </c>
      <c r="L1565" s="76">
        <f>IF(C1565=0,0,ROUNDDOWN(K1565*C1565,1))</f>
        <v>0</v>
      </c>
      <c r="M1565" s="22" t="s">
        <v>7517</v>
      </c>
      <c r="N1565" s="17" t="s">
        <v>7515</v>
      </c>
      <c r="O1565" s="7" t="s">
        <v>7516</v>
      </c>
      <c r="P1565" s="7" t="s">
        <v>6406</v>
      </c>
      <c r="Z1565" s="3" t="str">
        <f ca="1">HYPERLINK("#"&amp;노무비목록표!G2&amp;"!A"&amp;ROW(노무비목록표!A22),"노무19 →")</f>
        <v>노무19 →</v>
      </c>
    </row>
    <row r="1566" spans="1:26" ht="28.7" customHeight="1" x14ac:dyDescent="0.3">
      <c r="A1566" s="22" t="s">
        <v>6</v>
      </c>
      <c r="B1566" s="74"/>
      <c r="C1566" s="74"/>
      <c r="D1566" s="74"/>
      <c r="E1566" s="74"/>
      <c r="F1566" s="48">
        <f>J1566+H1566+L1566</f>
        <v>267061</v>
      </c>
      <c r="G1566" s="74"/>
      <c r="H1566" s="48">
        <f>ROUNDDOWN(SUMIF(P1564:P1565,O1566,H1564:H1565),0)</f>
        <v>267061</v>
      </c>
      <c r="I1566" s="74"/>
      <c r="J1566" s="48">
        <f>ROUNDDOWN(SUMIF(P1564:P1565,O1566,J1564:J1565),0)</f>
        <v>0</v>
      </c>
      <c r="K1566" s="74"/>
      <c r="L1566" s="48">
        <f>ROUNDDOWN(SUMIF(P1564:P1565,O1566,L1564:L1565),0)</f>
        <v>0</v>
      </c>
      <c r="M1566" s="74"/>
      <c r="O1566" s="7" t="s">
        <v>6406</v>
      </c>
    </row>
    <row r="1567" spans="1:26" ht="28.7" customHeight="1" x14ac:dyDescent="0.3">
      <c r="A1567" s="73"/>
      <c r="B1567" s="73"/>
      <c r="C1567" s="73"/>
      <c r="D1567" s="73"/>
      <c r="E1567" s="73"/>
      <c r="F1567" s="73"/>
      <c r="G1567" s="73"/>
      <c r="H1567" s="73"/>
      <c r="I1567" s="73"/>
      <c r="J1567" s="73"/>
      <c r="K1567" s="73"/>
      <c r="L1567" s="73"/>
      <c r="M1567" s="73"/>
    </row>
    <row r="1568" spans="1:26" ht="28.7" customHeight="1" x14ac:dyDescent="0.3">
      <c r="A1568" s="136" t="s">
        <v>888</v>
      </c>
      <c r="B1568" s="127"/>
      <c r="C1568" s="127"/>
      <c r="D1568" s="127"/>
      <c r="E1568" s="127"/>
      <c r="F1568" s="127"/>
      <c r="G1568" s="127"/>
      <c r="H1568" s="127"/>
      <c r="I1568" s="127"/>
      <c r="J1568" s="127"/>
      <c r="K1568" s="127"/>
      <c r="L1568" s="144"/>
      <c r="M1568" s="22" t="s">
        <v>7524</v>
      </c>
      <c r="N1568" s="84" t="str">
        <f>HYPERLINK("#N"&amp;ROW(N1570),"_x0005_`BDCOD|B04792_x0007_`POSS|"&amp;ROW(N1569)&amp;"_x0007_`POSE|"&amp;ROW(N1570)&amp;"_x0007_`")</f>
        <v>_x0005_`BDCOD|B04792_x0007_`POSS|1569_x0007_`POSE|1570_x0007_`</v>
      </c>
      <c r="O1568" s="7" t="s">
        <v>7525</v>
      </c>
    </row>
    <row r="1569" spans="1:26" ht="28.7" customHeight="1" x14ac:dyDescent="0.3">
      <c r="A1569" s="10"/>
      <c r="B1569" s="10" t="s">
        <v>7488</v>
      </c>
      <c r="C1569" s="75">
        <v>0</v>
      </c>
      <c r="D1569" s="31"/>
      <c r="E1569" s="33">
        <v>0</v>
      </c>
      <c r="F1569" s="11">
        <v>0</v>
      </c>
      <c r="G1569" s="42"/>
      <c r="H1569" s="11">
        <v>0</v>
      </c>
      <c r="I1569" s="42"/>
      <c r="J1569" s="33">
        <v>0</v>
      </c>
      <c r="K1569" s="46"/>
      <c r="L1569" s="33">
        <v>0</v>
      </c>
      <c r="M1569" s="22" t="s">
        <v>6509</v>
      </c>
      <c r="N1569" s="17" t="s">
        <v>6507</v>
      </c>
      <c r="O1569" s="7" t="s">
        <v>6508</v>
      </c>
      <c r="P1569" s="7" t="s">
        <v>6508</v>
      </c>
    </row>
    <row r="1570" spans="1:26" ht="28.7" customHeight="1" x14ac:dyDescent="0.3">
      <c r="A1570" s="10" t="s">
        <v>3109</v>
      </c>
      <c r="B1570" s="10"/>
      <c r="C1570" s="75">
        <v>1.21</v>
      </c>
      <c r="D1570" s="31" t="s">
        <v>3074</v>
      </c>
      <c r="E1570" s="55">
        <f>I1570+G1570+K1570</f>
        <v>269759</v>
      </c>
      <c r="F1570" s="76">
        <f>J1570+H1570+L1570</f>
        <v>326408.3</v>
      </c>
      <c r="G1570" s="78">
        <f>노무비목록표!E22</f>
        <v>269759</v>
      </c>
      <c r="H1570" s="81">
        <f>IF(C1570=0,0,ROUNDDOWN(G1570*C1570,1))</f>
        <v>326408.3</v>
      </c>
      <c r="I1570" s="51">
        <v>0</v>
      </c>
      <c r="J1570" s="77">
        <f>IF(C1570=0,0,ROUNDDOWN(I1570*C1570,1))</f>
        <v>0</v>
      </c>
      <c r="K1570" s="51">
        <v>0</v>
      </c>
      <c r="L1570" s="76">
        <f>IF(C1570=0,0,ROUNDDOWN(K1570*C1570,1))</f>
        <v>0</v>
      </c>
      <c r="M1570" s="22" t="s">
        <v>7517</v>
      </c>
      <c r="N1570" s="17" t="s">
        <v>7515</v>
      </c>
      <c r="O1570" s="7" t="s">
        <v>7516</v>
      </c>
      <c r="P1570" s="7" t="s">
        <v>6406</v>
      </c>
      <c r="Z1570" s="3" t="str">
        <f ca="1">HYPERLINK("#"&amp;노무비목록표!G2&amp;"!A"&amp;ROW(노무비목록표!A22),"노무19 →")</f>
        <v>노무19 →</v>
      </c>
    </row>
    <row r="1571" spans="1:26" ht="28.7" customHeight="1" x14ac:dyDescent="0.3">
      <c r="A1571" s="22" t="s">
        <v>6</v>
      </c>
      <c r="B1571" s="74"/>
      <c r="C1571" s="74"/>
      <c r="D1571" s="74"/>
      <c r="E1571" s="74"/>
      <c r="F1571" s="48">
        <f>J1571+H1571+L1571</f>
        <v>326408</v>
      </c>
      <c r="G1571" s="74"/>
      <c r="H1571" s="48">
        <f>ROUNDDOWN(SUMIF(P1569:P1570,O1571,H1569:H1570),0)</f>
        <v>326408</v>
      </c>
      <c r="I1571" s="74"/>
      <c r="J1571" s="48">
        <f>ROUNDDOWN(SUMIF(P1569:P1570,O1571,J1569:J1570),0)</f>
        <v>0</v>
      </c>
      <c r="K1571" s="74"/>
      <c r="L1571" s="48">
        <f>ROUNDDOWN(SUMIF(P1569:P1570,O1571,L1569:L1570),0)</f>
        <v>0</v>
      </c>
      <c r="M1571" s="74"/>
      <c r="O1571" s="7" t="s">
        <v>6406</v>
      </c>
    </row>
    <row r="1572" spans="1:26" ht="28.7" customHeight="1" x14ac:dyDescent="0.3">
      <c r="A1572" s="73"/>
      <c r="B1572" s="73"/>
      <c r="C1572" s="73"/>
      <c r="D1572" s="73"/>
      <c r="E1572" s="73"/>
      <c r="F1572" s="73"/>
      <c r="G1572" s="73"/>
      <c r="H1572" s="73"/>
      <c r="I1572" s="73"/>
      <c r="J1572" s="73"/>
      <c r="K1572" s="73"/>
      <c r="L1572" s="73"/>
      <c r="M1572" s="73"/>
    </row>
    <row r="1573" spans="1:26" ht="28.7" customHeight="1" x14ac:dyDescent="0.3">
      <c r="A1573" s="136" t="s">
        <v>891</v>
      </c>
      <c r="B1573" s="127"/>
      <c r="C1573" s="127"/>
      <c r="D1573" s="127"/>
      <c r="E1573" s="127"/>
      <c r="F1573" s="127"/>
      <c r="G1573" s="127"/>
      <c r="H1573" s="127"/>
      <c r="I1573" s="127"/>
      <c r="J1573" s="127"/>
      <c r="K1573" s="127"/>
      <c r="L1573" s="144"/>
      <c r="M1573" s="22" t="s">
        <v>7526</v>
      </c>
      <c r="N1573" s="84" t="str">
        <f>HYPERLINK("#N"&amp;ROW(N1575),"_x0005_`BDCOD|B04793_x0007_`POSS|"&amp;ROW(N1574)&amp;"_x0007_`POSE|"&amp;ROW(N1575)&amp;"_x0007_`")</f>
        <v>_x0005_`BDCOD|B04793_x0007_`POSS|1574_x0007_`POSE|1575_x0007_`</v>
      </c>
      <c r="O1573" s="7" t="s">
        <v>7527</v>
      </c>
    </row>
    <row r="1574" spans="1:26" ht="28.7" customHeight="1" x14ac:dyDescent="0.3">
      <c r="A1574" s="10"/>
      <c r="B1574" s="10" t="s">
        <v>7488</v>
      </c>
      <c r="C1574" s="75">
        <v>0</v>
      </c>
      <c r="D1574" s="31"/>
      <c r="E1574" s="33">
        <v>0</v>
      </c>
      <c r="F1574" s="11">
        <v>0</v>
      </c>
      <c r="G1574" s="42"/>
      <c r="H1574" s="11">
        <v>0</v>
      </c>
      <c r="I1574" s="42"/>
      <c r="J1574" s="33">
        <v>0</v>
      </c>
      <c r="K1574" s="46"/>
      <c r="L1574" s="33">
        <v>0</v>
      </c>
      <c r="M1574" s="22" t="s">
        <v>6509</v>
      </c>
      <c r="N1574" s="17" t="s">
        <v>6507</v>
      </c>
      <c r="O1574" s="7" t="s">
        <v>6508</v>
      </c>
      <c r="P1574" s="7" t="s">
        <v>6508</v>
      </c>
    </row>
    <row r="1575" spans="1:26" ht="28.7" customHeight="1" x14ac:dyDescent="0.3">
      <c r="A1575" s="10" t="s">
        <v>3109</v>
      </c>
      <c r="B1575" s="10"/>
      <c r="C1575" s="75">
        <v>1.54</v>
      </c>
      <c r="D1575" s="31" t="s">
        <v>3074</v>
      </c>
      <c r="E1575" s="55">
        <f>I1575+G1575+K1575</f>
        <v>269759</v>
      </c>
      <c r="F1575" s="76">
        <f>J1575+H1575+L1575</f>
        <v>415428.8</v>
      </c>
      <c r="G1575" s="78">
        <f>노무비목록표!E22</f>
        <v>269759</v>
      </c>
      <c r="H1575" s="81">
        <f>IF(C1575=0,0,ROUNDDOWN(G1575*C1575,1))</f>
        <v>415428.8</v>
      </c>
      <c r="I1575" s="51">
        <v>0</v>
      </c>
      <c r="J1575" s="77">
        <f>IF(C1575=0,0,ROUNDDOWN(I1575*C1575,1))</f>
        <v>0</v>
      </c>
      <c r="K1575" s="51">
        <v>0</v>
      </c>
      <c r="L1575" s="76">
        <f>IF(C1575=0,0,ROUNDDOWN(K1575*C1575,1))</f>
        <v>0</v>
      </c>
      <c r="M1575" s="22" t="s">
        <v>7517</v>
      </c>
      <c r="N1575" s="17" t="s">
        <v>7515</v>
      </c>
      <c r="O1575" s="7" t="s">
        <v>7516</v>
      </c>
      <c r="P1575" s="7" t="s">
        <v>6406</v>
      </c>
      <c r="Z1575" s="3" t="str">
        <f ca="1">HYPERLINK("#"&amp;노무비목록표!G2&amp;"!A"&amp;ROW(노무비목록표!A22),"노무19 →")</f>
        <v>노무19 →</v>
      </c>
    </row>
    <row r="1576" spans="1:26" ht="28.7" customHeight="1" x14ac:dyDescent="0.3">
      <c r="A1576" s="22" t="s">
        <v>6</v>
      </c>
      <c r="B1576" s="74"/>
      <c r="C1576" s="74"/>
      <c r="D1576" s="74"/>
      <c r="E1576" s="74"/>
      <c r="F1576" s="48">
        <f>J1576+H1576+L1576</f>
        <v>415428</v>
      </c>
      <c r="G1576" s="74"/>
      <c r="H1576" s="48">
        <f>ROUNDDOWN(SUMIF(P1574:P1575,O1576,H1574:H1575),0)</f>
        <v>415428</v>
      </c>
      <c r="I1576" s="74"/>
      <c r="J1576" s="48">
        <f>ROUNDDOWN(SUMIF(P1574:P1575,O1576,J1574:J1575),0)</f>
        <v>0</v>
      </c>
      <c r="K1576" s="74"/>
      <c r="L1576" s="48">
        <f>ROUNDDOWN(SUMIF(P1574:P1575,O1576,L1574:L1575),0)</f>
        <v>0</v>
      </c>
      <c r="M1576" s="74"/>
      <c r="O1576" s="7" t="s">
        <v>6406</v>
      </c>
    </row>
    <row r="1577" spans="1:26" ht="28.7" customHeight="1" x14ac:dyDescent="0.3">
      <c r="A1577" s="73"/>
      <c r="B1577" s="73"/>
      <c r="C1577" s="73"/>
      <c r="D1577" s="73"/>
      <c r="E1577" s="73"/>
      <c r="F1577" s="73"/>
      <c r="G1577" s="73"/>
      <c r="H1577" s="73"/>
      <c r="I1577" s="73"/>
      <c r="J1577" s="73"/>
      <c r="K1577" s="73"/>
      <c r="L1577" s="73"/>
      <c r="M1577" s="73"/>
    </row>
    <row r="1578" spans="1:26" ht="28.7" customHeight="1" x14ac:dyDescent="0.3">
      <c r="A1578" s="136" t="s">
        <v>894</v>
      </c>
      <c r="B1578" s="127"/>
      <c r="C1578" s="127"/>
      <c r="D1578" s="127"/>
      <c r="E1578" s="127"/>
      <c r="F1578" s="127"/>
      <c r="G1578" s="127"/>
      <c r="H1578" s="127"/>
      <c r="I1578" s="127"/>
      <c r="J1578" s="127"/>
      <c r="K1578" s="127"/>
      <c r="L1578" s="144"/>
      <c r="M1578" s="22" t="s">
        <v>7528</v>
      </c>
      <c r="N1578" s="84" t="str">
        <f>HYPERLINK("#N"&amp;ROW(N1580),"_x0005_`BDCOD|B04794_x0007_`POSS|"&amp;ROW(N1579)&amp;"_x0007_`POSE|"&amp;ROW(N1580)&amp;"_x0007_`")</f>
        <v>_x0005_`BDCOD|B04794_x0007_`POSS|1579_x0007_`POSE|1580_x0007_`</v>
      </c>
      <c r="O1578" s="7" t="s">
        <v>7529</v>
      </c>
    </row>
    <row r="1579" spans="1:26" ht="28.7" customHeight="1" x14ac:dyDescent="0.3">
      <c r="A1579" s="10"/>
      <c r="B1579" s="10" t="s">
        <v>7488</v>
      </c>
      <c r="C1579" s="75">
        <v>0</v>
      </c>
      <c r="D1579" s="31"/>
      <c r="E1579" s="33">
        <v>0</v>
      </c>
      <c r="F1579" s="11">
        <v>0</v>
      </c>
      <c r="G1579" s="42"/>
      <c r="H1579" s="11">
        <v>0</v>
      </c>
      <c r="I1579" s="42"/>
      <c r="J1579" s="33">
        <v>0</v>
      </c>
      <c r="K1579" s="46"/>
      <c r="L1579" s="33">
        <v>0</v>
      </c>
      <c r="M1579" s="22" t="s">
        <v>6509</v>
      </c>
      <c r="N1579" s="17" t="s">
        <v>6507</v>
      </c>
      <c r="O1579" s="7" t="s">
        <v>6508</v>
      </c>
      <c r="P1579" s="7" t="s">
        <v>6508</v>
      </c>
    </row>
    <row r="1580" spans="1:26" ht="28.7" customHeight="1" x14ac:dyDescent="0.3">
      <c r="A1580" s="10" t="s">
        <v>3109</v>
      </c>
      <c r="B1580" s="10"/>
      <c r="C1580" s="75">
        <v>2.19</v>
      </c>
      <c r="D1580" s="31" t="s">
        <v>3074</v>
      </c>
      <c r="E1580" s="55">
        <f>I1580+G1580+K1580</f>
        <v>269759</v>
      </c>
      <c r="F1580" s="76">
        <f>J1580+H1580+L1580</f>
        <v>590772.19999999995</v>
      </c>
      <c r="G1580" s="78">
        <f>노무비목록표!E22</f>
        <v>269759</v>
      </c>
      <c r="H1580" s="81">
        <f>IF(C1580=0,0,ROUNDDOWN(G1580*C1580,1))</f>
        <v>590772.19999999995</v>
      </c>
      <c r="I1580" s="51">
        <v>0</v>
      </c>
      <c r="J1580" s="77">
        <f>IF(C1580=0,0,ROUNDDOWN(I1580*C1580,1))</f>
        <v>0</v>
      </c>
      <c r="K1580" s="51">
        <v>0</v>
      </c>
      <c r="L1580" s="76">
        <f>IF(C1580=0,0,ROUNDDOWN(K1580*C1580,1))</f>
        <v>0</v>
      </c>
      <c r="M1580" s="22" t="s">
        <v>7517</v>
      </c>
      <c r="N1580" s="17" t="s">
        <v>7515</v>
      </c>
      <c r="O1580" s="7" t="s">
        <v>7516</v>
      </c>
      <c r="P1580" s="7" t="s">
        <v>6406</v>
      </c>
      <c r="Z1580" s="3" t="str">
        <f ca="1">HYPERLINK("#"&amp;노무비목록표!G2&amp;"!A"&amp;ROW(노무비목록표!A22),"노무19 →")</f>
        <v>노무19 →</v>
      </c>
    </row>
    <row r="1581" spans="1:26" ht="28.7" customHeight="1" x14ac:dyDescent="0.3">
      <c r="A1581" s="22" t="s">
        <v>6</v>
      </c>
      <c r="B1581" s="74"/>
      <c r="C1581" s="74"/>
      <c r="D1581" s="74"/>
      <c r="E1581" s="74"/>
      <c r="F1581" s="48">
        <f>J1581+H1581+L1581</f>
        <v>590772</v>
      </c>
      <c r="G1581" s="74"/>
      <c r="H1581" s="48">
        <f>ROUNDDOWN(SUMIF(P1579:P1580,O1581,H1579:H1580),0)</f>
        <v>590772</v>
      </c>
      <c r="I1581" s="74"/>
      <c r="J1581" s="48">
        <f>ROUNDDOWN(SUMIF(P1579:P1580,O1581,J1579:J1580),0)</f>
        <v>0</v>
      </c>
      <c r="K1581" s="74"/>
      <c r="L1581" s="48">
        <f>ROUNDDOWN(SUMIF(P1579:P1580,O1581,L1579:L1580),0)</f>
        <v>0</v>
      </c>
      <c r="M1581" s="74"/>
      <c r="O1581" s="7" t="s">
        <v>6406</v>
      </c>
    </row>
    <row r="1582" spans="1:26" ht="28.7" customHeight="1" x14ac:dyDescent="0.3">
      <c r="A1582" s="73"/>
      <c r="B1582" s="73"/>
      <c r="C1582" s="73"/>
      <c r="D1582" s="73"/>
      <c r="E1582" s="73"/>
      <c r="F1582" s="73"/>
      <c r="G1582" s="73"/>
      <c r="H1582" s="73"/>
      <c r="I1582" s="73"/>
      <c r="J1582" s="73"/>
      <c r="K1582" s="73"/>
      <c r="L1582" s="73"/>
      <c r="M1582" s="73"/>
    </row>
    <row r="1583" spans="1:26" ht="28.7" customHeight="1" x14ac:dyDescent="0.3">
      <c r="A1583" s="136" t="s">
        <v>897</v>
      </c>
      <c r="B1583" s="127"/>
      <c r="C1583" s="127"/>
      <c r="D1583" s="127"/>
      <c r="E1583" s="127"/>
      <c r="F1583" s="127"/>
      <c r="G1583" s="127"/>
      <c r="H1583" s="127"/>
      <c r="I1583" s="127"/>
      <c r="J1583" s="127"/>
      <c r="K1583" s="127"/>
      <c r="L1583" s="144"/>
      <c r="M1583" s="22" t="s">
        <v>7530</v>
      </c>
      <c r="N1583" s="84" t="str">
        <f>HYPERLINK("#N"&amp;ROW(N1585),"_x0005_`BDCOD|B04795_x0007_`POSS|"&amp;ROW(N1584)&amp;"_x0007_`POSE|"&amp;ROW(N1585)&amp;"_x0007_`")</f>
        <v>_x0005_`BDCOD|B04795_x0007_`POSS|1584_x0007_`POSE|1585_x0007_`</v>
      </c>
      <c r="O1583" s="7" t="s">
        <v>7531</v>
      </c>
    </row>
    <row r="1584" spans="1:26" ht="28.7" customHeight="1" x14ac:dyDescent="0.3">
      <c r="A1584" s="10"/>
      <c r="B1584" s="10" t="s">
        <v>7488</v>
      </c>
      <c r="C1584" s="75">
        <v>0</v>
      </c>
      <c r="D1584" s="31"/>
      <c r="E1584" s="33">
        <v>0</v>
      </c>
      <c r="F1584" s="11">
        <v>0</v>
      </c>
      <c r="G1584" s="42"/>
      <c r="H1584" s="11">
        <v>0</v>
      </c>
      <c r="I1584" s="42"/>
      <c r="J1584" s="33">
        <v>0</v>
      </c>
      <c r="K1584" s="46"/>
      <c r="L1584" s="33">
        <v>0</v>
      </c>
      <c r="M1584" s="22" t="s">
        <v>6509</v>
      </c>
      <c r="N1584" s="17" t="s">
        <v>6507</v>
      </c>
      <c r="O1584" s="7" t="s">
        <v>6508</v>
      </c>
      <c r="P1584" s="7" t="s">
        <v>6508</v>
      </c>
    </row>
    <row r="1585" spans="1:26" ht="28.7" customHeight="1" x14ac:dyDescent="0.3">
      <c r="A1585" s="10" t="s">
        <v>3109</v>
      </c>
      <c r="B1585" s="10"/>
      <c r="C1585" s="75">
        <v>2.85</v>
      </c>
      <c r="D1585" s="31" t="s">
        <v>3074</v>
      </c>
      <c r="E1585" s="55">
        <f>I1585+G1585+K1585</f>
        <v>269759</v>
      </c>
      <c r="F1585" s="76">
        <f>J1585+H1585+L1585</f>
        <v>768813.1</v>
      </c>
      <c r="G1585" s="78">
        <f>노무비목록표!E22</f>
        <v>269759</v>
      </c>
      <c r="H1585" s="81">
        <f>IF(C1585=0,0,ROUNDDOWN(G1585*C1585,1))</f>
        <v>768813.1</v>
      </c>
      <c r="I1585" s="51">
        <v>0</v>
      </c>
      <c r="J1585" s="77">
        <f>IF(C1585=0,0,ROUNDDOWN(I1585*C1585,1))</f>
        <v>0</v>
      </c>
      <c r="K1585" s="51">
        <v>0</v>
      </c>
      <c r="L1585" s="76">
        <f>IF(C1585=0,0,ROUNDDOWN(K1585*C1585,1))</f>
        <v>0</v>
      </c>
      <c r="M1585" s="22" t="s">
        <v>7517</v>
      </c>
      <c r="N1585" s="17" t="s">
        <v>7515</v>
      </c>
      <c r="O1585" s="7" t="s">
        <v>7516</v>
      </c>
      <c r="P1585" s="7" t="s">
        <v>6406</v>
      </c>
      <c r="Z1585" s="3" t="str">
        <f ca="1">HYPERLINK("#"&amp;노무비목록표!G2&amp;"!A"&amp;ROW(노무비목록표!A22),"노무19 →")</f>
        <v>노무19 →</v>
      </c>
    </row>
    <row r="1586" spans="1:26" ht="28.7" customHeight="1" x14ac:dyDescent="0.3">
      <c r="A1586" s="22" t="s">
        <v>6</v>
      </c>
      <c r="B1586" s="74"/>
      <c r="C1586" s="74"/>
      <c r="D1586" s="74"/>
      <c r="E1586" s="74"/>
      <c r="F1586" s="48">
        <f>J1586+H1586+L1586</f>
        <v>768813</v>
      </c>
      <c r="G1586" s="74"/>
      <c r="H1586" s="48">
        <f>ROUNDDOWN(SUMIF(P1584:P1585,O1586,H1584:H1585),0)</f>
        <v>768813</v>
      </c>
      <c r="I1586" s="74"/>
      <c r="J1586" s="48">
        <f>ROUNDDOWN(SUMIF(P1584:P1585,O1586,J1584:J1585),0)</f>
        <v>0</v>
      </c>
      <c r="K1586" s="74"/>
      <c r="L1586" s="48">
        <f>ROUNDDOWN(SUMIF(P1584:P1585,O1586,L1584:L1585),0)</f>
        <v>0</v>
      </c>
      <c r="M1586" s="74"/>
      <c r="O1586" s="7" t="s">
        <v>6406</v>
      </c>
    </row>
    <row r="1587" spans="1:26" ht="28.7" customHeight="1" x14ac:dyDescent="0.3">
      <c r="A1587" s="73"/>
      <c r="B1587" s="73"/>
      <c r="C1587" s="73"/>
      <c r="D1587" s="73"/>
      <c r="E1587" s="73"/>
      <c r="F1587" s="73"/>
      <c r="G1587" s="73"/>
      <c r="H1587" s="73"/>
      <c r="I1587" s="73"/>
      <c r="J1587" s="73"/>
      <c r="K1587" s="73"/>
      <c r="L1587" s="73"/>
      <c r="M1587" s="73"/>
    </row>
    <row r="1588" spans="1:26" ht="28.7" customHeight="1" x14ac:dyDescent="0.3">
      <c r="A1588" s="136" t="s">
        <v>900</v>
      </c>
      <c r="B1588" s="127"/>
      <c r="C1588" s="127"/>
      <c r="D1588" s="127"/>
      <c r="E1588" s="127"/>
      <c r="F1588" s="127"/>
      <c r="G1588" s="127"/>
      <c r="H1588" s="127"/>
      <c r="I1588" s="127"/>
      <c r="J1588" s="127"/>
      <c r="K1588" s="127"/>
      <c r="L1588" s="144"/>
      <c r="M1588" s="22" t="s">
        <v>7532</v>
      </c>
      <c r="N1588" s="84" t="str">
        <f>HYPERLINK("#N"&amp;ROW(N1590),"_x0005_`BDCOD|B04796_x0007_`POSS|"&amp;ROW(N1589)&amp;"_x0007_`POSE|"&amp;ROW(N1590)&amp;"_x0007_`")</f>
        <v>_x0005_`BDCOD|B04796_x0007_`POSS|1589_x0007_`POSE|1590_x0007_`</v>
      </c>
      <c r="O1588" s="7" t="s">
        <v>7533</v>
      </c>
    </row>
    <row r="1589" spans="1:26" ht="28.7" customHeight="1" x14ac:dyDescent="0.3">
      <c r="A1589" s="10"/>
      <c r="B1589" s="10" t="s">
        <v>7488</v>
      </c>
      <c r="C1589" s="75">
        <v>0</v>
      </c>
      <c r="D1589" s="31"/>
      <c r="E1589" s="33">
        <v>0</v>
      </c>
      <c r="F1589" s="11">
        <v>0</v>
      </c>
      <c r="G1589" s="42"/>
      <c r="H1589" s="11">
        <v>0</v>
      </c>
      <c r="I1589" s="42"/>
      <c r="J1589" s="33">
        <v>0</v>
      </c>
      <c r="K1589" s="46"/>
      <c r="L1589" s="33">
        <v>0</v>
      </c>
      <c r="M1589" s="22" t="s">
        <v>6509</v>
      </c>
      <c r="N1589" s="17" t="s">
        <v>6507</v>
      </c>
      <c r="O1589" s="7" t="s">
        <v>6508</v>
      </c>
      <c r="P1589" s="7" t="s">
        <v>6508</v>
      </c>
    </row>
    <row r="1590" spans="1:26" ht="28.7" customHeight="1" x14ac:dyDescent="0.3">
      <c r="A1590" s="10" t="s">
        <v>3109</v>
      </c>
      <c r="B1590" s="10"/>
      <c r="C1590" s="75">
        <v>3.29</v>
      </c>
      <c r="D1590" s="31" t="s">
        <v>3074</v>
      </c>
      <c r="E1590" s="55">
        <f>I1590+G1590+K1590</f>
        <v>269759</v>
      </c>
      <c r="F1590" s="76">
        <f>J1590+H1590+L1590</f>
        <v>887507.1</v>
      </c>
      <c r="G1590" s="78">
        <f>노무비목록표!E22</f>
        <v>269759</v>
      </c>
      <c r="H1590" s="81">
        <f>IF(C1590=0,0,ROUNDDOWN(G1590*C1590,1))</f>
        <v>887507.1</v>
      </c>
      <c r="I1590" s="51">
        <v>0</v>
      </c>
      <c r="J1590" s="77">
        <f>IF(C1590=0,0,ROUNDDOWN(I1590*C1590,1))</f>
        <v>0</v>
      </c>
      <c r="K1590" s="51">
        <v>0</v>
      </c>
      <c r="L1590" s="76">
        <f>IF(C1590=0,0,ROUNDDOWN(K1590*C1590,1))</f>
        <v>0</v>
      </c>
      <c r="M1590" s="22" t="s">
        <v>7517</v>
      </c>
      <c r="N1590" s="17" t="s">
        <v>7515</v>
      </c>
      <c r="O1590" s="7" t="s">
        <v>7516</v>
      </c>
      <c r="P1590" s="7" t="s">
        <v>6406</v>
      </c>
      <c r="Z1590" s="3" t="str">
        <f ca="1">HYPERLINK("#"&amp;노무비목록표!G2&amp;"!A"&amp;ROW(노무비목록표!A22),"노무19 →")</f>
        <v>노무19 →</v>
      </c>
    </row>
    <row r="1591" spans="1:26" ht="28.7" customHeight="1" x14ac:dyDescent="0.3">
      <c r="A1591" s="22" t="s">
        <v>6</v>
      </c>
      <c r="B1591" s="74"/>
      <c r="C1591" s="74"/>
      <c r="D1591" s="74"/>
      <c r="E1591" s="74"/>
      <c r="F1591" s="48">
        <f>J1591+H1591+L1591</f>
        <v>887507</v>
      </c>
      <c r="G1591" s="74"/>
      <c r="H1591" s="48">
        <f>ROUNDDOWN(SUMIF(P1589:P1590,O1591,H1589:H1590),0)</f>
        <v>887507</v>
      </c>
      <c r="I1591" s="74"/>
      <c r="J1591" s="48">
        <f>ROUNDDOWN(SUMIF(P1589:P1590,O1591,J1589:J1590),0)</f>
        <v>0</v>
      </c>
      <c r="K1591" s="74"/>
      <c r="L1591" s="48">
        <f>ROUNDDOWN(SUMIF(P1589:P1590,O1591,L1589:L1590),0)</f>
        <v>0</v>
      </c>
      <c r="M1591" s="74"/>
      <c r="O1591" s="7" t="s">
        <v>6406</v>
      </c>
    </row>
    <row r="1592" spans="1:26" ht="28.7" customHeight="1" x14ac:dyDescent="0.3">
      <c r="A1592" s="73"/>
      <c r="B1592" s="73"/>
      <c r="C1592" s="73"/>
      <c r="D1592" s="73"/>
      <c r="E1592" s="73"/>
      <c r="F1592" s="73"/>
      <c r="G1592" s="73"/>
      <c r="H1592" s="73"/>
      <c r="I1592" s="73"/>
      <c r="J1592" s="73"/>
      <c r="K1592" s="73"/>
      <c r="L1592" s="73"/>
      <c r="M1592" s="73"/>
    </row>
    <row r="1593" spans="1:26" ht="28.7" customHeight="1" x14ac:dyDescent="0.3">
      <c r="A1593" s="136" t="s">
        <v>903</v>
      </c>
      <c r="B1593" s="127"/>
      <c r="C1593" s="127"/>
      <c r="D1593" s="127"/>
      <c r="E1593" s="127"/>
      <c r="F1593" s="127"/>
      <c r="G1593" s="127"/>
      <c r="H1593" s="127"/>
      <c r="I1593" s="127"/>
      <c r="J1593" s="127"/>
      <c r="K1593" s="127"/>
      <c r="L1593" s="144"/>
      <c r="M1593" s="22" t="s">
        <v>7534</v>
      </c>
      <c r="N1593" s="84" t="str">
        <f>HYPERLINK("#N"&amp;ROW(N1595),"_x0005_`BDCOD|B04797_x0007_`POSS|"&amp;ROW(N1594)&amp;"_x0007_`POSE|"&amp;ROW(N1595)&amp;"_x0007_`")</f>
        <v>_x0005_`BDCOD|B04797_x0007_`POSS|1594_x0007_`POSE|1595_x0007_`</v>
      </c>
      <c r="O1593" s="7" t="s">
        <v>7535</v>
      </c>
    </row>
    <row r="1594" spans="1:26" ht="28.7" customHeight="1" x14ac:dyDescent="0.3">
      <c r="A1594" s="10"/>
      <c r="B1594" s="10" t="s">
        <v>7488</v>
      </c>
      <c r="C1594" s="75">
        <v>0</v>
      </c>
      <c r="D1594" s="31"/>
      <c r="E1594" s="33">
        <v>0</v>
      </c>
      <c r="F1594" s="11">
        <v>0</v>
      </c>
      <c r="G1594" s="42"/>
      <c r="H1594" s="11">
        <v>0</v>
      </c>
      <c r="I1594" s="42"/>
      <c r="J1594" s="33">
        <v>0</v>
      </c>
      <c r="K1594" s="46"/>
      <c r="L1594" s="33">
        <v>0</v>
      </c>
      <c r="M1594" s="22" t="s">
        <v>6509</v>
      </c>
      <c r="N1594" s="17" t="s">
        <v>6507</v>
      </c>
      <c r="O1594" s="7" t="s">
        <v>6508</v>
      </c>
      <c r="P1594" s="7" t="s">
        <v>6508</v>
      </c>
    </row>
    <row r="1595" spans="1:26" ht="28.7" customHeight="1" x14ac:dyDescent="0.3">
      <c r="A1595" s="10" t="s">
        <v>3109</v>
      </c>
      <c r="B1595" s="10"/>
      <c r="C1595" s="75">
        <v>3.73</v>
      </c>
      <c r="D1595" s="31" t="s">
        <v>3074</v>
      </c>
      <c r="E1595" s="55">
        <f>I1595+G1595+K1595</f>
        <v>269759</v>
      </c>
      <c r="F1595" s="76">
        <f>J1595+H1595+L1595</f>
        <v>1006201</v>
      </c>
      <c r="G1595" s="78">
        <f>노무비목록표!E22</f>
        <v>269759</v>
      </c>
      <c r="H1595" s="81">
        <f>IF(C1595=0,0,ROUNDDOWN(G1595*C1595,1))</f>
        <v>1006201</v>
      </c>
      <c r="I1595" s="51">
        <v>0</v>
      </c>
      <c r="J1595" s="77">
        <f>IF(C1595=0,0,ROUNDDOWN(I1595*C1595,1))</f>
        <v>0</v>
      </c>
      <c r="K1595" s="51">
        <v>0</v>
      </c>
      <c r="L1595" s="76">
        <f>IF(C1595=0,0,ROUNDDOWN(K1595*C1595,1))</f>
        <v>0</v>
      </c>
      <c r="M1595" s="22" t="s">
        <v>7517</v>
      </c>
      <c r="N1595" s="17" t="s">
        <v>7515</v>
      </c>
      <c r="O1595" s="7" t="s">
        <v>7516</v>
      </c>
      <c r="P1595" s="7" t="s">
        <v>6406</v>
      </c>
      <c r="Z1595" s="3" t="str">
        <f ca="1">HYPERLINK("#"&amp;노무비목록표!G2&amp;"!A"&amp;ROW(노무비목록표!A22),"노무19 →")</f>
        <v>노무19 →</v>
      </c>
    </row>
    <row r="1596" spans="1:26" ht="28.7" customHeight="1" x14ac:dyDescent="0.3">
      <c r="A1596" s="22" t="s">
        <v>6</v>
      </c>
      <c r="B1596" s="74"/>
      <c r="C1596" s="74"/>
      <c r="D1596" s="74"/>
      <c r="E1596" s="74"/>
      <c r="F1596" s="48">
        <f>J1596+H1596+L1596</f>
        <v>1006201</v>
      </c>
      <c r="G1596" s="74"/>
      <c r="H1596" s="48">
        <f>ROUNDDOWN(SUMIF(P1594:P1595,O1596,H1594:H1595),0)</f>
        <v>1006201</v>
      </c>
      <c r="I1596" s="74"/>
      <c r="J1596" s="48">
        <f>ROUNDDOWN(SUMIF(P1594:P1595,O1596,J1594:J1595),0)</f>
        <v>0</v>
      </c>
      <c r="K1596" s="74"/>
      <c r="L1596" s="48">
        <f>ROUNDDOWN(SUMIF(P1594:P1595,O1596,L1594:L1595),0)</f>
        <v>0</v>
      </c>
      <c r="M1596" s="74"/>
      <c r="O1596" s="7" t="s">
        <v>6406</v>
      </c>
    </row>
    <row r="1597" spans="1:26" ht="28.7" customHeight="1" x14ac:dyDescent="0.3">
      <c r="A1597" s="73"/>
      <c r="B1597" s="73"/>
      <c r="C1597" s="73"/>
      <c r="D1597" s="73"/>
      <c r="E1597" s="73"/>
      <c r="F1597" s="73"/>
      <c r="G1597" s="73"/>
      <c r="H1597" s="73"/>
      <c r="I1597" s="73"/>
      <c r="J1597" s="73"/>
      <c r="K1597" s="73"/>
      <c r="L1597" s="73"/>
      <c r="M1597" s="73"/>
    </row>
    <row r="1598" spans="1:26" ht="28.7" customHeight="1" x14ac:dyDescent="0.3">
      <c r="A1598" s="136" t="s">
        <v>906</v>
      </c>
      <c r="B1598" s="127"/>
      <c r="C1598" s="127"/>
      <c r="D1598" s="127"/>
      <c r="E1598" s="127"/>
      <c r="F1598" s="127"/>
      <c r="G1598" s="127"/>
      <c r="H1598" s="127"/>
      <c r="I1598" s="127"/>
      <c r="J1598" s="127"/>
      <c r="K1598" s="127"/>
      <c r="L1598" s="144"/>
      <c r="M1598" s="22" t="s">
        <v>7536</v>
      </c>
      <c r="N1598" s="84" t="str">
        <f>HYPERLINK("#N"&amp;ROW(N1600),"_x0005_`BDCOD|B04798_x0007_`POSS|"&amp;ROW(N1599)&amp;"_x0007_`POSE|"&amp;ROW(N1600)&amp;"_x0007_`")</f>
        <v>_x0005_`BDCOD|B04798_x0007_`POSS|1599_x0007_`POSE|1600_x0007_`</v>
      </c>
      <c r="O1598" s="7" t="s">
        <v>7537</v>
      </c>
    </row>
    <row r="1599" spans="1:26" ht="28.7" customHeight="1" x14ac:dyDescent="0.3">
      <c r="A1599" s="10"/>
      <c r="B1599" s="10" t="s">
        <v>7488</v>
      </c>
      <c r="C1599" s="75">
        <v>0</v>
      </c>
      <c r="D1599" s="31"/>
      <c r="E1599" s="33">
        <v>0</v>
      </c>
      <c r="F1599" s="11">
        <v>0</v>
      </c>
      <c r="G1599" s="42"/>
      <c r="H1599" s="11">
        <v>0</v>
      </c>
      <c r="I1599" s="42"/>
      <c r="J1599" s="33">
        <v>0</v>
      </c>
      <c r="K1599" s="46"/>
      <c r="L1599" s="33">
        <v>0</v>
      </c>
      <c r="M1599" s="22" t="s">
        <v>6509</v>
      </c>
      <c r="N1599" s="17" t="s">
        <v>6507</v>
      </c>
      <c r="O1599" s="7" t="s">
        <v>6508</v>
      </c>
      <c r="P1599" s="7" t="s">
        <v>6508</v>
      </c>
    </row>
    <row r="1600" spans="1:26" ht="28.7" customHeight="1" x14ac:dyDescent="0.3">
      <c r="A1600" s="10" t="s">
        <v>3109</v>
      </c>
      <c r="B1600" s="10"/>
      <c r="C1600" s="75">
        <v>4.3899999999999997</v>
      </c>
      <c r="D1600" s="31" t="s">
        <v>3074</v>
      </c>
      <c r="E1600" s="55">
        <f>I1600+G1600+K1600</f>
        <v>269759</v>
      </c>
      <c r="F1600" s="76">
        <f>J1600+H1600+L1600</f>
        <v>1184242</v>
      </c>
      <c r="G1600" s="78">
        <f>노무비목록표!E22</f>
        <v>269759</v>
      </c>
      <c r="H1600" s="81">
        <f>IF(C1600=0,0,ROUNDDOWN(G1600*C1600,1))</f>
        <v>1184242</v>
      </c>
      <c r="I1600" s="51">
        <v>0</v>
      </c>
      <c r="J1600" s="77">
        <f>IF(C1600=0,0,ROUNDDOWN(I1600*C1600,1))</f>
        <v>0</v>
      </c>
      <c r="K1600" s="51">
        <v>0</v>
      </c>
      <c r="L1600" s="76">
        <f>IF(C1600=0,0,ROUNDDOWN(K1600*C1600,1))</f>
        <v>0</v>
      </c>
      <c r="M1600" s="22" t="s">
        <v>7517</v>
      </c>
      <c r="N1600" s="17" t="s">
        <v>7515</v>
      </c>
      <c r="O1600" s="7" t="s">
        <v>7516</v>
      </c>
      <c r="P1600" s="7" t="s">
        <v>6406</v>
      </c>
      <c r="Z1600" s="3" t="str">
        <f ca="1">HYPERLINK("#"&amp;노무비목록표!G2&amp;"!A"&amp;ROW(노무비목록표!A22),"노무19 →")</f>
        <v>노무19 →</v>
      </c>
    </row>
    <row r="1601" spans="1:26" ht="28.7" customHeight="1" x14ac:dyDescent="0.3">
      <c r="A1601" s="22" t="s">
        <v>6</v>
      </c>
      <c r="B1601" s="74"/>
      <c r="C1601" s="74"/>
      <c r="D1601" s="74"/>
      <c r="E1601" s="74"/>
      <c r="F1601" s="48">
        <f>J1601+H1601+L1601</f>
        <v>1184242</v>
      </c>
      <c r="G1601" s="74"/>
      <c r="H1601" s="48">
        <f>ROUNDDOWN(SUMIF(P1599:P1600,O1601,H1599:H1600),0)</f>
        <v>1184242</v>
      </c>
      <c r="I1601" s="74"/>
      <c r="J1601" s="48">
        <f>ROUNDDOWN(SUMIF(P1599:P1600,O1601,J1599:J1600),0)</f>
        <v>0</v>
      </c>
      <c r="K1601" s="74"/>
      <c r="L1601" s="48">
        <f>ROUNDDOWN(SUMIF(P1599:P1600,O1601,L1599:L1600),0)</f>
        <v>0</v>
      </c>
      <c r="M1601" s="74"/>
      <c r="O1601" s="7" t="s">
        <v>6406</v>
      </c>
    </row>
    <row r="1602" spans="1:26" ht="28.7" customHeight="1" x14ac:dyDescent="0.3">
      <c r="A1602" s="73"/>
      <c r="B1602" s="73"/>
      <c r="C1602" s="73"/>
      <c r="D1602" s="73"/>
      <c r="E1602" s="73"/>
      <c r="F1602" s="73"/>
      <c r="G1602" s="73"/>
      <c r="H1602" s="73"/>
      <c r="I1602" s="73"/>
      <c r="J1602" s="73"/>
      <c r="K1602" s="73"/>
      <c r="L1602" s="73"/>
      <c r="M1602" s="73"/>
    </row>
    <row r="1603" spans="1:26" ht="28.7" customHeight="1" x14ac:dyDescent="0.3">
      <c r="A1603" s="136" t="s">
        <v>909</v>
      </c>
      <c r="B1603" s="127"/>
      <c r="C1603" s="127"/>
      <c r="D1603" s="127"/>
      <c r="E1603" s="127"/>
      <c r="F1603" s="127"/>
      <c r="G1603" s="127"/>
      <c r="H1603" s="127"/>
      <c r="I1603" s="127"/>
      <c r="J1603" s="127"/>
      <c r="K1603" s="127"/>
      <c r="L1603" s="144"/>
      <c r="M1603" s="22" t="s">
        <v>7538</v>
      </c>
      <c r="N1603" s="84" t="str">
        <f>HYPERLINK("#N"&amp;ROW(N1605),"_x0005_`BDCOD|B04799_x0007_`POSS|"&amp;ROW(N1604)&amp;"_x0007_`POSE|"&amp;ROW(N1605)&amp;"_x0007_`")</f>
        <v>_x0005_`BDCOD|B04799_x0007_`POSS|1604_x0007_`POSE|1605_x0007_`</v>
      </c>
      <c r="O1603" s="7" t="s">
        <v>7539</v>
      </c>
    </row>
    <row r="1604" spans="1:26" ht="28.7" customHeight="1" x14ac:dyDescent="0.3">
      <c r="A1604" s="10"/>
      <c r="B1604" s="10" t="s">
        <v>7488</v>
      </c>
      <c r="C1604" s="75">
        <v>0</v>
      </c>
      <c r="D1604" s="31"/>
      <c r="E1604" s="33">
        <v>0</v>
      </c>
      <c r="F1604" s="11">
        <v>0</v>
      </c>
      <c r="G1604" s="42"/>
      <c r="H1604" s="11">
        <v>0</v>
      </c>
      <c r="I1604" s="42"/>
      <c r="J1604" s="33">
        <v>0</v>
      </c>
      <c r="K1604" s="46"/>
      <c r="L1604" s="33">
        <v>0</v>
      </c>
      <c r="M1604" s="22" t="s">
        <v>6509</v>
      </c>
      <c r="N1604" s="17" t="s">
        <v>6507</v>
      </c>
      <c r="O1604" s="7" t="s">
        <v>6508</v>
      </c>
      <c r="P1604" s="7" t="s">
        <v>6508</v>
      </c>
    </row>
    <row r="1605" spans="1:26" ht="28.7" customHeight="1" x14ac:dyDescent="0.3">
      <c r="A1605" s="10" t="s">
        <v>3109</v>
      </c>
      <c r="B1605" s="10"/>
      <c r="C1605" s="75">
        <v>5.7</v>
      </c>
      <c r="D1605" s="31" t="s">
        <v>3074</v>
      </c>
      <c r="E1605" s="55">
        <f>I1605+G1605+K1605</f>
        <v>269759</v>
      </c>
      <c r="F1605" s="76">
        <f>J1605+H1605+L1605</f>
        <v>1537626.3</v>
      </c>
      <c r="G1605" s="78">
        <f>노무비목록표!E22</f>
        <v>269759</v>
      </c>
      <c r="H1605" s="81">
        <f>IF(C1605=0,0,ROUNDDOWN(G1605*C1605,1))</f>
        <v>1537626.3</v>
      </c>
      <c r="I1605" s="51">
        <v>0</v>
      </c>
      <c r="J1605" s="77">
        <f>IF(C1605=0,0,ROUNDDOWN(I1605*C1605,1))</f>
        <v>0</v>
      </c>
      <c r="K1605" s="51">
        <v>0</v>
      </c>
      <c r="L1605" s="76">
        <f>IF(C1605=0,0,ROUNDDOWN(K1605*C1605,1))</f>
        <v>0</v>
      </c>
      <c r="M1605" s="22" t="s">
        <v>7517</v>
      </c>
      <c r="N1605" s="17" t="s">
        <v>7515</v>
      </c>
      <c r="O1605" s="7" t="s">
        <v>7516</v>
      </c>
      <c r="P1605" s="7" t="s">
        <v>6406</v>
      </c>
      <c r="Z1605" s="3" t="str">
        <f ca="1">HYPERLINK("#"&amp;노무비목록표!G2&amp;"!A"&amp;ROW(노무비목록표!A22),"노무19 →")</f>
        <v>노무19 →</v>
      </c>
    </row>
    <row r="1606" spans="1:26" ht="28.7" customHeight="1" x14ac:dyDescent="0.3">
      <c r="A1606" s="22" t="s">
        <v>6</v>
      </c>
      <c r="B1606" s="74"/>
      <c r="C1606" s="74"/>
      <c r="D1606" s="74"/>
      <c r="E1606" s="74"/>
      <c r="F1606" s="48">
        <f>J1606+H1606+L1606</f>
        <v>1537626</v>
      </c>
      <c r="G1606" s="74"/>
      <c r="H1606" s="48">
        <f>ROUNDDOWN(SUMIF(P1604:P1605,O1606,H1604:H1605),0)</f>
        <v>1537626</v>
      </c>
      <c r="I1606" s="74"/>
      <c r="J1606" s="48">
        <f>ROUNDDOWN(SUMIF(P1604:P1605,O1606,J1604:J1605),0)</f>
        <v>0</v>
      </c>
      <c r="K1606" s="74"/>
      <c r="L1606" s="48">
        <f>ROUNDDOWN(SUMIF(P1604:P1605,O1606,L1604:L1605),0)</f>
        <v>0</v>
      </c>
      <c r="M1606" s="74"/>
      <c r="O1606" s="7" t="s">
        <v>6406</v>
      </c>
    </row>
    <row r="1607" spans="1:26" ht="28.7" customHeight="1" x14ac:dyDescent="0.3">
      <c r="A1607" s="73"/>
      <c r="B1607" s="73"/>
      <c r="C1607" s="73"/>
      <c r="D1607" s="73"/>
      <c r="E1607" s="73"/>
      <c r="F1607" s="73"/>
      <c r="G1607" s="73"/>
      <c r="H1607" s="73"/>
      <c r="I1607" s="73"/>
      <c r="J1607" s="73"/>
      <c r="K1607" s="73"/>
      <c r="L1607" s="73"/>
      <c r="M1607" s="73"/>
    </row>
    <row r="1608" spans="1:26" ht="28.7" customHeight="1" x14ac:dyDescent="0.3">
      <c r="A1608" s="136" t="s">
        <v>912</v>
      </c>
      <c r="B1608" s="127"/>
      <c r="C1608" s="127"/>
      <c r="D1608" s="127"/>
      <c r="E1608" s="127"/>
      <c r="F1608" s="127"/>
      <c r="G1608" s="127"/>
      <c r="H1608" s="127"/>
      <c r="I1608" s="127"/>
      <c r="J1608" s="127"/>
      <c r="K1608" s="127"/>
      <c r="L1608" s="144"/>
      <c r="M1608" s="22" t="s">
        <v>7540</v>
      </c>
      <c r="N1608" s="84" t="str">
        <f>HYPERLINK("#N"&amp;ROW(N1610),"_x0005_`BDCOD|B04800_x0007_`POSS|"&amp;ROW(N1609)&amp;"_x0007_`POSE|"&amp;ROW(N1610)&amp;"_x0007_`")</f>
        <v>_x0005_`BDCOD|B04800_x0007_`POSS|1609_x0007_`POSE|1610_x0007_`</v>
      </c>
      <c r="O1608" s="7" t="s">
        <v>7541</v>
      </c>
    </row>
    <row r="1609" spans="1:26" ht="28.7" customHeight="1" x14ac:dyDescent="0.3">
      <c r="A1609" s="10"/>
      <c r="B1609" s="10" t="s">
        <v>7488</v>
      </c>
      <c r="C1609" s="75">
        <v>0</v>
      </c>
      <c r="D1609" s="31"/>
      <c r="E1609" s="33">
        <v>0</v>
      </c>
      <c r="F1609" s="11">
        <v>0</v>
      </c>
      <c r="G1609" s="42"/>
      <c r="H1609" s="11">
        <v>0</v>
      </c>
      <c r="I1609" s="42"/>
      <c r="J1609" s="33">
        <v>0</v>
      </c>
      <c r="K1609" s="46"/>
      <c r="L1609" s="33">
        <v>0</v>
      </c>
      <c r="M1609" s="22" t="s">
        <v>6509</v>
      </c>
      <c r="N1609" s="17" t="s">
        <v>6507</v>
      </c>
      <c r="O1609" s="7" t="s">
        <v>6508</v>
      </c>
      <c r="P1609" s="7" t="s">
        <v>6508</v>
      </c>
    </row>
    <row r="1610" spans="1:26" ht="28.7" customHeight="1" x14ac:dyDescent="0.3">
      <c r="A1610" s="10" t="s">
        <v>877</v>
      </c>
      <c r="B1610" s="10" t="s">
        <v>878</v>
      </c>
      <c r="C1610" s="75">
        <v>0.4</v>
      </c>
      <c r="D1610" s="31" t="s">
        <v>14</v>
      </c>
      <c r="E1610" s="55">
        <f>I1610+G1610+K1610</f>
        <v>148367</v>
      </c>
      <c r="F1610" s="76">
        <f>J1610+H1610+L1610</f>
        <v>59346.8</v>
      </c>
      <c r="G1610" s="78">
        <f>일위대가목록표!F359</f>
        <v>148367</v>
      </c>
      <c r="H1610" s="80">
        <f>IF(C1610=0,0,ROUNDDOWN(G1610*C1610,1))</f>
        <v>59346.8</v>
      </c>
      <c r="I1610" s="78">
        <f>일위대가목록표!G359</f>
        <v>0</v>
      </c>
      <c r="J1610" s="80">
        <f>IF(C1610=0,0,ROUNDDOWN(I1610*C1610,1))</f>
        <v>0</v>
      </c>
      <c r="K1610" s="78">
        <f>일위대가목록표!H359</f>
        <v>0</v>
      </c>
      <c r="L1610" s="80">
        <f>IF(C1610=0,0,ROUNDDOWN(K1610*C1610,1))</f>
        <v>0</v>
      </c>
      <c r="M1610" s="22" t="s">
        <v>4411</v>
      </c>
      <c r="N1610" s="17" t="s">
        <v>6826</v>
      </c>
      <c r="O1610" s="7" t="s">
        <v>4409</v>
      </c>
      <c r="P1610" s="7" t="s">
        <v>6406</v>
      </c>
      <c r="Z1610" s="3" t="str">
        <f ca="1">HYPERLINK("#"&amp;일위대가목록표!J2&amp;"!A"&amp;ROW(일위대가목록표!A359),"대가356 →")</f>
        <v>대가356 →</v>
      </c>
    </row>
    <row r="1611" spans="1:26" ht="28.7" customHeight="1" x14ac:dyDescent="0.3">
      <c r="A1611" s="22" t="s">
        <v>6</v>
      </c>
      <c r="B1611" s="74"/>
      <c r="C1611" s="74"/>
      <c r="D1611" s="74"/>
      <c r="E1611" s="74"/>
      <c r="F1611" s="48">
        <f>J1611+H1611+L1611</f>
        <v>59346</v>
      </c>
      <c r="G1611" s="74"/>
      <c r="H1611" s="48">
        <f>ROUNDDOWN(SUMIF(P1609:P1610,O1611,H1609:H1610),0)</f>
        <v>59346</v>
      </c>
      <c r="I1611" s="74"/>
      <c r="J1611" s="48">
        <f>ROUNDDOWN(SUMIF(P1609:P1610,O1611,J1609:J1610),0)</f>
        <v>0</v>
      </c>
      <c r="K1611" s="74"/>
      <c r="L1611" s="48">
        <f>ROUNDDOWN(SUMIF(P1609:P1610,O1611,L1609:L1610),0)</f>
        <v>0</v>
      </c>
      <c r="M1611" s="74"/>
      <c r="O1611" s="7" t="s">
        <v>6406</v>
      </c>
    </row>
    <row r="1612" spans="1:26" ht="28.7" customHeight="1" x14ac:dyDescent="0.3">
      <c r="A1612" s="73"/>
      <c r="B1612" s="73"/>
      <c r="C1612" s="73"/>
      <c r="D1612" s="73"/>
      <c r="E1612" s="73"/>
      <c r="F1612" s="73"/>
      <c r="G1612" s="73"/>
      <c r="H1612" s="73"/>
      <c r="I1612" s="73"/>
      <c r="J1612" s="73"/>
      <c r="K1612" s="73"/>
      <c r="L1612" s="73"/>
      <c r="M1612" s="73"/>
    </row>
    <row r="1613" spans="1:26" ht="28.7" customHeight="1" x14ac:dyDescent="0.3">
      <c r="A1613" s="136" t="s">
        <v>916</v>
      </c>
      <c r="B1613" s="127"/>
      <c r="C1613" s="127"/>
      <c r="D1613" s="127"/>
      <c r="E1613" s="127"/>
      <c r="F1613" s="127"/>
      <c r="G1613" s="127"/>
      <c r="H1613" s="127"/>
      <c r="I1613" s="127"/>
      <c r="J1613" s="127"/>
      <c r="K1613" s="127"/>
      <c r="L1613" s="144"/>
      <c r="M1613" s="22" t="s">
        <v>7542</v>
      </c>
      <c r="N1613" s="84" t="str">
        <f>HYPERLINK("#N"&amp;ROW(N1615),"_x0005_`BDCOD|B04801_x0007_`POSS|"&amp;ROW(N1614)&amp;"_x0007_`POSE|"&amp;ROW(N1615)&amp;"_x0007_`")</f>
        <v>_x0005_`BDCOD|B04801_x0007_`POSS|1614_x0007_`POSE|1615_x0007_`</v>
      </c>
      <c r="O1613" s="7" t="s">
        <v>7543</v>
      </c>
    </row>
    <row r="1614" spans="1:26" ht="28.7" customHeight="1" x14ac:dyDescent="0.3">
      <c r="A1614" s="10"/>
      <c r="B1614" s="10" t="s">
        <v>7488</v>
      </c>
      <c r="C1614" s="75">
        <v>0</v>
      </c>
      <c r="D1614" s="31"/>
      <c r="E1614" s="33">
        <v>0</v>
      </c>
      <c r="F1614" s="11">
        <v>0</v>
      </c>
      <c r="G1614" s="42"/>
      <c r="H1614" s="11">
        <v>0</v>
      </c>
      <c r="I1614" s="42"/>
      <c r="J1614" s="33">
        <v>0</v>
      </c>
      <c r="K1614" s="46"/>
      <c r="L1614" s="33">
        <v>0</v>
      </c>
      <c r="M1614" s="22" t="s">
        <v>6509</v>
      </c>
      <c r="N1614" s="17" t="s">
        <v>6507</v>
      </c>
      <c r="O1614" s="7" t="s">
        <v>6508</v>
      </c>
      <c r="P1614" s="7" t="s">
        <v>6508</v>
      </c>
    </row>
    <row r="1615" spans="1:26" ht="28.7" customHeight="1" x14ac:dyDescent="0.3">
      <c r="A1615" s="10" t="s">
        <v>877</v>
      </c>
      <c r="B1615" s="10" t="s">
        <v>881</v>
      </c>
      <c r="C1615" s="75">
        <v>0.4</v>
      </c>
      <c r="D1615" s="31" t="s">
        <v>14</v>
      </c>
      <c r="E1615" s="55">
        <f>I1615+G1615+K1615</f>
        <v>178040</v>
      </c>
      <c r="F1615" s="76">
        <f>J1615+H1615+L1615</f>
        <v>71216</v>
      </c>
      <c r="G1615" s="78">
        <f>일위대가목록표!F360</f>
        <v>178040</v>
      </c>
      <c r="H1615" s="80">
        <f>IF(C1615=0,0,ROUNDDOWN(G1615*C1615,1))</f>
        <v>71216</v>
      </c>
      <c r="I1615" s="78">
        <f>일위대가목록표!G360</f>
        <v>0</v>
      </c>
      <c r="J1615" s="80">
        <f>IF(C1615=0,0,ROUNDDOWN(I1615*C1615,1))</f>
        <v>0</v>
      </c>
      <c r="K1615" s="78">
        <f>일위대가목록표!H360</f>
        <v>0</v>
      </c>
      <c r="L1615" s="80">
        <f>IF(C1615=0,0,ROUNDDOWN(K1615*C1615,1))</f>
        <v>0</v>
      </c>
      <c r="M1615" s="22" t="s">
        <v>4414</v>
      </c>
      <c r="N1615" s="17" t="s">
        <v>6831</v>
      </c>
      <c r="O1615" s="7" t="s">
        <v>4412</v>
      </c>
      <c r="P1615" s="7" t="s">
        <v>6406</v>
      </c>
      <c r="Z1615" s="3" t="str">
        <f ca="1">HYPERLINK("#"&amp;일위대가목록표!J2&amp;"!A"&amp;ROW(일위대가목록표!A360),"대가357 →")</f>
        <v>대가357 →</v>
      </c>
    </row>
    <row r="1616" spans="1:26" ht="28.7" customHeight="1" x14ac:dyDescent="0.3">
      <c r="A1616" s="22" t="s">
        <v>6</v>
      </c>
      <c r="B1616" s="74"/>
      <c r="C1616" s="74"/>
      <c r="D1616" s="74"/>
      <c r="E1616" s="74"/>
      <c r="F1616" s="48">
        <f>J1616+H1616+L1616</f>
        <v>71216</v>
      </c>
      <c r="G1616" s="74"/>
      <c r="H1616" s="48">
        <f>ROUNDDOWN(SUMIF(P1614:P1615,O1616,H1614:H1615),0)</f>
        <v>71216</v>
      </c>
      <c r="I1616" s="74"/>
      <c r="J1616" s="48">
        <f>ROUNDDOWN(SUMIF(P1614:P1615,O1616,J1614:J1615),0)</f>
        <v>0</v>
      </c>
      <c r="K1616" s="74"/>
      <c r="L1616" s="48">
        <f>ROUNDDOWN(SUMIF(P1614:P1615,O1616,L1614:L1615),0)</f>
        <v>0</v>
      </c>
      <c r="M1616" s="74"/>
      <c r="O1616" s="7" t="s">
        <v>6406</v>
      </c>
    </row>
    <row r="1617" spans="1:26" ht="28.7" customHeight="1" x14ac:dyDescent="0.3">
      <c r="A1617" s="73"/>
      <c r="B1617" s="73"/>
      <c r="C1617" s="73"/>
      <c r="D1617" s="73"/>
      <c r="E1617" s="73"/>
      <c r="F1617" s="73"/>
      <c r="G1617" s="73"/>
      <c r="H1617" s="73"/>
      <c r="I1617" s="73"/>
      <c r="J1617" s="73"/>
      <c r="K1617" s="73"/>
      <c r="L1617" s="73"/>
      <c r="M1617" s="73"/>
    </row>
    <row r="1618" spans="1:26" ht="28.7" customHeight="1" x14ac:dyDescent="0.3">
      <c r="A1618" s="136" t="s">
        <v>919</v>
      </c>
      <c r="B1618" s="127"/>
      <c r="C1618" s="127"/>
      <c r="D1618" s="127"/>
      <c r="E1618" s="127"/>
      <c r="F1618" s="127"/>
      <c r="G1618" s="127"/>
      <c r="H1618" s="127"/>
      <c r="I1618" s="127"/>
      <c r="J1618" s="127"/>
      <c r="K1618" s="127"/>
      <c r="L1618" s="144"/>
      <c r="M1618" s="22" t="s">
        <v>7544</v>
      </c>
      <c r="N1618" s="84" t="str">
        <f>HYPERLINK("#N"&amp;ROW(N1620),"_x0005_`BDCOD|B04802_x0007_`POSS|"&amp;ROW(N1619)&amp;"_x0007_`POSE|"&amp;ROW(N1620)&amp;"_x0007_`")</f>
        <v>_x0005_`BDCOD|B04802_x0007_`POSS|1619_x0007_`POSE|1620_x0007_`</v>
      </c>
      <c r="O1618" s="7" t="s">
        <v>7545</v>
      </c>
    </row>
    <row r="1619" spans="1:26" ht="28.7" customHeight="1" x14ac:dyDescent="0.3">
      <c r="A1619" s="10"/>
      <c r="B1619" s="10" t="s">
        <v>7488</v>
      </c>
      <c r="C1619" s="75">
        <v>0</v>
      </c>
      <c r="D1619" s="31"/>
      <c r="E1619" s="33">
        <v>0</v>
      </c>
      <c r="F1619" s="11">
        <v>0</v>
      </c>
      <c r="G1619" s="42"/>
      <c r="H1619" s="11">
        <v>0</v>
      </c>
      <c r="I1619" s="42"/>
      <c r="J1619" s="33">
        <v>0</v>
      </c>
      <c r="K1619" s="46"/>
      <c r="L1619" s="33">
        <v>0</v>
      </c>
      <c r="M1619" s="22" t="s">
        <v>6509</v>
      </c>
      <c r="N1619" s="17" t="s">
        <v>6507</v>
      </c>
      <c r="O1619" s="7" t="s">
        <v>6508</v>
      </c>
      <c r="P1619" s="7" t="s">
        <v>6508</v>
      </c>
    </row>
    <row r="1620" spans="1:26" ht="28.7" customHeight="1" x14ac:dyDescent="0.3">
      <c r="A1620" s="10" t="s">
        <v>877</v>
      </c>
      <c r="B1620" s="10" t="s">
        <v>884</v>
      </c>
      <c r="C1620" s="75">
        <v>0.4</v>
      </c>
      <c r="D1620" s="31" t="s">
        <v>14</v>
      </c>
      <c r="E1620" s="55">
        <f>I1620+G1620+K1620</f>
        <v>207714</v>
      </c>
      <c r="F1620" s="76">
        <f>J1620+H1620+L1620</f>
        <v>83085.600000000006</v>
      </c>
      <c r="G1620" s="78">
        <f>일위대가목록표!F361</f>
        <v>207714</v>
      </c>
      <c r="H1620" s="80">
        <f>IF(C1620=0,0,ROUNDDOWN(G1620*C1620,1))</f>
        <v>83085.600000000006</v>
      </c>
      <c r="I1620" s="78">
        <f>일위대가목록표!G361</f>
        <v>0</v>
      </c>
      <c r="J1620" s="80">
        <f>IF(C1620=0,0,ROUNDDOWN(I1620*C1620,1))</f>
        <v>0</v>
      </c>
      <c r="K1620" s="78">
        <f>일위대가목록표!H361</f>
        <v>0</v>
      </c>
      <c r="L1620" s="80">
        <f>IF(C1620=0,0,ROUNDDOWN(K1620*C1620,1))</f>
        <v>0</v>
      </c>
      <c r="M1620" s="22" t="s">
        <v>4417</v>
      </c>
      <c r="N1620" s="17" t="s">
        <v>6834</v>
      </c>
      <c r="O1620" s="7" t="s">
        <v>4415</v>
      </c>
      <c r="P1620" s="7" t="s">
        <v>6406</v>
      </c>
      <c r="Z1620" s="3" t="str">
        <f ca="1">HYPERLINK("#"&amp;일위대가목록표!J2&amp;"!A"&amp;ROW(일위대가목록표!A361),"대가358 →")</f>
        <v>대가358 →</v>
      </c>
    </row>
    <row r="1621" spans="1:26" ht="28.7" customHeight="1" x14ac:dyDescent="0.3">
      <c r="A1621" s="22" t="s">
        <v>6</v>
      </c>
      <c r="B1621" s="74"/>
      <c r="C1621" s="74"/>
      <c r="D1621" s="74"/>
      <c r="E1621" s="74"/>
      <c r="F1621" s="48">
        <f>J1621+H1621+L1621</f>
        <v>83085</v>
      </c>
      <c r="G1621" s="74"/>
      <c r="H1621" s="48">
        <f>ROUNDDOWN(SUMIF(P1619:P1620,O1621,H1619:H1620),0)</f>
        <v>83085</v>
      </c>
      <c r="I1621" s="74"/>
      <c r="J1621" s="48">
        <f>ROUNDDOWN(SUMIF(P1619:P1620,O1621,J1619:J1620),0)</f>
        <v>0</v>
      </c>
      <c r="K1621" s="74"/>
      <c r="L1621" s="48">
        <f>ROUNDDOWN(SUMIF(P1619:P1620,O1621,L1619:L1620),0)</f>
        <v>0</v>
      </c>
      <c r="M1621" s="74"/>
      <c r="O1621" s="7" t="s">
        <v>6406</v>
      </c>
    </row>
    <row r="1622" spans="1:26" ht="28.7" customHeight="1" x14ac:dyDescent="0.3">
      <c r="A1622" s="73"/>
      <c r="B1622" s="73"/>
      <c r="C1622" s="73"/>
      <c r="D1622" s="73"/>
      <c r="E1622" s="73"/>
      <c r="F1622" s="73"/>
      <c r="G1622" s="73"/>
      <c r="H1622" s="73"/>
      <c r="I1622" s="73"/>
      <c r="J1622" s="73"/>
      <c r="K1622" s="73"/>
      <c r="L1622" s="73"/>
      <c r="M1622" s="73"/>
    </row>
    <row r="1623" spans="1:26" ht="28.7" customHeight="1" x14ac:dyDescent="0.3">
      <c r="A1623" s="136" t="s">
        <v>922</v>
      </c>
      <c r="B1623" s="127"/>
      <c r="C1623" s="127"/>
      <c r="D1623" s="127"/>
      <c r="E1623" s="127"/>
      <c r="F1623" s="127"/>
      <c r="G1623" s="127"/>
      <c r="H1623" s="127"/>
      <c r="I1623" s="127"/>
      <c r="J1623" s="127"/>
      <c r="K1623" s="127"/>
      <c r="L1623" s="144"/>
      <c r="M1623" s="22" t="s">
        <v>7546</v>
      </c>
      <c r="N1623" s="84" t="str">
        <f>HYPERLINK("#N"&amp;ROW(N1625),"_x0005_`BDCOD|B04803_x0007_`POSS|"&amp;ROW(N1624)&amp;"_x0007_`POSE|"&amp;ROW(N1625)&amp;"_x0007_`")</f>
        <v>_x0005_`BDCOD|B04803_x0007_`POSS|1624_x0007_`POSE|1625_x0007_`</v>
      </c>
      <c r="O1623" s="7" t="s">
        <v>7547</v>
      </c>
    </row>
    <row r="1624" spans="1:26" ht="28.7" customHeight="1" x14ac:dyDescent="0.3">
      <c r="A1624" s="10"/>
      <c r="B1624" s="10" t="s">
        <v>7488</v>
      </c>
      <c r="C1624" s="75">
        <v>0</v>
      </c>
      <c r="D1624" s="31"/>
      <c r="E1624" s="33">
        <v>0</v>
      </c>
      <c r="F1624" s="11">
        <v>0</v>
      </c>
      <c r="G1624" s="42"/>
      <c r="H1624" s="11">
        <v>0</v>
      </c>
      <c r="I1624" s="42"/>
      <c r="J1624" s="33">
        <v>0</v>
      </c>
      <c r="K1624" s="46"/>
      <c r="L1624" s="33">
        <v>0</v>
      </c>
      <c r="M1624" s="22" t="s">
        <v>6509</v>
      </c>
      <c r="N1624" s="17" t="s">
        <v>6507</v>
      </c>
      <c r="O1624" s="7" t="s">
        <v>6508</v>
      </c>
      <c r="P1624" s="7" t="s">
        <v>6508</v>
      </c>
    </row>
    <row r="1625" spans="1:26" ht="28.7" customHeight="1" x14ac:dyDescent="0.3">
      <c r="A1625" s="10" t="s">
        <v>877</v>
      </c>
      <c r="B1625" s="10" t="s">
        <v>887</v>
      </c>
      <c r="C1625" s="75">
        <v>0.4</v>
      </c>
      <c r="D1625" s="31" t="s">
        <v>14</v>
      </c>
      <c r="E1625" s="55">
        <f>I1625+G1625+K1625</f>
        <v>267061</v>
      </c>
      <c r="F1625" s="76">
        <f>J1625+H1625+L1625</f>
        <v>106824.4</v>
      </c>
      <c r="G1625" s="78">
        <f>일위대가목록표!F362</f>
        <v>267061</v>
      </c>
      <c r="H1625" s="80">
        <f>IF(C1625=0,0,ROUNDDOWN(G1625*C1625,1))</f>
        <v>106824.4</v>
      </c>
      <c r="I1625" s="78">
        <f>일위대가목록표!G362</f>
        <v>0</v>
      </c>
      <c r="J1625" s="80">
        <f>IF(C1625=0,0,ROUNDDOWN(I1625*C1625,1))</f>
        <v>0</v>
      </c>
      <c r="K1625" s="78">
        <f>일위대가목록표!H362</f>
        <v>0</v>
      </c>
      <c r="L1625" s="80">
        <f>IF(C1625=0,0,ROUNDDOWN(K1625*C1625,1))</f>
        <v>0</v>
      </c>
      <c r="M1625" s="22" t="s">
        <v>4420</v>
      </c>
      <c r="N1625" s="17" t="s">
        <v>6837</v>
      </c>
      <c r="O1625" s="7" t="s">
        <v>4418</v>
      </c>
      <c r="P1625" s="7" t="s">
        <v>6406</v>
      </c>
      <c r="Z1625" s="3" t="str">
        <f ca="1">HYPERLINK("#"&amp;일위대가목록표!J2&amp;"!A"&amp;ROW(일위대가목록표!A362),"대가359 →")</f>
        <v>대가359 →</v>
      </c>
    </row>
    <row r="1626" spans="1:26" ht="28.7" customHeight="1" x14ac:dyDescent="0.3">
      <c r="A1626" s="22" t="s">
        <v>6</v>
      </c>
      <c r="B1626" s="74"/>
      <c r="C1626" s="74"/>
      <c r="D1626" s="74"/>
      <c r="E1626" s="74"/>
      <c r="F1626" s="48">
        <f>J1626+H1626+L1626</f>
        <v>106824</v>
      </c>
      <c r="G1626" s="74"/>
      <c r="H1626" s="48">
        <f>ROUNDDOWN(SUMIF(P1624:P1625,O1626,H1624:H1625),0)</f>
        <v>106824</v>
      </c>
      <c r="I1626" s="74"/>
      <c r="J1626" s="48">
        <f>ROUNDDOWN(SUMIF(P1624:P1625,O1626,J1624:J1625),0)</f>
        <v>0</v>
      </c>
      <c r="K1626" s="74"/>
      <c r="L1626" s="48">
        <f>ROUNDDOWN(SUMIF(P1624:P1625,O1626,L1624:L1625),0)</f>
        <v>0</v>
      </c>
      <c r="M1626" s="74"/>
      <c r="O1626" s="7" t="s">
        <v>6406</v>
      </c>
    </row>
    <row r="1627" spans="1:26" ht="28.7" customHeight="1" x14ac:dyDescent="0.3">
      <c r="A1627" s="73"/>
      <c r="B1627" s="73"/>
      <c r="C1627" s="73"/>
      <c r="D1627" s="73"/>
      <c r="E1627" s="73"/>
      <c r="F1627" s="73"/>
      <c r="G1627" s="73"/>
      <c r="H1627" s="73"/>
      <c r="I1627" s="73"/>
      <c r="J1627" s="73"/>
      <c r="K1627" s="73"/>
      <c r="L1627" s="73"/>
      <c r="M1627" s="73"/>
    </row>
    <row r="1628" spans="1:26" ht="28.7" customHeight="1" x14ac:dyDescent="0.3">
      <c r="A1628" s="136" t="s">
        <v>925</v>
      </c>
      <c r="B1628" s="127"/>
      <c r="C1628" s="127"/>
      <c r="D1628" s="127"/>
      <c r="E1628" s="127"/>
      <c r="F1628" s="127"/>
      <c r="G1628" s="127"/>
      <c r="H1628" s="127"/>
      <c r="I1628" s="127"/>
      <c r="J1628" s="127"/>
      <c r="K1628" s="127"/>
      <c r="L1628" s="144"/>
      <c r="M1628" s="22" t="s">
        <v>7548</v>
      </c>
      <c r="N1628" s="84" t="str">
        <f>HYPERLINK("#N"&amp;ROW(N1630),"_x0005_`BDCOD|B04804_x0007_`POSS|"&amp;ROW(N1629)&amp;"_x0007_`POSE|"&amp;ROW(N1630)&amp;"_x0007_`")</f>
        <v>_x0005_`BDCOD|B04804_x0007_`POSS|1629_x0007_`POSE|1630_x0007_`</v>
      </c>
      <c r="O1628" s="7" t="s">
        <v>7549</v>
      </c>
    </row>
    <row r="1629" spans="1:26" ht="28.7" customHeight="1" x14ac:dyDescent="0.3">
      <c r="A1629" s="10"/>
      <c r="B1629" s="10" t="s">
        <v>7488</v>
      </c>
      <c r="C1629" s="75">
        <v>0</v>
      </c>
      <c r="D1629" s="31"/>
      <c r="E1629" s="33">
        <v>0</v>
      </c>
      <c r="F1629" s="11">
        <v>0</v>
      </c>
      <c r="G1629" s="42"/>
      <c r="H1629" s="11">
        <v>0</v>
      </c>
      <c r="I1629" s="42"/>
      <c r="J1629" s="33">
        <v>0</v>
      </c>
      <c r="K1629" s="46"/>
      <c r="L1629" s="33">
        <v>0</v>
      </c>
      <c r="M1629" s="22" t="s">
        <v>6509</v>
      </c>
      <c r="N1629" s="17" t="s">
        <v>6507</v>
      </c>
      <c r="O1629" s="7" t="s">
        <v>6508</v>
      </c>
      <c r="P1629" s="7" t="s">
        <v>6508</v>
      </c>
    </row>
    <row r="1630" spans="1:26" ht="28.7" customHeight="1" x14ac:dyDescent="0.3">
      <c r="A1630" s="10" t="s">
        <v>877</v>
      </c>
      <c r="B1630" s="10" t="s">
        <v>890</v>
      </c>
      <c r="C1630" s="75">
        <v>0.4</v>
      </c>
      <c r="D1630" s="31" t="s">
        <v>14</v>
      </c>
      <c r="E1630" s="55">
        <f>I1630+G1630+K1630</f>
        <v>326408</v>
      </c>
      <c r="F1630" s="76">
        <f>J1630+H1630+L1630</f>
        <v>130563.2</v>
      </c>
      <c r="G1630" s="78">
        <f>일위대가목록표!F363</f>
        <v>326408</v>
      </c>
      <c r="H1630" s="80">
        <f>IF(C1630=0,0,ROUNDDOWN(G1630*C1630,1))</f>
        <v>130563.2</v>
      </c>
      <c r="I1630" s="78">
        <f>일위대가목록표!G363</f>
        <v>0</v>
      </c>
      <c r="J1630" s="80">
        <f>IF(C1630=0,0,ROUNDDOWN(I1630*C1630,1))</f>
        <v>0</v>
      </c>
      <c r="K1630" s="78">
        <f>일위대가목록표!H363</f>
        <v>0</v>
      </c>
      <c r="L1630" s="80">
        <f>IF(C1630=0,0,ROUNDDOWN(K1630*C1630,1))</f>
        <v>0</v>
      </c>
      <c r="M1630" s="22" t="s">
        <v>4423</v>
      </c>
      <c r="N1630" s="17" t="s">
        <v>6840</v>
      </c>
      <c r="O1630" s="7" t="s">
        <v>4421</v>
      </c>
      <c r="P1630" s="7" t="s">
        <v>6406</v>
      </c>
      <c r="Z1630" s="3" t="str">
        <f ca="1">HYPERLINK("#"&amp;일위대가목록표!J2&amp;"!A"&amp;ROW(일위대가목록표!A363),"대가360 →")</f>
        <v>대가360 →</v>
      </c>
    </row>
    <row r="1631" spans="1:26" ht="28.7" customHeight="1" x14ac:dyDescent="0.3">
      <c r="A1631" s="22" t="s">
        <v>6</v>
      </c>
      <c r="B1631" s="74"/>
      <c r="C1631" s="74"/>
      <c r="D1631" s="74"/>
      <c r="E1631" s="74"/>
      <c r="F1631" s="48">
        <f>J1631+H1631+L1631</f>
        <v>130563</v>
      </c>
      <c r="G1631" s="74"/>
      <c r="H1631" s="48">
        <f>ROUNDDOWN(SUMIF(P1629:P1630,O1631,H1629:H1630),0)</f>
        <v>130563</v>
      </c>
      <c r="I1631" s="74"/>
      <c r="J1631" s="48">
        <f>ROUNDDOWN(SUMIF(P1629:P1630,O1631,J1629:J1630),0)</f>
        <v>0</v>
      </c>
      <c r="K1631" s="74"/>
      <c r="L1631" s="48">
        <f>ROUNDDOWN(SUMIF(P1629:P1630,O1631,L1629:L1630),0)</f>
        <v>0</v>
      </c>
      <c r="M1631" s="74"/>
      <c r="O1631" s="7" t="s">
        <v>6406</v>
      </c>
    </row>
    <row r="1632" spans="1:26" ht="28.7" customHeight="1" x14ac:dyDescent="0.3">
      <c r="A1632" s="73"/>
      <c r="B1632" s="73"/>
      <c r="C1632" s="73"/>
      <c r="D1632" s="73"/>
      <c r="E1632" s="73"/>
      <c r="F1632" s="73"/>
      <c r="G1632" s="73"/>
      <c r="H1632" s="73"/>
      <c r="I1632" s="73"/>
      <c r="J1632" s="73"/>
      <c r="K1632" s="73"/>
      <c r="L1632" s="73"/>
      <c r="M1632" s="73"/>
    </row>
    <row r="1633" spans="1:26" ht="28.7" customHeight="1" x14ac:dyDescent="0.3">
      <c r="A1633" s="136" t="s">
        <v>928</v>
      </c>
      <c r="B1633" s="127"/>
      <c r="C1633" s="127"/>
      <c r="D1633" s="127"/>
      <c r="E1633" s="127"/>
      <c r="F1633" s="127"/>
      <c r="G1633" s="127"/>
      <c r="H1633" s="127"/>
      <c r="I1633" s="127"/>
      <c r="J1633" s="127"/>
      <c r="K1633" s="127"/>
      <c r="L1633" s="144"/>
      <c r="M1633" s="22" t="s">
        <v>7550</v>
      </c>
      <c r="N1633" s="84" t="str">
        <f>HYPERLINK("#N"&amp;ROW(N1635),"_x0005_`BDCOD|B04805_x0007_`POSS|"&amp;ROW(N1634)&amp;"_x0007_`POSE|"&amp;ROW(N1635)&amp;"_x0007_`")</f>
        <v>_x0005_`BDCOD|B04805_x0007_`POSS|1634_x0007_`POSE|1635_x0007_`</v>
      </c>
      <c r="O1633" s="7" t="s">
        <v>7551</v>
      </c>
    </row>
    <row r="1634" spans="1:26" ht="28.7" customHeight="1" x14ac:dyDescent="0.3">
      <c r="A1634" s="10"/>
      <c r="B1634" s="10" t="s">
        <v>7488</v>
      </c>
      <c r="C1634" s="75">
        <v>0</v>
      </c>
      <c r="D1634" s="31"/>
      <c r="E1634" s="33">
        <v>0</v>
      </c>
      <c r="F1634" s="11">
        <v>0</v>
      </c>
      <c r="G1634" s="42"/>
      <c r="H1634" s="11">
        <v>0</v>
      </c>
      <c r="I1634" s="42"/>
      <c r="J1634" s="33">
        <v>0</v>
      </c>
      <c r="K1634" s="46"/>
      <c r="L1634" s="33">
        <v>0</v>
      </c>
      <c r="M1634" s="22" t="s">
        <v>6509</v>
      </c>
      <c r="N1634" s="17" t="s">
        <v>6507</v>
      </c>
      <c r="O1634" s="7" t="s">
        <v>6508</v>
      </c>
      <c r="P1634" s="7" t="s">
        <v>6508</v>
      </c>
    </row>
    <row r="1635" spans="1:26" ht="28.7" customHeight="1" x14ac:dyDescent="0.3">
      <c r="A1635" s="10" t="s">
        <v>877</v>
      </c>
      <c r="B1635" s="10" t="s">
        <v>893</v>
      </c>
      <c r="C1635" s="75">
        <v>0.4</v>
      </c>
      <c r="D1635" s="31" t="s">
        <v>14</v>
      </c>
      <c r="E1635" s="55">
        <f>I1635+G1635+K1635</f>
        <v>415428</v>
      </c>
      <c r="F1635" s="76">
        <f>J1635+H1635+L1635</f>
        <v>166171.20000000001</v>
      </c>
      <c r="G1635" s="78">
        <f>일위대가목록표!F364</f>
        <v>415428</v>
      </c>
      <c r="H1635" s="80">
        <f>IF(C1635=0,0,ROUNDDOWN(G1635*C1635,1))</f>
        <v>166171.20000000001</v>
      </c>
      <c r="I1635" s="78">
        <f>일위대가목록표!G364</f>
        <v>0</v>
      </c>
      <c r="J1635" s="80">
        <f>IF(C1635=0,0,ROUNDDOWN(I1635*C1635,1))</f>
        <v>0</v>
      </c>
      <c r="K1635" s="78">
        <f>일위대가목록표!H364</f>
        <v>0</v>
      </c>
      <c r="L1635" s="80">
        <f>IF(C1635=0,0,ROUNDDOWN(K1635*C1635,1))</f>
        <v>0</v>
      </c>
      <c r="M1635" s="22" t="s">
        <v>4426</v>
      </c>
      <c r="N1635" s="17" t="s">
        <v>6843</v>
      </c>
      <c r="O1635" s="7" t="s">
        <v>4424</v>
      </c>
      <c r="P1635" s="7" t="s">
        <v>6406</v>
      </c>
      <c r="Z1635" s="3" t="str">
        <f ca="1">HYPERLINK("#"&amp;일위대가목록표!J2&amp;"!A"&amp;ROW(일위대가목록표!A364),"대가361 →")</f>
        <v>대가361 →</v>
      </c>
    </row>
    <row r="1636" spans="1:26" ht="28.7" customHeight="1" x14ac:dyDescent="0.3">
      <c r="A1636" s="22" t="s">
        <v>6</v>
      </c>
      <c r="B1636" s="74"/>
      <c r="C1636" s="74"/>
      <c r="D1636" s="74"/>
      <c r="E1636" s="74"/>
      <c r="F1636" s="48">
        <f>J1636+H1636+L1636</f>
        <v>166171</v>
      </c>
      <c r="G1636" s="74"/>
      <c r="H1636" s="48">
        <f>ROUNDDOWN(SUMIF(P1634:P1635,O1636,H1634:H1635),0)</f>
        <v>166171</v>
      </c>
      <c r="I1636" s="74"/>
      <c r="J1636" s="48">
        <f>ROUNDDOWN(SUMIF(P1634:P1635,O1636,J1634:J1635),0)</f>
        <v>0</v>
      </c>
      <c r="K1636" s="74"/>
      <c r="L1636" s="48">
        <f>ROUNDDOWN(SUMIF(P1634:P1635,O1636,L1634:L1635),0)</f>
        <v>0</v>
      </c>
      <c r="M1636" s="74"/>
      <c r="O1636" s="7" t="s">
        <v>6406</v>
      </c>
    </row>
    <row r="1637" spans="1:26" ht="28.7" customHeight="1" x14ac:dyDescent="0.3">
      <c r="A1637" s="73"/>
      <c r="B1637" s="73"/>
      <c r="C1637" s="73"/>
      <c r="D1637" s="73"/>
      <c r="E1637" s="73"/>
      <c r="F1637" s="73"/>
      <c r="G1637" s="73"/>
      <c r="H1637" s="73"/>
      <c r="I1637" s="73"/>
      <c r="J1637" s="73"/>
      <c r="K1637" s="73"/>
      <c r="L1637" s="73"/>
      <c r="M1637" s="73"/>
    </row>
    <row r="1638" spans="1:26" ht="28.7" customHeight="1" x14ac:dyDescent="0.3">
      <c r="A1638" s="136" t="s">
        <v>931</v>
      </c>
      <c r="B1638" s="127"/>
      <c r="C1638" s="127"/>
      <c r="D1638" s="127"/>
      <c r="E1638" s="127"/>
      <c r="F1638" s="127"/>
      <c r="G1638" s="127"/>
      <c r="H1638" s="127"/>
      <c r="I1638" s="127"/>
      <c r="J1638" s="127"/>
      <c r="K1638" s="127"/>
      <c r="L1638" s="144"/>
      <c r="M1638" s="22" t="s">
        <v>7552</v>
      </c>
      <c r="N1638" s="84" t="str">
        <f>HYPERLINK("#N"&amp;ROW(N1640),"_x0005_`BDCOD|B04806_x0007_`POSS|"&amp;ROW(N1639)&amp;"_x0007_`POSE|"&amp;ROW(N1640)&amp;"_x0007_`")</f>
        <v>_x0005_`BDCOD|B04806_x0007_`POSS|1639_x0007_`POSE|1640_x0007_`</v>
      </c>
      <c r="O1638" s="7" t="s">
        <v>7553</v>
      </c>
    </row>
    <row r="1639" spans="1:26" ht="28.7" customHeight="1" x14ac:dyDescent="0.3">
      <c r="A1639" s="10"/>
      <c r="B1639" s="10" t="s">
        <v>7488</v>
      </c>
      <c r="C1639" s="75">
        <v>0</v>
      </c>
      <c r="D1639" s="31"/>
      <c r="E1639" s="33">
        <v>0</v>
      </c>
      <c r="F1639" s="11">
        <v>0</v>
      </c>
      <c r="G1639" s="42"/>
      <c r="H1639" s="11">
        <v>0</v>
      </c>
      <c r="I1639" s="42"/>
      <c r="J1639" s="33">
        <v>0</v>
      </c>
      <c r="K1639" s="46"/>
      <c r="L1639" s="33">
        <v>0</v>
      </c>
      <c r="M1639" s="22" t="s">
        <v>6509</v>
      </c>
      <c r="N1639" s="17" t="s">
        <v>6507</v>
      </c>
      <c r="O1639" s="7" t="s">
        <v>6508</v>
      </c>
      <c r="P1639" s="7" t="s">
        <v>6508</v>
      </c>
    </row>
    <row r="1640" spans="1:26" ht="28.7" customHeight="1" x14ac:dyDescent="0.3">
      <c r="A1640" s="10" t="s">
        <v>877</v>
      </c>
      <c r="B1640" s="10" t="s">
        <v>896</v>
      </c>
      <c r="C1640" s="75">
        <v>0.4</v>
      </c>
      <c r="D1640" s="31" t="s">
        <v>14</v>
      </c>
      <c r="E1640" s="55">
        <f>I1640+G1640+K1640</f>
        <v>590772</v>
      </c>
      <c r="F1640" s="76">
        <f>J1640+H1640+L1640</f>
        <v>236308.8</v>
      </c>
      <c r="G1640" s="78">
        <f>일위대가목록표!F365</f>
        <v>590772</v>
      </c>
      <c r="H1640" s="80">
        <f>IF(C1640=0,0,ROUNDDOWN(G1640*C1640,1))</f>
        <v>236308.8</v>
      </c>
      <c r="I1640" s="78">
        <f>일위대가목록표!G365</f>
        <v>0</v>
      </c>
      <c r="J1640" s="80">
        <f>IF(C1640=0,0,ROUNDDOWN(I1640*C1640,1))</f>
        <v>0</v>
      </c>
      <c r="K1640" s="78">
        <f>일위대가목록표!H365</f>
        <v>0</v>
      </c>
      <c r="L1640" s="80">
        <f>IF(C1640=0,0,ROUNDDOWN(K1640*C1640,1))</f>
        <v>0</v>
      </c>
      <c r="M1640" s="22" t="s">
        <v>4429</v>
      </c>
      <c r="N1640" s="17" t="s">
        <v>6846</v>
      </c>
      <c r="O1640" s="7" t="s">
        <v>4427</v>
      </c>
      <c r="P1640" s="7" t="s">
        <v>6406</v>
      </c>
      <c r="Z1640" s="3" t="str">
        <f ca="1">HYPERLINK("#"&amp;일위대가목록표!J2&amp;"!A"&amp;ROW(일위대가목록표!A365),"대가362 →")</f>
        <v>대가362 →</v>
      </c>
    </row>
    <row r="1641" spans="1:26" ht="28.7" customHeight="1" x14ac:dyDescent="0.3">
      <c r="A1641" s="22" t="s">
        <v>6</v>
      </c>
      <c r="B1641" s="74"/>
      <c r="C1641" s="74"/>
      <c r="D1641" s="74"/>
      <c r="E1641" s="74"/>
      <c r="F1641" s="48">
        <f>J1641+H1641+L1641</f>
        <v>236308</v>
      </c>
      <c r="G1641" s="74"/>
      <c r="H1641" s="48">
        <f>ROUNDDOWN(SUMIF(P1639:P1640,O1641,H1639:H1640),0)</f>
        <v>236308</v>
      </c>
      <c r="I1641" s="74"/>
      <c r="J1641" s="48">
        <f>ROUNDDOWN(SUMIF(P1639:P1640,O1641,J1639:J1640),0)</f>
        <v>0</v>
      </c>
      <c r="K1641" s="74"/>
      <c r="L1641" s="48">
        <f>ROUNDDOWN(SUMIF(P1639:P1640,O1641,L1639:L1640),0)</f>
        <v>0</v>
      </c>
      <c r="M1641" s="74"/>
      <c r="O1641" s="7" t="s">
        <v>6406</v>
      </c>
    </row>
    <row r="1642" spans="1:26" ht="28.7" customHeight="1" x14ac:dyDescent="0.3">
      <c r="A1642" s="73"/>
      <c r="B1642" s="73"/>
      <c r="C1642" s="73"/>
      <c r="D1642" s="73"/>
      <c r="E1642" s="73"/>
      <c r="F1642" s="73"/>
      <c r="G1642" s="73"/>
      <c r="H1642" s="73"/>
      <c r="I1642" s="73"/>
      <c r="J1642" s="73"/>
      <c r="K1642" s="73"/>
      <c r="L1642" s="73"/>
      <c r="M1642" s="73"/>
    </row>
    <row r="1643" spans="1:26" ht="28.7" customHeight="1" x14ac:dyDescent="0.3">
      <c r="A1643" s="136" t="s">
        <v>934</v>
      </c>
      <c r="B1643" s="127"/>
      <c r="C1643" s="127"/>
      <c r="D1643" s="127"/>
      <c r="E1643" s="127"/>
      <c r="F1643" s="127"/>
      <c r="G1643" s="127"/>
      <c r="H1643" s="127"/>
      <c r="I1643" s="127"/>
      <c r="J1643" s="127"/>
      <c r="K1643" s="127"/>
      <c r="L1643" s="144"/>
      <c r="M1643" s="22" t="s">
        <v>7554</v>
      </c>
      <c r="N1643" s="84" t="str">
        <f>HYPERLINK("#N"&amp;ROW(N1645),"_x0005_`BDCOD|B04807_x0007_`POSS|"&amp;ROW(N1644)&amp;"_x0007_`POSE|"&amp;ROW(N1645)&amp;"_x0007_`")</f>
        <v>_x0005_`BDCOD|B04807_x0007_`POSS|1644_x0007_`POSE|1645_x0007_`</v>
      </c>
      <c r="O1643" s="7" t="s">
        <v>7555</v>
      </c>
    </row>
    <row r="1644" spans="1:26" ht="28.7" customHeight="1" x14ac:dyDescent="0.3">
      <c r="A1644" s="10"/>
      <c r="B1644" s="10" t="s">
        <v>7488</v>
      </c>
      <c r="C1644" s="75">
        <v>0</v>
      </c>
      <c r="D1644" s="31"/>
      <c r="E1644" s="33">
        <v>0</v>
      </c>
      <c r="F1644" s="11">
        <v>0</v>
      </c>
      <c r="G1644" s="42"/>
      <c r="H1644" s="11">
        <v>0</v>
      </c>
      <c r="I1644" s="42"/>
      <c r="J1644" s="33">
        <v>0</v>
      </c>
      <c r="K1644" s="46"/>
      <c r="L1644" s="33">
        <v>0</v>
      </c>
      <c r="M1644" s="22" t="s">
        <v>6509</v>
      </c>
      <c r="N1644" s="17" t="s">
        <v>6507</v>
      </c>
      <c r="O1644" s="7" t="s">
        <v>6508</v>
      </c>
      <c r="P1644" s="7" t="s">
        <v>6508</v>
      </c>
    </row>
    <row r="1645" spans="1:26" ht="28.7" customHeight="1" x14ac:dyDescent="0.3">
      <c r="A1645" s="10" t="s">
        <v>877</v>
      </c>
      <c r="B1645" s="10" t="s">
        <v>899</v>
      </c>
      <c r="C1645" s="75">
        <v>0.4</v>
      </c>
      <c r="D1645" s="31" t="s">
        <v>14</v>
      </c>
      <c r="E1645" s="55">
        <f>I1645+G1645+K1645</f>
        <v>768813</v>
      </c>
      <c r="F1645" s="76">
        <f>J1645+H1645+L1645</f>
        <v>307525.2</v>
      </c>
      <c r="G1645" s="78">
        <f>일위대가목록표!F366</f>
        <v>768813</v>
      </c>
      <c r="H1645" s="80">
        <f>IF(C1645=0,0,ROUNDDOWN(G1645*C1645,1))</f>
        <v>307525.2</v>
      </c>
      <c r="I1645" s="78">
        <f>일위대가목록표!G366</f>
        <v>0</v>
      </c>
      <c r="J1645" s="80">
        <f>IF(C1645=0,0,ROUNDDOWN(I1645*C1645,1))</f>
        <v>0</v>
      </c>
      <c r="K1645" s="78">
        <f>일위대가목록표!H366</f>
        <v>0</v>
      </c>
      <c r="L1645" s="80">
        <f>IF(C1645=0,0,ROUNDDOWN(K1645*C1645,1))</f>
        <v>0</v>
      </c>
      <c r="M1645" s="22" t="s">
        <v>4432</v>
      </c>
      <c r="N1645" s="17" t="s">
        <v>6849</v>
      </c>
      <c r="O1645" s="7" t="s">
        <v>4430</v>
      </c>
      <c r="P1645" s="7" t="s">
        <v>6406</v>
      </c>
      <c r="Z1645" s="3" t="str">
        <f ca="1">HYPERLINK("#"&amp;일위대가목록표!J2&amp;"!A"&amp;ROW(일위대가목록표!A366),"대가363 →")</f>
        <v>대가363 →</v>
      </c>
    </row>
    <row r="1646" spans="1:26" ht="28.7" customHeight="1" x14ac:dyDescent="0.3">
      <c r="A1646" s="22" t="s">
        <v>6</v>
      </c>
      <c r="B1646" s="74"/>
      <c r="C1646" s="74"/>
      <c r="D1646" s="74"/>
      <c r="E1646" s="74"/>
      <c r="F1646" s="48">
        <f>J1646+H1646+L1646</f>
        <v>307525</v>
      </c>
      <c r="G1646" s="74"/>
      <c r="H1646" s="48">
        <f>ROUNDDOWN(SUMIF(P1644:P1645,O1646,H1644:H1645),0)</f>
        <v>307525</v>
      </c>
      <c r="I1646" s="74"/>
      <c r="J1646" s="48">
        <f>ROUNDDOWN(SUMIF(P1644:P1645,O1646,J1644:J1645),0)</f>
        <v>0</v>
      </c>
      <c r="K1646" s="74"/>
      <c r="L1646" s="48">
        <f>ROUNDDOWN(SUMIF(P1644:P1645,O1646,L1644:L1645),0)</f>
        <v>0</v>
      </c>
      <c r="M1646" s="74"/>
      <c r="O1646" s="7" t="s">
        <v>6406</v>
      </c>
    </row>
    <row r="1647" spans="1:26" ht="28.7" customHeight="1" x14ac:dyDescent="0.3">
      <c r="A1647" s="73"/>
      <c r="B1647" s="73"/>
      <c r="C1647" s="73"/>
      <c r="D1647" s="73"/>
      <c r="E1647" s="73"/>
      <c r="F1647" s="73"/>
      <c r="G1647" s="73"/>
      <c r="H1647" s="73"/>
      <c r="I1647" s="73"/>
      <c r="J1647" s="73"/>
      <c r="K1647" s="73"/>
      <c r="L1647" s="73"/>
      <c r="M1647" s="73"/>
    </row>
    <row r="1648" spans="1:26" ht="28.7" customHeight="1" x14ac:dyDescent="0.3">
      <c r="A1648" s="136" t="s">
        <v>937</v>
      </c>
      <c r="B1648" s="127"/>
      <c r="C1648" s="127"/>
      <c r="D1648" s="127"/>
      <c r="E1648" s="127"/>
      <c r="F1648" s="127"/>
      <c r="G1648" s="127"/>
      <c r="H1648" s="127"/>
      <c r="I1648" s="127"/>
      <c r="J1648" s="127"/>
      <c r="K1648" s="127"/>
      <c r="L1648" s="144"/>
      <c r="M1648" s="22" t="s">
        <v>7556</v>
      </c>
      <c r="N1648" s="84" t="str">
        <f>HYPERLINK("#N"&amp;ROW(N1650),"_x0005_`BDCOD|B04808_x0007_`POSS|"&amp;ROW(N1649)&amp;"_x0007_`POSE|"&amp;ROW(N1650)&amp;"_x0007_`")</f>
        <v>_x0005_`BDCOD|B04808_x0007_`POSS|1649_x0007_`POSE|1650_x0007_`</v>
      </c>
      <c r="O1648" s="7" t="s">
        <v>7557</v>
      </c>
    </row>
    <row r="1649" spans="1:26" ht="28.7" customHeight="1" x14ac:dyDescent="0.3">
      <c r="A1649" s="10"/>
      <c r="B1649" s="10" t="s">
        <v>7488</v>
      </c>
      <c r="C1649" s="75">
        <v>0</v>
      </c>
      <c r="D1649" s="31"/>
      <c r="E1649" s="33">
        <v>0</v>
      </c>
      <c r="F1649" s="11">
        <v>0</v>
      </c>
      <c r="G1649" s="42"/>
      <c r="H1649" s="11">
        <v>0</v>
      </c>
      <c r="I1649" s="42"/>
      <c r="J1649" s="33">
        <v>0</v>
      </c>
      <c r="K1649" s="46"/>
      <c r="L1649" s="33">
        <v>0</v>
      </c>
      <c r="M1649" s="22" t="s">
        <v>6509</v>
      </c>
      <c r="N1649" s="17" t="s">
        <v>6507</v>
      </c>
      <c r="O1649" s="7" t="s">
        <v>6508</v>
      </c>
      <c r="P1649" s="7" t="s">
        <v>6508</v>
      </c>
    </row>
    <row r="1650" spans="1:26" ht="28.7" customHeight="1" x14ac:dyDescent="0.3">
      <c r="A1650" s="10" t="s">
        <v>877</v>
      </c>
      <c r="B1650" s="10" t="s">
        <v>902</v>
      </c>
      <c r="C1650" s="75">
        <v>0.4</v>
      </c>
      <c r="D1650" s="31" t="s">
        <v>14</v>
      </c>
      <c r="E1650" s="55">
        <f>I1650+G1650+K1650</f>
        <v>887507</v>
      </c>
      <c r="F1650" s="76">
        <f>J1650+H1650+L1650</f>
        <v>355002.8</v>
      </c>
      <c r="G1650" s="78">
        <f>일위대가목록표!F367</f>
        <v>887507</v>
      </c>
      <c r="H1650" s="80">
        <f>IF(C1650=0,0,ROUNDDOWN(G1650*C1650,1))</f>
        <v>355002.8</v>
      </c>
      <c r="I1650" s="78">
        <f>일위대가목록표!G367</f>
        <v>0</v>
      </c>
      <c r="J1650" s="80">
        <f>IF(C1650=0,0,ROUNDDOWN(I1650*C1650,1))</f>
        <v>0</v>
      </c>
      <c r="K1650" s="78">
        <f>일위대가목록표!H367</f>
        <v>0</v>
      </c>
      <c r="L1650" s="80">
        <f>IF(C1650=0,0,ROUNDDOWN(K1650*C1650,1))</f>
        <v>0</v>
      </c>
      <c r="M1650" s="22" t="s">
        <v>4435</v>
      </c>
      <c r="N1650" s="17" t="s">
        <v>6852</v>
      </c>
      <c r="O1650" s="7" t="s">
        <v>4433</v>
      </c>
      <c r="P1650" s="7" t="s">
        <v>6406</v>
      </c>
      <c r="Z1650" s="3" t="str">
        <f ca="1">HYPERLINK("#"&amp;일위대가목록표!J2&amp;"!A"&amp;ROW(일위대가목록표!A367),"대가364 →")</f>
        <v>대가364 →</v>
      </c>
    </row>
    <row r="1651" spans="1:26" ht="28.7" customHeight="1" x14ac:dyDescent="0.3">
      <c r="A1651" s="22" t="s">
        <v>6</v>
      </c>
      <c r="B1651" s="74"/>
      <c r="C1651" s="74"/>
      <c r="D1651" s="74"/>
      <c r="E1651" s="74"/>
      <c r="F1651" s="48">
        <f>J1651+H1651+L1651</f>
        <v>355002</v>
      </c>
      <c r="G1651" s="74"/>
      <c r="H1651" s="48">
        <f>ROUNDDOWN(SUMIF(P1649:P1650,O1651,H1649:H1650),0)</f>
        <v>355002</v>
      </c>
      <c r="I1651" s="74"/>
      <c r="J1651" s="48">
        <f>ROUNDDOWN(SUMIF(P1649:P1650,O1651,J1649:J1650),0)</f>
        <v>0</v>
      </c>
      <c r="K1651" s="74"/>
      <c r="L1651" s="48">
        <f>ROUNDDOWN(SUMIF(P1649:P1650,O1651,L1649:L1650),0)</f>
        <v>0</v>
      </c>
      <c r="M1651" s="74"/>
      <c r="O1651" s="7" t="s">
        <v>6406</v>
      </c>
    </row>
    <row r="1652" spans="1:26" ht="28.7" customHeight="1" x14ac:dyDescent="0.3">
      <c r="A1652" s="73"/>
      <c r="B1652" s="73"/>
      <c r="C1652" s="73"/>
      <c r="D1652" s="73"/>
      <c r="E1652" s="73"/>
      <c r="F1652" s="73"/>
      <c r="G1652" s="73"/>
      <c r="H1652" s="73"/>
      <c r="I1652" s="73"/>
      <c r="J1652" s="73"/>
      <c r="K1652" s="73"/>
      <c r="L1652" s="73"/>
      <c r="M1652" s="73"/>
    </row>
    <row r="1653" spans="1:26" ht="28.7" customHeight="1" x14ac:dyDescent="0.3">
      <c r="A1653" s="136" t="s">
        <v>940</v>
      </c>
      <c r="B1653" s="127"/>
      <c r="C1653" s="127"/>
      <c r="D1653" s="127"/>
      <c r="E1653" s="127"/>
      <c r="F1653" s="127"/>
      <c r="G1653" s="127"/>
      <c r="H1653" s="127"/>
      <c r="I1653" s="127"/>
      <c r="J1653" s="127"/>
      <c r="K1653" s="127"/>
      <c r="L1653" s="144"/>
      <c r="M1653" s="22" t="s">
        <v>7558</v>
      </c>
      <c r="N1653" s="84" t="str">
        <f>HYPERLINK("#N"&amp;ROW(N1655),"_x0005_`BDCOD|B04809_x0007_`POSS|"&amp;ROW(N1654)&amp;"_x0007_`POSE|"&amp;ROW(N1655)&amp;"_x0007_`")</f>
        <v>_x0005_`BDCOD|B04809_x0007_`POSS|1654_x0007_`POSE|1655_x0007_`</v>
      </c>
      <c r="O1653" s="7" t="s">
        <v>7559</v>
      </c>
    </row>
    <row r="1654" spans="1:26" ht="28.7" customHeight="1" x14ac:dyDescent="0.3">
      <c r="A1654" s="10"/>
      <c r="B1654" s="10" t="s">
        <v>7488</v>
      </c>
      <c r="C1654" s="75">
        <v>0</v>
      </c>
      <c r="D1654" s="31"/>
      <c r="E1654" s="33">
        <v>0</v>
      </c>
      <c r="F1654" s="11">
        <v>0</v>
      </c>
      <c r="G1654" s="42"/>
      <c r="H1654" s="11">
        <v>0</v>
      </c>
      <c r="I1654" s="42"/>
      <c r="J1654" s="33">
        <v>0</v>
      </c>
      <c r="K1654" s="46"/>
      <c r="L1654" s="33">
        <v>0</v>
      </c>
      <c r="M1654" s="22" t="s">
        <v>6509</v>
      </c>
      <c r="N1654" s="17" t="s">
        <v>6507</v>
      </c>
      <c r="O1654" s="7" t="s">
        <v>6508</v>
      </c>
      <c r="P1654" s="7" t="s">
        <v>6508</v>
      </c>
    </row>
    <row r="1655" spans="1:26" ht="28.7" customHeight="1" x14ac:dyDescent="0.3">
      <c r="A1655" s="10" t="s">
        <v>877</v>
      </c>
      <c r="B1655" s="10" t="s">
        <v>905</v>
      </c>
      <c r="C1655" s="75">
        <v>0.4</v>
      </c>
      <c r="D1655" s="31" t="s">
        <v>14</v>
      </c>
      <c r="E1655" s="55">
        <f>I1655+G1655+K1655</f>
        <v>1006201</v>
      </c>
      <c r="F1655" s="76">
        <f>J1655+H1655+L1655</f>
        <v>402480.4</v>
      </c>
      <c r="G1655" s="78">
        <f>일위대가목록표!F368</f>
        <v>1006201</v>
      </c>
      <c r="H1655" s="80">
        <f>IF(C1655=0,0,ROUNDDOWN(G1655*C1655,1))</f>
        <v>402480.4</v>
      </c>
      <c r="I1655" s="78">
        <f>일위대가목록표!G368</f>
        <v>0</v>
      </c>
      <c r="J1655" s="80">
        <f>IF(C1655=0,0,ROUNDDOWN(I1655*C1655,1))</f>
        <v>0</v>
      </c>
      <c r="K1655" s="78">
        <f>일위대가목록표!H368</f>
        <v>0</v>
      </c>
      <c r="L1655" s="80">
        <f>IF(C1655=0,0,ROUNDDOWN(K1655*C1655,1))</f>
        <v>0</v>
      </c>
      <c r="M1655" s="22" t="s">
        <v>4438</v>
      </c>
      <c r="N1655" s="17" t="s">
        <v>6855</v>
      </c>
      <c r="O1655" s="7" t="s">
        <v>4436</v>
      </c>
      <c r="P1655" s="7" t="s">
        <v>6406</v>
      </c>
      <c r="Z1655" s="3" t="str">
        <f ca="1">HYPERLINK("#"&amp;일위대가목록표!J2&amp;"!A"&amp;ROW(일위대가목록표!A368),"대가365 →")</f>
        <v>대가365 →</v>
      </c>
    </row>
    <row r="1656" spans="1:26" ht="28.7" customHeight="1" x14ac:dyDescent="0.3">
      <c r="A1656" s="22" t="s">
        <v>6</v>
      </c>
      <c r="B1656" s="74"/>
      <c r="C1656" s="74"/>
      <c r="D1656" s="74"/>
      <c r="E1656" s="74"/>
      <c r="F1656" s="48">
        <f>J1656+H1656+L1656</f>
        <v>402480</v>
      </c>
      <c r="G1656" s="74"/>
      <c r="H1656" s="48">
        <f>ROUNDDOWN(SUMIF(P1654:P1655,O1656,H1654:H1655),0)</f>
        <v>402480</v>
      </c>
      <c r="I1656" s="74"/>
      <c r="J1656" s="48">
        <f>ROUNDDOWN(SUMIF(P1654:P1655,O1656,J1654:J1655),0)</f>
        <v>0</v>
      </c>
      <c r="K1656" s="74"/>
      <c r="L1656" s="48">
        <f>ROUNDDOWN(SUMIF(P1654:P1655,O1656,L1654:L1655),0)</f>
        <v>0</v>
      </c>
      <c r="M1656" s="74"/>
      <c r="O1656" s="7" t="s">
        <v>6406</v>
      </c>
    </row>
    <row r="1657" spans="1:26" ht="28.7" customHeight="1" x14ac:dyDescent="0.3">
      <c r="A1657" s="73"/>
      <c r="B1657" s="73"/>
      <c r="C1657" s="73"/>
      <c r="D1657" s="73"/>
      <c r="E1657" s="73"/>
      <c r="F1657" s="73"/>
      <c r="G1657" s="73"/>
      <c r="H1657" s="73"/>
      <c r="I1657" s="73"/>
      <c r="J1657" s="73"/>
      <c r="K1657" s="73"/>
      <c r="L1657" s="73"/>
      <c r="M1657" s="73"/>
    </row>
    <row r="1658" spans="1:26" ht="28.7" customHeight="1" x14ac:dyDescent="0.3">
      <c r="A1658" s="136" t="s">
        <v>943</v>
      </c>
      <c r="B1658" s="127"/>
      <c r="C1658" s="127"/>
      <c r="D1658" s="127"/>
      <c r="E1658" s="127"/>
      <c r="F1658" s="127"/>
      <c r="G1658" s="127"/>
      <c r="H1658" s="127"/>
      <c r="I1658" s="127"/>
      <c r="J1658" s="127"/>
      <c r="K1658" s="127"/>
      <c r="L1658" s="144"/>
      <c r="M1658" s="22" t="s">
        <v>7560</v>
      </c>
      <c r="N1658" s="84" t="str">
        <f>HYPERLINK("#N"&amp;ROW(N1660),"_x0005_`BDCOD|B04810_x0007_`POSS|"&amp;ROW(N1659)&amp;"_x0007_`POSE|"&amp;ROW(N1660)&amp;"_x0007_`")</f>
        <v>_x0005_`BDCOD|B04810_x0007_`POSS|1659_x0007_`POSE|1660_x0007_`</v>
      </c>
      <c r="O1658" s="7" t="s">
        <v>7561</v>
      </c>
    </row>
    <row r="1659" spans="1:26" ht="28.7" customHeight="1" x14ac:dyDescent="0.3">
      <c r="A1659" s="10"/>
      <c r="B1659" s="10" t="s">
        <v>7488</v>
      </c>
      <c r="C1659" s="75">
        <v>0</v>
      </c>
      <c r="D1659" s="31"/>
      <c r="E1659" s="33">
        <v>0</v>
      </c>
      <c r="F1659" s="11">
        <v>0</v>
      </c>
      <c r="G1659" s="42"/>
      <c r="H1659" s="11">
        <v>0</v>
      </c>
      <c r="I1659" s="42"/>
      <c r="J1659" s="33">
        <v>0</v>
      </c>
      <c r="K1659" s="46"/>
      <c r="L1659" s="33">
        <v>0</v>
      </c>
      <c r="M1659" s="22" t="s">
        <v>6509</v>
      </c>
      <c r="N1659" s="17" t="s">
        <v>6507</v>
      </c>
      <c r="O1659" s="7" t="s">
        <v>6508</v>
      </c>
      <c r="P1659" s="7" t="s">
        <v>6508</v>
      </c>
    </row>
    <row r="1660" spans="1:26" ht="28.7" customHeight="1" x14ac:dyDescent="0.3">
      <c r="A1660" s="10" t="s">
        <v>877</v>
      </c>
      <c r="B1660" s="10" t="s">
        <v>908</v>
      </c>
      <c r="C1660" s="75">
        <v>0.7</v>
      </c>
      <c r="D1660" s="31" t="s">
        <v>14</v>
      </c>
      <c r="E1660" s="55">
        <f>I1660+G1660+K1660</f>
        <v>1184242</v>
      </c>
      <c r="F1660" s="76">
        <f>J1660+H1660+L1660</f>
        <v>828969.4</v>
      </c>
      <c r="G1660" s="78">
        <f>일위대가목록표!F369</f>
        <v>1184242</v>
      </c>
      <c r="H1660" s="80">
        <f>IF(C1660=0,0,ROUNDDOWN(G1660*C1660,1))</f>
        <v>828969.4</v>
      </c>
      <c r="I1660" s="78">
        <f>일위대가목록표!G369</f>
        <v>0</v>
      </c>
      <c r="J1660" s="80">
        <f>IF(C1660=0,0,ROUNDDOWN(I1660*C1660,1))</f>
        <v>0</v>
      </c>
      <c r="K1660" s="78">
        <f>일위대가목록표!H369</f>
        <v>0</v>
      </c>
      <c r="L1660" s="80">
        <f>IF(C1660=0,0,ROUNDDOWN(K1660*C1660,1))</f>
        <v>0</v>
      </c>
      <c r="M1660" s="22" t="s">
        <v>4441</v>
      </c>
      <c r="N1660" s="17" t="s">
        <v>7510</v>
      </c>
      <c r="O1660" s="7" t="s">
        <v>4439</v>
      </c>
      <c r="P1660" s="7" t="s">
        <v>6406</v>
      </c>
      <c r="Z1660" s="3" t="str">
        <f ca="1">HYPERLINK("#"&amp;일위대가목록표!J2&amp;"!A"&amp;ROW(일위대가목록표!A369),"대가366 →")</f>
        <v>대가366 →</v>
      </c>
    </row>
    <row r="1661" spans="1:26" ht="28.7" customHeight="1" x14ac:dyDescent="0.3">
      <c r="A1661" s="22" t="s">
        <v>6</v>
      </c>
      <c r="B1661" s="74"/>
      <c r="C1661" s="74"/>
      <c r="D1661" s="74"/>
      <c r="E1661" s="74"/>
      <c r="F1661" s="48">
        <f>J1661+H1661+L1661</f>
        <v>828969</v>
      </c>
      <c r="G1661" s="74"/>
      <c r="H1661" s="48">
        <f>ROUNDDOWN(SUMIF(P1659:P1660,O1661,H1659:H1660),0)</f>
        <v>828969</v>
      </c>
      <c r="I1661" s="74"/>
      <c r="J1661" s="48">
        <f>ROUNDDOWN(SUMIF(P1659:P1660,O1661,J1659:J1660),0)</f>
        <v>0</v>
      </c>
      <c r="K1661" s="74"/>
      <c r="L1661" s="48">
        <f>ROUNDDOWN(SUMIF(P1659:P1660,O1661,L1659:L1660),0)</f>
        <v>0</v>
      </c>
      <c r="M1661" s="74"/>
      <c r="O1661" s="7" t="s">
        <v>6406</v>
      </c>
    </row>
    <row r="1662" spans="1:26" ht="28.7" customHeight="1" x14ac:dyDescent="0.3">
      <c r="A1662" s="73"/>
      <c r="B1662" s="73"/>
      <c r="C1662" s="73"/>
      <c r="D1662" s="73"/>
      <c r="E1662" s="73"/>
      <c r="F1662" s="73"/>
      <c r="G1662" s="73"/>
      <c r="H1662" s="73"/>
      <c r="I1662" s="73"/>
      <c r="J1662" s="73"/>
      <c r="K1662" s="73"/>
      <c r="L1662" s="73"/>
      <c r="M1662" s="73"/>
    </row>
    <row r="1663" spans="1:26" ht="28.7" customHeight="1" x14ac:dyDescent="0.3">
      <c r="A1663" s="136" t="s">
        <v>946</v>
      </c>
      <c r="B1663" s="127"/>
      <c r="C1663" s="127"/>
      <c r="D1663" s="127"/>
      <c r="E1663" s="127"/>
      <c r="F1663" s="127"/>
      <c r="G1663" s="127"/>
      <c r="H1663" s="127"/>
      <c r="I1663" s="127"/>
      <c r="J1663" s="127"/>
      <c r="K1663" s="127"/>
      <c r="L1663" s="144"/>
      <c r="M1663" s="22" t="s">
        <v>7562</v>
      </c>
      <c r="N1663" s="84" t="str">
        <f>HYPERLINK("#N"&amp;ROW(N1665),"_x0005_`BDCOD|B04811_x0007_`POSS|"&amp;ROW(N1664)&amp;"_x0007_`POSE|"&amp;ROW(N1665)&amp;"_x0007_`")</f>
        <v>_x0005_`BDCOD|B04811_x0007_`POSS|1664_x0007_`POSE|1665_x0007_`</v>
      </c>
      <c r="O1663" s="7" t="s">
        <v>7563</v>
      </c>
    </row>
    <row r="1664" spans="1:26" ht="28.7" customHeight="1" x14ac:dyDescent="0.3">
      <c r="A1664" s="10"/>
      <c r="B1664" s="10" t="s">
        <v>7488</v>
      </c>
      <c r="C1664" s="75">
        <v>0</v>
      </c>
      <c r="D1664" s="31"/>
      <c r="E1664" s="33">
        <v>0</v>
      </c>
      <c r="F1664" s="11">
        <v>0</v>
      </c>
      <c r="G1664" s="42"/>
      <c r="H1664" s="11">
        <v>0</v>
      </c>
      <c r="I1664" s="42"/>
      <c r="J1664" s="33">
        <v>0</v>
      </c>
      <c r="K1664" s="46"/>
      <c r="L1664" s="33">
        <v>0</v>
      </c>
      <c r="M1664" s="22" t="s">
        <v>6509</v>
      </c>
      <c r="N1664" s="17" t="s">
        <v>6507</v>
      </c>
      <c r="O1664" s="7" t="s">
        <v>6508</v>
      </c>
      <c r="P1664" s="7" t="s">
        <v>6508</v>
      </c>
    </row>
    <row r="1665" spans="1:26" ht="28.7" customHeight="1" x14ac:dyDescent="0.3">
      <c r="A1665" s="10" t="s">
        <v>877</v>
      </c>
      <c r="B1665" s="10" t="s">
        <v>911</v>
      </c>
      <c r="C1665" s="75">
        <v>0.7</v>
      </c>
      <c r="D1665" s="31" t="s">
        <v>14</v>
      </c>
      <c r="E1665" s="55">
        <f>I1665+G1665+K1665</f>
        <v>1537626</v>
      </c>
      <c r="F1665" s="76">
        <f>J1665+H1665+L1665</f>
        <v>1076338.2</v>
      </c>
      <c r="G1665" s="78">
        <f>일위대가목록표!F370</f>
        <v>1537626</v>
      </c>
      <c r="H1665" s="80">
        <f>IF(C1665=0,0,ROUNDDOWN(G1665*C1665,1))</f>
        <v>1076338.2</v>
      </c>
      <c r="I1665" s="78">
        <f>일위대가목록표!G370</f>
        <v>0</v>
      </c>
      <c r="J1665" s="80">
        <f>IF(C1665=0,0,ROUNDDOWN(I1665*C1665,1))</f>
        <v>0</v>
      </c>
      <c r="K1665" s="78">
        <f>일위대가목록표!H370</f>
        <v>0</v>
      </c>
      <c r="L1665" s="80">
        <f>IF(C1665=0,0,ROUNDDOWN(K1665*C1665,1))</f>
        <v>0</v>
      </c>
      <c r="M1665" s="22" t="s">
        <v>4444</v>
      </c>
      <c r="N1665" s="17" t="s">
        <v>6858</v>
      </c>
      <c r="O1665" s="7" t="s">
        <v>4442</v>
      </c>
      <c r="P1665" s="7" t="s">
        <v>6406</v>
      </c>
      <c r="Z1665" s="3" t="str">
        <f ca="1">HYPERLINK("#"&amp;일위대가목록표!J2&amp;"!A"&amp;ROW(일위대가목록표!A370),"대가367 →")</f>
        <v>대가367 →</v>
      </c>
    </row>
    <row r="1666" spans="1:26" ht="28.7" customHeight="1" x14ac:dyDescent="0.3">
      <c r="A1666" s="22" t="s">
        <v>6</v>
      </c>
      <c r="B1666" s="74"/>
      <c r="C1666" s="74"/>
      <c r="D1666" s="74"/>
      <c r="E1666" s="74"/>
      <c r="F1666" s="48">
        <f>J1666+H1666+L1666</f>
        <v>1076338</v>
      </c>
      <c r="G1666" s="74"/>
      <c r="H1666" s="48">
        <f>ROUNDDOWN(SUMIF(P1664:P1665,O1666,H1664:H1665),0)</f>
        <v>1076338</v>
      </c>
      <c r="I1666" s="74"/>
      <c r="J1666" s="48">
        <f>ROUNDDOWN(SUMIF(P1664:P1665,O1666,J1664:J1665),0)</f>
        <v>0</v>
      </c>
      <c r="K1666" s="74"/>
      <c r="L1666" s="48">
        <f>ROUNDDOWN(SUMIF(P1664:P1665,O1666,L1664:L1665),0)</f>
        <v>0</v>
      </c>
      <c r="M1666" s="74"/>
      <c r="O1666" s="7" t="s">
        <v>6406</v>
      </c>
    </row>
    <row r="1667" spans="1:26" ht="28.7" customHeight="1" x14ac:dyDescent="0.3">
      <c r="A1667" s="73"/>
      <c r="B1667" s="73"/>
      <c r="C1667" s="73"/>
      <c r="D1667" s="73"/>
      <c r="E1667" s="73"/>
      <c r="F1667" s="73"/>
      <c r="G1667" s="73"/>
      <c r="H1667" s="73"/>
      <c r="I1667" s="73"/>
      <c r="J1667" s="73"/>
      <c r="K1667" s="73"/>
      <c r="L1667" s="73"/>
      <c r="M1667" s="73"/>
    </row>
    <row r="1668" spans="1:26" ht="28.7" customHeight="1" x14ac:dyDescent="0.3">
      <c r="A1668" s="136" t="s">
        <v>949</v>
      </c>
      <c r="B1668" s="127"/>
      <c r="C1668" s="127"/>
      <c r="D1668" s="127"/>
      <c r="E1668" s="127"/>
      <c r="F1668" s="127"/>
      <c r="G1668" s="127"/>
      <c r="H1668" s="127"/>
      <c r="I1668" s="127"/>
      <c r="J1668" s="127"/>
      <c r="K1668" s="127"/>
      <c r="L1668" s="144"/>
      <c r="M1668" s="22" t="s">
        <v>7564</v>
      </c>
      <c r="N1668" s="84" t="str">
        <f>HYPERLINK("#N"&amp;ROW(N1670),"_x0005_`BDCOD|B04998_x0007_`POSS|"&amp;ROW(N1669)&amp;"_x0007_`POSE|"&amp;ROW(N1670)&amp;"_x0007_`")</f>
        <v>_x0005_`BDCOD|B04998_x0007_`POSS|1669_x0007_`POSE|1670_x0007_`</v>
      </c>
      <c r="O1668" s="7" t="s">
        <v>7565</v>
      </c>
    </row>
    <row r="1669" spans="1:26" ht="28.7" customHeight="1" x14ac:dyDescent="0.3">
      <c r="A1669" s="10" t="s">
        <v>970</v>
      </c>
      <c r="B1669" s="10" t="s">
        <v>3127</v>
      </c>
      <c r="C1669" s="75">
        <v>1</v>
      </c>
      <c r="D1669" s="31" t="s">
        <v>14</v>
      </c>
      <c r="E1669" s="55">
        <f>I1669+G1669+K1669</f>
        <v>270000</v>
      </c>
      <c r="F1669" s="76">
        <f>J1669+H1669+L1669</f>
        <v>270000</v>
      </c>
      <c r="G1669" s="78">
        <f>일식견적목록표!F8</f>
        <v>270000</v>
      </c>
      <c r="H1669" s="80">
        <f>IF(C1669=0,0,ROUNDDOWN(G1669*C1669,1))</f>
        <v>270000</v>
      </c>
      <c r="I1669" s="78">
        <f>일식견적목록표!G8</f>
        <v>0</v>
      </c>
      <c r="J1669" s="80">
        <f>IF(C1669=0,0,ROUNDDOWN(I1669*C1669,1))</f>
        <v>0</v>
      </c>
      <c r="K1669" s="78">
        <f>일식견적목록표!H8</f>
        <v>0</v>
      </c>
      <c r="L1669" s="80">
        <f>IF(C1669=0,0,ROUNDDOWN(K1669*C1669,1))</f>
        <v>0</v>
      </c>
      <c r="M1669" s="22" t="s">
        <v>7568</v>
      </c>
      <c r="N1669" s="17" t="s">
        <v>7566</v>
      </c>
      <c r="O1669" s="7" t="s">
        <v>7567</v>
      </c>
      <c r="P1669" s="7" t="s">
        <v>6406</v>
      </c>
      <c r="Z1669" s="3" t="str">
        <f ca="1">HYPERLINK("#"&amp;일식견적목록표!J2&amp;"!A"&amp;ROW(일식견적목록표!A8),"기타5 →")</f>
        <v>기타5 →</v>
      </c>
    </row>
    <row r="1670" spans="1:26" ht="28.7" customHeight="1" x14ac:dyDescent="0.3">
      <c r="A1670" s="10" t="s">
        <v>2282</v>
      </c>
      <c r="B1670" s="10" t="s">
        <v>2298</v>
      </c>
      <c r="C1670" s="75">
        <v>1</v>
      </c>
      <c r="D1670" s="31" t="s">
        <v>1010</v>
      </c>
      <c r="E1670" s="55">
        <f>I1670+G1670+K1670</f>
        <v>416000</v>
      </c>
      <c r="F1670" s="77">
        <f>J1670+H1670+L1670</f>
        <v>416000</v>
      </c>
      <c r="G1670" s="51">
        <v>0</v>
      </c>
      <c r="H1670" s="76">
        <f>IF(C1670=0,0,ROUNDDOWN(G1670*C1670,1))</f>
        <v>0</v>
      </c>
      <c r="I1670" s="78">
        <f>재료비목록표!E91</f>
        <v>416000</v>
      </c>
      <c r="J1670" s="81">
        <f>IF(C1670=0,0,ROUNDDOWN(I1670*C1670,1))</f>
        <v>416000</v>
      </c>
      <c r="K1670" s="51">
        <v>0</v>
      </c>
      <c r="L1670" s="76">
        <f>IF(C1670=0,0,ROUNDDOWN(K1670*C1670,1))</f>
        <v>0</v>
      </c>
      <c r="M1670" s="22" t="s">
        <v>7570</v>
      </c>
      <c r="N1670" s="17" t="s">
        <v>7569</v>
      </c>
      <c r="O1670" s="7" t="s">
        <v>5808</v>
      </c>
      <c r="P1670" s="7" t="s">
        <v>6406</v>
      </c>
      <c r="Z1670" s="3" t="str">
        <f ca="1">HYPERLINK("#"&amp;재료비목록표!G2&amp;"!A"&amp;ROW(재료비목록표!A91),"자재88 →")</f>
        <v>자재88 →</v>
      </c>
    </row>
    <row r="1671" spans="1:26" ht="28.7" customHeight="1" x14ac:dyDescent="0.3">
      <c r="A1671" s="22" t="s">
        <v>6</v>
      </c>
      <c r="B1671" s="74"/>
      <c r="C1671" s="74"/>
      <c r="D1671" s="74"/>
      <c r="E1671" s="74"/>
      <c r="F1671" s="48">
        <f>J1671+H1671+L1671</f>
        <v>686000</v>
      </c>
      <c r="G1671" s="74"/>
      <c r="H1671" s="48">
        <f>ROUNDDOWN(SUMIF(P1669:P1670,O1671,H1669:H1670),0)</f>
        <v>270000</v>
      </c>
      <c r="I1671" s="74"/>
      <c r="J1671" s="48">
        <f>ROUNDDOWN(SUMIF(P1669:P1670,O1671,J1669:J1670),0)</f>
        <v>416000</v>
      </c>
      <c r="K1671" s="74"/>
      <c r="L1671" s="48">
        <f>ROUNDDOWN(SUMIF(P1669:P1670,O1671,L1669:L1670),0)</f>
        <v>0</v>
      </c>
      <c r="M1671" s="74"/>
      <c r="O1671" s="7" t="s">
        <v>6406</v>
      </c>
    </row>
    <row r="1672" spans="1:26" ht="28.7" customHeight="1" x14ac:dyDescent="0.3">
      <c r="A1672" s="73"/>
      <c r="B1672" s="73"/>
      <c r="C1672" s="73"/>
      <c r="D1672" s="73"/>
      <c r="E1672" s="73"/>
      <c r="F1672" s="73"/>
      <c r="G1672" s="73"/>
      <c r="H1672" s="73"/>
      <c r="I1672" s="73"/>
      <c r="J1672" s="73"/>
      <c r="K1672" s="73"/>
      <c r="L1672" s="73"/>
      <c r="M1672" s="73"/>
    </row>
    <row r="1673" spans="1:26" ht="28.7" customHeight="1" x14ac:dyDescent="0.3">
      <c r="A1673" s="136" t="s">
        <v>953</v>
      </c>
      <c r="B1673" s="127"/>
      <c r="C1673" s="127"/>
      <c r="D1673" s="127"/>
      <c r="E1673" s="127"/>
      <c r="F1673" s="127"/>
      <c r="G1673" s="127"/>
      <c r="H1673" s="127"/>
      <c r="I1673" s="127"/>
      <c r="J1673" s="127"/>
      <c r="K1673" s="127"/>
      <c r="L1673" s="144"/>
      <c r="M1673" s="22" t="s">
        <v>7571</v>
      </c>
      <c r="N1673" s="84" t="str">
        <f>HYPERLINK("#N"&amp;ROW(N1675),"_x0005_`BDCOD|B04999_x0007_`POSS|"&amp;ROW(N1674)&amp;"_x0007_`POSE|"&amp;ROW(N1675)&amp;"_x0007_`")</f>
        <v>_x0005_`BDCOD|B04999_x0007_`POSS|1674_x0007_`POSE|1675_x0007_`</v>
      </c>
      <c r="O1673" s="7" t="s">
        <v>7572</v>
      </c>
    </row>
    <row r="1674" spans="1:26" ht="28.7" customHeight="1" x14ac:dyDescent="0.3">
      <c r="A1674" s="10" t="s">
        <v>970</v>
      </c>
      <c r="B1674" s="10" t="s">
        <v>3127</v>
      </c>
      <c r="C1674" s="75">
        <v>1</v>
      </c>
      <c r="D1674" s="31" t="s">
        <v>14</v>
      </c>
      <c r="E1674" s="55">
        <f>I1674+G1674+K1674</f>
        <v>270000</v>
      </c>
      <c r="F1674" s="76">
        <f>J1674+H1674+L1674</f>
        <v>270000</v>
      </c>
      <c r="G1674" s="78">
        <f>일식견적목록표!F8</f>
        <v>270000</v>
      </c>
      <c r="H1674" s="80">
        <f>IF(C1674=0,0,ROUNDDOWN(G1674*C1674,1))</f>
        <v>270000</v>
      </c>
      <c r="I1674" s="78">
        <f>일식견적목록표!G8</f>
        <v>0</v>
      </c>
      <c r="J1674" s="80">
        <f>IF(C1674=0,0,ROUNDDOWN(I1674*C1674,1))</f>
        <v>0</v>
      </c>
      <c r="K1674" s="78">
        <f>일식견적목록표!H8</f>
        <v>0</v>
      </c>
      <c r="L1674" s="80">
        <f>IF(C1674=0,0,ROUNDDOWN(K1674*C1674,1))</f>
        <v>0</v>
      </c>
      <c r="M1674" s="22" t="s">
        <v>7568</v>
      </c>
      <c r="N1674" s="17" t="s">
        <v>7566</v>
      </c>
      <c r="O1674" s="7" t="s">
        <v>7567</v>
      </c>
      <c r="P1674" s="7" t="s">
        <v>6406</v>
      </c>
      <c r="Z1674" s="3" t="str">
        <f ca="1">HYPERLINK("#"&amp;일식견적목록표!J2&amp;"!A"&amp;ROW(일식견적목록표!A8),"기타5 →")</f>
        <v>기타5 →</v>
      </c>
    </row>
    <row r="1675" spans="1:26" ht="28.7" customHeight="1" x14ac:dyDescent="0.3">
      <c r="A1675" s="10" t="s">
        <v>2282</v>
      </c>
      <c r="B1675" s="10" t="s">
        <v>2283</v>
      </c>
      <c r="C1675" s="75">
        <v>1</v>
      </c>
      <c r="D1675" s="31" t="s">
        <v>1010</v>
      </c>
      <c r="E1675" s="55">
        <f>I1675+G1675+K1675</f>
        <v>587000</v>
      </c>
      <c r="F1675" s="77">
        <f>J1675+H1675+L1675</f>
        <v>587000</v>
      </c>
      <c r="G1675" s="51">
        <v>0</v>
      </c>
      <c r="H1675" s="76">
        <f>IF(C1675=0,0,ROUNDDOWN(G1675*C1675,1))</f>
        <v>0</v>
      </c>
      <c r="I1675" s="78">
        <f>재료비목록표!E86</f>
        <v>587000</v>
      </c>
      <c r="J1675" s="81">
        <f>IF(C1675=0,0,ROUNDDOWN(I1675*C1675,1))</f>
        <v>587000</v>
      </c>
      <c r="K1675" s="51">
        <v>0</v>
      </c>
      <c r="L1675" s="76">
        <f>IF(C1675=0,0,ROUNDDOWN(K1675*C1675,1))</f>
        <v>0</v>
      </c>
      <c r="M1675" s="22" t="s">
        <v>7574</v>
      </c>
      <c r="N1675" s="17" t="s">
        <v>7573</v>
      </c>
      <c r="O1675" s="7" t="s">
        <v>5811</v>
      </c>
      <c r="P1675" s="7" t="s">
        <v>6406</v>
      </c>
      <c r="Z1675" s="3" t="str">
        <f ca="1">HYPERLINK("#"&amp;재료비목록표!G2&amp;"!A"&amp;ROW(재료비목록표!A86),"자재83 →")</f>
        <v>자재83 →</v>
      </c>
    </row>
    <row r="1676" spans="1:26" ht="28.7" customHeight="1" x14ac:dyDescent="0.3">
      <c r="A1676" s="22" t="s">
        <v>6</v>
      </c>
      <c r="B1676" s="74"/>
      <c r="C1676" s="74"/>
      <c r="D1676" s="74"/>
      <c r="E1676" s="74"/>
      <c r="F1676" s="48">
        <f>J1676+H1676+L1676</f>
        <v>857000</v>
      </c>
      <c r="G1676" s="74"/>
      <c r="H1676" s="48">
        <f>ROUNDDOWN(SUMIF(P1674:P1675,O1676,H1674:H1675),0)</f>
        <v>270000</v>
      </c>
      <c r="I1676" s="74"/>
      <c r="J1676" s="48">
        <f>ROUNDDOWN(SUMIF(P1674:P1675,O1676,J1674:J1675),0)</f>
        <v>587000</v>
      </c>
      <c r="K1676" s="74"/>
      <c r="L1676" s="48">
        <f>ROUNDDOWN(SUMIF(P1674:P1675,O1676,L1674:L1675),0)</f>
        <v>0</v>
      </c>
      <c r="M1676" s="74"/>
      <c r="O1676" s="7" t="s">
        <v>6406</v>
      </c>
    </row>
    <row r="1677" spans="1:26" ht="28.7" customHeight="1" x14ac:dyDescent="0.3">
      <c r="A1677" s="73"/>
      <c r="B1677" s="73"/>
      <c r="C1677" s="73"/>
      <c r="D1677" s="73"/>
      <c r="E1677" s="73"/>
      <c r="F1677" s="73"/>
      <c r="G1677" s="73"/>
      <c r="H1677" s="73"/>
      <c r="I1677" s="73"/>
      <c r="J1677" s="73"/>
      <c r="K1677" s="73"/>
      <c r="L1677" s="73"/>
      <c r="M1677" s="73"/>
    </row>
    <row r="1678" spans="1:26" ht="28.7" customHeight="1" x14ac:dyDescent="0.3">
      <c r="A1678" s="136" t="s">
        <v>956</v>
      </c>
      <c r="B1678" s="127"/>
      <c r="C1678" s="127"/>
      <c r="D1678" s="127"/>
      <c r="E1678" s="127"/>
      <c r="F1678" s="127"/>
      <c r="G1678" s="127"/>
      <c r="H1678" s="127"/>
      <c r="I1678" s="127"/>
      <c r="J1678" s="127"/>
      <c r="K1678" s="127"/>
      <c r="L1678" s="144"/>
      <c r="M1678" s="22" t="s">
        <v>7575</v>
      </c>
      <c r="N1678" s="84" t="str">
        <f>HYPERLINK("#N"&amp;ROW(N1680),"_x0005_`BDCOD|B04994_x0007_`POSS|"&amp;ROW(N1679)&amp;"_x0007_`POSE|"&amp;ROW(N1680)&amp;"_x0007_`")</f>
        <v>_x0005_`BDCOD|B04994_x0007_`POSS|1679_x0007_`POSE|1680_x0007_`</v>
      </c>
      <c r="O1678" s="7" t="s">
        <v>7576</v>
      </c>
    </row>
    <row r="1679" spans="1:26" ht="28.7" customHeight="1" x14ac:dyDescent="0.3">
      <c r="A1679" s="10" t="s">
        <v>970</v>
      </c>
      <c r="B1679" s="10" t="s">
        <v>958</v>
      </c>
      <c r="C1679" s="75">
        <v>1</v>
      </c>
      <c r="D1679" s="31" t="s">
        <v>14</v>
      </c>
      <c r="E1679" s="55">
        <f>I1679+G1679+K1679</f>
        <v>330000</v>
      </c>
      <c r="F1679" s="76">
        <f>J1679+H1679+L1679</f>
        <v>330000</v>
      </c>
      <c r="G1679" s="78">
        <f>일식견적목록표!F4</f>
        <v>330000</v>
      </c>
      <c r="H1679" s="80">
        <f>IF(C1679=0,0,ROUNDDOWN(G1679*C1679,1))</f>
        <v>330000</v>
      </c>
      <c r="I1679" s="78">
        <f>일식견적목록표!G4</f>
        <v>0</v>
      </c>
      <c r="J1679" s="80">
        <f>IF(C1679=0,0,ROUNDDOWN(I1679*C1679,1))</f>
        <v>0</v>
      </c>
      <c r="K1679" s="78">
        <f>일식견적목록표!H4</f>
        <v>0</v>
      </c>
      <c r="L1679" s="80">
        <f>IF(C1679=0,0,ROUNDDOWN(K1679*C1679,1))</f>
        <v>0</v>
      </c>
      <c r="M1679" s="22" t="s">
        <v>7579</v>
      </c>
      <c r="N1679" s="17" t="s">
        <v>7577</v>
      </c>
      <c r="O1679" s="7" t="s">
        <v>7578</v>
      </c>
      <c r="P1679" s="7" t="s">
        <v>6406</v>
      </c>
      <c r="Z1679" s="3" t="str">
        <f ca="1">HYPERLINK("#"&amp;일식견적목록표!J2&amp;"!A"&amp;ROW(일식견적목록표!A4),"기타1 →")</f>
        <v>기타1 →</v>
      </c>
    </row>
    <row r="1680" spans="1:26" ht="28.7" customHeight="1" x14ac:dyDescent="0.3">
      <c r="A1680" s="10" t="s">
        <v>2282</v>
      </c>
      <c r="B1680" s="10" t="s">
        <v>2286</v>
      </c>
      <c r="C1680" s="75">
        <v>1</v>
      </c>
      <c r="D1680" s="31" t="s">
        <v>1010</v>
      </c>
      <c r="E1680" s="55">
        <f>I1680+G1680+K1680</f>
        <v>1628000</v>
      </c>
      <c r="F1680" s="77">
        <f>J1680+H1680+L1680</f>
        <v>1628000</v>
      </c>
      <c r="G1680" s="51">
        <v>0</v>
      </c>
      <c r="H1680" s="76">
        <f>IF(C1680=0,0,ROUNDDOWN(G1680*C1680,1))</f>
        <v>0</v>
      </c>
      <c r="I1680" s="78">
        <f>재료비목록표!E87</f>
        <v>1628000</v>
      </c>
      <c r="J1680" s="81">
        <f>IF(C1680=0,0,ROUNDDOWN(I1680*C1680,1))</f>
        <v>1628000</v>
      </c>
      <c r="K1680" s="51">
        <v>0</v>
      </c>
      <c r="L1680" s="76">
        <f>IF(C1680=0,0,ROUNDDOWN(K1680*C1680,1))</f>
        <v>0</v>
      </c>
      <c r="M1680" s="22" t="s">
        <v>7581</v>
      </c>
      <c r="N1680" s="17" t="s">
        <v>7580</v>
      </c>
      <c r="O1680" s="7" t="s">
        <v>5814</v>
      </c>
      <c r="P1680" s="7" t="s">
        <v>6406</v>
      </c>
      <c r="Z1680" s="3" t="str">
        <f ca="1">HYPERLINK("#"&amp;재료비목록표!G2&amp;"!A"&amp;ROW(재료비목록표!A87),"자재84 →")</f>
        <v>자재84 →</v>
      </c>
    </row>
    <row r="1681" spans="1:26" ht="28.7" customHeight="1" x14ac:dyDescent="0.3">
      <c r="A1681" s="22" t="s">
        <v>6</v>
      </c>
      <c r="B1681" s="74"/>
      <c r="C1681" s="74"/>
      <c r="D1681" s="74"/>
      <c r="E1681" s="74"/>
      <c r="F1681" s="48">
        <f>J1681+H1681+L1681</f>
        <v>1958000</v>
      </c>
      <c r="G1681" s="74"/>
      <c r="H1681" s="48">
        <f>ROUNDDOWN(SUMIF(P1679:P1680,O1681,H1679:H1680),0)</f>
        <v>330000</v>
      </c>
      <c r="I1681" s="74"/>
      <c r="J1681" s="48">
        <f>ROUNDDOWN(SUMIF(P1679:P1680,O1681,J1679:J1680),0)</f>
        <v>1628000</v>
      </c>
      <c r="K1681" s="74"/>
      <c r="L1681" s="48">
        <f>ROUNDDOWN(SUMIF(P1679:P1680,O1681,L1679:L1680),0)</f>
        <v>0</v>
      </c>
      <c r="M1681" s="74"/>
      <c r="O1681" s="7" t="s">
        <v>6406</v>
      </c>
    </row>
    <row r="1682" spans="1:26" ht="28.7" customHeight="1" x14ac:dyDescent="0.3">
      <c r="A1682" s="73"/>
      <c r="B1682" s="73"/>
      <c r="C1682" s="73"/>
      <c r="D1682" s="73"/>
      <c r="E1682" s="73"/>
      <c r="F1682" s="73"/>
      <c r="G1682" s="73"/>
      <c r="H1682" s="73"/>
      <c r="I1682" s="73"/>
      <c r="J1682" s="73"/>
      <c r="K1682" s="73"/>
      <c r="L1682" s="73"/>
      <c r="M1682" s="73"/>
    </row>
    <row r="1683" spans="1:26" ht="28.7" customHeight="1" x14ac:dyDescent="0.3">
      <c r="A1683" s="136" t="s">
        <v>959</v>
      </c>
      <c r="B1683" s="127"/>
      <c r="C1683" s="127"/>
      <c r="D1683" s="127"/>
      <c r="E1683" s="127"/>
      <c r="F1683" s="127"/>
      <c r="G1683" s="127"/>
      <c r="H1683" s="127"/>
      <c r="I1683" s="127"/>
      <c r="J1683" s="127"/>
      <c r="K1683" s="127"/>
      <c r="L1683" s="144"/>
      <c r="M1683" s="22" t="s">
        <v>7582</v>
      </c>
      <c r="N1683" s="84" t="str">
        <f>HYPERLINK("#N"&amp;ROW(N1685),"_x0005_`BDCOD|B04995_x0007_`POSS|"&amp;ROW(N1684)&amp;"_x0007_`POSE|"&amp;ROW(N1685)&amp;"_x0007_`")</f>
        <v>_x0005_`BDCOD|B04995_x0007_`POSS|1684_x0007_`POSE|1685_x0007_`</v>
      </c>
      <c r="O1683" s="7" t="s">
        <v>7583</v>
      </c>
    </row>
    <row r="1684" spans="1:26" ht="28.7" customHeight="1" x14ac:dyDescent="0.3">
      <c r="A1684" s="10" t="s">
        <v>970</v>
      </c>
      <c r="B1684" s="10" t="s">
        <v>961</v>
      </c>
      <c r="C1684" s="75">
        <v>1</v>
      </c>
      <c r="D1684" s="31" t="s">
        <v>14</v>
      </c>
      <c r="E1684" s="55">
        <f>I1684+G1684+K1684</f>
        <v>330000</v>
      </c>
      <c r="F1684" s="76">
        <f>J1684+H1684+L1684</f>
        <v>330000</v>
      </c>
      <c r="G1684" s="78">
        <f>일식견적목록표!F5</f>
        <v>330000</v>
      </c>
      <c r="H1684" s="80">
        <f>IF(C1684=0,0,ROUNDDOWN(G1684*C1684,1))</f>
        <v>330000</v>
      </c>
      <c r="I1684" s="78">
        <f>일식견적목록표!G5</f>
        <v>0</v>
      </c>
      <c r="J1684" s="80">
        <f>IF(C1684=0,0,ROUNDDOWN(I1684*C1684,1))</f>
        <v>0</v>
      </c>
      <c r="K1684" s="78">
        <f>일식견적목록표!H5</f>
        <v>0</v>
      </c>
      <c r="L1684" s="80">
        <f>IF(C1684=0,0,ROUNDDOWN(K1684*C1684,1))</f>
        <v>0</v>
      </c>
      <c r="M1684" s="22" t="s">
        <v>7586</v>
      </c>
      <c r="N1684" s="17" t="s">
        <v>7584</v>
      </c>
      <c r="O1684" s="7" t="s">
        <v>7585</v>
      </c>
      <c r="P1684" s="7" t="s">
        <v>6406</v>
      </c>
      <c r="Z1684" s="3" t="str">
        <f ca="1">HYPERLINK("#"&amp;일식견적목록표!J2&amp;"!A"&amp;ROW(일식견적목록표!A5),"기타2 →")</f>
        <v>기타2 →</v>
      </c>
    </row>
    <row r="1685" spans="1:26" ht="28.7" customHeight="1" x14ac:dyDescent="0.3">
      <c r="A1685" s="10" t="s">
        <v>2282</v>
      </c>
      <c r="B1685" s="10" t="s">
        <v>2289</v>
      </c>
      <c r="C1685" s="75">
        <v>1</v>
      </c>
      <c r="D1685" s="31" t="s">
        <v>1010</v>
      </c>
      <c r="E1685" s="55">
        <f>I1685+G1685+K1685</f>
        <v>2054000</v>
      </c>
      <c r="F1685" s="77">
        <f>J1685+H1685+L1685</f>
        <v>2054000</v>
      </c>
      <c r="G1685" s="51">
        <v>0</v>
      </c>
      <c r="H1685" s="76">
        <f>IF(C1685=0,0,ROUNDDOWN(G1685*C1685,1))</f>
        <v>0</v>
      </c>
      <c r="I1685" s="78">
        <f>재료비목록표!E88</f>
        <v>2054000</v>
      </c>
      <c r="J1685" s="81">
        <f>IF(C1685=0,0,ROUNDDOWN(I1685*C1685,1))</f>
        <v>2054000</v>
      </c>
      <c r="K1685" s="51">
        <v>0</v>
      </c>
      <c r="L1685" s="76">
        <f>IF(C1685=0,0,ROUNDDOWN(K1685*C1685,1))</f>
        <v>0</v>
      </c>
      <c r="M1685" s="22" t="s">
        <v>7588</v>
      </c>
      <c r="N1685" s="17" t="s">
        <v>7587</v>
      </c>
      <c r="O1685" s="7" t="s">
        <v>5817</v>
      </c>
      <c r="P1685" s="7" t="s">
        <v>6406</v>
      </c>
      <c r="Z1685" s="3" t="str">
        <f ca="1">HYPERLINK("#"&amp;재료비목록표!G2&amp;"!A"&amp;ROW(재료비목록표!A88),"자재85 →")</f>
        <v>자재85 →</v>
      </c>
    </row>
    <row r="1686" spans="1:26" ht="28.7" customHeight="1" x14ac:dyDescent="0.3">
      <c r="A1686" s="22" t="s">
        <v>6</v>
      </c>
      <c r="B1686" s="74"/>
      <c r="C1686" s="74"/>
      <c r="D1686" s="74"/>
      <c r="E1686" s="74"/>
      <c r="F1686" s="48">
        <f>J1686+H1686+L1686</f>
        <v>2384000</v>
      </c>
      <c r="G1686" s="74"/>
      <c r="H1686" s="48">
        <f>ROUNDDOWN(SUMIF(P1684:P1685,O1686,H1684:H1685),0)</f>
        <v>330000</v>
      </c>
      <c r="I1686" s="74"/>
      <c r="J1686" s="48">
        <f>ROUNDDOWN(SUMIF(P1684:P1685,O1686,J1684:J1685),0)</f>
        <v>2054000</v>
      </c>
      <c r="K1686" s="74"/>
      <c r="L1686" s="48">
        <f>ROUNDDOWN(SUMIF(P1684:P1685,O1686,L1684:L1685),0)</f>
        <v>0</v>
      </c>
      <c r="M1686" s="74"/>
      <c r="O1686" s="7" t="s">
        <v>6406</v>
      </c>
    </row>
    <row r="1687" spans="1:26" ht="28.7" customHeight="1" x14ac:dyDescent="0.3">
      <c r="A1687" s="73"/>
      <c r="B1687" s="73"/>
      <c r="C1687" s="73"/>
      <c r="D1687" s="73"/>
      <c r="E1687" s="73"/>
      <c r="F1687" s="73"/>
      <c r="G1687" s="73"/>
      <c r="H1687" s="73"/>
      <c r="I1687" s="73"/>
      <c r="J1687" s="73"/>
      <c r="K1687" s="73"/>
      <c r="L1687" s="73"/>
      <c r="M1687" s="73"/>
    </row>
    <row r="1688" spans="1:26" ht="28.7" customHeight="1" x14ac:dyDescent="0.3">
      <c r="A1688" s="136" t="s">
        <v>962</v>
      </c>
      <c r="B1688" s="127"/>
      <c r="C1688" s="127"/>
      <c r="D1688" s="127"/>
      <c r="E1688" s="127"/>
      <c r="F1688" s="127"/>
      <c r="G1688" s="127"/>
      <c r="H1688" s="127"/>
      <c r="I1688" s="127"/>
      <c r="J1688" s="127"/>
      <c r="K1688" s="127"/>
      <c r="L1688" s="144"/>
      <c r="M1688" s="22" t="s">
        <v>7589</v>
      </c>
      <c r="N1688" s="84" t="str">
        <f>HYPERLINK("#N"&amp;ROW(N1690),"_x0005_`BDCOD|B04996_x0007_`POSS|"&amp;ROW(N1689)&amp;"_x0007_`POSE|"&amp;ROW(N1690)&amp;"_x0007_`")</f>
        <v>_x0005_`BDCOD|B04996_x0007_`POSS|1689_x0007_`POSE|1690_x0007_`</v>
      </c>
      <c r="O1688" s="7" t="s">
        <v>7590</v>
      </c>
    </row>
    <row r="1689" spans="1:26" ht="28.7" customHeight="1" x14ac:dyDescent="0.3">
      <c r="A1689" s="10" t="s">
        <v>970</v>
      </c>
      <c r="B1689" s="10" t="s">
        <v>964</v>
      </c>
      <c r="C1689" s="75">
        <v>1</v>
      </c>
      <c r="D1689" s="31" t="s">
        <v>14</v>
      </c>
      <c r="E1689" s="55">
        <f>I1689+G1689+K1689</f>
        <v>450000</v>
      </c>
      <c r="F1689" s="76">
        <f>J1689+H1689+L1689</f>
        <v>450000</v>
      </c>
      <c r="G1689" s="78">
        <f>일식견적목록표!F6</f>
        <v>450000</v>
      </c>
      <c r="H1689" s="80">
        <f>IF(C1689=0,0,ROUNDDOWN(G1689*C1689,1))</f>
        <v>450000</v>
      </c>
      <c r="I1689" s="78">
        <f>일식견적목록표!G6</f>
        <v>0</v>
      </c>
      <c r="J1689" s="80">
        <f>IF(C1689=0,0,ROUNDDOWN(I1689*C1689,1))</f>
        <v>0</v>
      </c>
      <c r="K1689" s="78">
        <f>일식견적목록표!H6</f>
        <v>0</v>
      </c>
      <c r="L1689" s="80">
        <f>IF(C1689=0,0,ROUNDDOWN(K1689*C1689,1))</f>
        <v>0</v>
      </c>
      <c r="M1689" s="22" t="s">
        <v>7593</v>
      </c>
      <c r="N1689" s="17" t="s">
        <v>7591</v>
      </c>
      <c r="O1689" s="7" t="s">
        <v>7592</v>
      </c>
      <c r="P1689" s="7" t="s">
        <v>6406</v>
      </c>
      <c r="Z1689" s="3" t="str">
        <f ca="1">HYPERLINK("#"&amp;일식견적목록표!J2&amp;"!A"&amp;ROW(일식견적목록표!A6),"기타3 →")</f>
        <v>기타3 →</v>
      </c>
    </row>
    <row r="1690" spans="1:26" ht="28.7" customHeight="1" x14ac:dyDescent="0.3">
      <c r="A1690" s="10" t="s">
        <v>2282</v>
      </c>
      <c r="B1690" s="10" t="s">
        <v>2292</v>
      </c>
      <c r="C1690" s="75">
        <v>1</v>
      </c>
      <c r="D1690" s="31" t="s">
        <v>1010</v>
      </c>
      <c r="E1690" s="55">
        <f>I1690+G1690+K1690</f>
        <v>2700000</v>
      </c>
      <c r="F1690" s="77">
        <f>J1690+H1690+L1690</f>
        <v>2700000</v>
      </c>
      <c r="G1690" s="51">
        <v>0</v>
      </c>
      <c r="H1690" s="76">
        <f>IF(C1690=0,0,ROUNDDOWN(G1690*C1690,1))</f>
        <v>0</v>
      </c>
      <c r="I1690" s="78">
        <f>재료비목록표!E89</f>
        <v>2700000</v>
      </c>
      <c r="J1690" s="81">
        <f>IF(C1690=0,0,ROUNDDOWN(I1690*C1690,1))</f>
        <v>2700000</v>
      </c>
      <c r="K1690" s="51">
        <v>0</v>
      </c>
      <c r="L1690" s="76">
        <f>IF(C1690=0,0,ROUNDDOWN(K1690*C1690,1))</f>
        <v>0</v>
      </c>
      <c r="M1690" s="22" t="s">
        <v>7595</v>
      </c>
      <c r="N1690" s="17" t="s">
        <v>7594</v>
      </c>
      <c r="O1690" s="7" t="s">
        <v>5820</v>
      </c>
      <c r="P1690" s="7" t="s">
        <v>6406</v>
      </c>
      <c r="Z1690" s="3" t="str">
        <f ca="1">HYPERLINK("#"&amp;재료비목록표!G2&amp;"!A"&amp;ROW(재료비목록표!A89),"자재86 →")</f>
        <v>자재86 →</v>
      </c>
    </row>
    <row r="1691" spans="1:26" ht="28.7" customHeight="1" x14ac:dyDescent="0.3">
      <c r="A1691" s="22" t="s">
        <v>6</v>
      </c>
      <c r="B1691" s="74"/>
      <c r="C1691" s="74"/>
      <c r="D1691" s="74"/>
      <c r="E1691" s="74"/>
      <c r="F1691" s="48">
        <f>J1691+H1691+L1691</f>
        <v>3150000</v>
      </c>
      <c r="G1691" s="74"/>
      <c r="H1691" s="48">
        <f>ROUNDDOWN(SUMIF(P1689:P1690,O1691,H1689:H1690),0)</f>
        <v>450000</v>
      </c>
      <c r="I1691" s="74"/>
      <c r="J1691" s="48">
        <f>ROUNDDOWN(SUMIF(P1689:P1690,O1691,J1689:J1690),0)</f>
        <v>2700000</v>
      </c>
      <c r="K1691" s="74"/>
      <c r="L1691" s="48">
        <f>ROUNDDOWN(SUMIF(P1689:P1690,O1691,L1689:L1690),0)</f>
        <v>0</v>
      </c>
      <c r="M1691" s="74"/>
      <c r="O1691" s="7" t="s">
        <v>6406</v>
      </c>
    </row>
    <row r="1692" spans="1:26" ht="28.7" customHeight="1" x14ac:dyDescent="0.3">
      <c r="A1692" s="73"/>
      <c r="B1692" s="73"/>
      <c r="C1692" s="73"/>
      <c r="D1692" s="73"/>
      <c r="E1692" s="73"/>
      <c r="F1692" s="73"/>
      <c r="G1692" s="73"/>
      <c r="H1692" s="73"/>
      <c r="I1692" s="73"/>
      <c r="J1692" s="73"/>
      <c r="K1692" s="73"/>
      <c r="L1692" s="73"/>
      <c r="M1692" s="73"/>
    </row>
    <row r="1693" spans="1:26" ht="28.7" customHeight="1" x14ac:dyDescent="0.3">
      <c r="A1693" s="136" t="s">
        <v>965</v>
      </c>
      <c r="B1693" s="127"/>
      <c r="C1693" s="127"/>
      <c r="D1693" s="127"/>
      <c r="E1693" s="127"/>
      <c r="F1693" s="127"/>
      <c r="G1693" s="127"/>
      <c r="H1693" s="127"/>
      <c r="I1693" s="127"/>
      <c r="J1693" s="127"/>
      <c r="K1693" s="127"/>
      <c r="L1693" s="144"/>
      <c r="M1693" s="22" t="s">
        <v>7596</v>
      </c>
      <c r="N1693" s="84" t="str">
        <f>HYPERLINK("#N"&amp;ROW(N1695),"_x0005_`BDCOD|B04997_x0007_`POSS|"&amp;ROW(N1694)&amp;"_x0007_`POSE|"&amp;ROW(N1695)&amp;"_x0007_`")</f>
        <v>_x0005_`BDCOD|B04997_x0007_`POSS|1694_x0007_`POSE|1695_x0007_`</v>
      </c>
      <c r="O1693" s="7" t="s">
        <v>7597</v>
      </c>
    </row>
    <row r="1694" spans="1:26" ht="28.7" customHeight="1" x14ac:dyDescent="0.3">
      <c r="A1694" s="10" t="s">
        <v>970</v>
      </c>
      <c r="B1694" s="10" t="s">
        <v>967</v>
      </c>
      <c r="C1694" s="75">
        <v>1</v>
      </c>
      <c r="D1694" s="31" t="s">
        <v>14</v>
      </c>
      <c r="E1694" s="55">
        <f>I1694+G1694+K1694</f>
        <v>450000</v>
      </c>
      <c r="F1694" s="76">
        <f>J1694+H1694+L1694</f>
        <v>450000</v>
      </c>
      <c r="G1694" s="78">
        <f>일식견적목록표!F7</f>
        <v>450000</v>
      </c>
      <c r="H1694" s="80">
        <f>IF(C1694=0,0,ROUNDDOWN(G1694*C1694,1))</f>
        <v>450000</v>
      </c>
      <c r="I1694" s="78">
        <f>일식견적목록표!G7</f>
        <v>0</v>
      </c>
      <c r="J1694" s="80">
        <f>IF(C1694=0,0,ROUNDDOWN(I1694*C1694,1))</f>
        <v>0</v>
      </c>
      <c r="K1694" s="78">
        <f>일식견적목록표!H7</f>
        <v>0</v>
      </c>
      <c r="L1694" s="80">
        <f>IF(C1694=0,0,ROUNDDOWN(K1694*C1694,1))</f>
        <v>0</v>
      </c>
      <c r="M1694" s="22" t="s">
        <v>7600</v>
      </c>
      <c r="N1694" s="17" t="s">
        <v>7598</v>
      </c>
      <c r="O1694" s="7" t="s">
        <v>7599</v>
      </c>
      <c r="P1694" s="7" t="s">
        <v>6406</v>
      </c>
      <c r="Z1694" s="3" t="str">
        <f ca="1">HYPERLINK("#"&amp;일식견적목록표!J2&amp;"!A"&amp;ROW(일식견적목록표!A7),"기타4 →")</f>
        <v>기타4 →</v>
      </c>
    </row>
    <row r="1695" spans="1:26" ht="28.7" customHeight="1" x14ac:dyDescent="0.3">
      <c r="A1695" s="10" t="s">
        <v>2282</v>
      </c>
      <c r="B1695" s="10" t="s">
        <v>2295</v>
      </c>
      <c r="C1695" s="75">
        <v>1</v>
      </c>
      <c r="D1695" s="31" t="s">
        <v>1010</v>
      </c>
      <c r="E1695" s="55">
        <f>I1695+G1695+K1695</f>
        <v>3384000</v>
      </c>
      <c r="F1695" s="77">
        <f>J1695+H1695+L1695</f>
        <v>3384000</v>
      </c>
      <c r="G1695" s="51">
        <v>0</v>
      </c>
      <c r="H1695" s="76">
        <f>IF(C1695=0,0,ROUNDDOWN(G1695*C1695,1))</f>
        <v>0</v>
      </c>
      <c r="I1695" s="78">
        <f>재료비목록표!E90</f>
        <v>3384000</v>
      </c>
      <c r="J1695" s="81">
        <f>IF(C1695=0,0,ROUNDDOWN(I1695*C1695,1))</f>
        <v>3384000</v>
      </c>
      <c r="K1695" s="51">
        <v>0</v>
      </c>
      <c r="L1695" s="76">
        <f>IF(C1695=0,0,ROUNDDOWN(K1695*C1695,1))</f>
        <v>0</v>
      </c>
      <c r="M1695" s="22" t="s">
        <v>7602</v>
      </c>
      <c r="N1695" s="17" t="s">
        <v>7601</v>
      </c>
      <c r="O1695" s="7" t="s">
        <v>5823</v>
      </c>
      <c r="P1695" s="7" t="s">
        <v>6406</v>
      </c>
      <c r="Z1695" s="3" t="str">
        <f ca="1">HYPERLINK("#"&amp;재료비목록표!G2&amp;"!A"&amp;ROW(재료비목록표!A90),"자재87 →")</f>
        <v>자재87 →</v>
      </c>
    </row>
    <row r="1696" spans="1:26" ht="28.7" customHeight="1" x14ac:dyDescent="0.3">
      <c r="A1696" s="22" t="s">
        <v>6</v>
      </c>
      <c r="B1696" s="74"/>
      <c r="C1696" s="74"/>
      <c r="D1696" s="74"/>
      <c r="E1696" s="74"/>
      <c r="F1696" s="48">
        <f>J1696+H1696+L1696</f>
        <v>3834000</v>
      </c>
      <c r="G1696" s="74"/>
      <c r="H1696" s="48">
        <f>ROUNDDOWN(SUMIF(P1694:P1695,O1696,H1694:H1695),0)</f>
        <v>450000</v>
      </c>
      <c r="I1696" s="74"/>
      <c r="J1696" s="48">
        <f>ROUNDDOWN(SUMIF(P1694:P1695,O1696,J1694:J1695),0)</f>
        <v>3384000</v>
      </c>
      <c r="K1696" s="74"/>
      <c r="L1696" s="48">
        <f>ROUNDDOWN(SUMIF(P1694:P1695,O1696,L1694:L1695),0)</f>
        <v>0</v>
      </c>
      <c r="M1696" s="74"/>
      <c r="O1696" s="7" t="s">
        <v>6406</v>
      </c>
    </row>
    <row r="1697" spans="1:26" ht="28.7" customHeight="1" x14ac:dyDescent="0.3">
      <c r="A1697" s="73"/>
      <c r="B1697" s="73"/>
      <c r="C1697" s="73"/>
      <c r="D1697" s="73"/>
      <c r="E1697" s="73"/>
      <c r="F1697" s="73"/>
      <c r="G1697" s="73"/>
      <c r="H1697" s="73"/>
      <c r="I1697" s="73"/>
      <c r="J1697" s="73"/>
      <c r="K1697" s="73"/>
      <c r="L1697" s="73"/>
      <c r="M1697" s="73"/>
    </row>
    <row r="1698" spans="1:26" ht="28.7" customHeight="1" x14ac:dyDescent="0.3">
      <c r="A1698" s="136" t="s">
        <v>968</v>
      </c>
      <c r="B1698" s="127"/>
      <c r="C1698" s="127"/>
      <c r="D1698" s="127"/>
      <c r="E1698" s="127"/>
      <c r="F1698" s="127"/>
      <c r="G1698" s="127"/>
      <c r="H1698" s="127"/>
      <c r="I1698" s="127"/>
      <c r="J1698" s="127"/>
      <c r="K1698" s="127"/>
      <c r="L1698" s="144"/>
      <c r="M1698" s="22" t="s">
        <v>7603</v>
      </c>
      <c r="N1698" s="84" t="str">
        <f>HYPERLINK("#N"&amp;ROW(N1699),"_x0005_`BDCOD|B04989_x0007_`POSS|"&amp;ROW(N1699)&amp;"_x0007_`POSE|"&amp;ROW(N1699)&amp;"_x0007_`")</f>
        <v>_x0005_`BDCOD|B04989_x0007_`POSS|1699_x0007_`POSE|1699_x0007_`</v>
      </c>
      <c r="O1698" s="7" t="s">
        <v>7604</v>
      </c>
    </row>
    <row r="1699" spans="1:26" ht="28.7" customHeight="1" x14ac:dyDescent="0.3">
      <c r="A1699" s="10" t="s">
        <v>970</v>
      </c>
      <c r="B1699" s="10" t="s">
        <v>3127</v>
      </c>
      <c r="C1699" s="75">
        <v>1</v>
      </c>
      <c r="D1699" s="31" t="s">
        <v>14</v>
      </c>
      <c r="E1699" s="55">
        <f>I1699+G1699+K1699</f>
        <v>270000</v>
      </c>
      <c r="F1699" s="76">
        <f>J1699+H1699+L1699</f>
        <v>270000</v>
      </c>
      <c r="G1699" s="78">
        <f>일식견적목록표!F8</f>
        <v>270000</v>
      </c>
      <c r="H1699" s="80">
        <f>IF(C1699=0,0,ROUNDDOWN(G1699*C1699,1))</f>
        <v>270000</v>
      </c>
      <c r="I1699" s="78">
        <f>일식견적목록표!G8</f>
        <v>0</v>
      </c>
      <c r="J1699" s="80">
        <f>IF(C1699=0,0,ROUNDDOWN(I1699*C1699,1))</f>
        <v>0</v>
      </c>
      <c r="K1699" s="78">
        <f>일식견적목록표!H8</f>
        <v>0</v>
      </c>
      <c r="L1699" s="80">
        <f>IF(C1699=0,0,ROUNDDOWN(K1699*C1699,1))</f>
        <v>0</v>
      </c>
      <c r="M1699" s="22" t="s">
        <v>7568</v>
      </c>
      <c r="N1699" s="17" t="s">
        <v>7566</v>
      </c>
      <c r="O1699" s="7" t="s">
        <v>7567</v>
      </c>
      <c r="P1699" s="7" t="s">
        <v>6406</v>
      </c>
      <c r="Z1699" s="3" t="str">
        <f ca="1">HYPERLINK("#"&amp;일식견적목록표!J2&amp;"!A"&amp;ROW(일식견적목록표!A8),"기타5 →")</f>
        <v>기타5 →</v>
      </c>
    </row>
    <row r="1700" spans="1:26" ht="28.7" customHeight="1" x14ac:dyDescent="0.3">
      <c r="A1700" s="22" t="s">
        <v>6</v>
      </c>
      <c r="B1700" s="74"/>
      <c r="C1700" s="74"/>
      <c r="D1700" s="74"/>
      <c r="E1700" s="74"/>
      <c r="F1700" s="48">
        <f>J1700+H1700+L1700</f>
        <v>270000</v>
      </c>
      <c r="G1700" s="74"/>
      <c r="H1700" s="48">
        <f>ROUNDDOWN(SUMIF(P1699:P1699,O1700,H1699:H1699),0)</f>
        <v>270000</v>
      </c>
      <c r="I1700" s="74"/>
      <c r="J1700" s="48">
        <f>ROUNDDOWN(SUMIF(P1699:P1699,O1700,J1699:J1699),0)</f>
        <v>0</v>
      </c>
      <c r="K1700" s="74"/>
      <c r="L1700" s="48">
        <f>ROUNDDOWN(SUMIF(P1699:P1699,O1700,L1699:L1699),0)</f>
        <v>0</v>
      </c>
      <c r="M1700" s="74"/>
      <c r="O1700" s="7" t="s">
        <v>6406</v>
      </c>
    </row>
    <row r="1701" spans="1:26" ht="28.7" customHeight="1" x14ac:dyDescent="0.3">
      <c r="A1701" s="73"/>
      <c r="B1701" s="73"/>
      <c r="C1701" s="73"/>
      <c r="D1701" s="73"/>
      <c r="E1701" s="73"/>
      <c r="F1701" s="73"/>
      <c r="G1701" s="73"/>
      <c r="H1701" s="73"/>
      <c r="I1701" s="73"/>
      <c r="J1701" s="73"/>
      <c r="K1701" s="73"/>
      <c r="L1701" s="73"/>
      <c r="M1701" s="73"/>
    </row>
    <row r="1702" spans="1:26" ht="28.7" customHeight="1" x14ac:dyDescent="0.3">
      <c r="A1702" s="136" t="s">
        <v>972</v>
      </c>
      <c r="B1702" s="127"/>
      <c r="C1702" s="127"/>
      <c r="D1702" s="127"/>
      <c r="E1702" s="127"/>
      <c r="F1702" s="127"/>
      <c r="G1702" s="127"/>
      <c r="H1702" s="127"/>
      <c r="I1702" s="127"/>
      <c r="J1702" s="127"/>
      <c r="K1702" s="127"/>
      <c r="L1702" s="144"/>
      <c r="M1702" s="22" t="s">
        <v>7605</v>
      </c>
      <c r="N1702" s="84" t="str">
        <f>HYPERLINK("#N"&amp;ROW(N1703),"_x0005_`BDCOD|B04990_x0007_`POSS|"&amp;ROW(N1703)&amp;"_x0007_`POSE|"&amp;ROW(N1703)&amp;"_x0007_`")</f>
        <v>_x0005_`BDCOD|B04990_x0007_`POSS|1703_x0007_`POSE|1703_x0007_`</v>
      </c>
      <c r="O1702" s="7" t="s">
        <v>7606</v>
      </c>
    </row>
    <row r="1703" spans="1:26" ht="28.7" customHeight="1" x14ac:dyDescent="0.3">
      <c r="A1703" s="10" t="s">
        <v>970</v>
      </c>
      <c r="B1703" s="10" t="s">
        <v>958</v>
      </c>
      <c r="C1703" s="75">
        <v>1</v>
      </c>
      <c r="D1703" s="31" t="s">
        <v>14</v>
      </c>
      <c r="E1703" s="55">
        <f>I1703+G1703+K1703</f>
        <v>330000</v>
      </c>
      <c r="F1703" s="76">
        <f>J1703+H1703+L1703</f>
        <v>330000</v>
      </c>
      <c r="G1703" s="78">
        <f>일식견적목록표!F4</f>
        <v>330000</v>
      </c>
      <c r="H1703" s="80">
        <f>IF(C1703=0,0,ROUNDDOWN(G1703*C1703,1))</f>
        <v>330000</v>
      </c>
      <c r="I1703" s="78">
        <f>일식견적목록표!G4</f>
        <v>0</v>
      </c>
      <c r="J1703" s="80">
        <f>IF(C1703=0,0,ROUNDDOWN(I1703*C1703,1))</f>
        <v>0</v>
      </c>
      <c r="K1703" s="78">
        <f>일식견적목록표!H4</f>
        <v>0</v>
      </c>
      <c r="L1703" s="80">
        <f>IF(C1703=0,0,ROUNDDOWN(K1703*C1703,1))</f>
        <v>0</v>
      </c>
      <c r="M1703" s="22" t="s">
        <v>7579</v>
      </c>
      <c r="N1703" s="17" t="s">
        <v>7577</v>
      </c>
      <c r="O1703" s="7" t="s">
        <v>7578</v>
      </c>
      <c r="P1703" s="7" t="s">
        <v>6406</v>
      </c>
      <c r="Z1703" s="3" t="str">
        <f ca="1">HYPERLINK("#"&amp;일식견적목록표!J2&amp;"!A"&amp;ROW(일식견적목록표!A4),"기타1 →")</f>
        <v>기타1 →</v>
      </c>
    </row>
    <row r="1704" spans="1:26" ht="28.7" customHeight="1" x14ac:dyDescent="0.3">
      <c r="A1704" s="22" t="s">
        <v>6</v>
      </c>
      <c r="B1704" s="74"/>
      <c r="C1704" s="74"/>
      <c r="D1704" s="74"/>
      <c r="E1704" s="74"/>
      <c r="F1704" s="48">
        <f>J1704+H1704+L1704</f>
        <v>330000</v>
      </c>
      <c r="G1704" s="74"/>
      <c r="H1704" s="48">
        <f>ROUNDDOWN(SUMIF(P1703:P1703,O1704,H1703:H1703),0)</f>
        <v>330000</v>
      </c>
      <c r="I1704" s="74"/>
      <c r="J1704" s="48">
        <f>ROUNDDOWN(SUMIF(P1703:P1703,O1704,J1703:J1703),0)</f>
        <v>0</v>
      </c>
      <c r="K1704" s="74"/>
      <c r="L1704" s="48">
        <f>ROUNDDOWN(SUMIF(P1703:P1703,O1704,L1703:L1703),0)</f>
        <v>0</v>
      </c>
      <c r="M1704" s="74"/>
      <c r="O1704" s="7" t="s">
        <v>6406</v>
      </c>
    </row>
    <row r="1705" spans="1:26" ht="28.7" customHeight="1" x14ac:dyDescent="0.3">
      <c r="A1705" s="73"/>
      <c r="B1705" s="73"/>
      <c r="C1705" s="73"/>
      <c r="D1705" s="73"/>
      <c r="E1705" s="73"/>
      <c r="F1705" s="73"/>
      <c r="G1705" s="73"/>
      <c r="H1705" s="73"/>
      <c r="I1705" s="73"/>
      <c r="J1705" s="73"/>
      <c r="K1705" s="73"/>
      <c r="L1705" s="73"/>
      <c r="M1705" s="73"/>
    </row>
    <row r="1706" spans="1:26" ht="28.7" customHeight="1" x14ac:dyDescent="0.3">
      <c r="A1706" s="136" t="s">
        <v>974</v>
      </c>
      <c r="B1706" s="127"/>
      <c r="C1706" s="127"/>
      <c r="D1706" s="127"/>
      <c r="E1706" s="127"/>
      <c r="F1706" s="127"/>
      <c r="G1706" s="127"/>
      <c r="H1706" s="127"/>
      <c r="I1706" s="127"/>
      <c r="J1706" s="127"/>
      <c r="K1706" s="127"/>
      <c r="L1706" s="144"/>
      <c r="M1706" s="22" t="s">
        <v>7607</v>
      </c>
      <c r="N1706" s="84" t="str">
        <f>HYPERLINK("#N"&amp;ROW(N1707),"_x0005_`BDCOD|B04991_x0007_`POSS|"&amp;ROW(N1707)&amp;"_x0007_`POSE|"&amp;ROW(N1707)&amp;"_x0007_`")</f>
        <v>_x0005_`BDCOD|B04991_x0007_`POSS|1707_x0007_`POSE|1707_x0007_`</v>
      </c>
      <c r="O1706" s="7" t="s">
        <v>7608</v>
      </c>
    </row>
    <row r="1707" spans="1:26" ht="28.7" customHeight="1" x14ac:dyDescent="0.3">
      <c r="A1707" s="10" t="s">
        <v>970</v>
      </c>
      <c r="B1707" s="10" t="s">
        <v>961</v>
      </c>
      <c r="C1707" s="75">
        <v>1</v>
      </c>
      <c r="D1707" s="31" t="s">
        <v>14</v>
      </c>
      <c r="E1707" s="55">
        <f>I1707+G1707+K1707</f>
        <v>330000</v>
      </c>
      <c r="F1707" s="76">
        <f>J1707+H1707+L1707</f>
        <v>330000</v>
      </c>
      <c r="G1707" s="78">
        <f>일식견적목록표!F5</f>
        <v>330000</v>
      </c>
      <c r="H1707" s="80">
        <f>IF(C1707=0,0,ROUNDDOWN(G1707*C1707,1))</f>
        <v>330000</v>
      </c>
      <c r="I1707" s="78">
        <f>일식견적목록표!G5</f>
        <v>0</v>
      </c>
      <c r="J1707" s="80">
        <f>IF(C1707=0,0,ROUNDDOWN(I1707*C1707,1))</f>
        <v>0</v>
      </c>
      <c r="K1707" s="78">
        <f>일식견적목록표!H5</f>
        <v>0</v>
      </c>
      <c r="L1707" s="80">
        <f>IF(C1707=0,0,ROUNDDOWN(K1707*C1707,1))</f>
        <v>0</v>
      </c>
      <c r="M1707" s="22" t="s">
        <v>7586</v>
      </c>
      <c r="N1707" s="17" t="s">
        <v>7584</v>
      </c>
      <c r="O1707" s="7" t="s">
        <v>7585</v>
      </c>
      <c r="P1707" s="7" t="s">
        <v>6406</v>
      </c>
      <c r="Z1707" s="3" t="str">
        <f ca="1">HYPERLINK("#"&amp;일식견적목록표!J2&amp;"!A"&amp;ROW(일식견적목록표!A5),"기타2 →")</f>
        <v>기타2 →</v>
      </c>
    </row>
    <row r="1708" spans="1:26" ht="28.7" customHeight="1" x14ac:dyDescent="0.3">
      <c r="A1708" s="22" t="s">
        <v>6</v>
      </c>
      <c r="B1708" s="74"/>
      <c r="C1708" s="74"/>
      <c r="D1708" s="74"/>
      <c r="E1708" s="74"/>
      <c r="F1708" s="48">
        <f>J1708+H1708+L1708</f>
        <v>330000</v>
      </c>
      <c r="G1708" s="74"/>
      <c r="H1708" s="48">
        <f>ROUNDDOWN(SUMIF(P1707:P1707,O1708,H1707:H1707),0)</f>
        <v>330000</v>
      </c>
      <c r="I1708" s="74"/>
      <c r="J1708" s="48">
        <f>ROUNDDOWN(SUMIF(P1707:P1707,O1708,J1707:J1707),0)</f>
        <v>0</v>
      </c>
      <c r="K1708" s="74"/>
      <c r="L1708" s="48">
        <f>ROUNDDOWN(SUMIF(P1707:P1707,O1708,L1707:L1707),0)</f>
        <v>0</v>
      </c>
      <c r="M1708" s="74"/>
      <c r="O1708" s="7" t="s">
        <v>6406</v>
      </c>
    </row>
    <row r="1709" spans="1:26" ht="28.7" customHeight="1" x14ac:dyDescent="0.3">
      <c r="A1709" s="73"/>
      <c r="B1709" s="73"/>
      <c r="C1709" s="73"/>
      <c r="D1709" s="73"/>
      <c r="E1709" s="73"/>
      <c r="F1709" s="73"/>
      <c r="G1709" s="73"/>
      <c r="H1709" s="73"/>
      <c r="I1709" s="73"/>
      <c r="J1709" s="73"/>
      <c r="K1709" s="73"/>
      <c r="L1709" s="73"/>
      <c r="M1709" s="73"/>
    </row>
    <row r="1710" spans="1:26" ht="28.7" customHeight="1" x14ac:dyDescent="0.3">
      <c r="A1710" s="136" t="s">
        <v>976</v>
      </c>
      <c r="B1710" s="127"/>
      <c r="C1710" s="127"/>
      <c r="D1710" s="127"/>
      <c r="E1710" s="127"/>
      <c r="F1710" s="127"/>
      <c r="G1710" s="127"/>
      <c r="H1710" s="127"/>
      <c r="I1710" s="127"/>
      <c r="J1710" s="127"/>
      <c r="K1710" s="127"/>
      <c r="L1710" s="144"/>
      <c r="M1710" s="22" t="s">
        <v>7609</v>
      </c>
      <c r="N1710" s="84" t="str">
        <f>HYPERLINK("#N"&amp;ROW(N1711),"_x0005_`BDCOD|B04992_x0007_`POSS|"&amp;ROW(N1711)&amp;"_x0007_`POSE|"&amp;ROW(N1711)&amp;"_x0007_`")</f>
        <v>_x0005_`BDCOD|B04992_x0007_`POSS|1711_x0007_`POSE|1711_x0007_`</v>
      </c>
      <c r="O1710" s="7" t="s">
        <v>7610</v>
      </c>
    </row>
    <row r="1711" spans="1:26" ht="28.7" customHeight="1" x14ac:dyDescent="0.3">
      <c r="A1711" s="10" t="s">
        <v>970</v>
      </c>
      <c r="B1711" s="10" t="s">
        <v>964</v>
      </c>
      <c r="C1711" s="75">
        <v>1</v>
      </c>
      <c r="D1711" s="31" t="s">
        <v>14</v>
      </c>
      <c r="E1711" s="55">
        <f>I1711+G1711+K1711</f>
        <v>450000</v>
      </c>
      <c r="F1711" s="76">
        <f>J1711+H1711+L1711</f>
        <v>450000</v>
      </c>
      <c r="G1711" s="78">
        <f>일식견적목록표!F6</f>
        <v>450000</v>
      </c>
      <c r="H1711" s="80">
        <f>IF(C1711=0,0,ROUNDDOWN(G1711*C1711,1))</f>
        <v>450000</v>
      </c>
      <c r="I1711" s="78">
        <f>일식견적목록표!G6</f>
        <v>0</v>
      </c>
      <c r="J1711" s="80">
        <f>IF(C1711=0,0,ROUNDDOWN(I1711*C1711,1))</f>
        <v>0</v>
      </c>
      <c r="K1711" s="78">
        <f>일식견적목록표!H6</f>
        <v>0</v>
      </c>
      <c r="L1711" s="80">
        <f>IF(C1711=0,0,ROUNDDOWN(K1711*C1711,1))</f>
        <v>0</v>
      </c>
      <c r="M1711" s="22" t="s">
        <v>7593</v>
      </c>
      <c r="N1711" s="17" t="s">
        <v>7591</v>
      </c>
      <c r="O1711" s="7" t="s">
        <v>7592</v>
      </c>
      <c r="P1711" s="7" t="s">
        <v>6406</v>
      </c>
      <c r="Z1711" s="3" t="str">
        <f ca="1">HYPERLINK("#"&amp;일식견적목록표!J2&amp;"!A"&amp;ROW(일식견적목록표!A6),"기타3 →")</f>
        <v>기타3 →</v>
      </c>
    </row>
    <row r="1712" spans="1:26" ht="28.7" customHeight="1" x14ac:dyDescent="0.3">
      <c r="A1712" s="22" t="s">
        <v>6</v>
      </c>
      <c r="B1712" s="74"/>
      <c r="C1712" s="74"/>
      <c r="D1712" s="74"/>
      <c r="E1712" s="74"/>
      <c r="F1712" s="48">
        <f>J1712+H1712+L1712</f>
        <v>450000</v>
      </c>
      <c r="G1712" s="74"/>
      <c r="H1712" s="48">
        <f>ROUNDDOWN(SUMIF(P1711:P1711,O1712,H1711:H1711),0)</f>
        <v>450000</v>
      </c>
      <c r="I1712" s="74"/>
      <c r="J1712" s="48">
        <f>ROUNDDOWN(SUMIF(P1711:P1711,O1712,J1711:J1711),0)</f>
        <v>0</v>
      </c>
      <c r="K1712" s="74"/>
      <c r="L1712" s="48">
        <f>ROUNDDOWN(SUMIF(P1711:P1711,O1712,L1711:L1711),0)</f>
        <v>0</v>
      </c>
      <c r="M1712" s="74"/>
      <c r="O1712" s="7" t="s">
        <v>6406</v>
      </c>
    </row>
    <row r="1713" spans="1:26" ht="28.7" customHeight="1" x14ac:dyDescent="0.3">
      <c r="A1713" s="73"/>
      <c r="B1713" s="73"/>
      <c r="C1713" s="73"/>
      <c r="D1713" s="73"/>
      <c r="E1713" s="73"/>
      <c r="F1713" s="73"/>
      <c r="G1713" s="73"/>
      <c r="H1713" s="73"/>
      <c r="I1713" s="73"/>
      <c r="J1713" s="73"/>
      <c r="K1713" s="73"/>
      <c r="L1713" s="73"/>
      <c r="M1713" s="73"/>
    </row>
    <row r="1714" spans="1:26" ht="28.7" customHeight="1" x14ac:dyDescent="0.3">
      <c r="A1714" s="136" t="s">
        <v>978</v>
      </c>
      <c r="B1714" s="127"/>
      <c r="C1714" s="127"/>
      <c r="D1714" s="127"/>
      <c r="E1714" s="127"/>
      <c r="F1714" s="127"/>
      <c r="G1714" s="127"/>
      <c r="H1714" s="127"/>
      <c r="I1714" s="127"/>
      <c r="J1714" s="127"/>
      <c r="K1714" s="127"/>
      <c r="L1714" s="144"/>
      <c r="M1714" s="22" t="s">
        <v>7611</v>
      </c>
      <c r="N1714" s="84" t="str">
        <f>HYPERLINK("#N"&amp;ROW(N1715),"_x0005_`BDCOD|B04993_x0007_`POSS|"&amp;ROW(N1715)&amp;"_x0007_`POSE|"&amp;ROW(N1715)&amp;"_x0007_`")</f>
        <v>_x0005_`BDCOD|B04993_x0007_`POSS|1715_x0007_`POSE|1715_x0007_`</v>
      </c>
      <c r="O1714" s="7" t="s">
        <v>7612</v>
      </c>
    </row>
    <row r="1715" spans="1:26" ht="28.7" customHeight="1" x14ac:dyDescent="0.3">
      <c r="A1715" s="10" t="s">
        <v>970</v>
      </c>
      <c r="B1715" s="10" t="s">
        <v>967</v>
      </c>
      <c r="C1715" s="75">
        <v>1</v>
      </c>
      <c r="D1715" s="31" t="s">
        <v>14</v>
      </c>
      <c r="E1715" s="55">
        <f>I1715+G1715+K1715</f>
        <v>450000</v>
      </c>
      <c r="F1715" s="76">
        <f>J1715+H1715+L1715</f>
        <v>450000</v>
      </c>
      <c r="G1715" s="78">
        <f>일식견적목록표!F7</f>
        <v>450000</v>
      </c>
      <c r="H1715" s="80">
        <f>IF(C1715=0,0,ROUNDDOWN(G1715*C1715,1))</f>
        <v>450000</v>
      </c>
      <c r="I1715" s="78">
        <f>일식견적목록표!G7</f>
        <v>0</v>
      </c>
      <c r="J1715" s="80">
        <f>IF(C1715=0,0,ROUNDDOWN(I1715*C1715,1))</f>
        <v>0</v>
      </c>
      <c r="K1715" s="78">
        <f>일식견적목록표!H7</f>
        <v>0</v>
      </c>
      <c r="L1715" s="80">
        <f>IF(C1715=0,0,ROUNDDOWN(K1715*C1715,1))</f>
        <v>0</v>
      </c>
      <c r="M1715" s="22" t="s">
        <v>7600</v>
      </c>
      <c r="N1715" s="17" t="s">
        <v>7598</v>
      </c>
      <c r="O1715" s="7" t="s">
        <v>7599</v>
      </c>
      <c r="P1715" s="7" t="s">
        <v>6406</v>
      </c>
      <c r="Z1715" s="3" t="str">
        <f ca="1">HYPERLINK("#"&amp;일식견적목록표!J2&amp;"!A"&amp;ROW(일식견적목록표!A7),"기타4 →")</f>
        <v>기타4 →</v>
      </c>
    </row>
    <row r="1716" spans="1:26" ht="28.7" customHeight="1" x14ac:dyDescent="0.3">
      <c r="A1716" s="22" t="s">
        <v>6</v>
      </c>
      <c r="B1716" s="74"/>
      <c r="C1716" s="74"/>
      <c r="D1716" s="74"/>
      <c r="E1716" s="74"/>
      <c r="F1716" s="48">
        <f>J1716+H1716+L1716</f>
        <v>450000</v>
      </c>
      <c r="G1716" s="74"/>
      <c r="H1716" s="48">
        <f>ROUNDDOWN(SUMIF(P1715:P1715,O1716,H1715:H1715),0)</f>
        <v>450000</v>
      </c>
      <c r="I1716" s="74"/>
      <c r="J1716" s="48">
        <f>ROUNDDOWN(SUMIF(P1715:P1715,O1716,J1715:J1715),0)</f>
        <v>0</v>
      </c>
      <c r="K1716" s="74"/>
      <c r="L1716" s="48">
        <f>ROUNDDOWN(SUMIF(P1715:P1715,O1716,L1715:L1715),0)</f>
        <v>0</v>
      </c>
      <c r="M1716" s="74"/>
      <c r="O1716" s="7" t="s">
        <v>6406</v>
      </c>
    </row>
    <row r="1717" spans="1:26" ht="28.7" customHeight="1" x14ac:dyDescent="0.3">
      <c r="A1717" s="73"/>
      <c r="B1717" s="73"/>
      <c r="C1717" s="73"/>
      <c r="D1717" s="73"/>
      <c r="E1717" s="73"/>
      <c r="F1717" s="73"/>
      <c r="G1717" s="73"/>
      <c r="H1717" s="73"/>
      <c r="I1717" s="73"/>
      <c r="J1717" s="73"/>
      <c r="K1717" s="73"/>
      <c r="L1717" s="73"/>
      <c r="M1717" s="73"/>
    </row>
    <row r="1718" spans="1:26" ht="28.7" customHeight="1" x14ac:dyDescent="0.3">
      <c r="A1718" s="136" t="s">
        <v>980</v>
      </c>
      <c r="B1718" s="127"/>
      <c r="C1718" s="127"/>
      <c r="D1718" s="127"/>
      <c r="E1718" s="127"/>
      <c r="F1718" s="127"/>
      <c r="G1718" s="127"/>
      <c r="H1718" s="127"/>
      <c r="I1718" s="127"/>
      <c r="J1718" s="127"/>
      <c r="K1718" s="127"/>
      <c r="L1718" s="144"/>
      <c r="M1718" s="22" t="s">
        <v>7613</v>
      </c>
      <c r="N1718" s="84" t="str">
        <f>HYPERLINK("#N"&amp;ROW(N1720),"_x0005_`BDCOD|B05004_x0007_`POSS|"&amp;ROW(N1719)&amp;"_x0007_`POSE|"&amp;ROW(N1720)&amp;"_x0007_`")</f>
        <v>_x0005_`BDCOD|B05004_x0007_`POSS|1719_x0007_`POSE|1720_x0007_`</v>
      </c>
      <c r="O1718" s="7" t="s">
        <v>7614</v>
      </c>
    </row>
    <row r="1719" spans="1:26" ht="28.7" customHeight="1" x14ac:dyDescent="0.3">
      <c r="A1719" s="10" t="s">
        <v>995</v>
      </c>
      <c r="B1719" s="10" t="s">
        <v>996</v>
      </c>
      <c r="C1719" s="75">
        <v>1</v>
      </c>
      <c r="D1719" s="31" t="s">
        <v>14</v>
      </c>
      <c r="E1719" s="55">
        <f>I1719+G1719+K1719</f>
        <v>350000</v>
      </c>
      <c r="F1719" s="76">
        <f>J1719+H1719+L1719</f>
        <v>350000</v>
      </c>
      <c r="G1719" s="78">
        <f>일위대가목록표!F398</f>
        <v>350000</v>
      </c>
      <c r="H1719" s="80">
        <f>IF(C1719=0,0,ROUNDDOWN(G1719*C1719,1))</f>
        <v>350000</v>
      </c>
      <c r="I1719" s="78">
        <f>일위대가목록표!G398</f>
        <v>0</v>
      </c>
      <c r="J1719" s="80">
        <f>IF(C1719=0,0,ROUNDDOWN(I1719*C1719,1))</f>
        <v>0</v>
      </c>
      <c r="K1719" s="78">
        <f>일위대가목록표!H398</f>
        <v>0</v>
      </c>
      <c r="L1719" s="80">
        <f>IF(C1719=0,0,ROUNDDOWN(K1719*C1719,1))</f>
        <v>0</v>
      </c>
      <c r="M1719" s="22" t="s">
        <v>4528</v>
      </c>
      <c r="N1719" s="17" t="s">
        <v>7615</v>
      </c>
      <c r="O1719" s="7" t="s">
        <v>4526</v>
      </c>
      <c r="P1719" s="7" t="s">
        <v>6406</v>
      </c>
      <c r="Z1719" s="3" t="str">
        <f ca="1">HYPERLINK("#"&amp;일위대가목록표!J2&amp;"!A"&amp;ROW(일위대가목록표!A398),"대가395 →")</f>
        <v>대가395 →</v>
      </c>
    </row>
    <row r="1720" spans="1:26" ht="28.7" customHeight="1" x14ac:dyDescent="0.3">
      <c r="A1720" s="10" t="s">
        <v>982</v>
      </c>
      <c r="B1720" s="10" t="s">
        <v>2347</v>
      </c>
      <c r="C1720" s="75">
        <v>1</v>
      </c>
      <c r="D1720" s="31" t="s">
        <v>1010</v>
      </c>
      <c r="E1720" s="55">
        <f>I1720+G1720+K1720</f>
        <v>3600000</v>
      </c>
      <c r="F1720" s="77">
        <f>J1720+H1720+L1720</f>
        <v>3600000</v>
      </c>
      <c r="G1720" s="51">
        <v>0</v>
      </c>
      <c r="H1720" s="76">
        <f>IF(C1720=0,0,ROUNDDOWN(G1720*C1720,1))</f>
        <v>0</v>
      </c>
      <c r="I1720" s="78">
        <f>재료비목록표!E106</f>
        <v>3600000</v>
      </c>
      <c r="J1720" s="81">
        <f>IF(C1720=0,0,ROUNDDOWN(I1720*C1720,1))</f>
        <v>3600000</v>
      </c>
      <c r="K1720" s="51">
        <v>0</v>
      </c>
      <c r="L1720" s="76">
        <f>IF(C1720=0,0,ROUNDDOWN(K1720*C1720,1))</f>
        <v>0</v>
      </c>
      <c r="M1720" s="22" t="s">
        <v>7617</v>
      </c>
      <c r="N1720" s="17" t="s">
        <v>7616</v>
      </c>
      <c r="O1720" s="7" t="s">
        <v>5826</v>
      </c>
      <c r="P1720" s="7" t="s">
        <v>6406</v>
      </c>
      <c r="Z1720" s="3" t="str">
        <f ca="1">HYPERLINK("#"&amp;재료비목록표!G2&amp;"!A"&amp;ROW(재료비목록표!A106),"자재103 →")</f>
        <v>자재103 →</v>
      </c>
    </row>
    <row r="1721" spans="1:26" ht="28.7" customHeight="1" x14ac:dyDescent="0.3">
      <c r="A1721" s="22" t="s">
        <v>6</v>
      </c>
      <c r="B1721" s="74"/>
      <c r="C1721" s="74"/>
      <c r="D1721" s="74"/>
      <c r="E1721" s="74"/>
      <c r="F1721" s="48">
        <f>J1721+H1721+L1721</f>
        <v>3950000</v>
      </c>
      <c r="G1721" s="74"/>
      <c r="H1721" s="48">
        <f>ROUNDDOWN(SUMIF(P1719:P1720,O1721,H1719:H1720),0)</f>
        <v>350000</v>
      </c>
      <c r="I1721" s="74"/>
      <c r="J1721" s="48">
        <f>ROUNDDOWN(SUMIF(P1719:P1720,O1721,J1719:J1720),0)</f>
        <v>3600000</v>
      </c>
      <c r="K1721" s="74"/>
      <c r="L1721" s="48">
        <f>ROUNDDOWN(SUMIF(P1719:P1720,O1721,L1719:L1720),0)</f>
        <v>0</v>
      </c>
      <c r="M1721" s="74"/>
      <c r="O1721" s="7" t="s">
        <v>6406</v>
      </c>
    </row>
    <row r="1722" spans="1:26" ht="28.7" customHeight="1" x14ac:dyDescent="0.3">
      <c r="A1722" s="73"/>
      <c r="B1722" s="73"/>
      <c r="C1722" s="73"/>
      <c r="D1722" s="73"/>
      <c r="E1722" s="73"/>
      <c r="F1722" s="73"/>
      <c r="G1722" s="73"/>
      <c r="H1722" s="73"/>
      <c r="I1722" s="73"/>
      <c r="J1722" s="73"/>
      <c r="K1722" s="73"/>
      <c r="L1722" s="73"/>
      <c r="M1722" s="73"/>
    </row>
    <row r="1723" spans="1:26" ht="28.7" customHeight="1" x14ac:dyDescent="0.3">
      <c r="A1723" s="136" t="s">
        <v>984</v>
      </c>
      <c r="B1723" s="127"/>
      <c r="C1723" s="127"/>
      <c r="D1723" s="127"/>
      <c r="E1723" s="127"/>
      <c r="F1723" s="127"/>
      <c r="G1723" s="127"/>
      <c r="H1723" s="127"/>
      <c r="I1723" s="127"/>
      <c r="J1723" s="127"/>
      <c r="K1723" s="127"/>
      <c r="L1723" s="144"/>
      <c r="M1723" s="22" t="s">
        <v>7618</v>
      </c>
      <c r="N1723" s="84" t="str">
        <f>HYPERLINK("#N"&amp;ROW(N1725),"_x0005_`BDCOD|B05005_x0007_`POSS|"&amp;ROW(N1724)&amp;"_x0007_`POSE|"&amp;ROW(N1725)&amp;"_x0007_`")</f>
        <v>_x0005_`BDCOD|B05005_x0007_`POSS|1724_x0007_`POSE|1725_x0007_`</v>
      </c>
      <c r="O1723" s="7" t="s">
        <v>7619</v>
      </c>
    </row>
    <row r="1724" spans="1:26" ht="28.7" customHeight="1" x14ac:dyDescent="0.3">
      <c r="A1724" s="10" t="s">
        <v>995</v>
      </c>
      <c r="B1724" s="10" t="s">
        <v>999</v>
      </c>
      <c r="C1724" s="75">
        <v>1</v>
      </c>
      <c r="D1724" s="31" t="s">
        <v>14</v>
      </c>
      <c r="E1724" s="55">
        <f>I1724+G1724+K1724</f>
        <v>350000</v>
      </c>
      <c r="F1724" s="76">
        <f>J1724+H1724+L1724</f>
        <v>350000</v>
      </c>
      <c r="G1724" s="78">
        <f>일위대가목록표!F399</f>
        <v>350000</v>
      </c>
      <c r="H1724" s="80">
        <f>IF(C1724=0,0,ROUNDDOWN(G1724*C1724,1))</f>
        <v>350000</v>
      </c>
      <c r="I1724" s="78">
        <f>일위대가목록표!G399</f>
        <v>0</v>
      </c>
      <c r="J1724" s="80">
        <f>IF(C1724=0,0,ROUNDDOWN(I1724*C1724,1))</f>
        <v>0</v>
      </c>
      <c r="K1724" s="78">
        <f>일위대가목록표!H399</f>
        <v>0</v>
      </c>
      <c r="L1724" s="80">
        <f>IF(C1724=0,0,ROUNDDOWN(K1724*C1724,1))</f>
        <v>0</v>
      </c>
      <c r="M1724" s="22" t="s">
        <v>4531</v>
      </c>
      <c r="N1724" s="17" t="s">
        <v>7620</v>
      </c>
      <c r="O1724" s="7" t="s">
        <v>4529</v>
      </c>
      <c r="P1724" s="7" t="s">
        <v>6406</v>
      </c>
      <c r="Z1724" s="3" t="str">
        <f ca="1">HYPERLINK("#"&amp;일위대가목록표!J2&amp;"!A"&amp;ROW(일위대가목록표!A399),"대가396 →")</f>
        <v>대가396 →</v>
      </c>
    </row>
    <row r="1725" spans="1:26" ht="28.7" customHeight="1" x14ac:dyDescent="0.3">
      <c r="A1725" s="10" t="s">
        <v>982</v>
      </c>
      <c r="B1725" s="10" t="s">
        <v>2350</v>
      </c>
      <c r="C1725" s="75">
        <v>1</v>
      </c>
      <c r="D1725" s="31" t="s">
        <v>1010</v>
      </c>
      <c r="E1725" s="55">
        <f>I1725+G1725+K1725</f>
        <v>4200000</v>
      </c>
      <c r="F1725" s="77">
        <f>J1725+H1725+L1725</f>
        <v>4200000</v>
      </c>
      <c r="G1725" s="51">
        <v>0</v>
      </c>
      <c r="H1725" s="76">
        <f>IF(C1725=0,0,ROUNDDOWN(G1725*C1725,1))</f>
        <v>0</v>
      </c>
      <c r="I1725" s="78">
        <f>재료비목록표!E107</f>
        <v>4200000</v>
      </c>
      <c r="J1725" s="81">
        <f>IF(C1725=0,0,ROUNDDOWN(I1725*C1725,1))</f>
        <v>4200000</v>
      </c>
      <c r="K1725" s="51">
        <v>0</v>
      </c>
      <c r="L1725" s="76">
        <f>IF(C1725=0,0,ROUNDDOWN(K1725*C1725,1))</f>
        <v>0</v>
      </c>
      <c r="M1725" s="22" t="s">
        <v>7622</v>
      </c>
      <c r="N1725" s="17" t="s">
        <v>7621</v>
      </c>
      <c r="O1725" s="7" t="s">
        <v>5829</v>
      </c>
      <c r="P1725" s="7" t="s">
        <v>6406</v>
      </c>
      <c r="Z1725" s="3" t="str">
        <f ca="1">HYPERLINK("#"&amp;재료비목록표!G2&amp;"!A"&amp;ROW(재료비목록표!A107),"자재104 →")</f>
        <v>자재104 →</v>
      </c>
    </row>
    <row r="1726" spans="1:26" ht="28.7" customHeight="1" x14ac:dyDescent="0.3">
      <c r="A1726" s="22" t="s">
        <v>6</v>
      </c>
      <c r="B1726" s="74"/>
      <c r="C1726" s="74"/>
      <c r="D1726" s="74"/>
      <c r="E1726" s="74"/>
      <c r="F1726" s="48">
        <f>J1726+H1726+L1726</f>
        <v>4550000</v>
      </c>
      <c r="G1726" s="74"/>
      <c r="H1726" s="48">
        <f>ROUNDDOWN(SUMIF(P1724:P1725,O1726,H1724:H1725),0)</f>
        <v>350000</v>
      </c>
      <c r="I1726" s="74"/>
      <c r="J1726" s="48">
        <f>ROUNDDOWN(SUMIF(P1724:P1725,O1726,J1724:J1725),0)</f>
        <v>4200000</v>
      </c>
      <c r="K1726" s="74"/>
      <c r="L1726" s="48">
        <f>ROUNDDOWN(SUMIF(P1724:P1725,O1726,L1724:L1725),0)</f>
        <v>0</v>
      </c>
      <c r="M1726" s="74"/>
      <c r="O1726" s="7" t="s">
        <v>6406</v>
      </c>
    </row>
    <row r="1727" spans="1:26" ht="28.7" customHeight="1" x14ac:dyDescent="0.3">
      <c r="A1727" s="73"/>
      <c r="B1727" s="73"/>
      <c r="C1727" s="73"/>
      <c r="D1727" s="73"/>
      <c r="E1727" s="73"/>
      <c r="F1727" s="73"/>
      <c r="G1727" s="73"/>
      <c r="H1727" s="73"/>
      <c r="I1727" s="73"/>
      <c r="J1727" s="73"/>
      <c r="K1727" s="73"/>
      <c r="L1727" s="73"/>
      <c r="M1727" s="73"/>
    </row>
    <row r="1728" spans="1:26" ht="28.7" customHeight="1" x14ac:dyDescent="0.3">
      <c r="A1728" s="136" t="s">
        <v>987</v>
      </c>
      <c r="B1728" s="127"/>
      <c r="C1728" s="127"/>
      <c r="D1728" s="127"/>
      <c r="E1728" s="127"/>
      <c r="F1728" s="127"/>
      <c r="G1728" s="127"/>
      <c r="H1728" s="127"/>
      <c r="I1728" s="127"/>
      <c r="J1728" s="127"/>
      <c r="K1728" s="127"/>
      <c r="L1728" s="144"/>
      <c r="M1728" s="22" t="s">
        <v>7623</v>
      </c>
      <c r="N1728" s="84" t="str">
        <f>HYPERLINK("#N"&amp;ROW(N1730),"_x0005_`BDCOD|B05006_x0007_`POSS|"&amp;ROW(N1729)&amp;"_x0007_`POSE|"&amp;ROW(N1730)&amp;"_x0007_`")</f>
        <v>_x0005_`BDCOD|B05006_x0007_`POSS|1729_x0007_`POSE|1730_x0007_`</v>
      </c>
      <c r="O1728" s="7" t="s">
        <v>7624</v>
      </c>
    </row>
    <row r="1729" spans="1:26" ht="28.7" customHeight="1" x14ac:dyDescent="0.3">
      <c r="A1729" s="10" t="s">
        <v>995</v>
      </c>
      <c r="B1729" s="10" t="s">
        <v>1002</v>
      </c>
      <c r="C1729" s="75">
        <v>1</v>
      </c>
      <c r="D1729" s="31" t="s">
        <v>14</v>
      </c>
      <c r="E1729" s="55">
        <f>I1729+G1729+K1729</f>
        <v>350000</v>
      </c>
      <c r="F1729" s="76">
        <f>J1729+H1729+L1729</f>
        <v>350000</v>
      </c>
      <c r="G1729" s="78">
        <f>일위대가목록표!F400</f>
        <v>350000</v>
      </c>
      <c r="H1729" s="80">
        <f>IF(C1729=0,0,ROUNDDOWN(G1729*C1729,1))</f>
        <v>350000</v>
      </c>
      <c r="I1729" s="78">
        <f>일위대가목록표!G400</f>
        <v>0</v>
      </c>
      <c r="J1729" s="80">
        <f>IF(C1729=0,0,ROUNDDOWN(I1729*C1729,1))</f>
        <v>0</v>
      </c>
      <c r="K1729" s="78">
        <f>일위대가목록표!H400</f>
        <v>0</v>
      </c>
      <c r="L1729" s="80">
        <f>IF(C1729=0,0,ROUNDDOWN(K1729*C1729,1))</f>
        <v>0</v>
      </c>
      <c r="M1729" s="22" t="s">
        <v>4534</v>
      </c>
      <c r="N1729" s="17" t="s">
        <v>7625</v>
      </c>
      <c r="O1729" s="7" t="s">
        <v>4532</v>
      </c>
      <c r="P1729" s="7" t="s">
        <v>6406</v>
      </c>
      <c r="Z1729" s="3" t="str">
        <f ca="1">HYPERLINK("#"&amp;일위대가목록표!J2&amp;"!A"&amp;ROW(일위대가목록표!A400),"대가397 →")</f>
        <v>대가397 →</v>
      </c>
    </row>
    <row r="1730" spans="1:26" ht="28.7" customHeight="1" x14ac:dyDescent="0.3">
      <c r="A1730" s="10" t="s">
        <v>982</v>
      </c>
      <c r="B1730" s="10" t="s">
        <v>2353</v>
      </c>
      <c r="C1730" s="75">
        <v>1</v>
      </c>
      <c r="D1730" s="31" t="s">
        <v>1010</v>
      </c>
      <c r="E1730" s="55">
        <f>I1730+G1730+K1730</f>
        <v>4550000</v>
      </c>
      <c r="F1730" s="77">
        <f>J1730+H1730+L1730</f>
        <v>4550000</v>
      </c>
      <c r="G1730" s="51">
        <v>0</v>
      </c>
      <c r="H1730" s="76">
        <f>IF(C1730=0,0,ROUNDDOWN(G1730*C1730,1))</f>
        <v>0</v>
      </c>
      <c r="I1730" s="78">
        <f>재료비목록표!E108</f>
        <v>4550000</v>
      </c>
      <c r="J1730" s="81">
        <f>IF(C1730=0,0,ROUNDDOWN(I1730*C1730,1))</f>
        <v>4550000</v>
      </c>
      <c r="K1730" s="51">
        <v>0</v>
      </c>
      <c r="L1730" s="76">
        <f>IF(C1730=0,0,ROUNDDOWN(K1730*C1730,1))</f>
        <v>0</v>
      </c>
      <c r="M1730" s="22" t="s">
        <v>7627</v>
      </c>
      <c r="N1730" s="17" t="s">
        <v>7626</v>
      </c>
      <c r="O1730" s="7" t="s">
        <v>5832</v>
      </c>
      <c r="P1730" s="7" t="s">
        <v>6406</v>
      </c>
      <c r="Z1730" s="3" t="str">
        <f ca="1">HYPERLINK("#"&amp;재료비목록표!G2&amp;"!A"&amp;ROW(재료비목록표!A108),"자재105 →")</f>
        <v>자재105 →</v>
      </c>
    </row>
    <row r="1731" spans="1:26" ht="28.7" customHeight="1" x14ac:dyDescent="0.3">
      <c r="A1731" s="22" t="s">
        <v>6</v>
      </c>
      <c r="B1731" s="74"/>
      <c r="C1731" s="74"/>
      <c r="D1731" s="74"/>
      <c r="E1731" s="74"/>
      <c r="F1731" s="48">
        <f>J1731+H1731+L1731</f>
        <v>4900000</v>
      </c>
      <c r="G1731" s="74"/>
      <c r="H1731" s="48">
        <f>ROUNDDOWN(SUMIF(P1729:P1730,O1731,H1729:H1730),0)</f>
        <v>350000</v>
      </c>
      <c r="I1731" s="74"/>
      <c r="J1731" s="48">
        <f>ROUNDDOWN(SUMIF(P1729:P1730,O1731,J1729:J1730),0)</f>
        <v>4550000</v>
      </c>
      <c r="K1731" s="74"/>
      <c r="L1731" s="48">
        <f>ROUNDDOWN(SUMIF(P1729:P1730,O1731,L1729:L1730),0)</f>
        <v>0</v>
      </c>
      <c r="M1731" s="74"/>
      <c r="O1731" s="7" t="s">
        <v>6406</v>
      </c>
    </row>
    <row r="1732" spans="1:26" ht="28.7" customHeight="1" x14ac:dyDescent="0.3">
      <c r="A1732" s="73"/>
      <c r="B1732" s="73"/>
      <c r="C1732" s="73"/>
      <c r="D1732" s="73"/>
      <c r="E1732" s="73"/>
      <c r="F1732" s="73"/>
      <c r="G1732" s="73"/>
      <c r="H1732" s="73"/>
      <c r="I1732" s="73"/>
      <c r="J1732" s="73"/>
      <c r="K1732" s="73"/>
      <c r="L1732" s="73"/>
      <c r="M1732" s="73"/>
    </row>
    <row r="1733" spans="1:26" ht="28.7" customHeight="1" x14ac:dyDescent="0.3">
      <c r="A1733" s="136" t="s">
        <v>990</v>
      </c>
      <c r="B1733" s="127"/>
      <c r="C1733" s="127"/>
      <c r="D1733" s="127"/>
      <c r="E1733" s="127"/>
      <c r="F1733" s="127"/>
      <c r="G1733" s="127"/>
      <c r="H1733" s="127"/>
      <c r="I1733" s="127"/>
      <c r="J1733" s="127"/>
      <c r="K1733" s="127"/>
      <c r="L1733" s="144"/>
      <c r="M1733" s="22" t="s">
        <v>7628</v>
      </c>
      <c r="N1733" s="84" t="str">
        <f>HYPERLINK("#N"&amp;ROW(N1735),"_x0005_`BDCOD|B05007_x0007_`POSS|"&amp;ROW(N1734)&amp;"_x0007_`POSE|"&amp;ROW(N1735)&amp;"_x0007_`")</f>
        <v>_x0005_`BDCOD|B05007_x0007_`POSS|1734_x0007_`POSE|1735_x0007_`</v>
      </c>
      <c r="O1733" s="7" t="s">
        <v>7629</v>
      </c>
    </row>
    <row r="1734" spans="1:26" ht="28.7" customHeight="1" x14ac:dyDescent="0.3">
      <c r="A1734" s="10" t="s">
        <v>995</v>
      </c>
      <c r="B1734" s="10" t="s">
        <v>1005</v>
      </c>
      <c r="C1734" s="75">
        <v>1</v>
      </c>
      <c r="D1734" s="31" t="s">
        <v>14</v>
      </c>
      <c r="E1734" s="55">
        <f>I1734+G1734+K1734</f>
        <v>350000</v>
      </c>
      <c r="F1734" s="76">
        <f>J1734+H1734+L1734</f>
        <v>350000</v>
      </c>
      <c r="G1734" s="78">
        <f>일위대가목록표!F401</f>
        <v>350000</v>
      </c>
      <c r="H1734" s="80">
        <f>IF(C1734=0,0,ROUNDDOWN(G1734*C1734,1))</f>
        <v>350000</v>
      </c>
      <c r="I1734" s="78">
        <f>일위대가목록표!G401</f>
        <v>0</v>
      </c>
      <c r="J1734" s="80">
        <f>IF(C1734=0,0,ROUNDDOWN(I1734*C1734,1))</f>
        <v>0</v>
      </c>
      <c r="K1734" s="78">
        <f>일위대가목록표!H401</f>
        <v>0</v>
      </c>
      <c r="L1734" s="80">
        <f>IF(C1734=0,0,ROUNDDOWN(K1734*C1734,1))</f>
        <v>0</v>
      </c>
      <c r="M1734" s="22" t="s">
        <v>4537</v>
      </c>
      <c r="N1734" s="17" t="s">
        <v>7630</v>
      </c>
      <c r="O1734" s="7" t="s">
        <v>4535</v>
      </c>
      <c r="P1734" s="7" t="s">
        <v>6406</v>
      </c>
      <c r="Z1734" s="3" t="str">
        <f ca="1">HYPERLINK("#"&amp;일위대가목록표!J2&amp;"!A"&amp;ROW(일위대가목록표!A401),"대가398 →")</f>
        <v>대가398 →</v>
      </c>
    </row>
    <row r="1735" spans="1:26" ht="28.7" customHeight="1" x14ac:dyDescent="0.3">
      <c r="A1735" s="10" t="s">
        <v>982</v>
      </c>
      <c r="B1735" s="10" t="s">
        <v>2356</v>
      </c>
      <c r="C1735" s="75">
        <v>1</v>
      </c>
      <c r="D1735" s="31" t="s">
        <v>1010</v>
      </c>
      <c r="E1735" s="55">
        <f>I1735+G1735+K1735</f>
        <v>5680000</v>
      </c>
      <c r="F1735" s="77">
        <f>J1735+H1735+L1735</f>
        <v>5680000</v>
      </c>
      <c r="G1735" s="51">
        <v>0</v>
      </c>
      <c r="H1735" s="76">
        <f>IF(C1735=0,0,ROUNDDOWN(G1735*C1735,1))</f>
        <v>0</v>
      </c>
      <c r="I1735" s="78">
        <f>재료비목록표!E109</f>
        <v>5680000</v>
      </c>
      <c r="J1735" s="81">
        <f>IF(C1735=0,0,ROUNDDOWN(I1735*C1735,1))</f>
        <v>5680000</v>
      </c>
      <c r="K1735" s="51">
        <v>0</v>
      </c>
      <c r="L1735" s="76">
        <f>IF(C1735=0,0,ROUNDDOWN(K1735*C1735,1))</f>
        <v>0</v>
      </c>
      <c r="M1735" s="22" t="s">
        <v>7632</v>
      </c>
      <c r="N1735" s="17" t="s">
        <v>7631</v>
      </c>
      <c r="O1735" s="7" t="s">
        <v>5835</v>
      </c>
      <c r="P1735" s="7" t="s">
        <v>6406</v>
      </c>
      <c r="Z1735" s="3" t="str">
        <f ca="1">HYPERLINK("#"&amp;재료비목록표!G2&amp;"!A"&amp;ROW(재료비목록표!A109),"자재106 →")</f>
        <v>자재106 →</v>
      </c>
    </row>
    <row r="1736" spans="1:26" ht="28.7" customHeight="1" x14ac:dyDescent="0.3">
      <c r="A1736" s="22" t="s">
        <v>6</v>
      </c>
      <c r="B1736" s="74"/>
      <c r="C1736" s="74"/>
      <c r="D1736" s="74"/>
      <c r="E1736" s="74"/>
      <c r="F1736" s="48">
        <f>J1736+H1736+L1736</f>
        <v>6030000</v>
      </c>
      <c r="G1736" s="74"/>
      <c r="H1736" s="48">
        <f>ROUNDDOWN(SUMIF(P1734:P1735,O1736,H1734:H1735),0)</f>
        <v>350000</v>
      </c>
      <c r="I1736" s="74"/>
      <c r="J1736" s="48">
        <f>ROUNDDOWN(SUMIF(P1734:P1735,O1736,J1734:J1735),0)</f>
        <v>5680000</v>
      </c>
      <c r="K1736" s="74"/>
      <c r="L1736" s="48">
        <f>ROUNDDOWN(SUMIF(P1734:P1735,O1736,L1734:L1735),0)</f>
        <v>0</v>
      </c>
      <c r="M1736" s="74"/>
      <c r="O1736" s="7" t="s">
        <v>6406</v>
      </c>
    </row>
    <row r="1737" spans="1:26" ht="28.7" customHeight="1" x14ac:dyDescent="0.3">
      <c r="A1737" s="73"/>
      <c r="B1737" s="73"/>
      <c r="C1737" s="73"/>
      <c r="D1737" s="73"/>
      <c r="E1737" s="73"/>
      <c r="F1737" s="73"/>
      <c r="G1737" s="73"/>
      <c r="H1737" s="73"/>
      <c r="I1737" s="73"/>
      <c r="J1737" s="73"/>
      <c r="K1737" s="73"/>
      <c r="L1737" s="73"/>
      <c r="M1737" s="73"/>
    </row>
    <row r="1738" spans="1:26" ht="28.7" customHeight="1" x14ac:dyDescent="0.3">
      <c r="A1738" s="136" t="s">
        <v>993</v>
      </c>
      <c r="B1738" s="127"/>
      <c r="C1738" s="127"/>
      <c r="D1738" s="127"/>
      <c r="E1738" s="127"/>
      <c r="F1738" s="127"/>
      <c r="G1738" s="127"/>
      <c r="H1738" s="127"/>
      <c r="I1738" s="127"/>
      <c r="J1738" s="127"/>
      <c r="K1738" s="127"/>
      <c r="L1738" s="144"/>
      <c r="M1738" s="22" t="s">
        <v>7633</v>
      </c>
      <c r="N1738" s="84" t="str">
        <f>HYPERLINK("#N"&amp;ROW(N1739),"_x0005_`BDCOD|B05000_x0007_`POSS|"&amp;ROW(N1739)&amp;"_x0007_`POSE|"&amp;ROW(N1739)&amp;"_x0007_`")</f>
        <v>_x0005_`BDCOD|B05000_x0007_`POSS|1739_x0007_`POSE|1739_x0007_`</v>
      </c>
      <c r="O1738" s="7" t="s">
        <v>7634</v>
      </c>
    </row>
    <row r="1739" spans="1:26" ht="28.7" customHeight="1" x14ac:dyDescent="0.3">
      <c r="A1739" s="10" t="s">
        <v>995</v>
      </c>
      <c r="B1739" s="10" t="s">
        <v>3129</v>
      </c>
      <c r="C1739" s="75">
        <v>1</v>
      </c>
      <c r="D1739" s="31" t="s">
        <v>14</v>
      </c>
      <c r="E1739" s="55">
        <f>I1739+G1739+K1739</f>
        <v>350000</v>
      </c>
      <c r="F1739" s="76">
        <f>J1739+H1739+L1739</f>
        <v>350000</v>
      </c>
      <c r="G1739" s="78">
        <f>일식견적목록표!F9</f>
        <v>350000</v>
      </c>
      <c r="H1739" s="80">
        <f>IF(C1739=0,0,ROUNDDOWN(G1739*C1739,1))</f>
        <v>350000</v>
      </c>
      <c r="I1739" s="78">
        <f>일식견적목록표!G9</f>
        <v>0</v>
      </c>
      <c r="J1739" s="80">
        <f>IF(C1739=0,0,ROUNDDOWN(I1739*C1739,1))</f>
        <v>0</v>
      </c>
      <c r="K1739" s="78">
        <f>일식견적목록표!H9</f>
        <v>0</v>
      </c>
      <c r="L1739" s="80">
        <f>IF(C1739=0,0,ROUNDDOWN(K1739*C1739,1))</f>
        <v>0</v>
      </c>
      <c r="M1739" s="22" t="s">
        <v>7637</v>
      </c>
      <c r="N1739" s="17" t="s">
        <v>7635</v>
      </c>
      <c r="O1739" s="7" t="s">
        <v>7636</v>
      </c>
      <c r="P1739" s="7" t="s">
        <v>6406</v>
      </c>
      <c r="Z1739" s="3" t="str">
        <f ca="1">HYPERLINK("#"&amp;일식견적목록표!J2&amp;"!A"&amp;ROW(일식견적목록표!A9),"기타6 →")</f>
        <v>기타6 →</v>
      </c>
    </row>
    <row r="1740" spans="1:26" ht="28.7" customHeight="1" x14ac:dyDescent="0.3">
      <c r="A1740" s="22" t="s">
        <v>6</v>
      </c>
      <c r="B1740" s="74"/>
      <c r="C1740" s="74"/>
      <c r="D1740" s="74"/>
      <c r="E1740" s="74"/>
      <c r="F1740" s="48">
        <f>J1740+H1740+L1740</f>
        <v>350000</v>
      </c>
      <c r="G1740" s="74"/>
      <c r="H1740" s="48">
        <f>ROUNDDOWN(SUMIF(P1739:P1739,O1740,H1739:H1739),0)</f>
        <v>350000</v>
      </c>
      <c r="I1740" s="74"/>
      <c r="J1740" s="48">
        <f>ROUNDDOWN(SUMIF(P1739:P1739,O1740,J1739:J1739),0)</f>
        <v>0</v>
      </c>
      <c r="K1740" s="74"/>
      <c r="L1740" s="48">
        <f>ROUNDDOWN(SUMIF(P1739:P1739,O1740,L1739:L1739),0)</f>
        <v>0</v>
      </c>
      <c r="M1740" s="74"/>
      <c r="O1740" s="7" t="s">
        <v>6406</v>
      </c>
    </row>
    <row r="1741" spans="1:26" ht="28.7" customHeight="1" x14ac:dyDescent="0.3">
      <c r="A1741" s="73"/>
      <c r="B1741" s="73"/>
      <c r="C1741" s="73"/>
      <c r="D1741" s="73"/>
      <c r="E1741" s="73"/>
      <c r="F1741" s="73"/>
      <c r="G1741" s="73"/>
      <c r="H1741" s="73"/>
      <c r="I1741" s="73"/>
      <c r="J1741" s="73"/>
      <c r="K1741" s="73"/>
      <c r="L1741" s="73"/>
      <c r="M1741" s="73"/>
    </row>
    <row r="1742" spans="1:26" ht="28.7" customHeight="1" x14ac:dyDescent="0.3">
      <c r="A1742" s="136" t="s">
        <v>997</v>
      </c>
      <c r="B1742" s="127"/>
      <c r="C1742" s="127"/>
      <c r="D1742" s="127"/>
      <c r="E1742" s="127"/>
      <c r="F1742" s="127"/>
      <c r="G1742" s="127"/>
      <c r="H1742" s="127"/>
      <c r="I1742" s="127"/>
      <c r="J1742" s="127"/>
      <c r="K1742" s="127"/>
      <c r="L1742" s="144"/>
      <c r="M1742" s="22" t="s">
        <v>7638</v>
      </c>
      <c r="N1742" s="84" t="str">
        <f>HYPERLINK("#N"&amp;ROW(N1743),"_x0005_`BDCOD|B05001_x0007_`POSS|"&amp;ROW(N1743)&amp;"_x0007_`POSE|"&amp;ROW(N1743)&amp;"_x0007_`")</f>
        <v>_x0005_`BDCOD|B05001_x0007_`POSS|1743_x0007_`POSE|1743_x0007_`</v>
      </c>
      <c r="O1742" s="7" t="s">
        <v>7639</v>
      </c>
    </row>
    <row r="1743" spans="1:26" ht="28.7" customHeight="1" x14ac:dyDescent="0.3">
      <c r="A1743" s="10" t="s">
        <v>995</v>
      </c>
      <c r="B1743" s="10" t="s">
        <v>3131</v>
      </c>
      <c r="C1743" s="75">
        <v>1</v>
      </c>
      <c r="D1743" s="31" t="s">
        <v>14</v>
      </c>
      <c r="E1743" s="55">
        <f>I1743+G1743+K1743</f>
        <v>350000</v>
      </c>
      <c r="F1743" s="76">
        <f>J1743+H1743+L1743</f>
        <v>350000</v>
      </c>
      <c r="G1743" s="78">
        <f>일식견적목록표!F10</f>
        <v>350000</v>
      </c>
      <c r="H1743" s="80">
        <f>IF(C1743=0,0,ROUNDDOWN(G1743*C1743,1))</f>
        <v>350000</v>
      </c>
      <c r="I1743" s="78">
        <f>일식견적목록표!G10</f>
        <v>0</v>
      </c>
      <c r="J1743" s="80">
        <f>IF(C1743=0,0,ROUNDDOWN(I1743*C1743,1))</f>
        <v>0</v>
      </c>
      <c r="K1743" s="78">
        <f>일식견적목록표!H10</f>
        <v>0</v>
      </c>
      <c r="L1743" s="80">
        <f>IF(C1743=0,0,ROUNDDOWN(K1743*C1743,1))</f>
        <v>0</v>
      </c>
      <c r="M1743" s="22" t="s">
        <v>7642</v>
      </c>
      <c r="N1743" s="17" t="s">
        <v>7640</v>
      </c>
      <c r="O1743" s="7" t="s">
        <v>7641</v>
      </c>
      <c r="P1743" s="7" t="s">
        <v>6406</v>
      </c>
      <c r="Z1743" s="3" t="str">
        <f ca="1">HYPERLINK("#"&amp;일식견적목록표!J2&amp;"!A"&amp;ROW(일식견적목록표!A10),"기타7 →")</f>
        <v>기타7 →</v>
      </c>
    </row>
    <row r="1744" spans="1:26" ht="28.7" customHeight="1" x14ac:dyDescent="0.3">
      <c r="A1744" s="22" t="s">
        <v>6</v>
      </c>
      <c r="B1744" s="74"/>
      <c r="C1744" s="74"/>
      <c r="D1744" s="74"/>
      <c r="E1744" s="74"/>
      <c r="F1744" s="48">
        <f>J1744+H1744+L1744</f>
        <v>350000</v>
      </c>
      <c r="G1744" s="74"/>
      <c r="H1744" s="48">
        <f>ROUNDDOWN(SUMIF(P1743:P1743,O1744,H1743:H1743),0)</f>
        <v>350000</v>
      </c>
      <c r="I1744" s="74"/>
      <c r="J1744" s="48">
        <f>ROUNDDOWN(SUMIF(P1743:P1743,O1744,J1743:J1743),0)</f>
        <v>0</v>
      </c>
      <c r="K1744" s="74"/>
      <c r="L1744" s="48">
        <f>ROUNDDOWN(SUMIF(P1743:P1743,O1744,L1743:L1743),0)</f>
        <v>0</v>
      </c>
      <c r="M1744" s="74"/>
      <c r="O1744" s="7" t="s">
        <v>6406</v>
      </c>
    </row>
    <row r="1745" spans="1:26" ht="28.7" customHeight="1" x14ac:dyDescent="0.3">
      <c r="A1745" s="73"/>
      <c r="B1745" s="73"/>
      <c r="C1745" s="73"/>
      <c r="D1745" s="73"/>
      <c r="E1745" s="73"/>
      <c r="F1745" s="73"/>
      <c r="G1745" s="73"/>
      <c r="H1745" s="73"/>
      <c r="I1745" s="73"/>
      <c r="J1745" s="73"/>
      <c r="K1745" s="73"/>
      <c r="L1745" s="73"/>
      <c r="M1745" s="73"/>
    </row>
    <row r="1746" spans="1:26" ht="28.7" customHeight="1" x14ac:dyDescent="0.3">
      <c r="A1746" s="136" t="s">
        <v>1000</v>
      </c>
      <c r="B1746" s="127"/>
      <c r="C1746" s="127"/>
      <c r="D1746" s="127"/>
      <c r="E1746" s="127"/>
      <c r="F1746" s="127"/>
      <c r="G1746" s="127"/>
      <c r="H1746" s="127"/>
      <c r="I1746" s="127"/>
      <c r="J1746" s="127"/>
      <c r="K1746" s="127"/>
      <c r="L1746" s="144"/>
      <c r="M1746" s="22" t="s">
        <v>7643</v>
      </c>
      <c r="N1746" s="84" t="str">
        <f>HYPERLINK("#N"&amp;ROW(N1747),"_x0005_`BDCOD|B05002_x0007_`POSS|"&amp;ROW(N1747)&amp;"_x0007_`POSE|"&amp;ROW(N1747)&amp;"_x0007_`")</f>
        <v>_x0005_`BDCOD|B05002_x0007_`POSS|1747_x0007_`POSE|1747_x0007_`</v>
      </c>
      <c r="O1746" s="7" t="s">
        <v>7644</v>
      </c>
    </row>
    <row r="1747" spans="1:26" ht="28.7" customHeight="1" x14ac:dyDescent="0.3">
      <c r="A1747" s="10" t="s">
        <v>995</v>
      </c>
      <c r="B1747" s="10" t="s">
        <v>3133</v>
      </c>
      <c r="C1747" s="75">
        <v>1</v>
      </c>
      <c r="D1747" s="31" t="s">
        <v>14</v>
      </c>
      <c r="E1747" s="55">
        <f>I1747+G1747+K1747</f>
        <v>350000</v>
      </c>
      <c r="F1747" s="76">
        <f>J1747+H1747+L1747</f>
        <v>350000</v>
      </c>
      <c r="G1747" s="78">
        <f>일식견적목록표!F11</f>
        <v>350000</v>
      </c>
      <c r="H1747" s="80">
        <f>IF(C1747=0,0,ROUNDDOWN(G1747*C1747,1))</f>
        <v>350000</v>
      </c>
      <c r="I1747" s="78">
        <f>일식견적목록표!G11</f>
        <v>0</v>
      </c>
      <c r="J1747" s="80">
        <f>IF(C1747=0,0,ROUNDDOWN(I1747*C1747,1))</f>
        <v>0</v>
      </c>
      <c r="K1747" s="78">
        <f>일식견적목록표!H11</f>
        <v>0</v>
      </c>
      <c r="L1747" s="80">
        <f>IF(C1747=0,0,ROUNDDOWN(K1747*C1747,1))</f>
        <v>0</v>
      </c>
      <c r="M1747" s="22" t="s">
        <v>7647</v>
      </c>
      <c r="N1747" s="17" t="s">
        <v>7645</v>
      </c>
      <c r="O1747" s="7" t="s">
        <v>7646</v>
      </c>
      <c r="P1747" s="7" t="s">
        <v>6406</v>
      </c>
      <c r="Z1747" s="3" t="str">
        <f ca="1">HYPERLINK("#"&amp;일식견적목록표!J2&amp;"!A"&amp;ROW(일식견적목록표!A11),"기타8 →")</f>
        <v>기타8 →</v>
      </c>
    </row>
    <row r="1748" spans="1:26" ht="28.7" customHeight="1" x14ac:dyDescent="0.3">
      <c r="A1748" s="22" t="s">
        <v>6</v>
      </c>
      <c r="B1748" s="74"/>
      <c r="C1748" s="74"/>
      <c r="D1748" s="74"/>
      <c r="E1748" s="74"/>
      <c r="F1748" s="48">
        <f>J1748+H1748+L1748</f>
        <v>350000</v>
      </c>
      <c r="G1748" s="74"/>
      <c r="H1748" s="48">
        <f>ROUNDDOWN(SUMIF(P1747:P1747,O1748,H1747:H1747),0)</f>
        <v>350000</v>
      </c>
      <c r="I1748" s="74"/>
      <c r="J1748" s="48">
        <f>ROUNDDOWN(SUMIF(P1747:P1747,O1748,J1747:J1747),0)</f>
        <v>0</v>
      </c>
      <c r="K1748" s="74"/>
      <c r="L1748" s="48">
        <f>ROUNDDOWN(SUMIF(P1747:P1747,O1748,L1747:L1747),0)</f>
        <v>0</v>
      </c>
      <c r="M1748" s="74"/>
      <c r="O1748" s="7" t="s">
        <v>6406</v>
      </c>
    </row>
    <row r="1749" spans="1:26" ht="28.7" customHeight="1" x14ac:dyDescent="0.3">
      <c r="A1749" s="73"/>
      <c r="B1749" s="73"/>
      <c r="C1749" s="73"/>
      <c r="D1749" s="73"/>
      <c r="E1749" s="73"/>
      <c r="F1749" s="73"/>
      <c r="G1749" s="73"/>
      <c r="H1749" s="73"/>
      <c r="I1749" s="73"/>
      <c r="J1749" s="73"/>
      <c r="K1749" s="73"/>
      <c r="L1749" s="73"/>
      <c r="M1749" s="73"/>
    </row>
    <row r="1750" spans="1:26" ht="28.7" customHeight="1" x14ac:dyDescent="0.3">
      <c r="A1750" s="136" t="s">
        <v>1003</v>
      </c>
      <c r="B1750" s="127"/>
      <c r="C1750" s="127"/>
      <c r="D1750" s="127"/>
      <c r="E1750" s="127"/>
      <c r="F1750" s="127"/>
      <c r="G1750" s="127"/>
      <c r="H1750" s="127"/>
      <c r="I1750" s="127"/>
      <c r="J1750" s="127"/>
      <c r="K1750" s="127"/>
      <c r="L1750" s="144"/>
      <c r="M1750" s="22" t="s">
        <v>7648</v>
      </c>
      <c r="N1750" s="84" t="str">
        <f>HYPERLINK("#N"&amp;ROW(N1751),"_x0005_`BDCOD|B05003_x0007_`POSS|"&amp;ROW(N1751)&amp;"_x0007_`POSE|"&amp;ROW(N1751)&amp;"_x0007_`")</f>
        <v>_x0005_`BDCOD|B05003_x0007_`POSS|1751_x0007_`POSE|1751_x0007_`</v>
      </c>
      <c r="O1750" s="7" t="s">
        <v>7649</v>
      </c>
    </row>
    <row r="1751" spans="1:26" ht="28.7" customHeight="1" x14ac:dyDescent="0.3">
      <c r="A1751" s="10" t="s">
        <v>995</v>
      </c>
      <c r="B1751" s="10" t="s">
        <v>3135</v>
      </c>
      <c r="C1751" s="75">
        <v>1</v>
      </c>
      <c r="D1751" s="31" t="s">
        <v>14</v>
      </c>
      <c r="E1751" s="55">
        <f>I1751+G1751+K1751</f>
        <v>350000</v>
      </c>
      <c r="F1751" s="76">
        <f>J1751+H1751+L1751</f>
        <v>350000</v>
      </c>
      <c r="G1751" s="78">
        <f>일식견적목록표!F12</f>
        <v>350000</v>
      </c>
      <c r="H1751" s="80">
        <f>IF(C1751=0,0,ROUNDDOWN(G1751*C1751,1))</f>
        <v>350000</v>
      </c>
      <c r="I1751" s="78">
        <f>일식견적목록표!G12</f>
        <v>0</v>
      </c>
      <c r="J1751" s="80">
        <f>IF(C1751=0,0,ROUNDDOWN(I1751*C1751,1))</f>
        <v>0</v>
      </c>
      <c r="K1751" s="78">
        <f>일식견적목록표!H12</f>
        <v>0</v>
      </c>
      <c r="L1751" s="80">
        <f>IF(C1751=0,0,ROUNDDOWN(K1751*C1751,1))</f>
        <v>0</v>
      </c>
      <c r="M1751" s="22" t="s">
        <v>7652</v>
      </c>
      <c r="N1751" s="17" t="s">
        <v>7650</v>
      </c>
      <c r="O1751" s="7" t="s">
        <v>7651</v>
      </c>
      <c r="P1751" s="7" t="s">
        <v>6406</v>
      </c>
      <c r="Z1751" s="3" t="str">
        <f ca="1">HYPERLINK("#"&amp;일식견적목록표!J2&amp;"!A"&amp;ROW(일식견적목록표!A12),"기타9 →")</f>
        <v>기타9 →</v>
      </c>
    </row>
    <row r="1752" spans="1:26" ht="28.7" customHeight="1" x14ac:dyDescent="0.3">
      <c r="A1752" s="22" t="s">
        <v>6</v>
      </c>
      <c r="B1752" s="74"/>
      <c r="C1752" s="74"/>
      <c r="D1752" s="74"/>
      <c r="E1752" s="74"/>
      <c r="F1752" s="48">
        <f>J1752+H1752+L1752</f>
        <v>350000</v>
      </c>
      <c r="G1752" s="74"/>
      <c r="H1752" s="48">
        <f>ROUNDDOWN(SUMIF(P1751:P1751,O1752,H1751:H1751),0)</f>
        <v>350000</v>
      </c>
      <c r="I1752" s="74"/>
      <c r="J1752" s="48">
        <f>ROUNDDOWN(SUMIF(P1751:P1751,O1752,J1751:J1751),0)</f>
        <v>0</v>
      </c>
      <c r="K1752" s="74"/>
      <c r="L1752" s="48">
        <f>ROUNDDOWN(SUMIF(P1751:P1751,O1752,L1751:L1751),0)</f>
        <v>0</v>
      </c>
      <c r="M1752" s="74"/>
      <c r="O1752" s="7" t="s">
        <v>6406</v>
      </c>
    </row>
    <row r="1753" spans="1:26" ht="28.7" customHeight="1" x14ac:dyDescent="0.3">
      <c r="A1753" s="73"/>
      <c r="B1753" s="73"/>
      <c r="C1753" s="73"/>
      <c r="D1753" s="73"/>
      <c r="E1753" s="73"/>
      <c r="F1753" s="73"/>
      <c r="G1753" s="73"/>
      <c r="H1753" s="73"/>
      <c r="I1753" s="73"/>
      <c r="J1753" s="73"/>
      <c r="K1753" s="73"/>
      <c r="L1753" s="73"/>
      <c r="M1753" s="73"/>
    </row>
    <row r="1754" spans="1:26" ht="28.7" customHeight="1" x14ac:dyDescent="0.3">
      <c r="A1754" s="136" t="s">
        <v>1006</v>
      </c>
      <c r="B1754" s="127"/>
      <c r="C1754" s="127"/>
      <c r="D1754" s="127"/>
      <c r="E1754" s="127"/>
      <c r="F1754" s="127"/>
      <c r="G1754" s="127"/>
      <c r="H1754" s="127"/>
      <c r="I1754" s="127"/>
      <c r="J1754" s="127"/>
      <c r="K1754" s="127"/>
      <c r="L1754" s="144"/>
      <c r="M1754" s="22" t="s">
        <v>7653</v>
      </c>
      <c r="N1754" s="84" t="str">
        <f>HYPERLINK("#N"&amp;ROW(N1756),"_x0005_`BDCOD|B05008_x0007_`POSS|"&amp;ROW(N1755)&amp;"_x0007_`POSE|"&amp;ROW(N1756)&amp;"_x0007_`")</f>
        <v>_x0005_`BDCOD|B05008_x0007_`POSS|1755_x0007_`POSE|1756_x0007_`</v>
      </c>
      <c r="O1754" s="7" t="s">
        <v>7654</v>
      </c>
    </row>
    <row r="1755" spans="1:26" ht="28.7" customHeight="1" x14ac:dyDescent="0.3">
      <c r="A1755" s="10" t="s">
        <v>1838</v>
      </c>
      <c r="B1755" s="10" t="s">
        <v>1839</v>
      </c>
      <c r="C1755" s="75">
        <v>1</v>
      </c>
      <c r="D1755" s="31" t="s">
        <v>1010</v>
      </c>
      <c r="E1755" s="55">
        <f>I1755+G1755+K1755</f>
        <v>103775</v>
      </c>
      <c r="F1755" s="76">
        <f>J1755+H1755+L1755</f>
        <v>103775</v>
      </c>
      <c r="G1755" s="78">
        <f>일위대가목록표!F712</f>
        <v>100753</v>
      </c>
      <c r="H1755" s="80">
        <f>IF(C1755=0,0,ROUNDDOWN(G1755*C1755,1))</f>
        <v>100753</v>
      </c>
      <c r="I1755" s="78">
        <f>일위대가목록표!G712</f>
        <v>0</v>
      </c>
      <c r="J1755" s="80">
        <f>IF(C1755=0,0,ROUNDDOWN(I1755*C1755,1))</f>
        <v>0</v>
      </c>
      <c r="K1755" s="78">
        <f>일위대가목록표!H712</f>
        <v>3022</v>
      </c>
      <c r="L1755" s="80">
        <f>IF(C1755=0,0,ROUNDDOWN(K1755*C1755,1))</f>
        <v>3022</v>
      </c>
      <c r="M1755" s="22" t="s">
        <v>7657</v>
      </c>
      <c r="N1755" s="17" t="s">
        <v>7655</v>
      </c>
      <c r="O1755" s="7" t="s">
        <v>7656</v>
      </c>
      <c r="P1755" s="7" t="s">
        <v>6406</v>
      </c>
      <c r="Z1755" s="3" t="str">
        <f ca="1">HYPERLINK("#"&amp;일위대가목록표!J2&amp;"!A"&amp;ROW(일위대가목록표!A712),"대가709 →")</f>
        <v>대가709 →</v>
      </c>
    </row>
    <row r="1756" spans="1:26" ht="28.7" customHeight="1" x14ac:dyDescent="0.3">
      <c r="A1756" s="10" t="s">
        <v>2461</v>
      </c>
      <c r="B1756" s="10" t="s">
        <v>1009</v>
      </c>
      <c r="C1756" s="75">
        <v>1</v>
      </c>
      <c r="D1756" s="31" t="s">
        <v>1010</v>
      </c>
      <c r="E1756" s="55">
        <f>I1756+G1756+K1756</f>
        <v>391000</v>
      </c>
      <c r="F1756" s="77">
        <f>J1756+H1756+L1756</f>
        <v>391000</v>
      </c>
      <c r="G1756" s="51">
        <v>0</v>
      </c>
      <c r="H1756" s="76">
        <f>IF(C1756=0,0,ROUNDDOWN(G1756*C1756,1))</f>
        <v>0</v>
      </c>
      <c r="I1756" s="78">
        <f>재료비목록표!E145</f>
        <v>391000</v>
      </c>
      <c r="J1756" s="81">
        <f>IF(C1756=0,0,ROUNDDOWN(I1756*C1756,1))</f>
        <v>391000</v>
      </c>
      <c r="K1756" s="51">
        <v>0</v>
      </c>
      <c r="L1756" s="76">
        <f>IF(C1756=0,0,ROUNDDOWN(K1756*C1756,1))</f>
        <v>0</v>
      </c>
      <c r="M1756" s="22" t="s">
        <v>7659</v>
      </c>
      <c r="N1756" s="17" t="s">
        <v>7658</v>
      </c>
      <c r="O1756" s="7" t="s">
        <v>5838</v>
      </c>
      <c r="P1756" s="7" t="s">
        <v>6406</v>
      </c>
      <c r="Z1756" s="3" t="str">
        <f ca="1">HYPERLINK("#"&amp;재료비목록표!G2&amp;"!A"&amp;ROW(재료비목록표!A145),"자재142 →")</f>
        <v>자재142 →</v>
      </c>
    </row>
    <row r="1757" spans="1:26" ht="28.7" customHeight="1" x14ac:dyDescent="0.3">
      <c r="A1757" s="22" t="s">
        <v>6</v>
      </c>
      <c r="B1757" s="74"/>
      <c r="C1757" s="74"/>
      <c r="D1757" s="74"/>
      <c r="E1757" s="74"/>
      <c r="F1757" s="48">
        <f>J1757+H1757+L1757</f>
        <v>494775</v>
      </c>
      <c r="G1757" s="74"/>
      <c r="H1757" s="48">
        <f>ROUNDDOWN(SUMIF(P1755:P1756,O1757,H1755:H1756),0)</f>
        <v>100753</v>
      </c>
      <c r="I1757" s="74"/>
      <c r="J1757" s="48">
        <f>ROUNDDOWN(SUMIF(P1755:P1756,O1757,J1755:J1756),0)</f>
        <v>391000</v>
      </c>
      <c r="K1757" s="74"/>
      <c r="L1757" s="48">
        <f>ROUNDDOWN(SUMIF(P1755:P1756,O1757,L1755:L1756),0)</f>
        <v>3022</v>
      </c>
      <c r="M1757" s="74"/>
      <c r="O1757" s="7" t="s">
        <v>6406</v>
      </c>
    </row>
    <row r="1758" spans="1:26" ht="28.7" customHeight="1" x14ac:dyDescent="0.3">
      <c r="A1758" s="73"/>
      <c r="B1758" s="73"/>
      <c r="C1758" s="73"/>
      <c r="D1758" s="73"/>
      <c r="E1758" s="73"/>
      <c r="F1758" s="73"/>
      <c r="G1758" s="73"/>
      <c r="H1758" s="73"/>
      <c r="I1758" s="73"/>
      <c r="J1758" s="73"/>
      <c r="K1758" s="73"/>
      <c r="L1758" s="73"/>
      <c r="M1758" s="73"/>
    </row>
    <row r="1759" spans="1:26" ht="28.7" customHeight="1" x14ac:dyDescent="0.3">
      <c r="A1759" s="136" t="s">
        <v>1011</v>
      </c>
      <c r="B1759" s="127"/>
      <c r="C1759" s="127"/>
      <c r="D1759" s="127"/>
      <c r="E1759" s="127"/>
      <c r="F1759" s="127"/>
      <c r="G1759" s="127"/>
      <c r="H1759" s="127"/>
      <c r="I1759" s="127"/>
      <c r="J1759" s="127"/>
      <c r="K1759" s="127"/>
      <c r="L1759" s="144"/>
      <c r="M1759" s="22" t="s">
        <v>7660</v>
      </c>
      <c r="N1759" s="84" t="str">
        <f>HYPERLINK("#N"&amp;ROW(N1761),"_x0005_`BDCOD|B05009_x0007_`POSS|"&amp;ROW(N1760)&amp;"_x0007_`POSE|"&amp;ROW(N1761)&amp;"_x0007_`")</f>
        <v>_x0005_`BDCOD|B05009_x0007_`POSS|1760_x0007_`POSE|1761_x0007_`</v>
      </c>
      <c r="O1759" s="7" t="s">
        <v>7661</v>
      </c>
    </row>
    <row r="1760" spans="1:26" ht="28.7" customHeight="1" x14ac:dyDescent="0.3">
      <c r="A1760" s="10" t="s">
        <v>1838</v>
      </c>
      <c r="B1760" s="10" t="s">
        <v>1848</v>
      </c>
      <c r="C1760" s="75">
        <v>1</v>
      </c>
      <c r="D1760" s="31" t="s">
        <v>1010</v>
      </c>
      <c r="E1760" s="55">
        <f>I1760+G1760+K1760</f>
        <v>145668</v>
      </c>
      <c r="F1760" s="76">
        <f>J1760+H1760+L1760</f>
        <v>145668</v>
      </c>
      <c r="G1760" s="78">
        <f>일위대가목록표!F715</f>
        <v>145668</v>
      </c>
      <c r="H1760" s="80">
        <f>IF(C1760=0,0,ROUNDDOWN(G1760*C1760,1))</f>
        <v>145668</v>
      </c>
      <c r="I1760" s="78">
        <f>일위대가목록표!G715</f>
        <v>0</v>
      </c>
      <c r="J1760" s="80">
        <f>IF(C1760=0,0,ROUNDDOWN(I1760*C1760,1))</f>
        <v>0</v>
      </c>
      <c r="K1760" s="78">
        <f>일위대가목록표!H715</f>
        <v>0</v>
      </c>
      <c r="L1760" s="80">
        <f>IF(C1760=0,0,ROUNDDOWN(K1760*C1760,1))</f>
        <v>0</v>
      </c>
      <c r="M1760" s="22" t="s">
        <v>7664</v>
      </c>
      <c r="N1760" s="17" t="s">
        <v>7662</v>
      </c>
      <c r="O1760" s="7" t="s">
        <v>7663</v>
      </c>
      <c r="P1760" s="7" t="s">
        <v>6406</v>
      </c>
      <c r="Z1760" s="3" t="str">
        <f ca="1">HYPERLINK("#"&amp;일위대가목록표!J2&amp;"!A"&amp;ROW(일위대가목록표!A715),"대가712 →")</f>
        <v>대가712 →</v>
      </c>
    </row>
    <row r="1761" spans="1:26" ht="28.7" customHeight="1" x14ac:dyDescent="0.3">
      <c r="A1761" s="10" t="s">
        <v>2461</v>
      </c>
      <c r="B1761" s="10" t="s">
        <v>1013</v>
      </c>
      <c r="C1761" s="75">
        <v>1</v>
      </c>
      <c r="D1761" s="31" t="s">
        <v>1010</v>
      </c>
      <c r="E1761" s="55">
        <f>I1761+G1761+K1761</f>
        <v>469000</v>
      </c>
      <c r="F1761" s="77">
        <f>J1761+H1761+L1761</f>
        <v>469000</v>
      </c>
      <c r="G1761" s="51">
        <v>0</v>
      </c>
      <c r="H1761" s="76">
        <f>IF(C1761=0,0,ROUNDDOWN(G1761*C1761,1))</f>
        <v>0</v>
      </c>
      <c r="I1761" s="78">
        <f>재료비목록표!E142</f>
        <v>469000</v>
      </c>
      <c r="J1761" s="81">
        <f>IF(C1761=0,0,ROUNDDOWN(I1761*C1761,1))</f>
        <v>469000</v>
      </c>
      <c r="K1761" s="51">
        <v>0</v>
      </c>
      <c r="L1761" s="76">
        <f>IF(C1761=0,0,ROUNDDOWN(K1761*C1761,1))</f>
        <v>0</v>
      </c>
      <c r="M1761" s="22" t="s">
        <v>7666</v>
      </c>
      <c r="N1761" s="17" t="s">
        <v>7665</v>
      </c>
      <c r="O1761" s="7" t="s">
        <v>5841</v>
      </c>
      <c r="P1761" s="7" t="s">
        <v>6406</v>
      </c>
      <c r="Z1761" s="3" t="str">
        <f ca="1">HYPERLINK("#"&amp;재료비목록표!G2&amp;"!A"&amp;ROW(재료비목록표!A142),"자재139 →")</f>
        <v>자재139 →</v>
      </c>
    </row>
    <row r="1762" spans="1:26" ht="28.7" customHeight="1" x14ac:dyDescent="0.3">
      <c r="A1762" s="22" t="s">
        <v>6</v>
      </c>
      <c r="B1762" s="74"/>
      <c r="C1762" s="74"/>
      <c r="D1762" s="74"/>
      <c r="E1762" s="74"/>
      <c r="F1762" s="48">
        <f>J1762+H1762+L1762</f>
        <v>614668</v>
      </c>
      <c r="G1762" s="74"/>
      <c r="H1762" s="48">
        <f>ROUNDDOWN(SUMIF(P1760:P1761,O1762,H1760:H1761),0)</f>
        <v>145668</v>
      </c>
      <c r="I1762" s="74"/>
      <c r="J1762" s="48">
        <f>ROUNDDOWN(SUMIF(P1760:P1761,O1762,J1760:J1761),0)</f>
        <v>469000</v>
      </c>
      <c r="K1762" s="74"/>
      <c r="L1762" s="48">
        <f>ROUNDDOWN(SUMIF(P1760:P1761,O1762,L1760:L1761),0)</f>
        <v>0</v>
      </c>
      <c r="M1762" s="74"/>
      <c r="O1762" s="7" t="s">
        <v>6406</v>
      </c>
    </row>
    <row r="1763" spans="1:26" ht="28.7" customHeight="1" x14ac:dyDescent="0.3">
      <c r="A1763" s="73"/>
      <c r="B1763" s="73"/>
      <c r="C1763" s="73"/>
      <c r="D1763" s="73"/>
      <c r="E1763" s="73"/>
      <c r="F1763" s="73"/>
      <c r="G1763" s="73"/>
      <c r="H1763" s="73"/>
      <c r="I1763" s="73"/>
      <c r="J1763" s="73"/>
      <c r="K1763" s="73"/>
      <c r="L1763" s="73"/>
      <c r="M1763" s="73"/>
    </row>
    <row r="1764" spans="1:26" ht="28.7" customHeight="1" x14ac:dyDescent="0.3">
      <c r="A1764" s="136" t="s">
        <v>1014</v>
      </c>
      <c r="B1764" s="127"/>
      <c r="C1764" s="127"/>
      <c r="D1764" s="127"/>
      <c r="E1764" s="127"/>
      <c r="F1764" s="127"/>
      <c r="G1764" s="127"/>
      <c r="H1764" s="127"/>
      <c r="I1764" s="127"/>
      <c r="J1764" s="127"/>
      <c r="K1764" s="127"/>
      <c r="L1764" s="144"/>
      <c r="M1764" s="22" t="s">
        <v>7667</v>
      </c>
      <c r="N1764" s="84" t="str">
        <f>HYPERLINK("#N"&amp;ROW(N1766),"_x0005_`BDCOD|B05010_x0007_`POSS|"&amp;ROW(N1765)&amp;"_x0007_`POSE|"&amp;ROW(N1766)&amp;"_x0007_`")</f>
        <v>_x0005_`BDCOD|B05010_x0007_`POSS|1765_x0007_`POSE|1766_x0007_`</v>
      </c>
      <c r="O1764" s="7" t="s">
        <v>7668</v>
      </c>
    </row>
    <row r="1765" spans="1:26" ht="28.7" customHeight="1" x14ac:dyDescent="0.3">
      <c r="A1765" s="10" t="s">
        <v>1838</v>
      </c>
      <c r="B1765" s="10" t="s">
        <v>1855</v>
      </c>
      <c r="C1765" s="75">
        <v>1</v>
      </c>
      <c r="D1765" s="31" t="s">
        <v>1010</v>
      </c>
      <c r="E1765" s="55">
        <f>I1765+G1765+K1765</f>
        <v>189819</v>
      </c>
      <c r="F1765" s="76">
        <f>J1765+H1765+L1765</f>
        <v>189819</v>
      </c>
      <c r="G1765" s="78">
        <f>일위대가목록표!F718</f>
        <v>189819</v>
      </c>
      <c r="H1765" s="80">
        <f>IF(C1765=0,0,ROUNDDOWN(G1765*C1765,1))</f>
        <v>189819</v>
      </c>
      <c r="I1765" s="78">
        <f>일위대가목록표!G718</f>
        <v>0</v>
      </c>
      <c r="J1765" s="80">
        <f>IF(C1765=0,0,ROUNDDOWN(I1765*C1765,1))</f>
        <v>0</v>
      </c>
      <c r="K1765" s="78">
        <f>일위대가목록표!H718</f>
        <v>0</v>
      </c>
      <c r="L1765" s="80">
        <f>IF(C1765=0,0,ROUNDDOWN(K1765*C1765,1))</f>
        <v>0</v>
      </c>
      <c r="M1765" s="22" t="s">
        <v>7671</v>
      </c>
      <c r="N1765" s="17" t="s">
        <v>7669</v>
      </c>
      <c r="O1765" s="7" t="s">
        <v>7670</v>
      </c>
      <c r="P1765" s="7" t="s">
        <v>6406</v>
      </c>
      <c r="Z1765" s="3" t="str">
        <f ca="1">HYPERLINK("#"&amp;일위대가목록표!J2&amp;"!A"&amp;ROW(일위대가목록표!A718),"대가715 →")</f>
        <v>대가715 →</v>
      </c>
    </row>
    <row r="1766" spans="1:26" ht="28.7" customHeight="1" x14ac:dyDescent="0.3">
      <c r="A1766" s="10" t="s">
        <v>2461</v>
      </c>
      <c r="B1766" s="10" t="s">
        <v>1016</v>
      </c>
      <c r="C1766" s="75">
        <v>1</v>
      </c>
      <c r="D1766" s="31" t="s">
        <v>1010</v>
      </c>
      <c r="E1766" s="55">
        <f>I1766+G1766+K1766</f>
        <v>859000</v>
      </c>
      <c r="F1766" s="77">
        <f>J1766+H1766+L1766</f>
        <v>859000</v>
      </c>
      <c r="G1766" s="51">
        <v>0</v>
      </c>
      <c r="H1766" s="76">
        <f>IF(C1766=0,0,ROUNDDOWN(G1766*C1766,1))</f>
        <v>0</v>
      </c>
      <c r="I1766" s="78">
        <f>재료비목록표!E143</f>
        <v>859000</v>
      </c>
      <c r="J1766" s="81">
        <f>IF(C1766=0,0,ROUNDDOWN(I1766*C1766,1))</f>
        <v>859000</v>
      </c>
      <c r="K1766" s="51">
        <v>0</v>
      </c>
      <c r="L1766" s="76">
        <f>IF(C1766=0,0,ROUNDDOWN(K1766*C1766,1))</f>
        <v>0</v>
      </c>
      <c r="M1766" s="22" t="s">
        <v>7673</v>
      </c>
      <c r="N1766" s="17" t="s">
        <v>7672</v>
      </c>
      <c r="O1766" s="7" t="s">
        <v>5844</v>
      </c>
      <c r="P1766" s="7" t="s">
        <v>6406</v>
      </c>
      <c r="Z1766" s="3" t="str">
        <f ca="1">HYPERLINK("#"&amp;재료비목록표!G2&amp;"!A"&amp;ROW(재료비목록표!A143),"자재140 →")</f>
        <v>자재140 →</v>
      </c>
    </row>
    <row r="1767" spans="1:26" ht="28.7" customHeight="1" x14ac:dyDescent="0.3">
      <c r="A1767" s="22" t="s">
        <v>6</v>
      </c>
      <c r="B1767" s="74"/>
      <c r="C1767" s="74"/>
      <c r="D1767" s="74"/>
      <c r="E1767" s="74"/>
      <c r="F1767" s="48">
        <f>J1767+H1767+L1767</f>
        <v>1048819</v>
      </c>
      <c r="G1767" s="74"/>
      <c r="H1767" s="48">
        <f>ROUNDDOWN(SUMIF(P1765:P1766,O1767,H1765:H1766),0)</f>
        <v>189819</v>
      </c>
      <c r="I1767" s="74"/>
      <c r="J1767" s="48">
        <f>ROUNDDOWN(SUMIF(P1765:P1766,O1767,J1765:J1766),0)</f>
        <v>859000</v>
      </c>
      <c r="K1767" s="74"/>
      <c r="L1767" s="48">
        <f>ROUNDDOWN(SUMIF(P1765:P1766,O1767,L1765:L1766),0)</f>
        <v>0</v>
      </c>
      <c r="M1767" s="74"/>
      <c r="O1767" s="7" t="s">
        <v>6406</v>
      </c>
    </row>
    <row r="1768" spans="1:26" ht="28.7" customHeight="1" x14ac:dyDescent="0.3">
      <c r="A1768" s="73"/>
      <c r="B1768" s="73"/>
      <c r="C1768" s="73"/>
      <c r="D1768" s="73"/>
      <c r="E1768" s="73"/>
      <c r="F1768" s="73"/>
      <c r="G1768" s="73"/>
      <c r="H1768" s="73"/>
      <c r="I1768" s="73"/>
      <c r="J1768" s="73"/>
      <c r="K1768" s="73"/>
      <c r="L1768" s="73"/>
      <c r="M1768" s="73"/>
    </row>
    <row r="1769" spans="1:26" ht="28.7" customHeight="1" x14ac:dyDescent="0.3">
      <c r="A1769" s="136" t="s">
        <v>1017</v>
      </c>
      <c r="B1769" s="127"/>
      <c r="C1769" s="127"/>
      <c r="D1769" s="127"/>
      <c r="E1769" s="127"/>
      <c r="F1769" s="127"/>
      <c r="G1769" s="127"/>
      <c r="H1769" s="127"/>
      <c r="I1769" s="127"/>
      <c r="J1769" s="127"/>
      <c r="K1769" s="127"/>
      <c r="L1769" s="144"/>
      <c r="M1769" s="22" t="s">
        <v>7674</v>
      </c>
      <c r="N1769" s="84" t="str">
        <f>HYPERLINK("#N"&amp;ROW(N1771),"_x0005_`BDCOD|B05011_x0007_`POSS|"&amp;ROW(N1770)&amp;"_x0007_`POSE|"&amp;ROW(N1771)&amp;"_x0007_`")</f>
        <v>_x0005_`BDCOD|B05011_x0007_`POSS|1770_x0007_`POSE|1771_x0007_`</v>
      </c>
      <c r="O1769" s="7" t="s">
        <v>7675</v>
      </c>
    </row>
    <row r="1770" spans="1:26" ht="28.7" customHeight="1" x14ac:dyDescent="0.3">
      <c r="A1770" s="10" t="s">
        <v>1838</v>
      </c>
      <c r="B1770" s="10" t="s">
        <v>1862</v>
      </c>
      <c r="C1770" s="75">
        <v>1</v>
      </c>
      <c r="D1770" s="31" t="s">
        <v>1010</v>
      </c>
      <c r="E1770" s="55">
        <f>I1770+G1770+K1770</f>
        <v>246873</v>
      </c>
      <c r="F1770" s="76">
        <f>J1770+H1770+L1770</f>
        <v>246873</v>
      </c>
      <c r="G1770" s="78">
        <f>일위대가목록표!F721</f>
        <v>246873</v>
      </c>
      <c r="H1770" s="80">
        <f>IF(C1770=0,0,ROUNDDOWN(G1770*C1770,1))</f>
        <v>246873</v>
      </c>
      <c r="I1770" s="78">
        <f>일위대가목록표!G721</f>
        <v>0</v>
      </c>
      <c r="J1770" s="80">
        <f>IF(C1770=0,0,ROUNDDOWN(I1770*C1770,1))</f>
        <v>0</v>
      </c>
      <c r="K1770" s="78">
        <f>일위대가목록표!H721</f>
        <v>0</v>
      </c>
      <c r="L1770" s="80">
        <f>IF(C1770=0,0,ROUNDDOWN(K1770*C1770,1))</f>
        <v>0</v>
      </c>
      <c r="M1770" s="22" t="s">
        <v>7678</v>
      </c>
      <c r="N1770" s="17" t="s">
        <v>7676</v>
      </c>
      <c r="O1770" s="7" t="s">
        <v>7677</v>
      </c>
      <c r="P1770" s="7" t="s">
        <v>6406</v>
      </c>
      <c r="Z1770" s="3" t="str">
        <f ca="1">HYPERLINK("#"&amp;일위대가목록표!J2&amp;"!A"&amp;ROW(일위대가목록표!A721),"대가718 →")</f>
        <v>대가718 →</v>
      </c>
    </row>
    <row r="1771" spans="1:26" ht="28.7" customHeight="1" x14ac:dyDescent="0.3">
      <c r="A1771" s="10" t="s">
        <v>2461</v>
      </c>
      <c r="B1771" s="10" t="s">
        <v>1019</v>
      </c>
      <c r="C1771" s="75">
        <v>1</v>
      </c>
      <c r="D1771" s="31" t="s">
        <v>1010</v>
      </c>
      <c r="E1771" s="55">
        <f>I1771+G1771+K1771</f>
        <v>1200000</v>
      </c>
      <c r="F1771" s="77">
        <f>J1771+H1771+L1771</f>
        <v>1200000</v>
      </c>
      <c r="G1771" s="51">
        <v>0</v>
      </c>
      <c r="H1771" s="76">
        <f>IF(C1771=0,0,ROUNDDOWN(G1771*C1771,1))</f>
        <v>0</v>
      </c>
      <c r="I1771" s="78">
        <f>재료비목록표!E144</f>
        <v>1200000</v>
      </c>
      <c r="J1771" s="81">
        <f>IF(C1771=0,0,ROUNDDOWN(I1771*C1771,1))</f>
        <v>1200000</v>
      </c>
      <c r="K1771" s="51">
        <v>0</v>
      </c>
      <c r="L1771" s="76">
        <f>IF(C1771=0,0,ROUNDDOWN(K1771*C1771,1))</f>
        <v>0</v>
      </c>
      <c r="M1771" s="22" t="s">
        <v>7680</v>
      </c>
      <c r="N1771" s="17" t="s">
        <v>7679</v>
      </c>
      <c r="O1771" s="7" t="s">
        <v>5847</v>
      </c>
      <c r="P1771" s="7" t="s">
        <v>6406</v>
      </c>
      <c r="Z1771" s="3" t="str">
        <f ca="1">HYPERLINK("#"&amp;재료비목록표!G2&amp;"!A"&amp;ROW(재료비목록표!A144),"자재141 →")</f>
        <v>자재141 →</v>
      </c>
    </row>
    <row r="1772" spans="1:26" ht="28.7" customHeight="1" x14ac:dyDescent="0.3">
      <c r="A1772" s="22" t="s">
        <v>6</v>
      </c>
      <c r="B1772" s="74"/>
      <c r="C1772" s="74"/>
      <c r="D1772" s="74"/>
      <c r="E1772" s="74"/>
      <c r="F1772" s="48">
        <f>J1772+H1772+L1772</f>
        <v>1446873</v>
      </c>
      <c r="G1772" s="74"/>
      <c r="H1772" s="48">
        <f>ROUNDDOWN(SUMIF(P1770:P1771,O1772,H1770:H1771),0)</f>
        <v>246873</v>
      </c>
      <c r="I1772" s="74"/>
      <c r="J1772" s="48">
        <f>ROUNDDOWN(SUMIF(P1770:P1771,O1772,J1770:J1771),0)</f>
        <v>1200000</v>
      </c>
      <c r="K1772" s="74"/>
      <c r="L1772" s="48">
        <f>ROUNDDOWN(SUMIF(P1770:P1771,O1772,L1770:L1771),0)</f>
        <v>0</v>
      </c>
      <c r="M1772" s="74"/>
      <c r="O1772" s="7" t="s">
        <v>6406</v>
      </c>
    </row>
    <row r="1773" spans="1:26" ht="28.7" customHeight="1" x14ac:dyDescent="0.3">
      <c r="A1773" s="73"/>
      <c r="B1773" s="73"/>
      <c r="C1773" s="73"/>
      <c r="D1773" s="73"/>
      <c r="E1773" s="73"/>
      <c r="F1773" s="73"/>
      <c r="G1773" s="73"/>
      <c r="H1773" s="73"/>
      <c r="I1773" s="73"/>
      <c r="J1773" s="73"/>
      <c r="K1773" s="73"/>
      <c r="L1773" s="73"/>
      <c r="M1773" s="73"/>
    </row>
    <row r="1774" spans="1:26" ht="28.7" customHeight="1" x14ac:dyDescent="0.3">
      <c r="A1774" s="136" t="s">
        <v>1020</v>
      </c>
      <c r="B1774" s="127"/>
      <c r="C1774" s="127"/>
      <c r="D1774" s="127"/>
      <c r="E1774" s="127"/>
      <c r="F1774" s="127"/>
      <c r="G1774" s="127"/>
      <c r="H1774" s="127"/>
      <c r="I1774" s="127"/>
      <c r="J1774" s="127"/>
      <c r="K1774" s="127"/>
      <c r="L1774" s="144"/>
      <c r="M1774" s="22" t="s">
        <v>7681</v>
      </c>
      <c r="N1774" s="84" t="str">
        <f>HYPERLINK("#N"&amp;ROW(N1775),"_x0005_`BDCOD|B05353_x0007_`POSS|"&amp;ROW(N1775)&amp;"_x0007_`POSE|"&amp;ROW(N1775)&amp;"_x0007_`")</f>
        <v>_x0005_`BDCOD|B05353_x0007_`POSS|1775_x0007_`POSE|1775_x0007_`</v>
      </c>
      <c r="O1774" s="7" t="s">
        <v>7682</v>
      </c>
    </row>
    <row r="1775" spans="1:26" ht="28.7" customHeight="1" x14ac:dyDescent="0.3">
      <c r="A1775" s="10" t="s">
        <v>1838</v>
      </c>
      <c r="B1775" s="10" t="s">
        <v>1839</v>
      </c>
      <c r="C1775" s="75">
        <v>1</v>
      </c>
      <c r="D1775" s="31" t="s">
        <v>1010</v>
      </c>
      <c r="E1775" s="55">
        <f>I1775+G1775+K1775</f>
        <v>103775</v>
      </c>
      <c r="F1775" s="76">
        <f>J1775+H1775+L1775</f>
        <v>103775</v>
      </c>
      <c r="G1775" s="78">
        <f>일위대가목록표!F712</f>
        <v>100753</v>
      </c>
      <c r="H1775" s="80">
        <f>IF(C1775=0,0,ROUNDDOWN(G1775*C1775,1))</f>
        <v>100753</v>
      </c>
      <c r="I1775" s="78">
        <f>일위대가목록표!G712</f>
        <v>0</v>
      </c>
      <c r="J1775" s="80">
        <f>IF(C1775=0,0,ROUNDDOWN(I1775*C1775,1))</f>
        <v>0</v>
      </c>
      <c r="K1775" s="78">
        <f>일위대가목록표!H712</f>
        <v>3022</v>
      </c>
      <c r="L1775" s="80">
        <f>IF(C1775=0,0,ROUNDDOWN(K1775*C1775,1))</f>
        <v>3022</v>
      </c>
      <c r="M1775" s="22" t="s">
        <v>7657</v>
      </c>
      <c r="N1775" s="17" t="s">
        <v>7655</v>
      </c>
      <c r="O1775" s="7" t="s">
        <v>7656</v>
      </c>
      <c r="P1775" s="7" t="s">
        <v>6406</v>
      </c>
      <c r="Z1775" s="3" t="str">
        <f ca="1">HYPERLINK("#"&amp;일위대가목록표!J2&amp;"!A"&amp;ROW(일위대가목록표!A712),"대가709 →")</f>
        <v>대가709 →</v>
      </c>
    </row>
    <row r="1776" spans="1:26" ht="28.7" customHeight="1" x14ac:dyDescent="0.3">
      <c r="A1776" s="22" t="s">
        <v>6</v>
      </c>
      <c r="B1776" s="74"/>
      <c r="C1776" s="74"/>
      <c r="D1776" s="74"/>
      <c r="E1776" s="74"/>
      <c r="F1776" s="48">
        <f>J1776+H1776+L1776</f>
        <v>103775</v>
      </c>
      <c r="G1776" s="74"/>
      <c r="H1776" s="48">
        <f>ROUNDDOWN(SUMIF(P1775:P1775,O1776,H1775:H1775),0)</f>
        <v>100753</v>
      </c>
      <c r="I1776" s="74"/>
      <c r="J1776" s="48">
        <f>ROUNDDOWN(SUMIF(P1775:P1775,O1776,J1775:J1775),0)</f>
        <v>0</v>
      </c>
      <c r="K1776" s="74"/>
      <c r="L1776" s="48">
        <f>ROUNDDOWN(SUMIF(P1775:P1775,O1776,L1775:L1775),0)</f>
        <v>3022</v>
      </c>
      <c r="M1776" s="74"/>
      <c r="O1776" s="7" t="s">
        <v>6406</v>
      </c>
    </row>
    <row r="1777" spans="1:26" ht="28.7" customHeight="1" x14ac:dyDescent="0.3">
      <c r="A1777" s="73"/>
      <c r="B1777" s="73"/>
      <c r="C1777" s="73"/>
      <c r="D1777" s="73"/>
      <c r="E1777" s="73"/>
      <c r="F1777" s="73"/>
      <c r="G1777" s="73"/>
      <c r="H1777" s="73"/>
      <c r="I1777" s="73"/>
      <c r="J1777" s="73"/>
      <c r="K1777" s="73"/>
      <c r="L1777" s="73"/>
      <c r="M1777" s="73"/>
    </row>
    <row r="1778" spans="1:26" ht="28.7" customHeight="1" x14ac:dyDescent="0.3">
      <c r="A1778" s="136" t="s">
        <v>1023</v>
      </c>
      <c r="B1778" s="127"/>
      <c r="C1778" s="127"/>
      <c r="D1778" s="127"/>
      <c r="E1778" s="127"/>
      <c r="F1778" s="127"/>
      <c r="G1778" s="127"/>
      <c r="H1778" s="127"/>
      <c r="I1778" s="127"/>
      <c r="J1778" s="127"/>
      <c r="K1778" s="127"/>
      <c r="L1778" s="144"/>
      <c r="M1778" s="22" t="s">
        <v>7683</v>
      </c>
      <c r="N1778" s="84" t="str">
        <f>HYPERLINK("#N"&amp;ROW(N1779),"_x0005_`BDCOD|B05354_x0007_`POSS|"&amp;ROW(N1779)&amp;"_x0007_`POSE|"&amp;ROW(N1779)&amp;"_x0007_`")</f>
        <v>_x0005_`BDCOD|B05354_x0007_`POSS|1779_x0007_`POSE|1779_x0007_`</v>
      </c>
      <c r="O1778" s="7" t="s">
        <v>7684</v>
      </c>
    </row>
    <row r="1779" spans="1:26" ht="28.7" customHeight="1" x14ac:dyDescent="0.3">
      <c r="A1779" s="10" t="s">
        <v>1838</v>
      </c>
      <c r="B1779" s="10" t="s">
        <v>1848</v>
      </c>
      <c r="C1779" s="75">
        <v>1</v>
      </c>
      <c r="D1779" s="31" t="s">
        <v>1010</v>
      </c>
      <c r="E1779" s="55">
        <f>I1779+G1779+K1779</f>
        <v>145668</v>
      </c>
      <c r="F1779" s="76">
        <f>J1779+H1779+L1779</f>
        <v>145668</v>
      </c>
      <c r="G1779" s="78">
        <f>일위대가목록표!F715</f>
        <v>145668</v>
      </c>
      <c r="H1779" s="80">
        <f>IF(C1779=0,0,ROUNDDOWN(G1779*C1779,1))</f>
        <v>145668</v>
      </c>
      <c r="I1779" s="78">
        <f>일위대가목록표!G715</f>
        <v>0</v>
      </c>
      <c r="J1779" s="80">
        <f>IF(C1779=0,0,ROUNDDOWN(I1779*C1779,1))</f>
        <v>0</v>
      </c>
      <c r="K1779" s="78">
        <f>일위대가목록표!H715</f>
        <v>0</v>
      </c>
      <c r="L1779" s="80">
        <f>IF(C1779=0,0,ROUNDDOWN(K1779*C1779,1))</f>
        <v>0</v>
      </c>
      <c r="M1779" s="22" t="s">
        <v>7664</v>
      </c>
      <c r="N1779" s="17" t="s">
        <v>7662</v>
      </c>
      <c r="O1779" s="7" t="s">
        <v>7663</v>
      </c>
      <c r="P1779" s="7" t="s">
        <v>6406</v>
      </c>
      <c r="Z1779" s="3" t="str">
        <f ca="1">HYPERLINK("#"&amp;일위대가목록표!J2&amp;"!A"&amp;ROW(일위대가목록표!A715),"대가712 →")</f>
        <v>대가712 →</v>
      </c>
    </row>
    <row r="1780" spans="1:26" ht="28.7" customHeight="1" x14ac:dyDescent="0.3">
      <c r="A1780" s="22" t="s">
        <v>6</v>
      </c>
      <c r="B1780" s="74"/>
      <c r="C1780" s="74"/>
      <c r="D1780" s="74"/>
      <c r="E1780" s="74"/>
      <c r="F1780" s="48">
        <f>J1780+H1780+L1780</f>
        <v>145668</v>
      </c>
      <c r="G1780" s="74"/>
      <c r="H1780" s="48">
        <f>ROUNDDOWN(SUMIF(P1779:P1779,O1780,H1779:H1779),0)</f>
        <v>145668</v>
      </c>
      <c r="I1780" s="74"/>
      <c r="J1780" s="48">
        <f>ROUNDDOWN(SUMIF(P1779:P1779,O1780,J1779:J1779),0)</f>
        <v>0</v>
      </c>
      <c r="K1780" s="74"/>
      <c r="L1780" s="48">
        <f>ROUNDDOWN(SUMIF(P1779:P1779,O1780,L1779:L1779),0)</f>
        <v>0</v>
      </c>
      <c r="M1780" s="74"/>
      <c r="O1780" s="7" t="s">
        <v>6406</v>
      </c>
    </row>
    <row r="1781" spans="1:26" ht="28.7" customHeight="1" x14ac:dyDescent="0.3">
      <c r="A1781" s="73"/>
      <c r="B1781" s="73"/>
      <c r="C1781" s="73"/>
      <c r="D1781" s="73"/>
      <c r="E1781" s="73"/>
      <c r="F1781" s="73"/>
      <c r="G1781" s="73"/>
      <c r="H1781" s="73"/>
      <c r="I1781" s="73"/>
      <c r="J1781" s="73"/>
      <c r="K1781" s="73"/>
      <c r="L1781" s="73"/>
      <c r="M1781" s="73"/>
    </row>
    <row r="1782" spans="1:26" ht="28.7" customHeight="1" x14ac:dyDescent="0.3">
      <c r="A1782" s="136" t="s">
        <v>1025</v>
      </c>
      <c r="B1782" s="127"/>
      <c r="C1782" s="127"/>
      <c r="D1782" s="127"/>
      <c r="E1782" s="127"/>
      <c r="F1782" s="127"/>
      <c r="G1782" s="127"/>
      <c r="H1782" s="127"/>
      <c r="I1782" s="127"/>
      <c r="J1782" s="127"/>
      <c r="K1782" s="127"/>
      <c r="L1782" s="144"/>
      <c r="M1782" s="22" t="s">
        <v>7685</v>
      </c>
      <c r="N1782" s="84" t="str">
        <f>HYPERLINK("#N"&amp;ROW(N1783),"_x0005_`BDCOD|B05355_x0007_`POSS|"&amp;ROW(N1783)&amp;"_x0007_`POSE|"&amp;ROW(N1783)&amp;"_x0007_`")</f>
        <v>_x0005_`BDCOD|B05355_x0007_`POSS|1783_x0007_`POSE|1783_x0007_`</v>
      </c>
      <c r="O1782" s="7" t="s">
        <v>7686</v>
      </c>
    </row>
    <row r="1783" spans="1:26" ht="28.7" customHeight="1" x14ac:dyDescent="0.3">
      <c r="A1783" s="10" t="s">
        <v>1838</v>
      </c>
      <c r="B1783" s="10" t="s">
        <v>1855</v>
      </c>
      <c r="C1783" s="75">
        <v>1</v>
      </c>
      <c r="D1783" s="31" t="s">
        <v>1010</v>
      </c>
      <c r="E1783" s="55">
        <f>I1783+G1783+K1783</f>
        <v>189819</v>
      </c>
      <c r="F1783" s="76">
        <f>J1783+H1783+L1783</f>
        <v>189819</v>
      </c>
      <c r="G1783" s="78">
        <f>일위대가목록표!F718</f>
        <v>189819</v>
      </c>
      <c r="H1783" s="80">
        <f>IF(C1783=0,0,ROUNDDOWN(G1783*C1783,1))</f>
        <v>189819</v>
      </c>
      <c r="I1783" s="78">
        <f>일위대가목록표!G718</f>
        <v>0</v>
      </c>
      <c r="J1783" s="80">
        <f>IF(C1783=0,0,ROUNDDOWN(I1783*C1783,1))</f>
        <v>0</v>
      </c>
      <c r="K1783" s="78">
        <f>일위대가목록표!H718</f>
        <v>0</v>
      </c>
      <c r="L1783" s="80">
        <f>IF(C1783=0,0,ROUNDDOWN(K1783*C1783,1))</f>
        <v>0</v>
      </c>
      <c r="M1783" s="22" t="s">
        <v>7671</v>
      </c>
      <c r="N1783" s="17" t="s">
        <v>7669</v>
      </c>
      <c r="O1783" s="7" t="s">
        <v>7670</v>
      </c>
      <c r="P1783" s="7" t="s">
        <v>6406</v>
      </c>
      <c r="Z1783" s="3" t="str">
        <f ca="1">HYPERLINK("#"&amp;일위대가목록표!J2&amp;"!A"&amp;ROW(일위대가목록표!A718),"대가715 →")</f>
        <v>대가715 →</v>
      </c>
    </row>
    <row r="1784" spans="1:26" ht="28.7" customHeight="1" x14ac:dyDescent="0.3">
      <c r="A1784" s="22" t="s">
        <v>6</v>
      </c>
      <c r="B1784" s="74"/>
      <c r="C1784" s="74"/>
      <c r="D1784" s="74"/>
      <c r="E1784" s="74"/>
      <c r="F1784" s="48">
        <f>J1784+H1784+L1784</f>
        <v>189819</v>
      </c>
      <c r="G1784" s="74"/>
      <c r="H1784" s="48">
        <f>ROUNDDOWN(SUMIF(P1783:P1783,O1784,H1783:H1783),0)</f>
        <v>189819</v>
      </c>
      <c r="I1784" s="74"/>
      <c r="J1784" s="48">
        <f>ROUNDDOWN(SUMIF(P1783:P1783,O1784,J1783:J1783),0)</f>
        <v>0</v>
      </c>
      <c r="K1784" s="74"/>
      <c r="L1784" s="48">
        <f>ROUNDDOWN(SUMIF(P1783:P1783,O1784,L1783:L1783),0)</f>
        <v>0</v>
      </c>
      <c r="M1784" s="74"/>
      <c r="O1784" s="7" t="s">
        <v>6406</v>
      </c>
    </row>
    <row r="1785" spans="1:26" ht="28.7" customHeight="1" x14ac:dyDescent="0.3">
      <c r="A1785" s="73"/>
      <c r="B1785" s="73"/>
      <c r="C1785" s="73"/>
      <c r="D1785" s="73"/>
      <c r="E1785" s="73"/>
      <c r="F1785" s="73"/>
      <c r="G1785" s="73"/>
      <c r="H1785" s="73"/>
      <c r="I1785" s="73"/>
      <c r="J1785" s="73"/>
      <c r="K1785" s="73"/>
      <c r="L1785" s="73"/>
      <c r="M1785" s="73"/>
    </row>
    <row r="1786" spans="1:26" ht="28.7" customHeight="1" x14ac:dyDescent="0.3">
      <c r="A1786" s="136" t="s">
        <v>1027</v>
      </c>
      <c r="B1786" s="127"/>
      <c r="C1786" s="127"/>
      <c r="D1786" s="127"/>
      <c r="E1786" s="127"/>
      <c r="F1786" s="127"/>
      <c r="G1786" s="127"/>
      <c r="H1786" s="127"/>
      <c r="I1786" s="127"/>
      <c r="J1786" s="127"/>
      <c r="K1786" s="127"/>
      <c r="L1786" s="144"/>
      <c r="M1786" s="22" t="s">
        <v>7687</v>
      </c>
      <c r="N1786" s="84" t="str">
        <f>HYPERLINK("#N"&amp;ROW(N1787),"_x0005_`BDCOD|B05356_x0007_`POSS|"&amp;ROW(N1787)&amp;"_x0007_`POSE|"&amp;ROW(N1787)&amp;"_x0007_`")</f>
        <v>_x0005_`BDCOD|B05356_x0007_`POSS|1787_x0007_`POSE|1787_x0007_`</v>
      </c>
      <c r="O1786" s="7" t="s">
        <v>7688</v>
      </c>
    </row>
    <row r="1787" spans="1:26" ht="28.7" customHeight="1" x14ac:dyDescent="0.3">
      <c r="A1787" s="10" t="s">
        <v>1838</v>
      </c>
      <c r="B1787" s="10" t="s">
        <v>1862</v>
      </c>
      <c r="C1787" s="75">
        <v>1</v>
      </c>
      <c r="D1787" s="31" t="s">
        <v>1010</v>
      </c>
      <c r="E1787" s="55">
        <f>I1787+G1787+K1787</f>
        <v>246873</v>
      </c>
      <c r="F1787" s="76">
        <f>J1787+H1787+L1787</f>
        <v>246873</v>
      </c>
      <c r="G1787" s="78">
        <f>일위대가목록표!F721</f>
        <v>246873</v>
      </c>
      <c r="H1787" s="80">
        <f>IF(C1787=0,0,ROUNDDOWN(G1787*C1787,1))</f>
        <v>246873</v>
      </c>
      <c r="I1787" s="78">
        <f>일위대가목록표!G721</f>
        <v>0</v>
      </c>
      <c r="J1787" s="80">
        <f>IF(C1787=0,0,ROUNDDOWN(I1787*C1787,1))</f>
        <v>0</v>
      </c>
      <c r="K1787" s="78">
        <f>일위대가목록표!H721</f>
        <v>0</v>
      </c>
      <c r="L1787" s="80">
        <f>IF(C1787=0,0,ROUNDDOWN(K1787*C1787,1))</f>
        <v>0</v>
      </c>
      <c r="M1787" s="22" t="s">
        <v>7678</v>
      </c>
      <c r="N1787" s="17" t="s">
        <v>7676</v>
      </c>
      <c r="O1787" s="7" t="s">
        <v>7677</v>
      </c>
      <c r="P1787" s="7" t="s">
        <v>6406</v>
      </c>
      <c r="Z1787" s="3" t="str">
        <f ca="1">HYPERLINK("#"&amp;일위대가목록표!J2&amp;"!A"&amp;ROW(일위대가목록표!A721),"대가718 →")</f>
        <v>대가718 →</v>
      </c>
    </row>
    <row r="1788" spans="1:26" ht="28.7" customHeight="1" x14ac:dyDescent="0.3">
      <c r="A1788" s="22" t="s">
        <v>6</v>
      </c>
      <c r="B1788" s="74"/>
      <c r="C1788" s="74"/>
      <c r="D1788" s="74"/>
      <c r="E1788" s="74"/>
      <c r="F1788" s="48">
        <f>J1788+H1788+L1788</f>
        <v>246873</v>
      </c>
      <c r="G1788" s="74"/>
      <c r="H1788" s="48">
        <f>ROUNDDOWN(SUMIF(P1787:P1787,O1788,H1787:H1787),0)</f>
        <v>246873</v>
      </c>
      <c r="I1788" s="74"/>
      <c r="J1788" s="48">
        <f>ROUNDDOWN(SUMIF(P1787:P1787,O1788,J1787:J1787),0)</f>
        <v>0</v>
      </c>
      <c r="K1788" s="74"/>
      <c r="L1788" s="48">
        <f>ROUNDDOWN(SUMIF(P1787:P1787,O1788,L1787:L1787),0)</f>
        <v>0</v>
      </c>
      <c r="M1788" s="74"/>
      <c r="O1788" s="7" t="s">
        <v>6406</v>
      </c>
    </row>
    <row r="1789" spans="1:26" ht="28.7" customHeight="1" x14ac:dyDescent="0.3">
      <c r="A1789" s="73"/>
      <c r="B1789" s="73"/>
      <c r="C1789" s="73"/>
      <c r="D1789" s="73"/>
      <c r="E1789" s="73"/>
      <c r="F1789" s="73"/>
      <c r="G1789" s="73"/>
      <c r="H1789" s="73"/>
      <c r="I1789" s="73"/>
      <c r="J1789" s="73"/>
      <c r="K1789" s="73"/>
      <c r="L1789" s="73"/>
      <c r="M1789" s="73"/>
    </row>
    <row r="1790" spans="1:26" ht="28.7" customHeight="1" x14ac:dyDescent="0.3">
      <c r="A1790" s="136" t="s">
        <v>1029</v>
      </c>
      <c r="B1790" s="127"/>
      <c r="C1790" s="127"/>
      <c r="D1790" s="127"/>
      <c r="E1790" s="127"/>
      <c r="F1790" s="127"/>
      <c r="G1790" s="127"/>
      <c r="H1790" s="127"/>
      <c r="I1790" s="127"/>
      <c r="J1790" s="127"/>
      <c r="K1790" s="127"/>
      <c r="L1790" s="144"/>
      <c r="M1790" s="22" t="s">
        <v>7689</v>
      </c>
      <c r="N1790" s="84" t="str">
        <f>HYPERLINK("#N"&amp;ROW(N1791),"_x0005_`BDCOD|B05357_x0007_`POSS|"&amp;ROW(N1791)&amp;"_x0007_`POSE|"&amp;ROW(N1791)&amp;"_x0007_`")</f>
        <v>_x0005_`BDCOD|B05357_x0007_`POSS|1791_x0007_`POSE|1791_x0007_`</v>
      </c>
      <c r="O1790" s="7" t="s">
        <v>7690</v>
      </c>
    </row>
    <row r="1791" spans="1:26" ht="28.7" customHeight="1" x14ac:dyDescent="0.3">
      <c r="A1791" s="10" t="s">
        <v>1845</v>
      </c>
      <c r="B1791" s="10" t="s">
        <v>1543</v>
      </c>
      <c r="C1791" s="75">
        <v>1</v>
      </c>
      <c r="D1791" s="31" t="s">
        <v>1010</v>
      </c>
      <c r="E1791" s="55">
        <f>I1791+G1791+K1791</f>
        <v>74126</v>
      </c>
      <c r="F1791" s="76">
        <f>J1791+H1791+L1791</f>
        <v>74126</v>
      </c>
      <c r="G1791" s="78">
        <f>일위대가목록표!F714</f>
        <v>71967</v>
      </c>
      <c r="H1791" s="80">
        <f>IF(C1791=0,0,ROUNDDOWN(G1791*C1791,1))</f>
        <v>71967</v>
      </c>
      <c r="I1791" s="78">
        <f>일위대가목록표!G714</f>
        <v>0</v>
      </c>
      <c r="J1791" s="80">
        <f>IF(C1791=0,0,ROUNDDOWN(I1791*C1791,1))</f>
        <v>0</v>
      </c>
      <c r="K1791" s="78">
        <f>일위대가목록표!H714</f>
        <v>2159</v>
      </c>
      <c r="L1791" s="80">
        <f>IF(C1791=0,0,ROUNDDOWN(K1791*C1791,1))</f>
        <v>2159</v>
      </c>
      <c r="M1791" s="22" t="s">
        <v>7693</v>
      </c>
      <c r="N1791" s="17" t="s">
        <v>7691</v>
      </c>
      <c r="O1791" s="7" t="s">
        <v>7692</v>
      </c>
      <c r="P1791" s="7" t="s">
        <v>6406</v>
      </c>
      <c r="Z1791" s="3" t="str">
        <f ca="1">HYPERLINK("#"&amp;일위대가목록표!J2&amp;"!A"&amp;ROW(일위대가목록표!A714),"대가711 →")</f>
        <v>대가711 →</v>
      </c>
    </row>
    <row r="1792" spans="1:26" ht="28.7" customHeight="1" x14ac:dyDescent="0.3">
      <c r="A1792" s="22" t="s">
        <v>6</v>
      </c>
      <c r="B1792" s="74"/>
      <c r="C1792" s="74"/>
      <c r="D1792" s="74"/>
      <c r="E1792" s="74"/>
      <c r="F1792" s="48">
        <f>J1792+H1792+L1792</f>
        <v>74126</v>
      </c>
      <c r="G1792" s="74"/>
      <c r="H1792" s="48">
        <f>ROUNDDOWN(SUMIF(P1791:P1791,O1792,H1791:H1791),0)</f>
        <v>71967</v>
      </c>
      <c r="I1792" s="74"/>
      <c r="J1792" s="48">
        <f>ROUNDDOWN(SUMIF(P1791:P1791,O1792,J1791:J1791),0)</f>
        <v>0</v>
      </c>
      <c r="K1792" s="74"/>
      <c r="L1792" s="48">
        <f>ROUNDDOWN(SUMIF(P1791:P1791,O1792,L1791:L1791),0)</f>
        <v>2159</v>
      </c>
      <c r="M1792" s="74"/>
      <c r="O1792" s="7" t="s">
        <v>6406</v>
      </c>
    </row>
    <row r="1793" spans="1:26" ht="28.7" customHeight="1" x14ac:dyDescent="0.3">
      <c r="A1793" s="73"/>
      <c r="B1793" s="73"/>
      <c r="C1793" s="73"/>
      <c r="D1793" s="73"/>
      <c r="E1793" s="73"/>
      <c r="F1793" s="73"/>
      <c r="G1793" s="73"/>
      <c r="H1793" s="73"/>
      <c r="I1793" s="73"/>
      <c r="J1793" s="73"/>
      <c r="K1793" s="73"/>
      <c r="L1793" s="73"/>
      <c r="M1793" s="73"/>
    </row>
    <row r="1794" spans="1:26" ht="28.7" customHeight="1" x14ac:dyDescent="0.3">
      <c r="A1794" s="136" t="s">
        <v>1032</v>
      </c>
      <c r="B1794" s="127"/>
      <c r="C1794" s="127"/>
      <c r="D1794" s="127"/>
      <c r="E1794" s="127"/>
      <c r="F1794" s="127"/>
      <c r="G1794" s="127"/>
      <c r="H1794" s="127"/>
      <c r="I1794" s="127"/>
      <c r="J1794" s="127"/>
      <c r="K1794" s="127"/>
      <c r="L1794" s="144"/>
      <c r="M1794" s="22" t="s">
        <v>7694</v>
      </c>
      <c r="N1794" s="84" t="str">
        <f>HYPERLINK("#N"&amp;ROW(N1795),"_x0005_`BDCOD|B05358_x0007_`POSS|"&amp;ROW(N1795)&amp;"_x0007_`POSE|"&amp;ROW(N1795)&amp;"_x0007_`")</f>
        <v>_x0005_`BDCOD|B05358_x0007_`POSS|1795_x0007_`POSE|1795_x0007_`</v>
      </c>
      <c r="O1794" s="7" t="s">
        <v>7695</v>
      </c>
    </row>
    <row r="1795" spans="1:26" ht="28.7" customHeight="1" x14ac:dyDescent="0.3">
      <c r="A1795" s="10" t="s">
        <v>1845</v>
      </c>
      <c r="B1795" s="10" t="s">
        <v>1546</v>
      </c>
      <c r="C1795" s="75">
        <v>1</v>
      </c>
      <c r="D1795" s="31" t="s">
        <v>1010</v>
      </c>
      <c r="E1795" s="55">
        <f>I1795+G1795+K1795</f>
        <v>104049</v>
      </c>
      <c r="F1795" s="76">
        <f>J1795+H1795+L1795</f>
        <v>104049</v>
      </c>
      <c r="G1795" s="78">
        <f>일위대가목록표!F717</f>
        <v>104049</v>
      </c>
      <c r="H1795" s="80">
        <f>IF(C1795=0,0,ROUNDDOWN(G1795*C1795,1))</f>
        <v>104049</v>
      </c>
      <c r="I1795" s="78">
        <f>일위대가목록표!G717</f>
        <v>0</v>
      </c>
      <c r="J1795" s="80">
        <f>IF(C1795=0,0,ROUNDDOWN(I1795*C1795,1))</f>
        <v>0</v>
      </c>
      <c r="K1795" s="78">
        <f>일위대가목록표!H717</f>
        <v>0</v>
      </c>
      <c r="L1795" s="80">
        <f>IF(C1795=0,0,ROUNDDOWN(K1795*C1795,1))</f>
        <v>0</v>
      </c>
      <c r="M1795" s="22" t="s">
        <v>7698</v>
      </c>
      <c r="N1795" s="17" t="s">
        <v>7696</v>
      </c>
      <c r="O1795" s="7" t="s">
        <v>7697</v>
      </c>
      <c r="P1795" s="7" t="s">
        <v>6406</v>
      </c>
      <c r="Z1795" s="3" t="str">
        <f ca="1">HYPERLINK("#"&amp;일위대가목록표!J2&amp;"!A"&amp;ROW(일위대가목록표!A717),"대가714 →")</f>
        <v>대가714 →</v>
      </c>
    </row>
    <row r="1796" spans="1:26" ht="28.7" customHeight="1" x14ac:dyDescent="0.3">
      <c r="A1796" s="22" t="s">
        <v>6</v>
      </c>
      <c r="B1796" s="74"/>
      <c r="C1796" s="74"/>
      <c r="D1796" s="74"/>
      <c r="E1796" s="74"/>
      <c r="F1796" s="48">
        <f>J1796+H1796+L1796</f>
        <v>104049</v>
      </c>
      <c r="G1796" s="74"/>
      <c r="H1796" s="48">
        <f>ROUNDDOWN(SUMIF(P1795:P1795,O1796,H1795:H1795),0)</f>
        <v>104049</v>
      </c>
      <c r="I1796" s="74"/>
      <c r="J1796" s="48">
        <f>ROUNDDOWN(SUMIF(P1795:P1795,O1796,J1795:J1795),0)</f>
        <v>0</v>
      </c>
      <c r="K1796" s="74"/>
      <c r="L1796" s="48">
        <f>ROUNDDOWN(SUMIF(P1795:P1795,O1796,L1795:L1795),0)</f>
        <v>0</v>
      </c>
      <c r="M1796" s="74"/>
      <c r="O1796" s="7" t="s">
        <v>6406</v>
      </c>
    </row>
    <row r="1797" spans="1:26" ht="28.7" customHeight="1" x14ac:dyDescent="0.3">
      <c r="A1797" s="73"/>
      <c r="B1797" s="73"/>
      <c r="C1797" s="73"/>
      <c r="D1797" s="73"/>
      <c r="E1797" s="73"/>
      <c r="F1797" s="73"/>
      <c r="G1797" s="73"/>
      <c r="H1797" s="73"/>
      <c r="I1797" s="73"/>
      <c r="J1797" s="73"/>
      <c r="K1797" s="73"/>
      <c r="L1797" s="73"/>
      <c r="M1797" s="73"/>
    </row>
    <row r="1798" spans="1:26" ht="28.7" customHeight="1" x14ac:dyDescent="0.3">
      <c r="A1798" s="136" t="s">
        <v>1034</v>
      </c>
      <c r="B1798" s="127"/>
      <c r="C1798" s="127"/>
      <c r="D1798" s="127"/>
      <c r="E1798" s="127"/>
      <c r="F1798" s="127"/>
      <c r="G1798" s="127"/>
      <c r="H1798" s="127"/>
      <c r="I1798" s="127"/>
      <c r="J1798" s="127"/>
      <c r="K1798" s="127"/>
      <c r="L1798" s="144"/>
      <c r="M1798" s="22" t="s">
        <v>7699</v>
      </c>
      <c r="N1798" s="84" t="str">
        <f>HYPERLINK("#N"&amp;ROW(N1799),"_x0005_`BDCOD|B05359_x0007_`POSS|"&amp;ROW(N1799)&amp;"_x0007_`POSE|"&amp;ROW(N1799)&amp;"_x0007_`")</f>
        <v>_x0005_`BDCOD|B05359_x0007_`POSS|1799_x0007_`POSE|1799_x0007_`</v>
      </c>
      <c r="O1798" s="7" t="s">
        <v>7700</v>
      </c>
    </row>
    <row r="1799" spans="1:26" ht="28.7" customHeight="1" x14ac:dyDescent="0.3">
      <c r="A1799" s="10" t="s">
        <v>1845</v>
      </c>
      <c r="B1799" s="10" t="s">
        <v>1569</v>
      </c>
      <c r="C1799" s="75">
        <v>1</v>
      </c>
      <c r="D1799" s="31" t="s">
        <v>1010</v>
      </c>
      <c r="E1799" s="55">
        <f>I1799+G1799+K1799</f>
        <v>135585</v>
      </c>
      <c r="F1799" s="76">
        <f>J1799+H1799+L1799</f>
        <v>135585</v>
      </c>
      <c r="G1799" s="78">
        <f>일위대가목록표!F720</f>
        <v>135585</v>
      </c>
      <c r="H1799" s="80">
        <f>IF(C1799=0,0,ROUNDDOWN(G1799*C1799,1))</f>
        <v>135585</v>
      </c>
      <c r="I1799" s="78">
        <f>일위대가목록표!G720</f>
        <v>0</v>
      </c>
      <c r="J1799" s="80">
        <f>IF(C1799=0,0,ROUNDDOWN(I1799*C1799,1))</f>
        <v>0</v>
      </c>
      <c r="K1799" s="78">
        <f>일위대가목록표!H720</f>
        <v>0</v>
      </c>
      <c r="L1799" s="80">
        <f>IF(C1799=0,0,ROUNDDOWN(K1799*C1799,1))</f>
        <v>0</v>
      </c>
      <c r="M1799" s="22" t="s">
        <v>7703</v>
      </c>
      <c r="N1799" s="17" t="s">
        <v>7701</v>
      </c>
      <c r="O1799" s="7" t="s">
        <v>7702</v>
      </c>
      <c r="P1799" s="7" t="s">
        <v>6406</v>
      </c>
      <c r="Z1799" s="3" t="str">
        <f ca="1">HYPERLINK("#"&amp;일위대가목록표!J2&amp;"!A"&amp;ROW(일위대가목록표!A720),"대가717 →")</f>
        <v>대가717 →</v>
      </c>
    </row>
    <row r="1800" spans="1:26" ht="28.7" customHeight="1" x14ac:dyDescent="0.3">
      <c r="A1800" s="22" t="s">
        <v>6</v>
      </c>
      <c r="B1800" s="74"/>
      <c r="C1800" s="74"/>
      <c r="D1800" s="74"/>
      <c r="E1800" s="74"/>
      <c r="F1800" s="48">
        <f>J1800+H1800+L1800</f>
        <v>135585</v>
      </c>
      <c r="G1800" s="74"/>
      <c r="H1800" s="48">
        <f>ROUNDDOWN(SUMIF(P1799:P1799,O1800,H1799:H1799),0)</f>
        <v>135585</v>
      </c>
      <c r="I1800" s="74"/>
      <c r="J1800" s="48">
        <f>ROUNDDOWN(SUMIF(P1799:P1799,O1800,J1799:J1799),0)</f>
        <v>0</v>
      </c>
      <c r="K1800" s="74"/>
      <c r="L1800" s="48">
        <f>ROUNDDOWN(SUMIF(P1799:P1799,O1800,L1799:L1799),0)</f>
        <v>0</v>
      </c>
      <c r="M1800" s="74"/>
      <c r="O1800" s="7" t="s">
        <v>6406</v>
      </c>
    </row>
    <row r="1801" spans="1:26" ht="28.7" customHeight="1" x14ac:dyDescent="0.3">
      <c r="A1801" s="73"/>
      <c r="B1801" s="73"/>
      <c r="C1801" s="73"/>
      <c r="D1801" s="73"/>
      <c r="E1801" s="73"/>
      <c r="F1801" s="73"/>
      <c r="G1801" s="73"/>
      <c r="H1801" s="73"/>
      <c r="I1801" s="73"/>
      <c r="J1801" s="73"/>
      <c r="K1801" s="73"/>
      <c r="L1801" s="73"/>
      <c r="M1801" s="73"/>
    </row>
    <row r="1802" spans="1:26" ht="28.7" customHeight="1" x14ac:dyDescent="0.3">
      <c r="A1802" s="136" t="s">
        <v>1036</v>
      </c>
      <c r="B1802" s="127"/>
      <c r="C1802" s="127"/>
      <c r="D1802" s="127"/>
      <c r="E1802" s="127"/>
      <c r="F1802" s="127"/>
      <c r="G1802" s="127"/>
      <c r="H1802" s="127"/>
      <c r="I1802" s="127"/>
      <c r="J1802" s="127"/>
      <c r="K1802" s="127"/>
      <c r="L1802" s="144"/>
      <c r="M1802" s="22" t="s">
        <v>7704</v>
      </c>
      <c r="N1802" s="84" t="str">
        <f>HYPERLINK("#N"&amp;ROW(N1803),"_x0005_`BDCOD|B05360_x0007_`POSS|"&amp;ROW(N1803)&amp;"_x0007_`POSE|"&amp;ROW(N1803)&amp;"_x0007_`")</f>
        <v>_x0005_`BDCOD|B05360_x0007_`POSS|1803_x0007_`POSE|1803_x0007_`</v>
      </c>
      <c r="O1802" s="7" t="s">
        <v>7705</v>
      </c>
    </row>
    <row r="1803" spans="1:26" ht="28.7" customHeight="1" x14ac:dyDescent="0.3">
      <c r="A1803" s="10" t="s">
        <v>1845</v>
      </c>
      <c r="B1803" s="10" t="s">
        <v>1572</v>
      </c>
      <c r="C1803" s="75">
        <v>1</v>
      </c>
      <c r="D1803" s="31" t="s">
        <v>1010</v>
      </c>
      <c r="E1803" s="55">
        <f>I1803+G1803+K1803</f>
        <v>176338</v>
      </c>
      <c r="F1803" s="76">
        <f>J1803+H1803+L1803</f>
        <v>176338</v>
      </c>
      <c r="G1803" s="78">
        <f>일위대가목록표!F723</f>
        <v>176338</v>
      </c>
      <c r="H1803" s="80">
        <f>IF(C1803=0,0,ROUNDDOWN(G1803*C1803,1))</f>
        <v>176338</v>
      </c>
      <c r="I1803" s="78">
        <f>일위대가목록표!G723</f>
        <v>0</v>
      </c>
      <c r="J1803" s="80">
        <f>IF(C1803=0,0,ROUNDDOWN(I1803*C1803,1))</f>
        <v>0</v>
      </c>
      <c r="K1803" s="78">
        <f>일위대가목록표!H723</f>
        <v>0</v>
      </c>
      <c r="L1803" s="80">
        <f>IF(C1803=0,0,ROUNDDOWN(K1803*C1803,1))</f>
        <v>0</v>
      </c>
      <c r="M1803" s="22" t="s">
        <v>7708</v>
      </c>
      <c r="N1803" s="17" t="s">
        <v>7706</v>
      </c>
      <c r="O1803" s="7" t="s">
        <v>7707</v>
      </c>
      <c r="P1803" s="7" t="s">
        <v>6406</v>
      </c>
      <c r="Z1803" s="3" t="str">
        <f ca="1">HYPERLINK("#"&amp;일위대가목록표!J2&amp;"!A"&amp;ROW(일위대가목록표!A723),"대가720 →")</f>
        <v>대가720 →</v>
      </c>
    </row>
    <row r="1804" spans="1:26" ht="28.7" customHeight="1" x14ac:dyDescent="0.3">
      <c r="A1804" s="22" t="s">
        <v>6</v>
      </c>
      <c r="B1804" s="74"/>
      <c r="C1804" s="74"/>
      <c r="D1804" s="74"/>
      <c r="E1804" s="74"/>
      <c r="F1804" s="48">
        <f>J1804+H1804+L1804</f>
        <v>176338</v>
      </c>
      <c r="G1804" s="74"/>
      <c r="H1804" s="48">
        <f>ROUNDDOWN(SUMIF(P1803:P1803,O1804,H1803:H1803),0)</f>
        <v>176338</v>
      </c>
      <c r="I1804" s="74"/>
      <c r="J1804" s="48">
        <f>ROUNDDOWN(SUMIF(P1803:P1803,O1804,J1803:J1803),0)</f>
        <v>0</v>
      </c>
      <c r="K1804" s="74"/>
      <c r="L1804" s="48">
        <f>ROUNDDOWN(SUMIF(P1803:P1803,O1804,L1803:L1803),0)</f>
        <v>0</v>
      </c>
      <c r="M1804" s="74"/>
      <c r="O1804" s="7" t="s">
        <v>6406</v>
      </c>
    </row>
    <row r="1805" spans="1:26" ht="28.7" customHeight="1" x14ac:dyDescent="0.3">
      <c r="A1805" s="73"/>
      <c r="B1805" s="73"/>
      <c r="C1805" s="73"/>
      <c r="D1805" s="73"/>
      <c r="E1805" s="73"/>
      <c r="F1805" s="73"/>
      <c r="G1805" s="73"/>
      <c r="H1805" s="73"/>
      <c r="I1805" s="73"/>
      <c r="J1805" s="73"/>
      <c r="K1805" s="73"/>
      <c r="L1805" s="73"/>
      <c r="M1805" s="73"/>
    </row>
    <row r="1806" spans="1:26" ht="28.7" customHeight="1" x14ac:dyDescent="0.3">
      <c r="A1806" s="136" t="s">
        <v>1038</v>
      </c>
      <c r="B1806" s="127"/>
      <c r="C1806" s="127"/>
      <c r="D1806" s="127"/>
      <c r="E1806" s="127"/>
      <c r="F1806" s="127"/>
      <c r="G1806" s="127"/>
      <c r="H1806" s="127"/>
      <c r="I1806" s="127"/>
      <c r="J1806" s="127"/>
      <c r="K1806" s="127"/>
      <c r="L1806" s="144"/>
      <c r="M1806" s="22" t="s">
        <v>7709</v>
      </c>
      <c r="N1806" s="84" t="str">
        <f>HYPERLINK("#N"&amp;ROW(N1807),"_x0005_`BDCOD|B05361_x0007_`POSS|"&amp;ROW(N1807)&amp;"_x0007_`POSE|"&amp;ROW(N1807)&amp;"_x0007_`")</f>
        <v>_x0005_`BDCOD|B05361_x0007_`POSS|1807_x0007_`POSE|1807_x0007_`</v>
      </c>
      <c r="O1806" s="7" t="s">
        <v>7710</v>
      </c>
    </row>
    <row r="1807" spans="1:26" ht="28.7" customHeight="1" x14ac:dyDescent="0.3">
      <c r="A1807" s="10" t="s">
        <v>1842</v>
      </c>
      <c r="B1807" s="10" t="s">
        <v>1839</v>
      </c>
      <c r="C1807" s="75">
        <v>1</v>
      </c>
      <c r="D1807" s="31" t="s">
        <v>1010</v>
      </c>
      <c r="E1807" s="55">
        <f>I1807+G1807+K1807</f>
        <v>29649</v>
      </c>
      <c r="F1807" s="76">
        <f>J1807+H1807+L1807</f>
        <v>29649</v>
      </c>
      <c r="G1807" s="78">
        <f>일위대가목록표!F713</f>
        <v>28786</v>
      </c>
      <c r="H1807" s="80">
        <f>IF(C1807=0,0,ROUNDDOWN(G1807*C1807,1))</f>
        <v>28786</v>
      </c>
      <c r="I1807" s="78">
        <f>일위대가목록표!G713</f>
        <v>0</v>
      </c>
      <c r="J1807" s="80">
        <f>IF(C1807=0,0,ROUNDDOWN(I1807*C1807,1))</f>
        <v>0</v>
      </c>
      <c r="K1807" s="78">
        <f>일위대가목록표!H713</f>
        <v>863</v>
      </c>
      <c r="L1807" s="80">
        <f>IF(C1807=0,0,ROUNDDOWN(K1807*C1807,1))</f>
        <v>863</v>
      </c>
      <c r="M1807" s="22" t="s">
        <v>7713</v>
      </c>
      <c r="N1807" s="17" t="s">
        <v>7711</v>
      </c>
      <c r="O1807" s="7" t="s">
        <v>7712</v>
      </c>
      <c r="P1807" s="7" t="s">
        <v>6406</v>
      </c>
      <c r="Z1807" s="3" t="str">
        <f ca="1">HYPERLINK("#"&amp;일위대가목록표!J2&amp;"!A"&amp;ROW(일위대가목록표!A713),"대가710 →")</f>
        <v>대가710 →</v>
      </c>
    </row>
    <row r="1808" spans="1:26" ht="28.7" customHeight="1" x14ac:dyDescent="0.3">
      <c r="A1808" s="22" t="s">
        <v>6</v>
      </c>
      <c r="B1808" s="74"/>
      <c r="C1808" s="74"/>
      <c r="D1808" s="74"/>
      <c r="E1808" s="74"/>
      <c r="F1808" s="48">
        <f>J1808+H1808+L1808</f>
        <v>29649</v>
      </c>
      <c r="G1808" s="74"/>
      <c r="H1808" s="48">
        <f>ROUNDDOWN(SUMIF(P1807:P1807,O1808,H1807:H1807),0)</f>
        <v>28786</v>
      </c>
      <c r="I1808" s="74"/>
      <c r="J1808" s="48">
        <f>ROUNDDOWN(SUMIF(P1807:P1807,O1808,J1807:J1807),0)</f>
        <v>0</v>
      </c>
      <c r="K1808" s="74"/>
      <c r="L1808" s="48">
        <f>ROUNDDOWN(SUMIF(P1807:P1807,O1808,L1807:L1807),0)</f>
        <v>863</v>
      </c>
      <c r="M1808" s="74"/>
      <c r="O1808" s="7" t="s">
        <v>6406</v>
      </c>
    </row>
    <row r="1809" spans="1:26" ht="28.7" customHeight="1" x14ac:dyDescent="0.3">
      <c r="A1809" s="73"/>
      <c r="B1809" s="73"/>
      <c r="C1809" s="73"/>
      <c r="D1809" s="73"/>
      <c r="E1809" s="73"/>
      <c r="F1809" s="73"/>
      <c r="G1809" s="73"/>
      <c r="H1809" s="73"/>
      <c r="I1809" s="73"/>
      <c r="J1809" s="73"/>
      <c r="K1809" s="73"/>
      <c r="L1809" s="73"/>
      <c r="M1809" s="73"/>
    </row>
    <row r="1810" spans="1:26" ht="28.7" customHeight="1" x14ac:dyDescent="0.3">
      <c r="A1810" s="136" t="s">
        <v>1041</v>
      </c>
      <c r="B1810" s="127"/>
      <c r="C1810" s="127"/>
      <c r="D1810" s="127"/>
      <c r="E1810" s="127"/>
      <c r="F1810" s="127"/>
      <c r="G1810" s="127"/>
      <c r="H1810" s="127"/>
      <c r="I1810" s="127"/>
      <c r="J1810" s="127"/>
      <c r="K1810" s="127"/>
      <c r="L1810" s="144"/>
      <c r="M1810" s="22" t="s">
        <v>7714</v>
      </c>
      <c r="N1810" s="84" t="str">
        <f>HYPERLINK("#N"&amp;ROW(N1811),"_x0005_`BDCOD|B05362_x0007_`POSS|"&amp;ROW(N1811)&amp;"_x0007_`POSE|"&amp;ROW(N1811)&amp;"_x0007_`")</f>
        <v>_x0005_`BDCOD|B05362_x0007_`POSS|1811_x0007_`POSE|1811_x0007_`</v>
      </c>
      <c r="O1810" s="7" t="s">
        <v>7715</v>
      </c>
    </row>
    <row r="1811" spans="1:26" ht="28.7" customHeight="1" x14ac:dyDescent="0.3">
      <c r="A1811" s="10" t="s">
        <v>1842</v>
      </c>
      <c r="B1811" s="10" t="s">
        <v>1848</v>
      </c>
      <c r="C1811" s="75">
        <v>1</v>
      </c>
      <c r="D1811" s="31" t="s">
        <v>1010</v>
      </c>
      <c r="E1811" s="55">
        <f>I1811+G1811+K1811</f>
        <v>41619</v>
      </c>
      <c r="F1811" s="76">
        <f>J1811+H1811+L1811</f>
        <v>41619</v>
      </c>
      <c r="G1811" s="78">
        <f>일위대가목록표!F716</f>
        <v>41619</v>
      </c>
      <c r="H1811" s="80">
        <f>IF(C1811=0,0,ROUNDDOWN(G1811*C1811,1))</f>
        <v>41619</v>
      </c>
      <c r="I1811" s="78">
        <f>일위대가목록표!G716</f>
        <v>0</v>
      </c>
      <c r="J1811" s="80">
        <f>IF(C1811=0,0,ROUNDDOWN(I1811*C1811,1))</f>
        <v>0</v>
      </c>
      <c r="K1811" s="78">
        <f>일위대가목록표!H716</f>
        <v>0</v>
      </c>
      <c r="L1811" s="80">
        <f>IF(C1811=0,0,ROUNDDOWN(K1811*C1811,1))</f>
        <v>0</v>
      </c>
      <c r="M1811" s="22" t="s">
        <v>7718</v>
      </c>
      <c r="N1811" s="17" t="s">
        <v>7716</v>
      </c>
      <c r="O1811" s="7" t="s">
        <v>7717</v>
      </c>
      <c r="P1811" s="7" t="s">
        <v>6406</v>
      </c>
      <c r="Z1811" s="3" t="str">
        <f ca="1">HYPERLINK("#"&amp;일위대가목록표!J2&amp;"!A"&amp;ROW(일위대가목록표!A716),"대가713 →")</f>
        <v>대가713 →</v>
      </c>
    </row>
    <row r="1812" spans="1:26" ht="28.7" customHeight="1" x14ac:dyDescent="0.3">
      <c r="A1812" s="22" t="s">
        <v>6</v>
      </c>
      <c r="B1812" s="74"/>
      <c r="C1812" s="74"/>
      <c r="D1812" s="74"/>
      <c r="E1812" s="74"/>
      <c r="F1812" s="48">
        <f>J1812+H1812+L1812</f>
        <v>41619</v>
      </c>
      <c r="G1812" s="74"/>
      <c r="H1812" s="48">
        <f>ROUNDDOWN(SUMIF(P1811:P1811,O1812,H1811:H1811),0)</f>
        <v>41619</v>
      </c>
      <c r="I1812" s="74"/>
      <c r="J1812" s="48">
        <f>ROUNDDOWN(SUMIF(P1811:P1811,O1812,J1811:J1811),0)</f>
        <v>0</v>
      </c>
      <c r="K1812" s="74"/>
      <c r="L1812" s="48">
        <f>ROUNDDOWN(SUMIF(P1811:P1811,O1812,L1811:L1811),0)</f>
        <v>0</v>
      </c>
      <c r="M1812" s="74"/>
      <c r="O1812" s="7" t="s">
        <v>6406</v>
      </c>
    </row>
    <row r="1813" spans="1:26" ht="28.7" customHeight="1" x14ac:dyDescent="0.3">
      <c r="A1813" s="73"/>
      <c r="B1813" s="73"/>
      <c r="C1813" s="73"/>
      <c r="D1813" s="73"/>
      <c r="E1813" s="73"/>
      <c r="F1813" s="73"/>
      <c r="G1813" s="73"/>
      <c r="H1813" s="73"/>
      <c r="I1813" s="73"/>
      <c r="J1813" s="73"/>
      <c r="K1813" s="73"/>
      <c r="L1813" s="73"/>
      <c r="M1813" s="73"/>
    </row>
    <row r="1814" spans="1:26" ht="28.7" customHeight="1" x14ac:dyDescent="0.3">
      <c r="A1814" s="136" t="s">
        <v>1043</v>
      </c>
      <c r="B1814" s="127"/>
      <c r="C1814" s="127"/>
      <c r="D1814" s="127"/>
      <c r="E1814" s="127"/>
      <c r="F1814" s="127"/>
      <c r="G1814" s="127"/>
      <c r="H1814" s="127"/>
      <c r="I1814" s="127"/>
      <c r="J1814" s="127"/>
      <c r="K1814" s="127"/>
      <c r="L1814" s="144"/>
      <c r="M1814" s="22" t="s">
        <v>7719</v>
      </c>
      <c r="N1814" s="84" t="str">
        <f>HYPERLINK("#N"&amp;ROW(N1815),"_x0005_`BDCOD|B05363_x0007_`POSS|"&amp;ROW(N1815)&amp;"_x0007_`POSE|"&amp;ROW(N1815)&amp;"_x0007_`")</f>
        <v>_x0005_`BDCOD|B05363_x0007_`POSS|1815_x0007_`POSE|1815_x0007_`</v>
      </c>
      <c r="O1814" s="7" t="s">
        <v>7720</v>
      </c>
    </row>
    <row r="1815" spans="1:26" ht="28.7" customHeight="1" x14ac:dyDescent="0.3">
      <c r="A1815" s="10" t="s">
        <v>1842</v>
      </c>
      <c r="B1815" s="10" t="s">
        <v>1855</v>
      </c>
      <c r="C1815" s="75">
        <v>1</v>
      </c>
      <c r="D1815" s="31" t="s">
        <v>1010</v>
      </c>
      <c r="E1815" s="55">
        <f>I1815+G1815+K1815</f>
        <v>54234</v>
      </c>
      <c r="F1815" s="76">
        <f>J1815+H1815+L1815</f>
        <v>54234</v>
      </c>
      <c r="G1815" s="78">
        <f>일위대가목록표!F719</f>
        <v>54234</v>
      </c>
      <c r="H1815" s="80">
        <f>IF(C1815=0,0,ROUNDDOWN(G1815*C1815,1))</f>
        <v>54234</v>
      </c>
      <c r="I1815" s="78">
        <f>일위대가목록표!G719</f>
        <v>0</v>
      </c>
      <c r="J1815" s="80">
        <f>IF(C1815=0,0,ROUNDDOWN(I1815*C1815,1))</f>
        <v>0</v>
      </c>
      <c r="K1815" s="78">
        <f>일위대가목록표!H719</f>
        <v>0</v>
      </c>
      <c r="L1815" s="80">
        <f>IF(C1815=0,0,ROUNDDOWN(K1815*C1815,1))</f>
        <v>0</v>
      </c>
      <c r="M1815" s="22" t="s">
        <v>7723</v>
      </c>
      <c r="N1815" s="17" t="s">
        <v>7721</v>
      </c>
      <c r="O1815" s="7" t="s">
        <v>7722</v>
      </c>
      <c r="P1815" s="7" t="s">
        <v>6406</v>
      </c>
      <c r="Z1815" s="3" t="str">
        <f ca="1">HYPERLINK("#"&amp;일위대가목록표!J2&amp;"!A"&amp;ROW(일위대가목록표!A719),"대가716 →")</f>
        <v>대가716 →</v>
      </c>
    </row>
    <row r="1816" spans="1:26" ht="28.7" customHeight="1" x14ac:dyDescent="0.3">
      <c r="A1816" s="22" t="s">
        <v>6</v>
      </c>
      <c r="B1816" s="74"/>
      <c r="C1816" s="74"/>
      <c r="D1816" s="74"/>
      <c r="E1816" s="74"/>
      <c r="F1816" s="48">
        <f>J1816+H1816+L1816</f>
        <v>54234</v>
      </c>
      <c r="G1816" s="74"/>
      <c r="H1816" s="48">
        <f>ROUNDDOWN(SUMIF(P1815:P1815,O1816,H1815:H1815),0)</f>
        <v>54234</v>
      </c>
      <c r="I1816" s="74"/>
      <c r="J1816" s="48">
        <f>ROUNDDOWN(SUMIF(P1815:P1815,O1816,J1815:J1815),0)</f>
        <v>0</v>
      </c>
      <c r="K1816" s="74"/>
      <c r="L1816" s="48">
        <f>ROUNDDOWN(SUMIF(P1815:P1815,O1816,L1815:L1815),0)</f>
        <v>0</v>
      </c>
      <c r="M1816" s="74"/>
      <c r="O1816" s="7" t="s">
        <v>6406</v>
      </c>
    </row>
    <row r="1817" spans="1:26" ht="28.7" customHeight="1" x14ac:dyDescent="0.3">
      <c r="A1817" s="73"/>
      <c r="B1817" s="73"/>
      <c r="C1817" s="73"/>
      <c r="D1817" s="73"/>
      <c r="E1817" s="73"/>
      <c r="F1817" s="73"/>
      <c r="G1817" s="73"/>
      <c r="H1817" s="73"/>
      <c r="I1817" s="73"/>
      <c r="J1817" s="73"/>
      <c r="K1817" s="73"/>
      <c r="L1817" s="73"/>
      <c r="M1817" s="73"/>
    </row>
    <row r="1818" spans="1:26" ht="28.7" customHeight="1" x14ac:dyDescent="0.3">
      <c r="A1818" s="136" t="s">
        <v>1045</v>
      </c>
      <c r="B1818" s="127"/>
      <c r="C1818" s="127"/>
      <c r="D1818" s="127"/>
      <c r="E1818" s="127"/>
      <c r="F1818" s="127"/>
      <c r="G1818" s="127"/>
      <c r="H1818" s="127"/>
      <c r="I1818" s="127"/>
      <c r="J1818" s="127"/>
      <c r="K1818" s="127"/>
      <c r="L1818" s="144"/>
      <c r="M1818" s="22" t="s">
        <v>7724</v>
      </c>
      <c r="N1818" s="84" t="str">
        <f>HYPERLINK("#N"&amp;ROW(N1819),"_x0005_`BDCOD|B05364_x0007_`POSS|"&amp;ROW(N1819)&amp;"_x0007_`POSE|"&amp;ROW(N1819)&amp;"_x0007_`")</f>
        <v>_x0005_`BDCOD|B05364_x0007_`POSS|1819_x0007_`POSE|1819_x0007_`</v>
      </c>
      <c r="O1818" s="7" t="s">
        <v>7725</v>
      </c>
    </row>
    <row r="1819" spans="1:26" ht="28.7" customHeight="1" x14ac:dyDescent="0.3">
      <c r="A1819" s="10" t="s">
        <v>1842</v>
      </c>
      <c r="B1819" s="10" t="s">
        <v>1862</v>
      </c>
      <c r="C1819" s="75">
        <v>1</v>
      </c>
      <c r="D1819" s="31" t="s">
        <v>1010</v>
      </c>
      <c r="E1819" s="55">
        <f>I1819+G1819+K1819</f>
        <v>70535</v>
      </c>
      <c r="F1819" s="76">
        <f>J1819+H1819+L1819</f>
        <v>70535</v>
      </c>
      <c r="G1819" s="78">
        <f>일위대가목록표!F722</f>
        <v>70535</v>
      </c>
      <c r="H1819" s="80">
        <f>IF(C1819=0,0,ROUNDDOWN(G1819*C1819,1))</f>
        <v>70535</v>
      </c>
      <c r="I1819" s="78">
        <f>일위대가목록표!G722</f>
        <v>0</v>
      </c>
      <c r="J1819" s="80">
        <f>IF(C1819=0,0,ROUNDDOWN(I1819*C1819,1))</f>
        <v>0</v>
      </c>
      <c r="K1819" s="78">
        <f>일위대가목록표!H722</f>
        <v>0</v>
      </c>
      <c r="L1819" s="80">
        <f>IF(C1819=0,0,ROUNDDOWN(K1819*C1819,1))</f>
        <v>0</v>
      </c>
      <c r="M1819" s="22" t="s">
        <v>7728</v>
      </c>
      <c r="N1819" s="17" t="s">
        <v>7726</v>
      </c>
      <c r="O1819" s="7" t="s">
        <v>7727</v>
      </c>
      <c r="P1819" s="7" t="s">
        <v>6406</v>
      </c>
      <c r="Z1819" s="3" t="str">
        <f ca="1">HYPERLINK("#"&amp;일위대가목록표!J2&amp;"!A"&amp;ROW(일위대가목록표!A722),"대가719 →")</f>
        <v>대가719 →</v>
      </c>
    </row>
    <row r="1820" spans="1:26" ht="28.7" customHeight="1" x14ac:dyDescent="0.3">
      <c r="A1820" s="22" t="s">
        <v>6</v>
      </c>
      <c r="B1820" s="74"/>
      <c r="C1820" s="74"/>
      <c r="D1820" s="74"/>
      <c r="E1820" s="74"/>
      <c r="F1820" s="48">
        <f>J1820+H1820+L1820</f>
        <v>70535</v>
      </c>
      <c r="G1820" s="74"/>
      <c r="H1820" s="48">
        <f>ROUNDDOWN(SUMIF(P1819:P1819,O1820,H1819:H1819),0)</f>
        <v>70535</v>
      </c>
      <c r="I1820" s="74"/>
      <c r="J1820" s="48">
        <f>ROUNDDOWN(SUMIF(P1819:P1819,O1820,J1819:J1819),0)</f>
        <v>0</v>
      </c>
      <c r="K1820" s="74"/>
      <c r="L1820" s="48">
        <f>ROUNDDOWN(SUMIF(P1819:P1819,O1820,L1819:L1819),0)</f>
        <v>0</v>
      </c>
      <c r="M1820" s="74"/>
      <c r="O1820" s="7" t="s">
        <v>6406</v>
      </c>
    </row>
    <row r="1821" spans="1:26" ht="28.7" customHeight="1" x14ac:dyDescent="0.3">
      <c r="A1821" s="73"/>
      <c r="B1821" s="73"/>
      <c r="C1821" s="73"/>
      <c r="D1821" s="73"/>
      <c r="E1821" s="73"/>
      <c r="F1821" s="73"/>
      <c r="G1821" s="73"/>
      <c r="H1821" s="73"/>
      <c r="I1821" s="73"/>
      <c r="J1821" s="73"/>
      <c r="K1821" s="73"/>
      <c r="L1821" s="73"/>
      <c r="M1821" s="73"/>
    </row>
    <row r="1822" spans="1:26" ht="28.7" customHeight="1" x14ac:dyDescent="0.3">
      <c r="A1822" s="136" t="s">
        <v>1047</v>
      </c>
      <c r="B1822" s="127"/>
      <c r="C1822" s="127"/>
      <c r="D1822" s="127"/>
      <c r="E1822" s="127"/>
      <c r="F1822" s="127"/>
      <c r="G1822" s="127"/>
      <c r="H1822" s="127"/>
      <c r="I1822" s="127"/>
      <c r="J1822" s="127"/>
      <c r="K1822" s="127"/>
      <c r="L1822" s="144"/>
      <c r="M1822" s="22" t="s">
        <v>7729</v>
      </c>
      <c r="N1822" s="84" t="str">
        <f>HYPERLINK("#N"&amp;ROW(N1824),"_x0005_`BDCOD|B05012_x0007_`POSS|"&amp;ROW(N1823)&amp;"_x0007_`POSE|"&amp;ROW(N1824)&amp;"_x0007_`")</f>
        <v>_x0005_`BDCOD|B05012_x0007_`POSS|1823_x0007_`POSE|1824_x0007_`</v>
      </c>
      <c r="O1822" s="7" t="s">
        <v>7730</v>
      </c>
    </row>
    <row r="1823" spans="1:26" ht="28.7" customHeight="1" x14ac:dyDescent="0.3">
      <c r="A1823" s="10" t="s">
        <v>1838</v>
      </c>
      <c r="B1823" s="10" t="s">
        <v>1869</v>
      </c>
      <c r="C1823" s="75">
        <v>1</v>
      </c>
      <c r="D1823" s="31" t="s">
        <v>1010</v>
      </c>
      <c r="E1823" s="55">
        <f>I1823+G1823+K1823</f>
        <v>60695</v>
      </c>
      <c r="F1823" s="76">
        <f>J1823+H1823+L1823</f>
        <v>60695</v>
      </c>
      <c r="G1823" s="78">
        <f>일위대가목록표!F724</f>
        <v>60695</v>
      </c>
      <c r="H1823" s="80">
        <f>IF(C1823=0,0,ROUNDDOWN(G1823*C1823,1))</f>
        <v>60695</v>
      </c>
      <c r="I1823" s="78">
        <f>일위대가목록표!G724</f>
        <v>0</v>
      </c>
      <c r="J1823" s="80">
        <f>IF(C1823=0,0,ROUNDDOWN(I1823*C1823,1))</f>
        <v>0</v>
      </c>
      <c r="K1823" s="78">
        <f>일위대가목록표!H724</f>
        <v>0</v>
      </c>
      <c r="L1823" s="80">
        <f>IF(C1823=0,0,ROUNDDOWN(K1823*C1823,1))</f>
        <v>0</v>
      </c>
      <c r="M1823" s="22" t="s">
        <v>7733</v>
      </c>
      <c r="N1823" s="17" t="s">
        <v>7731</v>
      </c>
      <c r="O1823" s="7" t="s">
        <v>7732</v>
      </c>
      <c r="P1823" s="7" t="s">
        <v>6406</v>
      </c>
      <c r="Z1823" s="3" t="str">
        <f ca="1">HYPERLINK("#"&amp;일위대가목록표!J2&amp;"!A"&amp;ROW(일위대가목록표!A724),"대가721 →")</f>
        <v>대가721 →</v>
      </c>
    </row>
    <row r="1824" spans="1:26" ht="28.7" customHeight="1" x14ac:dyDescent="0.3">
      <c r="A1824" s="10" t="s">
        <v>2653</v>
      </c>
      <c r="B1824" s="10" t="s">
        <v>1050</v>
      </c>
      <c r="C1824" s="75">
        <v>1</v>
      </c>
      <c r="D1824" s="31" t="s">
        <v>1010</v>
      </c>
      <c r="E1824" s="55">
        <f>I1824+G1824+K1824</f>
        <v>330000</v>
      </c>
      <c r="F1824" s="77">
        <f>J1824+H1824+L1824</f>
        <v>330000</v>
      </c>
      <c r="G1824" s="51">
        <v>0</v>
      </c>
      <c r="H1824" s="76">
        <f>IF(C1824=0,0,ROUNDDOWN(G1824*C1824,1))</f>
        <v>0</v>
      </c>
      <c r="I1824" s="78">
        <f>재료비목록표!E220</f>
        <v>330000</v>
      </c>
      <c r="J1824" s="81">
        <f>IF(C1824=0,0,ROUNDDOWN(I1824*C1824,1))</f>
        <v>330000</v>
      </c>
      <c r="K1824" s="51">
        <v>0</v>
      </c>
      <c r="L1824" s="76">
        <f>IF(C1824=0,0,ROUNDDOWN(K1824*C1824,1))</f>
        <v>0</v>
      </c>
      <c r="M1824" s="22" t="s">
        <v>7736</v>
      </c>
      <c r="N1824" s="17" t="s">
        <v>7734</v>
      </c>
      <c r="O1824" s="7" t="s">
        <v>7735</v>
      </c>
      <c r="P1824" s="7" t="s">
        <v>6406</v>
      </c>
      <c r="Z1824" s="3" t="str">
        <f ca="1">HYPERLINK("#"&amp;재료비목록표!G2&amp;"!A"&amp;ROW(재료비목록표!A220),"자재217 →")</f>
        <v>자재217 →</v>
      </c>
    </row>
    <row r="1825" spans="1:26" ht="28.7" customHeight="1" x14ac:dyDescent="0.3">
      <c r="A1825" s="22" t="s">
        <v>6</v>
      </c>
      <c r="B1825" s="74"/>
      <c r="C1825" s="74"/>
      <c r="D1825" s="74"/>
      <c r="E1825" s="74"/>
      <c r="F1825" s="48">
        <f>J1825+H1825+L1825</f>
        <v>390695</v>
      </c>
      <c r="G1825" s="74"/>
      <c r="H1825" s="48">
        <f>ROUNDDOWN(SUMIF(P1823:P1824,O1825,H1823:H1824),0)</f>
        <v>60695</v>
      </c>
      <c r="I1825" s="74"/>
      <c r="J1825" s="48">
        <f>ROUNDDOWN(SUMIF(P1823:P1824,O1825,J1823:J1824),0)</f>
        <v>330000</v>
      </c>
      <c r="K1825" s="74"/>
      <c r="L1825" s="48">
        <f>ROUNDDOWN(SUMIF(P1823:P1824,O1825,L1823:L1824),0)</f>
        <v>0</v>
      </c>
      <c r="M1825" s="74"/>
      <c r="O1825" s="7" t="s">
        <v>6406</v>
      </c>
    </row>
    <row r="1826" spans="1:26" ht="28.7" customHeight="1" x14ac:dyDescent="0.3">
      <c r="A1826" s="73"/>
      <c r="B1826" s="73"/>
      <c r="C1826" s="73"/>
      <c r="D1826" s="73"/>
      <c r="E1826" s="73"/>
      <c r="F1826" s="73"/>
      <c r="G1826" s="73"/>
      <c r="H1826" s="73"/>
      <c r="I1826" s="73"/>
      <c r="J1826" s="73"/>
      <c r="K1826" s="73"/>
      <c r="L1826" s="73"/>
      <c r="M1826" s="73"/>
    </row>
    <row r="1827" spans="1:26" ht="28.7" customHeight="1" x14ac:dyDescent="0.3">
      <c r="A1827" s="136" t="s">
        <v>1051</v>
      </c>
      <c r="B1827" s="127"/>
      <c r="C1827" s="127"/>
      <c r="D1827" s="127"/>
      <c r="E1827" s="127"/>
      <c r="F1827" s="127"/>
      <c r="G1827" s="127"/>
      <c r="H1827" s="127"/>
      <c r="I1827" s="127"/>
      <c r="J1827" s="127"/>
      <c r="K1827" s="127"/>
      <c r="L1827" s="144"/>
      <c r="M1827" s="22" t="s">
        <v>7737</v>
      </c>
      <c r="N1827" s="84" t="str">
        <f>HYPERLINK("#N"&amp;ROW(N1829),"_x0005_`BDCOD|B05013_x0007_`POSS|"&amp;ROW(N1828)&amp;"_x0007_`POSE|"&amp;ROW(N1829)&amp;"_x0007_`")</f>
        <v>_x0005_`BDCOD|B05013_x0007_`POSS|1828_x0007_`POSE|1829_x0007_`</v>
      </c>
      <c r="O1827" s="7" t="s">
        <v>7738</v>
      </c>
    </row>
    <row r="1828" spans="1:26" ht="28.7" customHeight="1" x14ac:dyDescent="0.3">
      <c r="A1828" s="10" t="s">
        <v>1838</v>
      </c>
      <c r="B1828" s="10" t="s">
        <v>1839</v>
      </c>
      <c r="C1828" s="75">
        <v>1</v>
      </c>
      <c r="D1828" s="31" t="s">
        <v>1010</v>
      </c>
      <c r="E1828" s="55">
        <f>I1828+G1828+K1828</f>
        <v>103775</v>
      </c>
      <c r="F1828" s="76">
        <f>J1828+H1828+L1828</f>
        <v>103775</v>
      </c>
      <c r="G1828" s="78">
        <f>일위대가목록표!F712</f>
        <v>100753</v>
      </c>
      <c r="H1828" s="80">
        <f>IF(C1828=0,0,ROUNDDOWN(G1828*C1828,1))</f>
        <v>100753</v>
      </c>
      <c r="I1828" s="78">
        <f>일위대가목록표!G712</f>
        <v>0</v>
      </c>
      <c r="J1828" s="80">
        <f>IF(C1828=0,0,ROUNDDOWN(I1828*C1828,1))</f>
        <v>0</v>
      </c>
      <c r="K1828" s="78">
        <f>일위대가목록표!H712</f>
        <v>3022</v>
      </c>
      <c r="L1828" s="80">
        <f>IF(C1828=0,0,ROUNDDOWN(K1828*C1828,1))</f>
        <v>3022</v>
      </c>
      <c r="M1828" s="22" t="s">
        <v>7657</v>
      </c>
      <c r="N1828" s="17" t="s">
        <v>7655</v>
      </c>
      <c r="O1828" s="7" t="s">
        <v>7656</v>
      </c>
      <c r="P1828" s="7" t="s">
        <v>6406</v>
      </c>
      <c r="Z1828" s="3" t="str">
        <f ca="1">HYPERLINK("#"&amp;일위대가목록표!J2&amp;"!A"&amp;ROW(일위대가목록표!A712),"대가709 →")</f>
        <v>대가709 →</v>
      </c>
    </row>
    <row r="1829" spans="1:26" ht="28.7" customHeight="1" x14ac:dyDescent="0.3">
      <c r="A1829" s="10" t="s">
        <v>1049</v>
      </c>
      <c r="B1829" s="10" t="s">
        <v>1053</v>
      </c>
      <c r="C1829" s="75">
        <v>1</v>
      </c>
      <c r="D1829" s="31" t="s">
        <v>1010</v>
      </c>
      <c r="E1829" s="55">
        <f>I1829+G1829+K1829</f>
        <v>580000</v>
      </c>
      <c r="F1829" s="77">
        <f>J1829+H1829+L1829</f>
        <v>580000</v>
      </c>
      <c r="G1829" s="51">
        <v>0</v>
      </c>
      <c r="H1829" s="76">
        <f>IF(C1829=0,0,ROUNDDOWN(G1829*C1829,1))</f>
        <v>0</v>
      </c>
      <c r="I1829" s="78">
        <f>재료비목록표!E225</f>
        <v>580000</v>
      </c>
      <c r="J1829" s="81">
        <f>IF(C1829=0,0,ROUNDDOWN(I1829*C1829,1))</f>
        <v>580000</v>
      </c>
      <c r="K1829" s="51">
        <v>0</v>
      </c>
      <c r="L1829" s="76">
        <f>IF(C1829=0,0,ROUNDDOWN(K1829*C1829,1))</f>
        <v>0</v>
      </c>
      <c r="M1829" s="22" t="s">
        <v>7740</v>
      </c>
      <c r="N1829" s="17" t="s">
        <v>7739</v>
      </c>
      <c r="O1829" s="7" t="s">
        <v>5850</v>
      </c>
      <c r="P1829" s="7" t="s">
        <v>6406</v>
      </c>
      <c r="Z1829" s="3" t="str">
        <f ca="1">HYPERLINK("#"&amp;재료비목록표!G2&amp;"!A"&amp;ROW(재료비목록표!A225),"자재222 →")</f>
        <v>자재222 →</v>
      </c>
    </row>
    <row r="1830" spans="1:26" ht="28.7" customHeight="1" x14ac:dyDescent="0.3">
      <c r="A1830" s="22" t="s">
        <v>6</v>
      </c>
      <c r="B1830" s="74"/>
      <c r="C1830" s="74"/>
      <c r="D1830" s="74"/>
      <c r="E1830" s="74"/>
      <c r="F1830" s="48">
        <f>J1830+H1830+L1830</f>
        <v>683775</v>
      </c>
      <c r="G1830" s="74"/>
      <c r="H1830" s="48">
        <f>ROUNDDOWN(SUMIF(P1828:P1829,O1830,H1828:H1829),0)</f>
        <v>100753</v>
      </c>
      <c r="I1830" s="74"/>
      <c r="J1830" s="48">
        <f>ROUNDDOWN(SUMIF(P1828:P1829,O1830,J1828:J1829),0)</f>
        <v>580000</v>
      </c>
      <c r="K1830" s="74"/>
      <c r="L1830" s="48">
        <f>ROUNDDOWN(SUMIF(P1828:P1829,O1830,L1828:L1829),0)</f>
        <v>3022</v>
      </c>
      <c r="M1830" s="74"/>
      <c r="O1830" s="7" t="s">
        <v>6406</v>
      </c>
    </row>
    <row r="1831" spans="1:26" ht="28.7" customHeight="1" x14ac:dyDescent="0.3">
      <c r="A1831" s="73"/>
      <c r="B1831" s="73"/>
      <c r="C1831" s="73"/>
      <c r="D1831" s="73"/>
      <c r="E1831" s="73"/>
      <c r="F1831" s="73"/>
      <c r="G1831" s="73"/>
      <c r="H1831" s="73"/>
      <c r="I1831" s="73"/>
      <c r="J1831" s="73"/>
      <c r="K1831" s="73"/>
      <c r="L1831" s="73"/>
      <c r="M1831" s="73"/>
    </row>
    <row r="1832" spans="1:26" ht="28.7" customHeight="1" x14ac:dyDescent="0.3">
      <c r="A1832" s="136" t="s">
        <v>1054</v>
      </c>
      <c r="B1832" s="127"/>
      <c r="C1832" s="127"/>
      <c r="D1832" s="127"/>
      <c r="E1832" s="127"/>
      <c r="F1832" s="127"/>
      <c r="G1832" s="127"/>
      <c r="H1832" s="127"/>
      <c r="I1832" s="127"/>
      <c r="J1832" s="127"/>
      <c r="K1832" s="127"/>
      <c r="L1832" s="144"/>
      <c r="M1832" s="22" t="s">
        <v>7741</v>
      </c>
      <c r="N1832" s="84" t="str">
        <f>HYPERLINK("#N"&amp;ROW(N1834),"_x0005_`BDCOD|B05014_x0007_`POSS|"&amp;ROW(N1833)&amp;"_x0007_`POSE|"&amp;ROW(N1834)&amp;"_x0007_`")</f>
        <v>_x0005_`BDCOD|B05014_x0007_`POSS|1833_x0007_`POSE|1834_x0007_`</v>
      </c>
      <c r="O1832" s="7" t="s">
        <v>7742</v>
      </c>
    </row>
    <row r="1833" spans="1:26" ht="28.7" customHeight="1" x14ac:dyDescent="0.3">
      <c r="A1833" s="10" t="s">
        <v>1838</v>
      </c>
      <c r="B1833" s="10" t="s">
        <v>1848</v>
      </c>
      <c r="C1833" s="75">
        <v>1</v>
      </c>
      <c r="D1833" s="31" t="s">
        <v>1010</v>
      </c>
      <c r="E1833" s="55">
        <f>I1833+G1833+K1833</f>
        <v>145668</v>
      </c>
      <c r="F1833" s="76">
        <f>J1833+H1833+L1833</f>
        <v>145668</v>
      </c>
      <c r="G1833" s="78">
        <f>일위대가목록표!F715</f>
        <v>145668</v>
      </c>
      <c r="H1833" s="80">
        <f>IF(C1833=0,0,ROUNDDOWN(G1833*C1833,1))</f>
        <v>145668</v>
      </c>
      <c r="I1833" s="78">
        <f>일위대가목록표!G715</f>
        <v>0</v>
      </c>
      <c r="J1833" s="80">
        <f>IF(C1833=0,0,ROUNDDOWN(I1833*C1833,1))</f>
        <v>0</v>
      </c>
      <c r="K1833" s="78">
        <f>일위대가목록표!H715</f>
        <v>0</v>
      </c>
      <c r="L1833" s="80">
        <f>IF(C1833=0,0,ROUNDDOWN(K1833*C1833,1))</f>
        <v>0</v>
      </c>
      <c r="M1833" s="22" t="s">
        <v>7664</v>
      </c>
      <c r="N1833" s="17" t="s">
        <v>7662</v>
      </c>
      <c r="O1833" s="7" t="s">
        <v>7663</v>
      </c>
      <c r="P1833" s="7" t="s">
        <v>6406</v>
      </c>
      <c r="Z1833" s="3" t="str">
        <f ca="1">HYPERLINK("#"&amp;일위대가목록표!J2&amp;"!A"&amp;ROW(일위대가목록표!A715),"대가712 →")</f>
        <v>대가712 →</v>
      </c>
    </row>
    <row r="1834" spans="1:26" ht="28.7" customHeight="1" x14ac:dyDescent="0.3">
      <c r="A1834" s="10" t="s">
        <v>1049</v>
      </c>
      <c r="B1834" s="10" t="s">
        <v>1056</v>
      </c>
      <c r="C1834" s="75">
        <v>1</v>
      </c>
      <c r="D1834" s="31" t="s">
        <v>1010</v>
      </c>
      <c r="E1834" s="55">
        <f>I1834+G1834+K1834</f>
        <v>820000</v>
      </c>
      <c r="F1834" s="77">
        <f>J1834+H1834+L1834</f>
        <v>820000</v>
      </c>
      <c r="G1834" s="51">
        <v>0</v>
      </c>
      <c r="H1834" s="76">
        <f>IF(C1834=0,0,ROUNDDOWN(G1834*C1834,1))</f>
        <v>0</v>
      </c>
      <c r="I1834" s="78">
        <f>재료비목록표!E221</f>
        <v>820000</v>
      </c>
      <c r="J1834" s="81">
        <f>IF(C1834=0,0,ROUNDDOWN(I1834*C1834,1))</f>
        <v>820000</v>
      </c>
      <c r="K1834" s="51">
        <v>0</v>
      </c>
      <c r="L1834" s="76">
        <f>IF(C1834=0,0,ROUNDDOWN(K1834*C1834,1))</f>
        <v>0</v>
      </c>
      <c r="M1834" s="22" t="s">
        <v>7744</v>
      </c>
      <c r="N1834" s="17" t="s">
        <v>7743</v>
      </c>
      <c r="O1834" s="7" t="s">
        <v>5853</v>
      </c>
      <c r="P1834" s="7" t="s">
        <v>6406</v>
      </c>
      <c r="Z1834" s="3" t="str">
        <f ca="1">HYPERLINK("#"&amp;재료비목록표!G2&amp;"!A"&amp;ROW(재료비목록표!A221),"자재218 →")</f>
        <v>자재218 →</v>
      </c>
    </row>
    <row r="1835" spans="1:26" ht="28.7" customHeight="1" x14ac:dyDescent="0.3">
      <c r="A1835" s="22" t="s">
        <v>6</v>
      </c>
      <c r="B1835" s="74"/>
      <c r="C1835" s="74"/>
      <c r="D1835" s="74"/>
      <c r="E1835" s="74"/>
      <c r="F1835" s="48">
        <f>J1835+H1835+L1835</f>
        <v>965668</v>
      </c>
      <c r="G1835" s="74"/>
      <c r="H1835" s="48">
        <f>ROUNDDOWN(SUMIF(P1833:P1834,O1835,H1833:H1834),0)</f>
        <v>145668</v>
      </c>
      <c r="I1835" s="74"/>
      <c r="J1835" s="48">
        <f>ROUNDDOWN(SUMIF(P1833:P1834,O1835,J1833:J1834),0)</f>
        <v>820000</v>
      </c>
      <c r="K1835" s="74"/>
      <c r="L1835" s="48">
        <f>ROUNDDOWN(SUMIF(P1833:P1834,O1835,L1833:L1834),0)</f>
        <v>0</v>
      </c>
      <c r="M1835" s="74"/>
      <c r="O1835" s="7" t="s">
        <v>6406</v>
      </c>
    </row>
    <row r="1836" spans="1:26" ht="28.7" customHeight="1" x14ac:dyDescent="0.3">
      <c r="A1836" s="73"/>
      <c r="B1836" s="73"/>
      <c r="C1836" s="73"/>
      <c r="D1836" s="73"/>
      <c r="E1836" s="73"/>
      <c r="F1836" s="73"/>
      <c r="G1836" s="73"/>
      <c r="H1836" s="73"/>
      <c r="I1836" s="73"/>
      <c r="J1836" s="73"/>
      <c r="K1836" s="73"/>
      <c r="L1836" s="73"/>
      <c r="M1836" s="73"/>
    </row>
    <row r="1837" spans="1:26" ht="28.7" customHeight="1" x14ac:dyDescent="0.3">
      <c r="A1837" s="136" t="s">
        <v>1057</v>
      </c>
      <c r="B1837" s="127"/>
      <c r="C1837" s="127"/>
      <c r="D1837" s="127"/>
      <c r="E1837" s="127"/>
      <c r="F1837" s="127"/>
      <c r="G1837" s="127"/>
      <c r="H1837" s="127"/>
      <c r="I1837" s="127"/>
      <c r="J1837" s="127"/>
      <c r="K1837" s="127"/>
      <c r="L1837" s="144"/>
      <c r="M1837" s="22" t="s">
        <v>7745</v>
      </c>
      <c r="N1837" s="84" t="str">
        <f>HYPERLINK("#N"&amp;ROW(N1839),"_x0005_`BDCOD|B05015_x0007_`POSS|"&amp;ROW(N1838)&amp;"_x0007_`POSE|"&amp;ROW(N1839)&amp;"_x0007_`")</f>
        <v>_x0005_`BDCOD|B05015_x0007_`POSS|1838_x0007_`POSE|1839_x0007_`</v>
      </c>
      <c r="O1837" s="7" t="s">
        <v>7746</v>
      </c>
    </row>
    <row r="1838" spans="1:26" ht="28.7" customHeight="1" x14ac:dyDescent="0.3">
      <c r="A1838" s="10" t="s">
        <v>1838</v>
      </c>
      <c r="B1838" s="10" t="s">
        <v>1855</v>
      </c>
      <c r="C1838" s="75">
        <v>1</v>
      </c>
      <c r="D1838" s="31" t="s">
        <v>1010</v>
      </c>
      <c r="E1838" s="55">
        <f>I1838+G1838+K1838</f>
        <v>189819</v>
      </c>
      <c r="F1838" s="76">
        <f>J1838+H1838+L1838</f>
        <v>189819</v>
      </c>
      <c r="G1838" s="78">
        <f>일위대가목록표!F718</f>
        <v>189819</v>
      </c>
      <c r="H1838" s="80">
        <f>IF(C1838=0,0,ROUNDDOWN(G1838*C1838,1))</f>
        <v>189819</v>
      </c>
      <c r="I1838" s="78">
        <f>일위대가목록표!G718</f>
        <v>0</v>
      </c>
      <c r="J1838" s="80">
        <f>IF(C1838=0,0,ROUNDDOWN(I1838*C1838,1))</f>
        <v>0</v>
      </c>
      <c r="K1838" s="78">
        <f>일위대가목록표!H718</f>
        <v>0</v>
      </c>
      <c r="L1838" s="80">
        <f>IF(C1838=0,0,ROUNDDOWN(K1838*C1838,1))</f>
        <v>0</v>
      </c>
      <c r="M1838" s="22" t="s">
        <v>7671</v>
      </c>
      <c r="N1838" s="17" t="s">
        <v>7669</v>
      </c>
      <c r="O1838" s="7" t="s">
        <v>7670</v>
      </c>
      <c r="P1838" s="7" t="s">
        <v>6406</v>
      </c>
      <c r="Z1838" s="3" t="str">
        <f ca="1">HYPERLINK("#"&amp;일위대가목록표!J2&amp;"!A"&amp;ROW(일위대가목록표!A718),"대가715 →")</f>
        <v>대가715 →</v>
      </c>
    </row>
    <row r="1839" spans="1:26" ht="28.7" customHeight="1" x14ac:dyDescent="0.3">
      <c r="A1839" s="10" t="s">
        <v>1049</v>
      </c>
      <c r="B1839" s="10" t="s">
        <v>1059</v>
      </c>
      <c r="C1839" s="75">
        <v>1</v>
      </c>
      <c r="D1839" s="31" t="s">
        <v>1010</v>
      </c>
      <c r="E1839" s="55">
        <f>I1839+G1839+K1839</f>
        <v>1450000</v>
      </c>
      <c r="F1839" s="77">
        <f>J1839+H1839+L1839</f>
        <v>1450000</v>
      </c>
      <c r="G1839" s="51">
        <v>0</v>
      </c>
      <c r="H1839" s="76">
        <f>IF(C1839=0,0,ROUNDDOWN(G1839*C1839,1))</f>
        <v>0</v>
      </c>
      <c r="I1839" s="78">
        <f>재료비목록표!E222</f>
        <v>1450000</v>
      </c>
      <c r="J1839" s="81">
        <f>IF(C1839=0,0,ROUNDDOWN(I1839*C1839,1))</f>
        <v>1450000</v>
      </c>
      <c r="K1839" s="51">
        <v>0</v>
      </c>
      <c r="L1839" s="76">
        <f>IF(C1839=0,0,ROUNDDOWN(K1839*C1839,1))</f>
        <v>0</v>
      </c>
      <c r="M1839" s="22" t="s">
        <v>7748</v>
      </c>
      <c r="N1839" s="17" t="s">
        <v>7747</v>
      </c>
      <c r="O1839" s="7" t="s">
        <v>5856</v>
      </c>
      <c r="P1839" s="7" t="s">
        <v>6406</v>
      </c>
      <c r="Z1839" s="3" t="str">
        <f ca="1">HYPERLINK("#"&amp;재료비목록표!G2&amp;"!A"&amp;ROW(재료비목록표!A222),"자재219 →")</f>
        <v>자재219 →</v>
      </c>
    </row>
    <row r="1840" spans="1:26" ht="28.7" customHeight="1" x14ac:dyDescent="0.3">
      <c r="A1840" s="22" t="s">
        <v>6</v>
      </c>
      <c r="B1840" s="74"/>
      <c r="C1840" s="74"/>
      <c r="D1840" s="74"/>
      <c r="E1840" s="74"/>
      <c r="F1840" s="48">
        <f>J1840+H1840+L1840</f>
        <v>1639819</v>
      </c>
      <c r="G1840" s="74"/>
      <c r="H1840" s="48">
        <f>ROUNDDOWN(SUMIF(P1838:P1839,O1840,H1838:H1839),0)</f>
        <v>189819</v>
      </c>
      <c r="I1840" s="74"/>
      <c r="J1840" s="48">
        <f>ROUNDDOWN(SUMIF(P1838:P1839,O1840,J1838:J1839),0)</f>
        <v>1450000</v>
      </c>
      <c r="K1840" s="74"/>
      <c r="L1840" s="48">
        <f>ROUNDDOWN(SUMIF(P1838:P1839,O1840,L1838:L1839),0)</f>
        <v>0</v>
      </c>
      <c r="M1840" s="74"/>
      <c r="O1840" s="7" t="s">
        <v>6406</v>
      </c>
    </row>
    <row r="1841" spans="1:26" ht="28.7" customHeight="1" x14ac:dyDescent="0.3">
      <c r="A1841" s="73"/>
      <c r="B1841" s="73"/>
      <c r="C1841" s="73"/>
      <c r="D1841" s="73"/>
      <c r="E1841" s="73"/>
      <c r="F1841" s="73"/>
      <c r="G1841" s="73"/>
      <c r="H1841" s="73"/>
      <c r="I1841" s="73"/>
      <c r="J1841" s="73"/>
      <c r="K1841" s="73"/>
      <c r="L1841" s="73"/>
      <c r="M1841" s="73"/>
    </row>
    <row r="1842" spans="1:26" ht="28.7" customHeight="1" x14ac:dyDescent="0.3">
      <c r="A1842" s="136" t="s">
        <v>1060</v>
      </c>
      <c r="B1842" s="127"/>
      <c r="C1842" s="127"/>
      <c r="D1842" s="127"/>
      <c r="E1842" s="127"/>
      <c r="F1842" s="127"/>
      <c r="G1842" s="127"/>
      <c r="H1842" s="127"/>
      <c r="I1842" s="127"/>
      <c r="J1842" s="127"/>
      <c r="K1842" s="127"/>
      <c r="L1842" s="144"/>
      <c r="M1842" s="22" t="s">
        <v>7749</v>
      </c>
      <c r="N1842" s="84" t="str">
        <f>HYPERLINK("#N"&amp;ROW(N1844),"_x0005_`BDCOD|B05016_x0007_`POSS|"&amp;ROW(N1843)&amp;"_x0007_`POSE|"&amp;ROW(N1844)&amp;"_x0007_`")</f>
        <v>_x0005_`BDCOD|B05016_x0007_`POSS|1843_x0007_`POSE|1844_x0007_`</v>
      </c>
      <c r="O1842" s="7" t="s">
        <v>7750</v>
      </c>
    </row>
    <row r="1843" spans="1:26" ht="28.7" customHeight="1" x14ac:dyDescent="0.3">
      <c r="A1843" s="10" t="s">
        <v>1838</v>
      </c>
      <c r="B1843" s="10" t="s">
        <v>1862</v>
      </c>
      <c r="C1843" s="75">
        <v>1</v>
      </c>
      <c r="D1843" s="31" t="s">
        <v>1010</v>
      </c>
      <c r="E1843" s="55">
        <f>I1843+G1843+K1843</f>
        <v>246873</v>
      </c>
      <c r="F1843" s="76">
        <f>J1843+H1843+L1843</f>
        <v>246873</v>
      </c>
      <c r="G1843" s="78">
        <f>일위대가목록표!F721</f>
        <v>246873</v>
      </c>
      <c r="H1843" s="80">
        <f>IF(C1843=0,0,ROUNDDOWN(G1843*C1843,1))</f>
        <v>246873</v>
      </c>
      <c r="I1843" s="78">
        <f>일위대가목록표!G721</f>
        <v>0</v>
      </c>
      <c r="J1843" s="80">
        <f>IF(C1843=0,0,ROUNDDOWN(I1843*C1843,1))</f>
        <v>0</v>
      </c>
      <c r="K1843" s="78">
        <f>일위대가목록표!H721</f>
        <v>0</v>
      </c>
      <c r="L1843" s="80">
        <f>IF(C1843=0,0,ROUNDDOWN(K1843*C1843,1))</f>
        <v>0</v>
      </c>
      <c r="M1843" s="22" t="s">
        <v>7678</v>
      </c>
      <c r="N1843" s="17" t="s">
        <v>7676</v>
      </c>
      <c r="O1843" s="7" t="s">
        <v>7677</v>
      </c>
      <c r="P1843" s="7" t="s">
        <v>6406</v>
      </c>
      <c r="Z1843" s="3" t="str">
        <f ca="1">HYPERLINK("#"&amp;일위대가목록표!J2&amp;"!A"&amp;ROW(일위대가목록표!A721),"대가718 →")</f>
        <v>대가718 →</v>
      </c>
    </row>
    <row r="1844" spans="1:26" ht="28.7" customHeight="1" x14ac:dyDescent="0.3">
      <c r="A1844" s="10" t="s">
        <v>1049</v>
      </c>
      <c r="B1844" s="10" t="s">
        <v>1062</v>
      </c>
      <c r="C1844" s="75">
        <v>1</v>
      </c>
      <c r="D1844" s="31" t="s">
        <v>1010</v>
      </c>
      <c r="E1844" s="55">
        <f>I1844+G1844+K1844</f>
        <v>2000000</v>
      </c>
      <c r="F1844" s="77">
        <f>J1844+H1844+L1844</f>
        <v>2000000</v>
      </c>
      <c r="G1844" s="51">
        <v>0</v>
      </c>
      <c r="H1844" s="76">
        <f>IF(C1844=0,0,ROUNDDOWN(G1844*C1844,1))</f>
        <v>0</v>
      </c>
      <c r="I1844" s="78">
        <f>재료비목록표!E223</f>
        <v>2000000</v>
      </c>
      <c r="J1844" s="81">
        <f>IF(C1844=0,0,ROUNDDOWN(I1844*C1844,1))</f>
        <v>2000000</v>
      </c>
      <c r="K1844" s="51">
        <v>0</v>
      </c>
      <c r="L1844" s="76">
        <f>IF(C1844=0,0,ROUNDDOWN(K1844*C1844,1))</f>
        <v>0</v>
      </c>
      <c r="M1844" s="22" t="s">
        <v>7752</v>
      </c>
      <c r="N1844" s="17" t="s">
        <v>7751</v>
      </c>
      <c r="O1844" s="7" t="s">
        <v>5859</v>
      </c>
      <c r="P1844" s="7" t="s">
        <v>6406</v>
      </c>
      <c r="Z1844" s="3" t="str">
        <f ca="1">HYPERLINK("#"&amp;재료비목록표!G2&amp;"!A"&amp;ROW(재료비목록표!A223),"자재220 →")</f>
        <v>자재220 →</v>
      </c>
    </row>
    <row r="1845" spans="1:26" ht="28.7" customHeight="1" x14ac:dyDescent="0.3">
      <c r="A1845" s="22" t="s">
        <v>6</v>
      </c>
      <c r="B1845" s="74"/>
      <c r="C1845" s="74"/>
      <c r="D1845" s="74"/>
      <c r="E1845" s="74"/>
      <c r="F1845" s="48">
        <f>J1845+H1845+L1845</f>
        <v>2246873</v>
      </c>
      <c r="G1845" s="74"/>
      <c r="H1845" s="48">
        <f>ROUNDDOWN(SUMIF(P1843:P1844,O1845,H1843:H1844),0)</f>
        <v>246873</v>
      </c>
      <c r="I1845" s="74"/>
      <c r="J1845" s="48">
        <f>ROUNDDOWN(SUMIF(P1843:P1844,O1845,J1843:J1844),0)</f>
        <v>2000000</v>
      </c>
      <c r="K1845" s="74"/>
      <c r="L1845" s="48">
        <f>ROUNDDOWN(SUMIF(P1843:P1844,O1845,L1843:L1844),0)</f>
        <v>0</v>
      </c>
      <c r="M1845" s="74"/>
      <c r="O1845" s="7" t="s">
        <v>6406</v>
      </c>
    </row>
    <row r="1846" spans="1:26" ht="28.7" customHeight="1" x14ac:dyDescent="0.3">
      <c r="A1846" s="73"/>
      <c r="B1846" s="73"/>
      <c r="C1846" s="73"/>
      <c r="D1846" s="73"/>
      <c r="E1846" s="73"/>
      <c r="F1846" s="73"/>
      <c r="G1846" s="73"/>
      <c r="H1846" s="73"/>
      <c r="I1846" s="73"/>
      <c r="J1846" s="73"/>
      <c r="K1846" s="73"/>
      <c r="L1846" s="73"/>
      <c r="M1846" s="73"/>
    </row>
    <row r="1847" spans="1:26" ht="28.7" customHeight="1" x14ac:dyDescent="0.3">
      <c r="A1847" s="136" t="s">
        <v>1063</v>
      </c>
      <c r="B1847" s="127"/>
      <c r="C1847" s="127"/>
      <c r="D1847" s="127"/>
      <c r="E1847" s="127"/>
      <c r="F1847" s="127"/>
      <c r="G1847" s="127"/>
      <c r="H1847" s="127"/>
      <c r="I1847" s="127"/>
      <c r="J1847" s="127"/>
      <c r="K1847" s="127"/>
      <c r="L1847" s="144"/>
      <c r="M1847" s="22" t="s">
        <v>7753</v>
      </c>
      <c r="N1847" s="84" t="str">
        <f>HYPERLINK("#N"&amp;ROW(N1849),"_x0005_`BDCOD|B05065_x0007_`POSS|"&amp;ROW(N1848)&amp;"_x0007_`POSE|"&amp;ROW(N1849)&amp;"_x0007_`")</f>
        <v>_x0005_`BDCOD|B05065_x0007_`POSS|1848_x0007_`POSE|1849_x0007_`</v>
      </c>
      <c r="O1847" s="7" t="s">
        <v>7754</v>
      </c>
    </row>
    <row r="1848" spans="1:26" ht="28.7" customHeight="1" x14ac:dyDescent="0.3">
      <c r="A1848" s="10" t="s">
        <v>1842</v>
      </c>
      <c r="B1848" s="10" t="s">
        <v>1876</v>
      </c>
      <c r="C1848" s="75">
        <v>1</v>
      </c>
      <c r="D1848" s="31" t="s">
        <v>1010</v>
      </c>
      <c r="E1848" s="55">
        <f>I1848+G1848+K1848</f>
        <v>70535</v>
      </c>
      <c r="F1848" s="76">
        <f>J1848+H1848+L1848</f>
        <v>70535</v>
      </c>
      <c r="G1848" s="78">
        <f>일위대가목록표!F727</f>
        <v>70535</v>
      </c>
      <c r="H1848" s="80">
        <f>IF(C1848=0,0,ROUNDDOWN(G1848*C1848,1))</f>
        <v>70535</v>
      </c>
      <c r="I1848" s="78">
        <f>일위대가목록표!G727</f>
        <v>0</v>
      </c>
      <c r="J1848" s="80">
        <f>IF(C1848=0,0,ROUNDDOWN(I1848*C1848,1))</f>
        <v>0</v>
      </c>
      <c r="K1848" s="78">
        <f>일위대가목록표!H727</f>
        <v>0</v>
      </c>
      <c r="L1848" s="80">
        <f>IF(C1848=0,0,ROUNDDOWN(K1848*C1848,1))</f>
        <v>0</v>
      </c>
      <c r="M1848" s="22" t="s">
        <v>7757</v>
      </c>
      <c r="N1848" s="17" t="s">
        <v>7755</v>
      </c>
      <c r="O1848" s="7" t="s">
        <v>7756</v>
      </c>
      <c r="P1848" s="7" t="s">
        <v>6406</v>
      </c>
      <c r="Z1848" s="3" t="str">
        <f ca="1">HYPERLINK("#"&amp;일위대가목록표!J2&amp;"!A"&amp;ROW(일위대가목록표!A727),"대가724 →")</f>
        <v>대가724 →</v>
      </c>
    </row>
    <row r="1849" spans="1:26" ht="28.7" customHeight="1" x14ac:dyDescent="0.3">
      <c r="A1849" s="10" t="s">
        <v>1049</v>
      </c>
      <c r="B1849" s="10" t="s">
        <v>1065</v>
      </c>
      <c r="C1849" s="75">
        <v>1</v>
      </c>
      <c r="D1849" s="31" t="s">
        <v>1010</v>
      </c>
      <c r="E1849" s="55">
        <f>I1849+G1849+K1849</f>
        <v>3750000</v>
      </c>
      <c r="F1849" s="77">
        <f>J1849+H1849+L1849</f>
        <v>3750000</v>
      </c>
      <c r="G1849" s="51">
        <v>0</v>
      </c>
      <c r="H1849" s="76">
        <f>IF(C1849=0,0,ROUNDDOWN(G1849*C1849,1))</f>
        <v>0</v>
      </c>
      <c r="I1849" s="78">
        <f>재료비목록표!E224</f>
        <v>3750000</v>
      </c>
      <c r="J1849" s="81">
        <f>IF(C1849=0,0,ROUNDDOWN(I1849*C1849,1))</f>
        <v>3750000</v>
      </c>
      <c r="K1849" s="51">
        <v>0</v>
      </c>
      <c r="L1849" s="76">
        <f>IF(C1849=0,0,ROUNDDOWN(K1849*C1849,1))</f>
        <v>0</v>
      </c>
      <c r="M1849" s="22" t="s">
        <v>7759</v>
      </c>
      <c r="N1849" s="17" t="s">
        <v>7758</v>
      </c>
      <c r="O1849" s="7" t="s">
        <v>5862</v>
      </c>
      <c r="P1849" s="7" t="s">
        <v>6406</v>
      </c>
      <c r="Z1849" s="3" t="str">
        <f ca="1">HYPERLINK("#"&amp;재료비목록표!G2&amp;"!A"&amp;ROW(재료비목록표!A224),"자재221 →")</f>
        <v>자재221 →</v>
      </c>
    </row>
    <row r="1850" spans="1:26" ht="28.7" customHeight="1" x14ac:dyDescent="0.3">
      <c r="A1850" s="22" t="s">
        <v>6</v>
      </c>
      <c r="B1850" s="74"/>
      <c r="C1850" s="74"/>
      <c r="D1850" s="74"/>
      <c r="E1850" s="74"/>
      <c r="F1850" s="48">
        <f>J1850+H1850+L1850</f>
        <v>3820535</v>
      </c>
      <c r="G1850" s="74"/>
      <c r="H1850" s="48">
        <f>ROUNDDOWN(SUMIF(P1848:P1849,O1850,H1848:H1849),0)</f>
        <v>70535</v>
      </c>
      <c r="I1850" s="74"/>
      <c r="J1850" s="48">
        <f>ROUNDDOWN(SUMIF(P1848:P1849,O1850,J1848:J1849),0)</f>
        <v>3750000</v>
      </c>
      <c r="K1850" s="74"/>
      <c r="L1850" s="48">
        <f>ROUNDDOWN(SUMIF(P1848:P1849,O1850,L1848:L1849),0)</f>
        <v>0</v>
      </c>
      <c r="M1850" s="74"/>
      <c r="O1850" s="7" t="s">
        <v>6406</v>
      </c>
    </row>
    <row r="1851" spans="1:26" ht="28.7" customHeight="1" x14ac:dyDescent="0.3">
      <c r="A1851" s="73"/>
      <c r="B1851" s="73"/>
      <c r="C1851" s="73"/>
      <c r="D1851" s="73"/>
      <c r="E1851" s="73"/>
      <c r="F1851" s="73"/>
      <c r="G1851" s="73"/>
      <c r="H1851" s="73"/>
      <c r="I1851" s="73"/>
      <c r="J1851" s="73"/>
      <c r="K1851" s="73"/>
      <c r="L1851" s="73"/>
      <c r="M1851" s="73"/>
    </row>
    <row r="1852" spans="1:26" ht="28.7" customHeight="1" x14ac:dyDescent="0.3">
      <c r="A1852" s="136" t="s">
        <v>1066</v>
      </c>
      <c r="B1852" s="127"/>
      <c r="C1852" s="127"/>
      <c r="D1852" s="127"/>
      <c r="E1852" s="127"/>
      <c r="F1852" s="127"/>
      <c r="G1852" s="127"/>
      <c r="H1852" s="127"/>
      <c r="I1852" s="127"/>
      <c r="J1852" s="127"/>
      <c r="K1852" s="127"/>
      <c r="L1852" s="144"/>
      <c r="M1852" s="22" t="s">
        <v>7760</v>
      </c>
      <c r="N1852" s="84" t="str">
        <f>HYPERLINK("#N"&amp;ROW(N1853),"_x0005_`BDCOD|B05365_x0007_`POSS|"&amp;ROW(N1853)&amp;"_x0007_`POSE|"&amp;ROW(N1853)&amp;"_x0007_`")</f>
        <v>_x0005_`BDCOD|B05365_x0007_`POSS|1853_x0007_`POSE|1853_x0007_`</v>
      </c>
      <c r="O1852" s="7" t="s">
        <v>7761</v>
      </c>
    </row>
    <row r="1853" spans="1:26" ht="28.7" customHeight="1" x14ac:dyDescent="0.3">
      <c r="A1853" s="10" t="s">
        <v>1838</v>
      </c>
      <c r="B1853" s="10" t="s">
        <v>1869</v>
      </c>
      <c r="C1853" s="75">
        <v>1</v>
      </c>
      <c r="D1853" s="31" t="s">
        <v>1010</v>
      </c>
      <c r="E1853" s="55">
        <f>I1853+G1853+K1853</f>
        <v>60695</v>
      </c>
      <c r="F1853" s="76">
        <f>J1853+H1853+L1853</f>
        <v>60695</v>
      </c>
      <c r="G1853" s="78">
        <f>일위대가목록표!F724</f>
        <v>60695</v>
      </c>
      <c r="H1853" s="80">
        <f>IF(C1853=0,0,ROUNDDOWN(G1853*C1853,1))</f>
        <v>60695</v>
      </c>
      <c r="I1853" s="78">
        <f>일위대가목록표!G724</f>
        <v>0</v>
      </c>
      <c r="J1853" s="80">
        <f>IF(C1853=0,0,ROUNDDOWN(I1853*C1853,1))</f>
        <v>0</v>
      </c>
      <c r="K1853" s="78">
        <f>일위대가목록표!H724</f>
        <v>0</v>
      </c>
      <c r="L1853" s="80">
        <f>IF(C1853=0,0,ROUNDDOWN(K1853*C1853,1))</f>
        <v>0</v>
      </c>
      <c r="M1853" s="22" t="s">
        <v>7733</v>
      </c>
      <c r="N1853" s="17" t="s">
        <v>7731</v>
      </c>
      <c r="O1853" s="7" t="s">
        <v>7732</v>
      </c>
      <c r="P1853" s="7" t="s">
        <v>6406</v>
      </c>
      <c r="Z1853" s="3" t="str">
        <f ca="1">HYPERLINK("#"&amp;일위대가목록표!J2&amp;"!A"&amp;ROW(일위대가목록표!A724),"대가721 →")</f>
        <v>대가721 →</v>
      </c>
    </row>
    <row r="1854" spans="1:26" ht="28.7" customHeight="1" x14ac:dyDescent="0.3">
      <c r="A1854" s="22" t="s">
        <v>6</v>
      </c>
      <c r="B1854" s="74"/>
      <c r="C1854" s="74"/>
      <c r="D1854" s="74"/>
      <c r="E1854" s="74"/>
      <c r="F1854" s="48">
        <f>J1854+H1854+L1854</f>
        <v>60695</v>
      </c>
      <c r="G1854" s="74"/>
      <c r="H1854" s="48">
        <f>ROUNDDOWN(SUMIF(P1853:P1853,O1854,H1853:H1853),0)</f>
        <v>60695</v>
      </c>
      <c r="I1854" s="74"/>
      <c r="J1854" s="48">
        <f>ROUNDDOWN(SUMIF(P1853:P1853,O1854,J1853:J1853),0)</f>
        <v>0</v>
      </c>
      <c r="K1854" s="74"/>
      <c r="L1854" s="48">
        <f>ROUNDDOWN(SUMIF(P1853:P1853,O1854,L1853:L1853),0)</f>
        <v>0</v>
      </c>
      <c r="M1854" s="74"/>
      <c r="O1854" s="7" t="s">
        <v>6406</v>
      </c>
    </row>
    <row r="1855" spans="1:26" ht="28.7" customHeight="1" x14ac:dyDescent="0.3">
      <c r="A1855" s="73"/>
      <c r="B1855" s="73"/>
      <c r="C1855" s="73"/>
      <c r="D1855" s="73"/>
      <c r="E1855" s="73"/>
      <c r="F1855" s="73"/>
      <c r="G1855" s="73"/>
      <c r="H1855" s="73"/>
      <c r="I1855" s="73"/>
      <c r="J1855" s="73"/>
      <c r="K1855" s="73"/>
      <c r="L1855" s="73"/>
      <c r="M1855" s="73"/>
    </row>
    <row r="1856" spans="1:26" ht="28.7" customHeight="1" x14ac:dyDescent="0.3">
      <c r="A1856" s="136" t="s">
        <v>1069</v>
      </c>
      <c r="B1856" s="127"/>
      <c r="C1856" s="127"/>
      <c r="D1856" s="127"/>
      <c r="E1856" s="127"/>
      <c r="F1856" s="127"/>
      <c r="G1856" s="127"/>
      <c r="H1856" s="127"/>
      <c r="I1856" s="127"/>
      <c r="J1856" s="127"/>
      <c r="K1856" s="127"/>
      <c r="L1856" s="144"/>
      <c r="M1856" s="22" t="s">
        <v>7762</v>
      </c>
      <c r="N1856" s="84" t="str">
        <f>HYPERLINK("#N"&amp;ROW(N1857),"_x0005_`BDCOD|B05366_x0007_`POSS|"&amp;ROW(N1857)&amp;"_x0007_`POSE|"&amp;ROW(N1857)&amp;"_x0007_`")</f>
        <v>_x0005_`BDCOD|B05366_x0007_`POSS|1857_x0007_`POSE|1857_x0007_`</v>
      </c>
      <c r="O1856" s="7" t="s">
        <v>7763</v>
      </c>
    </row>
    <row r="1857" spans="1:26" ht="28.7" customHeight="1" x14ac:dyDescent="0.3">
      <c r="A1857" s="10" t="s">
        <v>1838</v>
      </c>
      <c r="B1857" s="10" t="s">
        <v>1839</v>
      </c>
      <c r="C1857" s="75">
        <v>1</v>
      </c>
      <c r="D1857" s="31" t="s">
        <v>1010</v>
      </c>
      <c r="E1857" s="55">
        <f>I1857+G1857+K1857</f>
        <v>103775</v>
      </c>
      <c r="F1857" s="76">
        <f>J1857+H1857+L1857</f>
        <v>103775</v>
      </c>
      <c r="G1857" s="78">
        <f>일위대가목록표!F712</f>
        <v>100753</v>
      </c>
      <c r="H1857" s="80">
        <f>IF(C1857=0,0,ROUNDDOWN(G1857*C1857,1))</f>
        <v>100753</v>
      </c>
      <c r="I1857" s="78">
        <f>일위대가목록표!G712</f>
        <v>0</v>
      </c>
      <c r="J1857" s="80">
        <f>IF(C1857=0,0,ROUNDDOWN(I1857*C1857,1))</f>
        <v>0</v>
      </c>
      <c r="K1857" s="78">
        <f>일위대가목록표!H712</f>
        <v>3022</v>
      </c>
      <c r="L1857" s="80">
        <f>IF(C1857=0,0,ROUNDDOWN(K1857*C1857,1))</f>
        <v>3022</v>
      </c>
      <c r="M1857" s="22" t="s">
        <v>7657</v>
      </c>
      <c r="N1857" s="17" t="s">
        <v>7655</v>
      </c>
      <c r="O1857" s="7" t="s">
        <v>7656</v>
      </c>
      <c r="P1857" s="7" t="s">
        <v>6406</v>
      </c>
      <c r="Z1857" s="3" t="str">
        <f ca="1">HYPERLINK("#"&amp;일위대가목록표!J2&amp;"!A"&amp;ROW(일위대가목록표!A712),"대가709 →")</f>
        <v>대가709 →</v>
      </c>
    </row>
    <row r="1858" spans="1:26" ht="28.7" customHeight="1" x14ac:dyDescent="0.3">
      <c r="A1858" s="22" t="s">
        <v>6</v>
      </c>
      <c r="B1858" s="74"/>
      <c r="C1858" s="74"/>
      <c r="D1858" s="74"/>
      <c r="E1858" s="74"/>
      <c r="F1858" s="48">
        <f>J1858+H1858+L1858</f>
        <v>103775</v>
      </c>
      <c r="G1858" s="74"/>
      <c r="H1858" s="48">
        <f>ROUNDDOWN(SUMIF(P1857:P1857,O1858,H1857:H1857),0)</f>
        <v>100753</v>
      </c>
      <c r="I1858" s="74"/>
      <c r="J1858" s="48">
        <f>ROUNDDOWN(SUMIF(P1857:P1857,O1858,J1857:J1857),0)</f>
        <v>0</v>
      </c>
      <c r="K1858" s="74"/>
      <c r="L1858" s="48">
        <f>ROUNDDOWN(SUMIF(P1857:P1857,O1858,L1857:L1857),0)</f>
        <v>3022</v>
      </c>
      <c r="M1858" s="74"/>
      <c r="O1858" s="7" t="s">
        <v>6406</v>
      </c>
    </row>
    <row r="1859" spans="1:26" ht="28.7" customHeight="1" x14ac:dyDescent="0.3">
      <c r="A1859" s="73"/>
      <c r="B1859" s="73"/>
      <c r="C1859" s="73"/>
      <c r="D1859" s="73"/>
      <c r="E1859" s="73"/>
      <c r="F1859" s="73"/>
      <c r="G1859" s="73"/>
      <c r="H1859" s="73"/>
      <c r="I1859" s="73"/>
      <c r="J1859" s="73"/>
      <c r="K1859" s="73"/>
      <c r="L1859" s="73"/>
      <c r="M1859" s="73"/>
    </row>
    <row r="1860" spans="1:26" ht="28.7" customHeight="1" x14ac:dyDescent="0.3">
      <c r="A1860" s="136" t="s">
        <v>1071</v>
      </c>
      <c r="B1860" s="127"/>
      <c r="C1860" s="127"/>
      <c r="D1860" s="127"/>
      <c r="E1860" s="127"/>
      <c r="F1860" s="127"/>
      <c r="G1860" s="127"/>
      <c r="H1860" s="127"/>
      <c r="I1860" s="127"/>
      <c r="J1860" s="127"/>
      <c r="K1860" s="127"/>
      <c r="L1860" s="144"/>
      <c r="M1860" s="22" t="s">
        <v>7764</v>
      </c>
      <c r="N1860" s="84" t="str">
        <f>HYPERLINK("#N"&amp;ROW(N1861),"_x0005_`BDCOD|B05367_x0007_`POSS|"&amp;ROW(N1861)&amp;"_x0007_`POSE|"&amp;ROW(N1861)&amp;"_x0007_`")</f>
        <v>_x0005_`BDCOD|B05367_x0007_`POSS|1861_x0007_`POSE|1861_x0007_`</v>
      </c>
      <c r="O1860" s="7" t="s">
        <v>7765</v>
      </c>
    </row>
    <row r="1861" spans="1:26" ht="28.7" customHeight="1" x14ac:dyDescent="0.3">
      <c r="A1861" s="10" t="s">
        <v>1838</v>
      </c>
      <c r="B1861" s="10" t="s">
        <v>1848</v>
      </c>
      <c r="C1861" s="75">
        <v>1</v>
      </c>
      <c r="D1861" s="31" t="s">
        <v>1010</v>
      </c>
      <c r="E1861" s="55">
        <f>I1861+G1861+K1861</f>
        <v>145668</v>
      </c>
      <c r="F1861" s="76">
        <f>J1861+H1861+L1861</f>
        <v>145668</v>
      </c>
      <c r="G1861" s="78">
        <f>일위대가목록표!F715</f>
        <v>145668</v>
      </c>
      <c r="H1861" s="80">
        <f>IF(C1861=0,0,ROUNDDOWN(G1861*C1861,1))</f>
        <v>145668</v>
      </c>
      <c r="I1861" s="78">
        <f>일위대가목록표!G715</f>
        <v>0</v>
      </c>
      <c r="J1861" s="80">
        <f>IF(C1861=0,0,ROUNDDOWN(I1861*C1861,1))</f>
        <v>0</v>
      </c>
      <c r="K1861" s="78">
        <f>일위대가목록표!H715</f>
        <v>0</v>
      </c>
      <c r="L1861" s="80">
        <f>IF(C1861=0,0,ROUNDDOWN(K1861*C1861,1))</f>
        <v>0</v>
      </c>
      <c r="M1861" s="22" t="s">
        <v>7664</v>
      </c>
      <c r="N1861" s="17" t="s">
        <v>7662</v>
      </c>
      <c r="O1861" s="7" t="s">
        <v>7663</v>
      </c>
      <c r="P1861" s="7" t="s">
        <v>6406</v>
      </c>
      <c r="Z1861" s="3" t="str">
        <f ca="1">HYPERLINK("#"&amp;일위대가목록표!J2&amp;"!A"&amp;ROW(일위대가목록표!A715),"대가712 →")</f>
        <v>대가712 →</v>
      </c>
    </row>
    <row r="1862" spans="1:26" ht="28.7" customHeight="1" x14ac:dyDescent="0.3">
      <c r="A1862" s="22" t="s">
        <v>6</v>
      </c>
      <c r="B1862" s="74"/>
      <c r="C1862" s="74"/>
      <c r="D1862" s="74"/>
      <c r="E1862" s="74"/>
      <c r="F1862" s="48">
        <f>J1862+H1862+L1862</f>
        <v>145668</v>
      </c>
      <c r="G1862" s="74"/>
      <c r="H1862" s="48">
        <f>ROUNDDOWN(SUMIF(P1861:P1861,O1862,H1861:H1861),0)</f>
        <v>145668</v>
      </c>
      <c r="I1862" s="74"/>
      <c r="J1862" s="48">
        <f>ROUNDDOWN(SUMIF(P1861:P1861,O1862,J1861:J1861),0)</f>
        <v>0</v>
      </c>
      <c r="K1862" s="74"/>
      <c r="L1862" s="48">
        <f>ROUNDDOWN(SUMIF(P1861:P1861,O1862,L1861:L1861),0)</f>
        <v>0</v>
      </c>
      <c r="M1862" s="74"/>
      <c r="O1862" s="7" t="s">
        <v>6406</v>
      </c>
    </row>
    <row r="1863" spans="1:26" ht="28.7" customHeight="1" x14ac:dyDescent="0.3">
      <c r="A1863" s="73"/>
      <c r="B1863" s="73"/>
      <c r="C1863" s="73"/>
      <c r="D1863" s="73"/>
      <c r="E1863" s="73"/>
      <c r="F1863" s="73"/>
      <c r="G1863" s="73"/>
      <c r="H1863" s="73"/>
      <c r="I1863" s="73"/>
      <c r="J1863" s="73"/>
      <c r="K1863" s="73"/>
      <c r="L1863" s="73"/>
      <c r="M1863" s="73"/>
    </row>
    <row r="1864" spans="1:26" ht="28.7" customHeight="1" x14ac:dyDescent="0.3">
      <c r="A1864" s="136" t="s">
        <v>1073</v>
      </c>
      <c r="B1864" s="127"/>
      <c r="C1864" s="127"/>
      <c r="D1864" s="127"/>
      <c r="E1864" s="127"/>
      <c r="F1864" s="127"/>
      <c r="G1864" s="127"/>
      <c r="H1864" s="127"/>
      <c r="I1864" s="127"/>
      <c r="J1864" s="127"/>
      <c r="K1864" s="127"/>
      <c r="L1864" s="144"/>
      <c r="M1864" s="22" t="s">
        <v>7766</v>
      </c>
      <c r="N1864" s="84" t="str">
        <f>HYPERLINK("#N"&amp;ROW(N1865),"_x0005_`BDCOD|B05368_x0007_`POSS|"&amp;ROW(N1865)&amp;"_x0007_`POSE|"&amp;ROW(N1865)&amp;"_x0007_`")</f>
        <v>_x0005_`BDCOD|B05368_x0007_`POSS|1865_x0007_`POSE|1865_x0007_`</v>
      </c>
      <c r="O1864" s="7" t="s">
        <v>7767</v>
      </c>
    </row>
    <row r="1865" spans="1:26" ht="28.7" customHeight="1" x14ac:dyDescent="0.3">
      <c r="A1865" s="10" t="s">
        <v>1838</v>
      </c>
      <c r="B1865" s="10" t="s">
        <v>1855</v>
      </c>
      <c r="C1865" s="75">
        <v>1</v>
      </c>
      <c r="D1865" s="31" t="s">
        <v>1010</v>
      </c>
      <c r="E1865" s="55">
        <f>I1865+G1865+K1865</f>
        <v>189819</v>
      </c>
      <c r="F1865" s="76">
        <f>J1865+H1865+L1865</f>
        <v>189819</v>
      </c>
      <c r="G1865" s="78">
        <f>일위대가목록표!F718</f>
        <v>189819</v>
      </c>
      <c r="H1865" s="80">
        <f>IF(C1865=0,0,ROUNDDOWN(G1865*C1865,1))</f>
        <v>189819</v>
      </c>
      <c r="I1865" s="78">
        <f>일위대가목록표!G718</f>
        <v>0</v>
      </c>
      <c r="J1865" s="80">
        <f>IF(C1865=0,0,ROUNDDOWN(I1865*C1865,1))</f>
        <v>0</v>
      </c>
      <c r="K1865" s="78">
        <f>일위대가목록표!H718</f>
        <v>0</v>
      </c>
      <c r="L1865" s="80">
        <f>IF(C1865=0,0,ROUNDDOWN(K1865*C1865,1))</f>
        <v>0</v>
      </c>
      <c r="M1865" s="22" t="s">
        <v>7671</v>
      </c>
      <c r="N1865" s="17" t="s">
        <v>7669</v>
      </c>
      <c r="O1865" s="7" t="s">
        <v>7670</v>
      </c>
      <c r="P1865" s="7" t="s">
        <v>6406</v>
      </c>
      <c r="Z1865" s="3" t="str">
        <f ca="1">HYPERLINK("#"&amp;일위대가목록표!J2&amp;"!A"&amp;ROW(일위대가목록표!A718),"대가715 →")</f>
        <v>대가715 →</v>
      </c>
    </row>
    <row r="1866" spans="1:26" ht="28.7" customHeight="1" x14ac:dyDescent="0.3">
      <c r="A1866" s="22" t="s">
        <v>6</v>
      </c>
      <c r="B1866" s="74"/>
      <c r="C1866" s="74"/>
      <c r="D1866" s="74"/>
      <c r="E1866" s="74"/>
      <c r="F1866" s="48">
        <f>J1866+H1866+L1866</f>
        <v>189819</v>
      </c>
      <c r="G1866" s="74"/>
      <c r="H1866" s="48">
        <f>ROUNDDOWN(SUMIF(P1865:P1865,O1866,H1865:H1865),0)</f>
        <v>189819</v>
      </c>
      <c r="I1866" s="74"/>
      <c r="J1866" s="48">
        <f>ROUNDDOWN(SUMIF(P1865:P1865,O1866,J1865:J1865),0)</f>
        <v>0</v>
      </c>
      <c r="K1866" s="74"/>
      <c r="L1866" s="48">
        <f>ROUNDDOWN(SUMIF(P1865:P1865,O1866,L1865:L1865),0)</f>
        <v>0</v>
      </c>
      <c r="M1866" s="74"/>
      <c r="O1866" s="7" t="s">
        <v>6406</v>
      </c>
    </row>
    <row r="1867" spans="1:26" ht="28.7" customHeight="1" x14ac:dyDescent="0.3">
      <c r="A1867" s="73"/>
      <c r="B1867" s="73"/>
      <c r="C1867" s="73"/>
      <c r="D1867" s="73"/>
      <c r="E1867" s="73"/>
      <c r="F1867" s="73"/>
      <c r="G1867" s="73"/>
      <c r="H1867" s="73"/>
      <c r="I1867" s="73"/>
      <c r="J1867" s="73"/>
      <c r="K1867" s="73"/>
      <c r="L1867" s="73"/>
      <c r="M1867" s="73"/>
    </row>
    <row r="1868" spans="1:26" ht="28.7" customHeight="1" x14ac:dyDescent="0.3">
      <c r="A1868" s="136" t="s">
        <v>1075</v>
      </c>
      <c r="B1868" s="127"/>
      <c r="C1868" s="127"/>
      <c r="D1868" s="127"/>
      <c r="E1868" s="127"/>
      <c r="F1868" s="127"/>
      <c r="G1868" s="127"/>
      <c r="H1868" s="127"/>
      <c r="I1868" s="127"/>
      <c r="J1868" s="127"/>
      <c r="K1868" s="127"/>
      <c r="L1868" s="144"/>
      <c r="M1868" s="22" t="s">
        <v>7768</v>
      </c>
      <c r="N1868" s="84" t="str">
        <f>HYPERLINK("#N"&amp;ROW(N1869),"_x0005_`BDCOD|B05369_x0007_`POSS|"&amp;ROW(N1869)&amp;"_x0007_`POSE|"&amp;ROW(N1869)&amp;"_x0007_`")</f>
        <v>_x0005_`BDCOD|B05369_x0007_`POSS|1869_x0007_`POSE|1869_x0007_`</v>
      </c>
      <c r="O1868" s="7" t="s">
        <v>7769</v>
      </c>
    </row>
    <row r="1869" spans="1:26" ht="28.7" customHeight="1" x14ac:dyDescent="0.3">
      <c r="A1869" s="10" t="s">
        <v>1838</v>
      </c>
      <c r="B1869" s="10" t="s">
        <v>1862</v>
      </c>
      <c r="C1869" s="75">
        <v>1</v>
      </c>
      <c r="D1869" s="31" t="s">
        <v>1010</v>
      </c>
      <c r="E1869" s="55">
        <f>I1869+G1869+K1869</f>
        <v>246873</v>
      </c>
      <c r="F1869" s="76">
        <f>J1869+H1869+L1869</f>
        <v>246873</v>
      </c>
      <c r="G1869" s="78">
        <f>일위대가목록표!F721</f>
        <v>246873</v>
      </c>
      <c r="H1869" s="80">
        <f>IF(C1869=0,0,ROUNDDOWN(G1869*C1869,1))</f>
        <v>246873</v>
      </c>
      <c r="I1869" s="78">
        <f>일위대가목록표!G721</f>
        <v>0</v>
      </c>
      <c r="J1869" s="80">
        <f>IF(C1869=0,0,ROUNDDOWN(I1869*C1869,1))</f>
        <v>0</v>
      </c>
      <c r="K1869" s="78">
        <f>일위대가목록표!H721</f>
        <v>0</v>
      </c>
      <c r="L1869" s="80">
        <f>IF(C1869=0,0,ROUNDDOWN(K1869*C1869,1))</f>
        <v>0</v>
      </c>
      <c r="M1869" s="22" t="s">
        <v>7678</v>
      </c>
      <c r="N1869" s="17" t="s">
        <v>7676</v>
      </c>
      <c r="O1869" s="7" t="s">
        <v>7677</v>
      </c>
      <c r="P1869" s="7" t="s">
        <v>6406</v>
      </c>
      <c r="Z1869" s="3" t="str">
        <f ca="1">HYPERLINK("#"&amp;일위대가목록표!J2&amp;"!A"&amp;ROW(일위대가목록표!A721),"대가718 →")</f>
        <v>대가718 →</v>
      </c>
    </row>
    <row r="1870" spans="1:26" ht="28.7" customHeight="1" x14ac:dyDescent="0.3">
      <c r="A1870" s="22" t="s">
        <v>6</v>
      </c>
      <c r="B1870" s="74"/>
      <c r="C1870" s="74"/>
      <c r="D1870" s="74"/>
      <c r="E1870" s="74"/>
      <c r="F1870" s="48">
        <f>J1870+H1870+L1870</f>
        <v>246873</v>
      </c>
      <c r="G1870" s="74"/>
      <c r="H1870" s="48">
        <f>ROUNDDOWN(SUMIF(P1869:P1869,O1870,H1869:H1869),0)</f>
        <v>246873</v>
      </c>
      <c r="I1870" s="74"/>
      <c r="J1870" s="48">
        <f>ROUNDDOWN(SUMIF(P1869:P1869,O1870,J1869:J1869),0)</f>
        <v>0</v>
      </c>
      <c r="K1870" s="74"/>
      <c r="L1870" s="48">
        <f>ROUNDDOWN(SUMIF(P1869:P1869,O1870,L1869:L1869),0)</f>
        <v>0</v>
      </c>
      <c r="M1870" s="74"/>
      <c r="O1870" s="7" t="s">
        <v>6406</v>
      </c>
    </row>
    <row r="1871" spans="1:26" ht="28.7" customHeight="1" x14ac:dyDescent="0.3">
      <c r="A1871" s="73"/>
      <c r="B1871" s="73"/>
      <c r="C1871" s="73"/>
      <c r="D1871" s="73"/>
      <c r="E1871" s="73"/>
      <c r="F1871" s="73"/>
      <c r="G1871" s="73"/>
      <c r="H1871" s="73"/>
      <c r="I1871" s="73"/>
      <c r="J1871" s="73"/>
      <c r="K1871" s="73"/>
      <c r="L1871" s="73"/>
      <c r="M1871" s="73"/>
    </row>
    <row r="1872" spans="1:26" ht="28.7" customHeight="1" x14ac:dyDescent="0.3">
      <c r="A1872" s="136" t="s">
        <v>1077</v>
      </c>
      <c r="B1872" s="127"/>
      <c r="C1872" s="127"/>
      <c r="D1872" s="127"/>
      <c r="E1872" s="127"/>
      <c r="F1872" s="127"/>
      <c r="G1872" s="127"/>
      <c r="H1872" s="127"/>
      <c r="I1872" s="127"/>
      <c r="J1872" s="127"/>
      <c r="K1872" s="127"/>
      <c r="L1872" s="144"/>
      <c r="M1872" s="22" t="s">
        <v>7770</v>
      </c>
      <c r="N1872" s="84" t="str">
        <f>HYPERLINK("#N"&amp;ROW(N1873),"_x0005_`BDCOD|B05370_x0007_`POSS|"&amp;ROW(N1873)&amp;"_x0007_`POSE|"&amp;ROW(N1873)&amp;"_x0007_`")</f>
        <v>_x0005_`BDCOD|B05370_x0007_`POSS|1873_x0007_`POSE|1873_x0007_`</v>
      </c>
      <c r="O1872" s="7" t="s">
        <v>7771</v>
      </c>
    </row>
    <row r="1873" spans="1:26" ht="28.7" customHeight="1" x14ac:dyDescent="0.3">
      <c r="A1873" s="10" t="s">
        <v>1842</v>
      </c>
      <c r="B1873" s="10" t="s">
        <v>1876</v>
      </c>
      <c r="C1873" s="75">
        <v>1</v>
      </c>
      <c r="D1873" s="31" t="s">
        <v>1010</v>
      </c>
      <c r="E1873" s="55">
        <f>I1873+G1873+K1873</f>
        <v>70535</v>
      </c>
      <c r="F1873" s="76">
        <f>J1873+H1873+L1873</f>
        <v>70535</v>
      </c>
      <c r="G1873" s="78">
        <f>일위대가목록표!F727</f>
        <v>70535</v>
      </c>
      <c r="H1873" s="80">
        <f>IF(C1873=0,0,ROUNDDOWN(G1873*C1873,1))</f>
        <v>70535</v>
      </c>
      <c r="I1873" s="78">
        <f>일위대가목록표!G727</f>
        <v>0</v>
      </c>
      <c r="J1873" s="80">
        <f>IF(C1873=0,0,ROUNDDOWN(I1873*C1873,1))</f>
        <v>0</v>
      </c>
      <c r="K1873" s="78">
        <f>일위대가목록표!H727</f>
        <v>0</v>
      </c>
      <c r="L1873" s="80">
        <f>IF(C1873=0,0,ROUNDDOWN(K1873*C1873,1))</f>
        <v>0</v>
      </c>
      <c r="M1873" s="22" t="s">
        <v>7757</v>
      </c>
      <c r="N1873" s="17" t="s">
        <v>7755</v>
      </c>
      <c r="O1873" s="7" t="s">
        <v>7756</v>
      </c>
      <c r="P1873" s="7" t="s">
        <v>6406</v>
      </c>
      <c r="Z1873" s="3" t="str">
        <f ca="1">HYPERLINK("#"&amp;일위대가목록표!J2&amp;"!A"&amp;ROW(일위대가목록표!A727),"대가724 →")</f>
        <v>대가724 →</v>
      </c>
    </row>
    <row r="1874" spans="1:26" ht="28.7" customHeight="1" x14ac:dyDescent="0.3">
      <c r="A1874" s="22" t="s">
        <v>6</v>
      </c>
      <c r="B1874" s="74"/>
      <c r="C1874" s="74"/>
      <c r="D1874" s="74"/>
      <c r="E1874" s="74"/>
      <c r="F1874" s="48">
        <f>J1874+H1874+L1874</f>
        <v>70535</v>
      </c>
      <c r="G1874" s="74"/>
      <c r="H1874" s="48">
        <f>ROUNDDOWN(SUMIF(P1873:P1873,O1874,H1873:H1873),0)</f>
        <v>70535</v>
      </c>
      <c r="I1874" s="74"/>
      <c r="J1874" s="48">
        <f>ROUNDDOWN(SUMIF(P1873:P1873,O1874,J1873:J1873),0)</f>
        <v>0</v>
      </c>
      <c r="K1874" s="74"/>
      <c r="L1874" s="48">
        <f>ROUNDDOWN(SUMIF(P1873:P1873,O1874,L1873:L1873),0)</f>
        <v>0</v>
      </c>
      <c r="M1874" s="74"/>
      <c r="O1874" s="7" t="s">
        <v>6406</v>
      </c>
    </row>
    <row r="1875" spans="1:26" ht="28.7" customHeight="1" x14ac:dyDescent="0.3">
      <c r="A1875" s="73"/>
      <c r="B1875" s="73"/>
      <c r="C1875" s="73"/>
      <c r="D1875" s="73"/>
      <c r="E1875" s="73"/>
      <c r="F1875" s="73"/>
      <c r="G1875" s="73"/>
      <c r="H1875" s="73"/>
      <c r="I1875" s="73"/>
      <c r="J1875" s="73"/>
      <c r="K1875" s="73"/>
      <c r="L1875" s="73"/>
      <c r="M1875" s="73"/>
    </row>
    <row r="1876" spans="1:26" ht="28.7" customHeight="1" x14ac:dyDescent="0.3">
      <c r="A1876" s="136" t="s">
        <v>1079</v>
      </c>
      <c r="B1876" s="127"/>
      <c r="C1876" s="127"/>
      <c r="D1876" s="127"/>
      <c r="E1876" s="127"/>
      <c r="F1876" s="127"/>
      <c r="G1876" s="127"/>
      <c r="H1876" s="127"/>
      <c r="I1876" s="127"/>
      <c r="J1876" s="127"/>
      <c r="K1876" s="127"/>
      <c r="L1876" s="144"/>
      <c r="M1876" s="22" t="s">
        <v>7772</v>
      </c>
      <c r="N1876" s="84" t="str">
        <f>HYPERLINK("#N"&amp;ROW(N1877),"_x0005_`BDCOD|B05371_x0007_`POSS|"&amp;ROW(N1877)&amp;"_x0007_`POSE|"&amp;ROW(N1877)&amp;"_x0007_`")</f>
        <v>_x0005_`BDCOD|B05371_x0007_`POSS|1877_x0007_`POSE|1877_x0007_`</v>
      </c>
      <c r="O1876" s="7" t="s">
        <v>7773</v>
      </c>
    </row>
    <row r="1877" spans="1:26" ht="28.7" customHeight="1" x14ac:dyDescent="0.3">
      <c r="A1877" s="10" t="s">
        <v>1845</v>
      </c>
      <c r="B1877" s="10" t="s">
        <v>1562</v>
      </c>
      <c r="C1877" s="75">
        <v>1</v>
      </c>
      <c r="D1877" s="31" t="s">
        <v>1010</v>
      </c>
      <c r="E1877" s="55">
        <f>I1877+G1877+K1877</f>
        <v>43354</v>
      </c>
      <c r="F1877" s="76">
        <f>J1877+H1877+L1877</f>
        <v>43354</v>
      </c>
      <c r="G1877" s="78">
        <f>일위대가목록표!F726</f>
        <v>43354</v>
      </c>
      <c r="H1877" s="80">
        <f>IF(C1877=0,0,ROUNDDOWN(G1877*C1877,1))</f>
        <v>43354</v>
      </c>
      <c r="I1877" s="78">
        <f>일위대가목록표!G726</f>
        <v>0</v>
      </c>
      <c r="J1877" s="80">
        <f>IF(C1877=0,0,ROUNDDOWN(I1877*C1877,1))</f>
        <v>0</v>
      </c>
      <c r="K1877" s="78">
        <f>일위대가목록표!H726</f>
        <v>0</v>
      </c>
      <c r="L1877" s="80">
        <f>IF(C1877=0,0,ROUNDDOWN(K1877*C1877,1))</f>
        <v>0</v>
      </c>
      <c r="M1877" s="22" t="s">
        <v>7776</v>
      </c>
      <c r="N1877" s="17" t="s">
        <v>7774</v>
      </c>
      <c r="O1877" s="7" t="s">
        <v>7775</v>
      </c>
      <c r="P1877" s="7" t="s">
        <v>6406</v>
      </c>
      <c r="Z1877" s="3" t="str">
        <f ca="1">HYPERLINK("#"&amp;일위대가목록표!J2&amp;"!A"&amp;ROW(일위대가목록표!A726),"대가723 →")</f>
        <v>대가723 →</v>
      </c>
    </row>
    <row r="1878" spans="1:26" ht="28.7" customHeight="1" x14ac:dyDescent="0.3">
      <c r="A1878" s="22" t="s">
        <v>6</v>
      </c>
      <c r="B1878" s="74"/>
      <c r="C1878" s="74"/>
      <c r="D1878" s="74"/>
      <c r="E1878" s="74"/>
      <c r="F1878" s="48">
        <f>J1878+H1878+L1878</f>
        <v>43354</v>
      </c>
      <c r="G1878" s="74"/>
      <c r="H1878" s="48">
        <f>ROUNDDOWN(SUMIF(P1877:P1877,O1878,H1877:H1877),0)</f>
        <v>43354</v>
      </c>
      <c r="I1878" s="74"/>
      <c r="J1878" s="48">
        <f>ROUNDDOWN(SUMIF(P1877:P1877,O1878,J1877:J1877),0)</f>
        <v>0</v>
      </c>
      <c r="K1878" s="74"/>
      <c r="L1878" s="48">
        <f>ROUNDDOWN(SUMIF(P1877:P1877,O1878,L1877:L1877),0)</f>
        <v>0</v>
      </c>
      <c r="M1878" s="74"/>
      <c r="O1878" s="7" t="s">
        <v>6406</v>
      </c>
    </row>
    <row r="1879" spans="1:26" ht="28.7" customHeight="1" x14ac:dyDescent="0.3">
      <c r="A1879" s="73"/>
      <c r="B1879" s="73"/>
      <c r="C1879" s="73"/>
      <c r="D1879" s="73"/>
      <c r="E1879" s="73"/>
      <c r="F1879" s="73"/>
      <c r="G1879" s="73"/>
      <c r="H1879" s="73"/>
      <c r="I1879" s="73"/>
      <c r="J1879" s="73"/>
      <c r="K1879" s="73"/>
      <c r="L1879" s="73"/>
      <c r="M1879" s="73"/>
    </row>
    <row r="1880" spans="1:26" ht="28.7" customHeight="1" x14ac:dyDescent="0.3">
      <c r="A1880" s="136" t="s">
        <v>1082</v>
      </c>
      <c r="B1880" s="127"/>
      <c r="C1880" s="127"/>
      <c r="D1880" s="127"/>
      <c r="E1880" s="127"/>
      <c r="F1880" s="127"/>
      <c r="G1880" s="127"/>
      <c r="H1880" s="127"/>
      <c r="I1880" s="127"/>
      <c r="J1880" s="127"/>
      <c r="K1880" s="127"/>
      <c r="L1880" s="144"/>
      <c r="M1880" s="22" t="s">
        <v>7777</v>
      </c>
      <c r="N1880" s="84" t="str">
        <f>HYPERLINK("#N"&amp;ROW(N1881),"_x0005_`BDCOD|B05372_x0007_`POSS|"&amp;ROW(N1881)&amp;"_x0007_`POSE|"&amp;ROW(N1881)&amp;"_x0007_`")</f>
        <v>_x0005_`BDCOD|B05372_x0007_`POSS|1881_x0007_`POSE|1881_x0007_`</v>
      </c>
      <c r="O1880" s="7" t="s">
        <v>7778</v>
      </c>
    </row>
    <row r="1881" spans="1:26" ht="28.7" customHeight="1" x14ac:dyDescent="0.3">
      <c r="A1881" s="10" t="s">
        <v>1845</v>
      </c>
      <c r="B1881" s="10" t="s">
        <v>1543</v>
      </c>
      <c r="C1881" s="75">
        <v>1</v>
      </c>
      <c r="D1881" s="31" t="s">
        <v>1010</v>
      </c>
      <c r="E1881" s="55">
        <f>I1881+G1881+K1881</f>
        <v>74126</v>
      </c>
      <c r="F1881" s="76">
        <f>J1881+H1881+L1881</f>
        <v>74126</v>
      </c>
      <c r="G1881" s="78">
        <f>일위대가목록표!F714</f>
        <v>71967</v>
      </c>
      <c r="H1881" s="80">
        <f>IF(C1881=0,0,ROUNDDOWN(G1881*C1881,1))</f>
        <v>71967</v>
      </c>
      <c r="I1881" s="78">
        <f>일위대가목록표!G714</f>
        <v>0</v>
      </c>
      <c r="J1881" s="80">
        <f>IF(C1881=0,0,ROUNDDOWN(I1881*C1881,1))</f>
        <v>0</v>
      </c>
      <c r="K1881" s="78">
        <f>일위대가목록표!H714</f>
        <v>2159</v>
      </c>
      <c r="L1881" s="80">
        <f>IF(C1881=0,0,ROUNDDOWN(K1881*C1881,1))</f>
        <v>2159</v>
      </c>
      <c r="M1881" s="22" t="s">
        <v>7693</v>
      </c>
      <c r="N1881" s="17" t="s">
        <v>7691</v>
      </c>
      <c r="O1881" s="7" t="s">
        <v>7692</v>
      </c>
      <c r="P1881" s="7" t="s">
        <v>6406</v>
      </c>
      <c r="Z1881" s="3" t="str">
        <f ca="1">HYPERLINK("#"&amp;일위대가목록표!J2&amp;"!A"&amp;ROW(일위대가목록표!A714),"대가711 →")</f>
        <v>대가711 →</v>
      </c>
    </row>
    <row r="1882" spans="1:26" ht="28.7" customHeight="1" x14ac:dyDescent="0.3">
      <c r="A1882" s="22" t="s">
        <v>6</v>
      </c>
      <c r="B1882" s="74"/>
      <c r="C1882" s="74"/>
      <c r="D1882" s="74"/>
      <c r="E1882" s="74"/>
      <c r="F1882" s="48">
        <f>J1882+H1882+L1882</f>
        <v>74126</v>
      </c>
      <c r="G1882" s="74"/>
      <c r="H1882" s="48">
        <f>ROUNDDOWN(SUMIF(P1881:P1881,O1882,H1881:H1881),0)</f>
        <v>71967</v>
      </c>
      <c r="I1882" s="74"/>
      <c r="J1882" s="48">
        <f>ROUNDDOWN(SUMIF(P1881:P1881,O1882,J1881:J1881),0)</f>
        <v>0</v>
      </c>
      <c r="K1882" s="74"/>
      <c r="L1882" s="48">
        <f>ROUNDDOWN(SUMIF(P1881:P1881,O1882,L1881:L1881),0)</f>
        <v>2159</v>
      </c>
      <c r="M1882" s="74"/>
      <c r="O1882" s="7" t="s">
        <v>6406</v>
      </c>
    </row>
    <row r="1883" spans="1:26" ht="28.7" customHeight="1" x14ac:dyDescent="0.3">
      <c r="A1883" s="73"/>
      <c r="B1883" s="73"/>
      <c r="C1883" s="73"/>
      <c r="D1883" s="73"/>
      <c r="E1883" s="73"/>
      <c r="F1883" s="73"/>
      <c r="G1883" s="73"/>
      <c r="H1883" s="73"/>
      <c r="I1883" s="73"/>
      <c r="J1883" s="73"/>
      <c r="K1883" s="73"/>
      <c r="L1883" s="73"/>
      <c r="M1883" s="73"/>
    </row>
    <row r="1884" spans="1:26" ht="28.7" customHeight="1" x14ac:dyDescent="0.3">
      <c r="A1884" s="136" t="s">
        <v>1084</v>
      </c>
      <c r="B1884" s="127"/>
      <c r="C1884" s="127"/>
      <c r="D1884" s="127"/>
      <c r="E1884" s="127"/>
      <c r="F1884" s="127"/>
      <c r="G1884" s="127"/>
      <c r="H1884" s="127"/>
      <c r="I1884" s="127"/>
      <c r="J1884" s="127"/>
      <c r="K1884" s="127"/>
      <c r="L1884" s="144"/>
      <c r="M1884" s="22" t="s">
        <v>7779</v>
      </c>
      <c r="N1884" s="84" t="str">
        <f>HYPERLINK("#N"&amp;ROW(N1885),"_x0005_`BDCOD|B05373_x0007_`POSS|"&amp;ROW(N1885)&amp;"_x0007_`POSE|"&amp;ROW(N1885)&amp;"_x0007_`")</f>
        <v>_x0005_`BDCOD|B05373_x0007_`POSS|1885_x0007_`POSE|1885_x0007_`</v>
      </c>
      <c r="O1884" s="7" t="s">
        <v>7780</v>
      </c>
    </row>
    <row r="1885" spans="1:26" ht="28.7" customHeight="1" x14ac:dyDescent="0.3">
      <c r="A1885" s="10" t="s">
        <v>1845</v>
      </c>
      <c r="B1885" s="10" t="s">
        <v>1546</v>
      </c>
      <c r="C1885" s="75">
        <v>1</v>
      </c>
      <c r="D1885" s="31" t="s">
        <v>1010</v>
      </c>
      <c r="E1885" s="55">
        <f>I1885+G1885+K1885</f>
        <v>104049</v>
      </c>
      <c r="F1885" s="76">
        <f>J1885+H1885+L1885</f>
        <v>104049</v>
      </c>
      <c r="G1885" s="78">
        <f>일위대가목록표!F717</f>
        <v>104049</v>
      </c>
      <c r="H1885" s="80">
        <f>IF(C1885=0,0,ROUNDDOWN(G1885*C1885,1))</f>
        <v>104049</v>
      </c>
      <c r="I1885" s="78">
        <f>일위대가목록표!G717</f>
        <v>0</v>
      </c>
      <c r="J1885" s="80">
        <f>IF(C1885=0,0,ROUNDDOWN(I1885*C1885,1))</f>
        <v>0</v>
      </c>
      <c r="K1885" s="78">
        <f>일위대가목록표!H717</f>
        <v>0</v>
      </c>
      <c r="L1885" s="80">
        <f>IF(C1885=0,0,ROUNDDOWN(K1885*C1885,1))</f>
        <v>0</v>
      </c>
      <c r="M1885" s="22" t="s">
        <v>7698</v>
      </c>
      <c r="N1885" s="17" t="s">
        <v>7696</v>
      </c>
      <c r="O1885" s="7" t="s">
        <v>7697</v>
      </c>
      <c r="P1885" s="7" t="s">
        <v>6406</v>
      </c>
      <c r="Z1885" s="3" t="str">
        <f ca="1">HYPERLINK("#"&amp;일위대가목록표!J2&amp;"!A"&amp;ROW(일위대가목록표!A717),"대가714 →")</f>
        <v>대가714 →</v>
      </c>
    </row>
    <row r="1886" spans="1:26" ht="28.7" customHeight="1" x14ac:dyDescent="0.3">
      <c r="A1886" s="22" t="s">
        <v>6</v>
      </c>
      <c r="B1886" s="74"/>
      <c r="C1886" s="74"/>
      <c r="D1886" s="74"/>
      <c r="E1886" s="74"/>
      <c r="F1886" s="48">
        <f>J1886+H1886+L1886</f>
        <v>104049</v>
      </c>
      <c r="G1886" s="74"/>
      <c r="H1886" s="48">
        <f>ROUNDDOWN(SUMIF(P1885:P1885,O1886,H1885:H1885),0)</f>
        <v>104049</v>
      </c>
      <c r="I1886" s="74"/>
      <c r="J1886" s="48">
        <f>ROUNDDOWN(SUMIF(P1885:P1885,O1886,J1885:J1885),0)</f>
        <v>0</v>
      </c>
      <c r="K1886" s="74"/>
      <c r="L1886" s="48">
        <f>ROUNDDOWN(SUMIF(P1885:P1885,O1886,L1885:L1885),0)</f>
        <v>0</v>
      </c>
      <c r="M1886" s="74"/>
      <c r="O1886" s="7" t="s">
        <v>6406</v>
      </c>
    </row>
    <row r="1887" spans="1:26" ht="28.7" customHeight="1" x14ac:dyDescent="0.3">
      <c r="A1887" s="73"/>
      <c r="B1887" s="73"/>
      <c r="C1887" s="73"/>
      <c r="D1887" s="73"/>
      <c r="E1887" s="73"/>
      <c r="F1887" s="73"/>
      <c r="G1887" s="73"/>
      <c r="H1887" s="73"/>
      <c r="I1887" s="73"/>
      <c r="J1887" s="73"/>
      <c r="K1887" s="73"/>
      <c r="L1887" s="73"/>
      <c r="M1887" s="73"/>
    </row>
    <row r="1888" spans="1:26" ht="28.7" customHeight="1" x14ac:dyDescent="0.3">
      <c r="A1888" s="136" t="s">
        <v>1086</v>
      </c>
      <c r="B1888" s="127"/>
      <c r="C1888" s="127"/>
      <c r="D1888" s="127"/>
      <c r="E1888" s="127"/>
      <c r="F1888" s="127"/>
      <c r="G1888" s="127"/>
      <c r="H1888" s="127"/>
      <c r="I1888" s="127"/>
      <c r="J1888" s="127"/>
      <c r="K1888" s="127"/>
      <c r="L1888" s="144"/>
      <c r="M1888" s="22" t="s">
        <v>7781</v>
      </c>
      <c r="N1888" s="84" t="str">
        <f>HYPERLINK("#N"&amp;ROW(N1889),"_x0005_`BDCOD|B05374_x0007_`POSS|"&amp;ROW(N1889)&amp;"_x0007_`POSE|"&amp;ROW(N1889)&amp;"_x0007_`")</f>
        <v>_x0005_`BDCOD|B05374_x0007_`POSS|1889_x0007_`POSE|1889_x0007_`</v>
      </c>
      <c r="O1888" s="7" t="s">
        <v>7782</v>
      </c>
    </row>
    <row r="1889" spans="1:26" ht="28.7" customHeight="1" x14ac:dyDescent="0.3">
      <c r="A1889" s="10" t="s">
        <v>1845</v>
      </c>
      <c r="B1889" s="10" t="s">
        <v>1569</v>
      </c>
      <c r="C1889" s="75">
        <v>1</v>
      </c>
      <c r="D1889" s="31" t="s">
        <v>1010</v>
      </c>
      <c r="E1889" s="55">
        <f>I1889+G1889+K1889</f>
        <v>135585</v>
      </c>
      <c r="F1889" s="76">
        <f>J1889+H1889+L1889</f>
        <v>135585</v>
      </c>
      <c r="G1889" s="78">
        <f>일위대가목록표!F720</f>
        <v>135585</v>
      </c>
      <c r="H1889" s="80">
        <f>IF(C1889=0,0,ROUNDDOWN(G1889*C1889,1))</f>
        <v>135585</v>
      </c>
      <c r="I1889" s="78">
        <f>일위대가목록표!G720</f>
        <v>0</v>
      </c>
      <c r="J1889" s="80">
        <f>IF(C1889=0,0,ROUNDDOWN(I1889*C1889,1))</f>
        <v>0</v>
      </c>
      <c r="K1889" s="78">
        <f>일위대가목록표!H720</f>
        <v>0</v>
      </c>
      <c r="L1889" s="80">
        <f>IF(C1889=0,0,ROUNDDOWN(K1889*C1889,1))</f>
        <v>0</v>
      </c>
      <c r="M1889" s="22" t="s">
        <v>7703</v>
      </c>
      <c r="N1889" s="17" t="s">
        <v>7701</v>
      </c>
      <c r="O1889" s="7" t="s">
        <v>7702</v>
      </c>
      <c r="P1889" s="7" t="s">
        <v>6406</v>
      </c>
      <c r="Z1889" s="3" t="str">
        <f ca="1">HYPERLINK("#"&amp;일위대가목록표!J2&amp;"!A"&amp;ROW(일위대가목록표!A720),"대가717 →")</f>
        <v>대가717 →</v>
      </c>
    </row>
    <row r="1890" spans="1:26" ht="28.7" customHeight="1" x14ac:dyDescent="0.3">
      <c r="A1890" s="22" t="s">
        <v>6</v>
      </c>
      <c r="B1890" s="74"/>
      <c r="C1890" s="74"/>
      <c r="D1890" s="74"/>
      <c r="E1890" s="74"/>
      <c r="F1890" s="48">
        <f>J1890+H1890+L1890</f>
        <v>135585</v>
      </c>
      <c r="G1890" s="74"/>
      <c r="H1890" s="48">
        <f>ROUNDDOWN(SUMIF(P1889:P1889,O1890,H1889:H1889),0)</f>
        <v>135585</v>
      </c>
      <c r="I1890" s="74"/>
      <c r="J1890" s="48">
        <f>ROUNDDOWN(SUMIF(P1889:P1889,O1890,J1889:J1889),0)</f>
        <v>0</v>
      </c>
      <c r="K1890" s="74"/>
      <c r="L1890" s="48">
        <f>ROUNDDOWN(SUMIF(P1889:P1889,O1890,L1889:L1889),0)</f>
        <v>0</v>
      </c>
      <c r="M1890" s="74"/>
      <c r="O1890" s="7" t="s">
        <v>6406</v>
      </c>
    </row>
    <row r="1891" spans="1:26" ht="28.7" customHeight="1" x14ac:dyDescent="0.3">
      <c r="A1891" s="73"/>
      <c r="B1891" s="73"/>
      <c r="C1891" s="73"/>
      <c r="D1891" s="73"/>
      <c r="E1891" s="73"/>
      <c r="F1891" s="73"/>
      <c r="G1891" s="73"/>
      <c r="H1891" s="73"/>
      <c r="I1891" s="73"/>
      <c r="J1891" s="73"/>
      <c r="K1891" s="73"/>
      <c r="L1891" s="73"/>
      <c r="M1891" s="73"/>
    </row>
    <row r="1892" spans="1:26" ht="28.7" customHeight="1" x14ac:dyDescent="0.3">
      <c r="A1892" s="136" t="s">
        <v>1088</v>
      </c>
      <c r="B1892" s="127"/>
      <c r="C1892" s="127"/>
      <c r="D1892" s="127"/>
      <c r="E1892" s="127"/>
      <c r="F1892" s="127"/>
      <c r="G1892" s="127"/>
      <c r="H1892" s="127"/>
      <c r="I1892" s="127"/>
      <c r="J1892" s="127"/>
      <c r="K1892" s="127"/>
      <c r="L1892" s="144"/>
      <c r="M1892" s="22" t="s">
        <v>7783</v>
      </c>
      <c r="N1892" s="84" t="str">
        <f>HYPERLINK("#N"&amp;ROW(N1893),"_x0005_`BDCOD|B05375_x0007_`POSS|"&amp;ROW(N1893)&amp;"_x0007_`POSE|"&amp;ROW(N1893)&amp;"_x0007_`")</f>
        <v>_x0005_`BDCOD|B05375_x0007_`POSS|1893_x0007_`POSE|1893_x0007_`</v>
      </c>
      <c r="O1892" s="7" t="s">
        <v>7784</v>
      </c>
    </row>
    <row r="1893" spans="1:26" ht="28.7" customHeight="1" x14ac:dyDescent="0.3">
      <c r="A1893" s="10" t="s">
        <v>1845</v>
      </c>
      <c r="B1893" s="10" t="s">
        <v>1572</v>
      </c>
      <c r="C1893" s="75">
        <v>1</v>
      </c>
      <c r="D1893" s="31" t="s">
        <v>1010</v>
      </c>
      <c r="E1893" s="55">
        <f>I1893+G1893+K1893</f>
        <v>176338</v>
      </c>
      <c r="F1893" s="76">
        <f>J1893+H1893+L1893</f>
        <v>176338</v>
      </c>
      <c r="G1893" s="78">
        <f>일위대가목록표!F723</f>
        <v>176338</v>
      </c>
      <c r="H1893" s="80">
        <f>IF(C1893=0,0,ROUNDDOWN(G1893*C1893,1))</f>
        <v>176338</v>
      </c>
      <c r="I1893" s="78">
        <f>일위대가목록표!G723</f>
        <v>0</v>
      </c>
      <c r="J1893" s="80">
        <f>IF(C1893=0,0,ROUNDDOWN(I1893*C1893,1))</f>
        <v>0</v>
      </c>
      <c r="K1893" s="78">
        <f>일위대가목록표!H723</f>
        <v>0</v>
      </c>
      <c r="L1893" s="80">
        <f>IF(C1893=0,0,ROUNDDOWN(K1893*C1893,1))</f>
        <v>0</v>
      </c>
      <c r="M1893" s="22" t="s">
        <v>7708</v>
      </c>
      <c r="N1893" s="17" t="s">
        <v>7706</v>
      </c>
      <c r="O1893" s="7" t="s">
        <v>7707</v>
      </c>
      <c r="P1893" s="7" t="s">
        <v>6406</v>
      </c>
      <c r="Z1893" s="3" t="str">
        <f ca="1">HYPERLINK("#"&amp;일위대가목록표!J2&amp;"!A"&amp;ROW(일위대가목록표!A723),"대가720 →")</f>
        <v>대가720 →</v>
      </c>
    </row>
    <row r="1894" spans="1:26" ht="28.7" customHeight="1" x14ac:dyDescent="0.3">
      <c r="A1894" s="22" t="s">
        <v>6</v>
      </c>
      <c r="B1894" s="74"/>
      <c r="C1894" s="74"/>
      <c r="D1894" s="74"/>
      <c r="E1894" s="74"/>
      <c r="F1894" s="48">
        <f>J1894+H1894+L1894</f>
        <v>176338</v>
      </c>
      <c r="G1894" s="74"/>
      <c r="H1894" s="48">
        <f>ROUNDDOWN(SUMIF(P1893:P1893,O1894,H1893:H1893),0)</f>
        <v>176338</v>
      </c>
      <c r="I1894" s="74"/>
      <c r="J1894" s="48">
        <f>ROUNDDOWN(SUMIF(P1893:P1893,O1894,J1893:J1893),0)</f>
        <v>0</v>
      </c>
      <c r="K1894" s="74"/>
      <c r="L1894" s="48">
        <f>ROUNDDOWN(SUMIF(P1893:P1893,O1894,L1893:L1893),0)</f>
        <v>0</v>
      </c>
      <c r="M1894" s="74"/>
      <c r="O1894" s="7" t="s">
        <v>6406</v>
      </c>
    </row>
    <row r="1895" spans="1:26" ht="28.7" customHeight="1" x14ac:dyDescent="0.3">
      <c r="A1895" s="73"/>
      <c r="B1895" s="73"/>
      <c r="C1895" s="73"/>
      <c r="D1895" s="73"/>
      <c r="E1895" s="73"/>
      <c r="F1895" s="73"/>
      <c r="G1895" s="73"/>
      <c r="H1895" s="73"/>
      <c r="I1895" s="73"/>
      <c r="J1895" s="73"/>
      <c r="K1895" s="73"/>
      <c r="L1895" s="73"/>
      <c r="M1895" s="73"/>
    </row>
    <row r="1896" spans="1:26" ht="28.7" customHeight="1" x14ac:dyDescent="0.3">
      <c r="A1896" s="136" t="s">
        <v>1090</v>
      </c>
      <c r="B1896" s="127"/>
      <c r="C1896" s="127"/>
      <c r="D1896" s="127"/>
      <c r="E1896" s="127"/>
      <c r="F1896" s="127"/>
      <c r="G1896" s="127"/>
      <c r="H1896" s="127"/>
      <c r="I1896" s="127"/>
      <c r="J1896" s="127"/>
      <c r="K1896" s="127"/>
      <c r="L1896" s="144"/>
      <c r="M1896" s="22" t="s">
        <v>7785</v>
      </c>
      <c r="N1896" s="84" t="str">
        <f>HYPERLINK("#N"&amp;ROW(N1897),"_x0005_`BDCOD|B05376_x0007_`POSS|"&amp;ROW(N1897)&amp;"_x0007_`POSE|"&amp;ROW(N1897)&amp;"_x0007_`")</f>
        <v>_x0005_`BDCOD|B05376_x0007_`POSS|1897_x0007_`POSE|1897_x0007_`</v>
      </c>
      <c r="O1896" s="7" t="s">
        <v>7786</v>
      </c>
    </row>
    <row r="1897" spans="1:26" ht="28.7" customHeight="1" x14ac:dyDescent="0.3">
      <c r="A1897" s="10" t="s">
        <v>1845</v>
      </c>
      <c r="B1897" s="10" t="s">
        <v>1879</v>
      </c>
      <c r="C1897" s="75">
        <v>1</v>
      </c>
      <c r="D1897" s="31" t="s">
        <v>1010</v>
      </c>
      <c r="E1897" s="55">
        <f>I1897+G1897+K1897</f>
        <v>176338</v>
      </c>
      <c r="F1897" s="76">
        <f>J1897+H1897+L1897</f>
        <v>176338</v>
      </c>
      <c r="G1897" s="78">
        <f>일위대가목록표!F728</f>
        <v>176338</v>
      </c>
      <c r="H1897" s="80">
        <f>IF(C1897=0,0,ROUNDDOWN(G1897*C1897,1))</f>
        <v>176338</v>
      </c>
      <c r="I1897" s="78">
        <f>일위대가목록표!G728</f>
        <v>0</v>
      </c>
      <c r="J1897" s="80">
        <f>IF(C1897=0,0,ROUNDDOWN(I1897*C1897,1))</f>
        <v>0</v>
      </c>
      <c r="K1897" s="78">
        <f>일위대가목록표!H728</f>
        <v>0</v>
      </c>
      <c r="L1897" s="80">
        <f>IF(C1897=0,0,ROUNDDOWN(K1897*C1897,1))</f>
        <v>0</v>
      </c>
      <c r="M1897" s="22" t="s">
        <v>7789</v>
      </c>
      <c r="N1897" s="17" t="s">
        <v>7787</v>
      </c>
      <c r="O1897" s="7" t="s">
        <v>7788</v>
      </c>
      <c r="P1897" s="7" t="s">
        <v>6406</v>
      </c>
      <c r="Z1897" s="3" t="str">
        <f ca="1">HYPERLINK("#"&amp;일위대가목록표!J2&amp;"!A"&amp;ROW(일위대가목록표!A728),"대가725 →")</f>
        <v>대가725 →</v>
      </c>
    </row>
    <row r="1898" spans="1:26" ht="28.7" customHeight="1" x14ac:dyDescent="0.3">
      <c r="A1898" s="22" t="s">
        <v>6</v>
      </c>
      <c r="B1898" s="74"/>
      <c r="C1898" s="74"/>
      <c r="D1898" s="74"/>
      <c r="E1898" s="74"/>
      <c r="F1898" s="48">
        <f>J1898+H1898+L1898</f>
        <v>176338</v>
      </c>
      <c r="G1898" s="74"/>
      <c r="H1898" s="48">
        <f>ROUNDDOWN(SUMIF(P1897:P1897,O1898,H1897:H1897),0)</f>
        <v>176338</v>
      </c>
      <c r="I1898" s="74"/>
      <c r="J1898" s="48">
        <f>ROUNDDOWN(SUMIF(P1897:P1897,O1898,J1897:J1897),0)</f>
        <v>0</v>
      </c>
      <c r="K1898" s="74"/>
      <c r="L1898" s="48">
        <f>ROUNDDOWN(SUMIF(P1897:P1897,O1898,L1897:L1897),0)</f>
        <v>0</v>
      </c>
      <c r="M1898" s="74"/>
      <c r="O1898" s="7" t="s">
        <v>6406</v>
      </c>
    </row>
    <row r="1899" spans="1:26" ht="28.7" customHeight="1" x14ac:dyDescent="0.3">
      <c r="A1899" s="73"/>
      <c r="B1899" s="73"/>
      <c r="C1899" s="73"/>
      <c r="D1899" s="73"/>
      <c r="E1899" s="73"/>
      <c r="F1899" s="73"/>
      <c r="G1899" s="73"/>
      <c r="H1899" s="73"/>
      <c r="I1899" s="73"/>
      <c r="J1899" s="73"/>
      <c r="K1899" s="73"/>
      <c r="L1899" s="73"/>
      <c r="M1899" s="73"/>
    </row>
    <row r="1900" spans="1:26" ht="28.7" customHeight="1" x14ac:dyDescent="0.3">
      <c r="A1900" s="136" t="s">
        <v>1092</v>
      </c>
      <c r="B1900" s="127"/>
      <c r="C1900" s="127"/>
      <c r="D1900" s="127"/>
      <c r="E1900" s="127"/>
      <c r="F1900" s="127"/>
      <c r="G1900" s="127"/>
      <c r="H1900" s="127"/>
      <c r="I1900" s="127"/>
      <c r="J1900" s="127"/>
      <c r="K1900" s="127"/>
      <c r="L1900" s="144"/>
      <c r="M1900" s="22" t="s">
        <v>7790</v>
      </c>
      <c r="N1900" s="84" t="str">
        <f>HYPERLINK("#N"&amp;ROW(N1901),"_x0005_`BDCOD|B05377_x0007_`POSS|"&amp;ROW(N1901)&amp;"_x0007_`POSE|"&amp;ROW(N1901)&amp;"_x0007_`")</f>
        <v>_x0005_`BDCOD|B05377_x0007_`POSS|1901_x0007_`POSE|1901_x0007_`</v>
      </c>
      <c r="O1900" s="7" t="s">
        <v>7791</v>
      </c>
    </row>
    <row r="1901" spans="1:26" ht="28.7" customHeight="1" x14ac:dyDescent="0.3">
      <c r="A1901" s="10" t="s">
        <v>1842</v>
      </c>
      <c r="B1901" s="10" t="s">
        <v>1869</v>
      </c>
      <c r="C1901" s="75">
        <v>1</v>
      </c>
      <c r="D1901" s="31" t="s">
        <v>1010</v>
      </c>
      <c r="E1901" s="55">
        <f>I1901+G1901+K1901</f>
        <v>17341</v>
      </c>
      <c r="F1901" s="76">
        <f>J1901+H1901+L1901</f>
        <v>17341</v>
      </c>
      <c r="G1901" s="78">
        <f>일위대가목록표!F725</f>
        <v>17341</v>
      </c>
      <c r="H1901" s="80">
        <f>IF(C1901=0,0,ROUNDDOWN(G1901*C1901,1))</f>
        <v>17341</v>
      </c>
      <c r="I1901" s="78">
        <f>일위대가목록표!G725</f>
        <v>0</v>
      </c>
      <c r="J1901" s="80">
        <f>IF(C1901=0,0,ROUNDDOWN(I1901*C1901,1))</f>
        <v>0</v>
      </c>
      <c r="K1901" s="78">
        <f>일위대가목록표!H725</f>
        <v>0</v>
      </c>
      <c r="L1901" s="80">
        <f>IF(C1901=0,0,ROUNDDOWN(K1901*C1901,1))</f>
        <v>0</v>
      </c>
      <c r="M1901" s="22" t="s">
        <v>7794</v>
      </c>
      <c r="N1901" s="17" t="s">
        <v>7792</v>
      </c>
      <c r="O1901" s="7" t="s">
        <v>7793</v>
      </c>
      <c r="P1901" s="7" t="s">
        <v>6406</v>
      </c>
      <c r="Z1901" s="3" t="str">
        <f ca="1">HYPERLINK("#"&amp;일위대가목록표!J2&amp;"!A"&amp;ROW(일위대가목록표!A725),"대가722 →")</f>
        <v>대가722 →</v>
      </c>
    </row>
    <row r="1902" spans="1:26" ht="28.7" customHeight="1" x14ac:dyDescent="0.3">
      <c r="A1902" s="22" t="s">
        <v>6</v>
      </c>
      <c r="B1902" s="74"/>
      <c r="C1902" s="74"/>
      <c r="D1902" s="74"/>
      <c r="E1902" s="74"/>
      <c r="F1902" s="48">
        <f>J1902+H1902+L1902</f>
        <v>17341</v>
      </c>
      <c r="G1902" s="74"/>
      <c r="H1902" s="48">
        <f>ROUNDDOWN(SUMIF(P1901:P1901,O1902,H1901:H1901),0)</f>
        <v>17341</v>
      </c>
      <c r="I1902" s="74"/>
      <c r="J1902" s="48">
        <f>ROUNDDOWN(SUMIF(P1901:P1901,O1902,J1901:J1901),0)</f>
        <v>0</v>
      </c>
      <c r="K1902" s="74"/>
      <c r="L1902" s="48">
        <f>ROUNDDOWN(SUMIF(P1901:P1901,O1902,L1901:L1901),0)</f>
        <v>0</v>
      </c>
      <c r="M1902" s="74"/>
      <c r="O1902" s="7" t="s">
        <v>6406</v>
      </c>
    </row>
    <row r="1903" spans="1:26" ht="28.7" customHeight="1" x14ac:dyDescent="0.3">
      <c r="A1903" s="73"/>
      <c r="B1903" s="73"/>
      <c r="C1903" s="73"/>
      <c r="D1903" s="73"/>
      <c r="E1903" s="73"/>
      <c r="F1903" s="73"/>
      <c r="G1903" s="73"/>
      <c r="H1903" s="73"/>
      <c r="I1903" s="73"/>
      <c r="J1903" s="73"/>
      <c r="K1903" s="73"/>
      <c r="L1903" s="73"/>
      <c r="M1903" s="73"/>
    </row>
    <row r="1904" spans="1:26" ht="28.7" customHeight="1" x14ac:dyDescent="0.3">
      <c r="A1904" s="136" t="s">
        <v>1095</v>
      </c>
      <c r="B1904" s="127"/>
      <c r="C1904" s="127"/>
      <c r="D1904" s="127"/>
      <c r="E1904" s="127"/>
      <c r="F1904" s="127"/>
      <c r="G1904" s="127"/>
      <c r="H1904" s="127"/>
      <c r="I1904" s="127"/>
      <c r="J1904" s="127"/>
      <c r="K1904" s="127"/>
      <c r="L1904" s="144"/>
      <c r="M1904" s="22" t="s">
        <v>7795</v>
      </c>
      <c r="N1904" s="84" t="str">
        <f>HYPERLINK("#N"&amp;ROW(N1905),"_x0005_`BDCOD|B05378_x0007_`POSS|"&amp;ROW(N1905)&amp;"_x0007_`POSE|"&amp;ROW(N1905)&amp;"_x0007_`")</f>
        <v>_x0005_`BDCOD|B05378_x0007_`POSS|1905_x0007_`POSE|1905_x0007_`</v>
      </c>
      <c r="O1904" s="7" t="s">
        <v>7796</v>
      </c>
    </row>
    <row r="1905" spans="1:26" ht="28.7" customHeight="1" x14ac:dyDescent="0.3">
      <c r="A1905" s="10" t="s">
        <v>1842</v>
      </c>
      <c r="B1905" s="10" t="s">
        <v>1839</v>
      </c>
      <c r="C1905" s="75">
        <v>1</v>
      </c>
      <c r="D1905" s="31" t="s">
        <v>1010</v>
      </c>
      <c r="E1905" s="55">
        <f>I1905+G1905+K1905</f>
        <v>29649</v>
      </c>
      <c r="F1905" s="76">
        <f>J1905+H1905+L1905</f>
        <v>29649</v>
      </c>
      <c r="G1905" s="78">
        <f>일위대가목록표!F713</f>
        <v>28786</v>
      </c>
      <c r="H1905" s="80">
        <f>IF(C1905=0,0,ROUNDDOWN(G1905*C1905,1))</f>
        <v>28786</v>
      </c>
      <c r="I1905" s="78">
        <f>일위대가목록표!G713</f>
        <v>0</v>
      </c>
      <c r="J1905" s="80">
        <f>IF(C1905=0,0,ROUNDDOWN(I1905*C1905,1))</f>
        <v>0</v>
      </c>
      <c r="K1905" s="78">
        <f>일위대가목록표!H713</f>
        <v>863</v>
      </c>
      <c r="L1905" s="80">
        <f>IF(C1905=0,0,ROUNDDOWN(K1905*C1905,1))</f>
        <v>863</v>
      </c>
      <c r="M1905" s="22" t="s">
        <v>7713</v>
      </c>
      <c r="N1905" s="17" t="s">
        <v>7711</v>
      </c>
      <c r="O1905" s="7" t="s">
        <v>7712</v>
      </c>
      <c r="P1905" s="7" t="s">
        <v>6406</v>
      </c>
      <c r="Z1905" s="3" t="str">
        <f ca="1">HYPERLINK("#"&amp;일위대가목록표!J2&amp;"!A"&amp;ROW(일위대가목록표!A713),"대가710 →")</f>
        <v>대가710 →</v>
      </c>
    </row>
    <row r="1906" spans="1:26" ht="28.7" customHeight="1" x14ac:dyDescent="0.3">
      <c r="A1906" s="22" t="s">
        <v>6</v>
      </c>
      <c r="B1906" s="74"/>
      <c r="C1906" s="74"/>
      <c r="D1906" s="74"/>
      <c r="E1906" s="74"/>
      <c r="F1906" s="48">
        <f>J1906+H1906+L1906</f>
        <v>29649</v>
      </c>
      <c r="G1906" s="74"/>
      <c r="H1906" s="48">
        <f>ROUNDDOWN(SUMIF(P1905:P1905,O1906,H1905:H1905),0)</f>
        <v>28786</v>
      </c>
      <c r="I1906" s="74"/>
      <c r="J1906" s="48">
        <f>ROUNDDOWN(SUMIF(P1905:P1905,O1906,J1905:J1905),0)</f>
        <v>0</v>
      </c>
      <c r="K1906" s="74"/>
      <c r="L1906" s="48">
        <f>ROUNDDOWN(SUMIF(P1905:P1905,O1906,L1905:L1905),0)</f>
        <v>863</v>
      </c>
      <c r="M1906" s="74"/>
      <c r="O1906" s="7" t="s">
        <v>6406</v>
      </c>
    </row>
    <row r="1907" spans="1:26" ht="28.7" customHeight="1" x14ac:dyDescent="0.3">
      <c r="A1907" s="73"/>
      <c r="B1907" s="73"/>
      <c r="C1907" s="73"/>
      <c r="D1907" s="73"/>
      <c r="E1907" s="73"/>
      <c r="F1907" s="73"/>
      <c r="G1907" s="73"/>
      <c r="H1907" s="73"/>
      <c r="I1907" s="73"/>
      <c r="J1907" s="73"/>
      <c r="K1907" s="73"/>
      <c r="L1907" s="73"/>
      <c r="M1907" s="73"/>
    </row>
    <row r="1908" spans="1:26" ht="28.7" customHeight="1" x14ac:dyDescent="0.3">
      <c r="A1908" s="136" t="s">
        <v>1097</v>
      </c>
      <c r="B1908" s="127"/>
      <c r="C1908" s="127"/>
      <c r="D1908" s="127"/>
      <c r="E1908" s="127"/>
      <c r="F1908" s="127"/>
      <c r="G1908" s="127"/>
      <c r="H1908" s="127"/>
      <c r="I1908" s="127"/>
      <c r="J1908" s="127"/>
      <c r="K1908" s="127"/>
      <c r="L1908" s="144"/>
      <c r="M1908" s="22" t="s">
        <v>7797</v>
      </c>
      <c r="N1908" s="84" t="str">
        <f>HYPERLINK("#N"&amp;ROW(N1909),"_x0005_`BDCOD|B05379_x0007_`POSS|"&amp;ROW(N1909)&amp;"_x0007_`POSE|"&amp;ROW(N1909)&amp;"_x0007_`")</f>
        <v>_x0005_`BDCOD|B05379_x0007_`POSS|1909_x0007_`POSE|1909_x0007_`</v>
      </c>
      <c r="O1908" s="7" t="s">
        <v>7798</v>
      </c>
    </row>
    <row r="1909" spans="1:26" ht="28.7" customHeight="1" x14ac:dyDescent="0.3">
      <c r="A1909" s="10" t="s">
        <v>1842</v>
      </c>
      <c r="B1909" s="10" t="s">
        <v>1848</v>
      </c>
      <c r="C1909" s="75">
        <v>1</v>
      </c>
      <c r="D1909" s="31" t="s">
        <v>1010</v>
      </c>
      <c r="E1909" s="55">
        <f>I1909+G1909+K1909</f>
        <v>41619</v>
      </c>
      <c r="F1909" s="76">
        <f>J1909+H1909+L1909</f>
        <v>41619</v>
      </c>
      <c r="G1909" s="78">
        <f>일위대가목록표!F716</f>
        <v>41619</v>
      </c>
      <c r="H1909" s="80">
        <f>IF(C1909=0,0,ROUNDDOWN(G1909*C1909,1))</f>
        <v>41619</v>
      </c>
      <c r="I1909" s="78">
        <f>일위대가목록표!G716</f>
        <v>0</v>
      </c>
      <c r="J1909" s="80">
        <f>IF(C1909=0,0,ROUNDDOWN(I1909*C1909,1))</f>
        <v>0</v>
      </c>
      <c r="K1909" s="78">
        <f>일위대가목록표!H716</f>
        <v>0</v>
      </c>
      <c r="L1909" s="80">
        <f>IF(C1909=0,0,ROUNDDOWN(K1909*C1909,1))</f>
        <v>0</v>
      </c>
      <c r="M1909" s="22" t="s">
        <v>7718</v>
      </c>
      <c r="N1909" s="17" t="s">
        <v>7716</v>
      </c>
      <c r="O1909" s="7" t="s">
        <v>7717</v>
      </c>
      <c r="P1909" s="7" t="s">
        <v>6406</v>
      </c>
      <c r="Z1909" s="3" t="str">
        <f ca="1">HYPERLINK("#"&amp;일위대가목록표!J2&amp;"!A"&amp;ROW(일위대가목록표!A716),"대가713 →")</f>
        <v>대가713 →</v>
      </c>
    </row>
    <row r="1910" spans="1:26" ht="28.7" customHeight="1" x14ac:dyDescent="0.3">
      <c r="A1910" s="22" t="s">
        <v>6</v>
      </c>
      <c r="B1910" s="74"/>
      <c r="C1910" s="74"/>
      <c r="D1910" s="74"/>
      <c r="E1910" s="74"/>
      <c r="F1910" s="48">
        <f>J1910+H1910+L1910</f>
        <v>41619</v>
      </c>
      <c r="G1910" s="74"/>
      <c r="H1910" s="48">
        <f>ROUNDDOWN(SUMIF(P1909:P1909,O1910,H1909:H1909),0)</f>
        <v>41619</v>
      </c>
      <c r="I1910" s="74"/>
      <c r="J1910" s="48">
        <f>ROUNDDOWN(SUMIF(P1909:P1909,O1910,J1909:J1909),0)</f>
        <v>0</v>
      </c>
      <c r="K1910" s="74"/>
      <c r="L1910" s="48">
        <f>ROUNDDOWN(SUMIF(P1909:P1909,O1910,L1909:L1909),0)</f>
        <v>0</v>
      </c>
      <c r="M1910" s="74"/>
      <c r="O1910" s="7" t="s">
        <v>6406</v>
      </c>
    </row>
    <row r="1911" spans="1:26" ht="28.7" customHeight="1" x14ac:dyDescent="0.3">
      <c r="A1911" s="73"/>
      <c r="B1911" s="73"/>
      <c r="C1911" s="73"/>
      <c r="D1911" s="73"/>
      <c r="E1911" s="73"/>
      <c r="F1911" s="73"/>
      <c r="G1911" s="73"/>
      <c r="H1911" s="73"/>
      <c r="I1911" s="73"/>
      <c r="J1911" s="73"/>
      <c r="K1911" s="73"/>
      <c r="L1911" s="73"/>
      <c r="M1911" s="73"/>
    </row>
    <row r="1912" spans="1:26" ht="28.7" customHeight="1" x14ac:dyDescent="0.3">
      <c r="A1912" s="136" t="s">
        <v>1099</v>
      </c>
      <c r="B1912" s="127"/>
      <c r="C1912" s="127"/>
      <c r="D1912" s="127"/>
      <c r="E1912" s="127"/>
      <c r="F1912" s="127"/>
      <c r="G1912" s="127"/>
      <c r="H1912" s="127"/>
      <c r="I1912" s="127"/>
      <c r="J1912" s="127"/>
      <c r="K1912" s="127"/>
      <c r="L1912" s="144"/>
      <c r="M1912" s="22" t="s">
        <v>7799</v>
      </c>
      <c r="N1912" s="84" t="str">
        <f>HYPERLINK("#N"&amp;ROW(N1913),"_x0005_`BDCOD|B05380_x0007_`POSS|"&amp;ROW(N1913)&amp;"_x0007_`POSE|"&amp;ROW(N1913)&amp;"_x0007_`")</f>
        <v>_x0005_`BDCOD|B05380_x0007_`POSS|1913_x0007_`POSE|1913_x0007_`</v>
      </c>
      <c r="O1912" s="7" t="s">
        <v>7800</v>
      </c>
    </row>
    <row r="1913" spans="1:26" ht="28.7" customHeight="1" x14ac:dyDescent="0.3">
      <c r="A1913" s="10" t="s">
        <v>1842</v>
      </c>
      <c r="B1913" s="10" t="s">
        <v>1855</v>
      </c>
      <c r="C1913" s="75">
        <v>1</v>
      </c>
      <c r="D1913" s="31" t="s">
        <v>1010</v>
      </c>
      <c r="E1913" s="55">
        <f>I1913+G1913+K1913</f>
        <v>54234</v>
      </c>
      <c r="F1913" s="76">
        <f>J1913+H1913+L1913</f>
        <v>54234</v>
      </c>
      <c r="G1913" s="78">
        <f>일위대가목록표!F719</f>
        <v>54234</v>
      </c>
      <c r="H1913" s="80">
        <f>IF(C1913=0,0,ROUNDDOWN(G1913*C1913,1))</f>
        <v>54234</v>
      </c>
      <c r="I1913" s="78">
        <f>일위대가목록표!G719</f>
        <v>0</v>
      </c>
      <c r="J1913" s="80">
        <f>IF(C1913=0,0,ROUNDDOWN(I1913*C1913,1))</f>
        <v>0</v>
      </c>
      <c r="K1913" s="78">
        <f>일위대가목록표!H719</f>
        <v>0</v>
      </c>
      <c r="L1913" s="80">
        <f>IF(C1913=0,0,ROUNDDOWN(K1913*C1913,1))</f>
        <v>0</v>
      </c>
      <c r="M1913" s="22" t="s">
        <v>7723</v>
      </c>
      <c r="N1913" s="17" t="s">
        <v>7721</v>
      </c>
      <c r="O1913" s="7" t="s">
        <v>7722</v>
      </c>
      <c r="P1913" s="7" t="s">
        <v>6406</v>
      </c>
      <c r="Z1913" s="3" t="str">
        <f ca="1">HYPERLINK("#"&amp;일위대가목록표!J2&amp;"!A"&amp;ROW(일위대가목록표!A719),"대가716 →")</f>
        <v>대가716 →</v>
      </c>
    </row>
    <row r="1914" spans="1:26" ht="28.7" customHeight="1" x14ac:dyDescent="0.3">
      <c r="A1914" s="22" t="s">
        <v>6</v>
      </c>
      <c r="B1914" s="74"/>
      <c r="C1914" s="74"/>
      <c r="D1914" s="74"/>
      <c r="E1914" s="74"/>
      <c r="F1914" s="48">
        <f>J1914+H1914+L1914</f>
        <v>54234</v>
      </c>
      <c r="G1914" s="74"/>
      <c r="H1914" s="48">
        <f>ROUNDDOWN(SUMIF(P1913:P1913,O1914,H1913:H1913),0)</f>
        <v>54234</v>
      </c>
      <c r="I1914" s="74"/>
      <c r="J1914" s="48">
        <f>ROUNDDOWN(SUMIF(P1913:P1913,O1914,J1913:J1913),0)</f>
        <v>0</v>
      </c>
      <c r="K1914" s="74"/>
      <c r="L1914" s="48">
        <f>ROUNDDOWN(SUMIF(P1913:P1913,O1914,L1913:L1913),0)</f>
        <v>0</v>
      </c>
      <c r="M1914" s="74"/>
      <c r="O1914" s="7" t="s">
        <v>6406</v>
      </c>
    </row>
    <row r="1915" spans="1:26" ht="28.7" customHeight="1" x14ac:dyDescent="0.3">
      <c r="A1915" s="73"/>
      <c r="B1915" s="73"/>
      <c r="C1915" s="73"/>
      <c r="D1915" s="73"/>
      <c r="E1915" s="73"/>
      <c r="F1915" s="73"/>
      <c r="G1915" s="73"/>
      <c r="H1915" s="73"/>
      <c r="I1915" s="73"/>
      <c r="J1915" s="73"/>
      <c r="K1915" s="73"/>
      <c r="L1915" s="73"/>
      <c r="M1915" s="73"/>
    </row>
    <row r="1916" spans="1:26" ht="28.7" customHeight="1" x14ac:dyDescent="0.3">
      <c r="A1916" s="136" t="s">
        <v>1101</v>
      </c>
      <c r="B1916" s="127"/>
      <c r="C1916" s="127"/>
      <c r="D1916" s="127"/>
      <c r="E1916" s="127"/>
      <c r="F1916" s="127"/>
      <c r="G1916" s="127"/>
      <c r="H1916" s="127"/>
      <c r="I1916" s="127"/>
      <c r="J1916" s="127"/>
      <c r="K1916" s="127"/>
      <c r="L1916" s="144"/>
      <c r="M1916" s="22" t="s">
        <v>7801</v>
      </c>
      <c r="N1916" s="84" t="str">
        <f>HYPERLINK("#N"&amp;ROW(N1917),"_x0005_`BDCOD|B05381_x0007_`POSS|"&amp;ROW(N1917)&amp;"_x0007_`POSE|"&amp;ROW(N1917)&amp;"_x0007_`")</f>
        <v>_x0005_`BDCOD|B05381_x0007_`POSS|1917_x0007_`POSE|1917_x0007_`</v>
      </c>
      <c r="O1916" s="7" t="s">
        <v>7802</v>
      </c>
    </row>
    <row r="1917" spans="1:26" ht="28.7" customHeight="1" x14ac:dyDescent="0.3">
      <c r="A1917" s="10" t="s">
        <v>1842</v>
      </c>
      <c r="B1917" s="10" t="s">
        <v>1862</v>
      </c>
      <c r="C1917" s="75">
        <v>1</v>
      </c>
      <c r="D1917" s="31" t="s">
        <v>1010</v>
      </c>
      <c r="E1917" s="55">
        <f>I1917+G1917+K1917</f>
        <v>70535</v>
      </c>
      <c r="F1917" s="76">
        <f>J1917+H1917+L1917</f>
        <v>70535</v>
      </c>
      <c r="G1917" s="78">
        <f>일위대가목록표!F722</f>
        <v>70535</v>
      </c>
      <c r="H1917" s="80">
        <f>IF(C1917=0,0,ROUNDDOWN(G1917*C1917,1))</f>
        <v>70535</v>
      </c>
      <c r="I1917" s="78">
        <f>일위대가목록표!G722</f>
        <v>0</v>
      </c>
      <c r="J1917" s="80">
        <f>IF(C1917=0,0,ROUNDDOWN(I1917*C1917,1))</f>
        <v>0</v>
      </c>
      <c r="K1917" s="78">
        <f>일위대가목록표!H722</f>
        <v>0</v>
      </c>
      <c r="L1917" s="80">
        <f>IF(C1917=0,0,ROUNDDOWN(K1917*C1917,1))</f>
        <v>0</v>
      </c>
      <c r="M1917" s="22" t="s">
        <v>7728</v>
      </c>
      <c r="N1917" s="17" t="s">
        <v>7726</v>
      </c>
      <c r="O1917" s="7" t="s">
        <v>7727</v>
      </c>
      <c r="P1917" s="7" t="s">
        <v>6406</v>
      </c>
      <c r="Z1917" s="3" t="str">
        <f ca="1">HYPERLINK("#"&amp;일위대가목록표!J2&amp;"!A"&amp;ROW(일위대가목록표!A722),"대가719 →")</f>
        <v>대가719 →</v>
      </c>
    </row>
    <row r="1918" spans="1:26" ht="28.7" customHeight="1" x14ac:dyDescent="0.3">
      <c r="A1918" s="22" t="s">
        <v>6</v>
      </c>
      <c r="B1918" s="74"/>
      <c r="C1918" s="74"/>
      <c r="D1918" s="74"/>
      <c r="E1918" s="74"/>
      <c r="F1918" s="48">
        <f>J1918+H1918+L1918</f>
        <v>70535</v>
      </c>
      <c r="G1918" s="74"/>
      <c r="H1918" s="48">
        <f>ROUNDDOWN(SUMIF(P1917:P1917,O1918,H1917:H1917),0)</f>
        <v>70535</v>
      </c>
      <c r="I1918" s="74"/>
      <c r="J1918" s="48">
        <f>ROUNDDOWN(SUMIF(P1917:P1917,O1918,J1917:J1917),0)</f>
        <v>0</v>
      </c>
      <c r="K1918" s="74"/>
      <c r="L1918" s="48">
        <f>ROUNDDOWN(SUMIF(P1917:P1917,O1918,L1917:L1917),0)</f>
        <v>0</v>
      </c>
      <c r="M1918" s="74"/>
      <c r="O1918" s="7" t="s">
        <v>6406</v>
      </c>
    </row>
    <row r="1919" spans="1:26" ht="28.7" customHeight="1" x14ac:dyDescent="0.3">
      <c r="A1919" s="73"/>
      <c r="B1919" s="73"/>
      <c r="C1919" s="73"/>
      <c r="D1919" s="73"/>
      <c r="E1919" s="73"/>
      <c r="F1919" s="73"/>
      <c r="G1919" s="73"/>
      <c r="H1919" s="73"/>
      <c r="I1919" s="73"/>
      <c r="J1919" s="73"/>
      <c r="K1919" s="73"/>
      <c r="L1919" s="73"/>
      <c r="M1919" s="73"/>
    </row>
    <row r="1920" spans="1:26" ht="28.7" customHeight="1" x14ac:dyDescent="0.3">
      <c r="A1920" s="136" t="s">
        <v>1103</v>
      </c>
      <c r="B1920" s="127"/>
      <c r="C1920" s="127"/>
      <c r="D1920" s="127"/>
      <c r="E1920" s="127"/>
      <c r="F1920" s="127"/>
      <c r="G1920" s="127"/>
      <c r="H1920" s="127"/>
      <c r="I1920" s="127"/>
      <c r="J1920" s="127"/>
      <c r="K1920" s="127"/>
      <c r="L1920" s="144"/>
      <c r="M1920" s="22" t="s">
        <v>7803</v>
      </c>
      <c r="N1920" s="84" t="str">
        <f>HYPERLINK("#N"&amp;ROW(N1921),"_x0005_`BDCOD|B05382_x0007_`POSS|"&amp;ROW(N1921)&amp;"_x0007_`POSE|"&amp;ROW(N1921)&amp;"_x0007_`")</f>
        <v>_x0005_`BDCOD|B05382_x0007_`POSS|1921_x0007_`POSE|1921_x0007_`</v>
      </c>
      <c r="O1920" s="7" t="s">
        <v>7804</v>
      </c>
    </row>
    <row r="1921" spans="1:26" ht="28.7" customHeight="1" x14ac:dyDescent="0.3">
      <c r="A1921" s="10" t="s">
        <v>1842</v>
      </c>
      <c r="B1921" s="10" t="s">
        <v>1876</v>
      </c>
      <c r="C1921" s="75">
        <v>1</v>
      </c>
      <c r="D1921" s="31" t="s">
        <v>1010</v>
      </c>
      <c r="E1921" s="55">
        <f>I1921+G1921+K1921</f>
        <v>70535</v>
      </c>
      <c r="F1921" s="76">
        <f>J1921+H1921+L1921</f>
        <v>70535</v>
      </c>
      <c r="G1921" s="78">
        <f>일위대가목록표!F727</f>
        <v>70535</v>
      </c>
      <c r="H1921" s="80">
        <f>IF(C1921=0,0,ROUNDDOWN(G1921*C1921,1))</f>
        <v>70535</v>
      </c>
      <c r="I1921" s="78">
        <f>일위대가목록표!G727</f>
        <v>0</v>
      </c>
      <c r="J1921" s="80">
        <f>IF(C1921=0,0,ROUNDDOWN(I1921*C1921,1))</f>
        <v>0</v>
      </c>
      <c r="K1921" s="78">
        <f>일위대가목록표!H727</f>
        <v>0</v>
      </c>
      <c r="L1921" s="80">
        <f>IF(C1921=0,0,ROUNDDOWN(K1921*C1921,1))</f>
        <v>0</v>
      </c>
      <c r="M1921" s="22" t="s">
        <v>7757</v>
      </c>
      <c r="N1921" s="17" t="s">
        <v>7755</v>
      </c>
      <c r="O1921" s="7" t="s">
        <v>7756</v>
      </c>
      <c r="P1921" s="7" t="s">
        <v>6406</v>
      </c>
      <c r="Z1921" s="3" t="str">
        <f ca="1">HYPERLINK("#"&amp;일위대가목록표!J2&amp;"!A"&amp;ROW(일위대가목록표!A727),"대가724 →")</f>
        <v>대가724 →</v>
      </c>
    </row>
    <row r="1922" spans="1:26" ht="28.7" customHeight="1" x14ac:dyDescent="0.3">
      <c r="A1922" s="22" t="s">
        <v>6</v>
      </c>
      <c r="B1922" s="74"/>
      <c r="C1922" s="74"/>
      <c r="D1922" s="74"/>
      <c r="E1922" s="74"/>
      <c r="F1922" s="48">
        <f>J1922+H1922+L1922</f>
        <v>70535</v>
      </c>
      <c r="G1922" s="74"/>
      <c r="H1922" s="48">
        <f>ROUNDDOWN(SUMIF(P1921:P1921,O1922,H1921:H1921),0)</f>
        <v>70535</v>
      </c>
      <c r="I1922" s="74"/>
      <c r="J1922" s="48">
        <f>ROUNDDOWN(SUMIF(P1921:P1921,O1922,J1921:J1921),0)</f>
        <v>0</v>
      </c>
      <c r="K1922" s="74"/>
      <c r="L1922" s="48">
        <f>ROUNDDOWN(SUMIF(P1921:P1921,O1922,L1921:L1921),0)</f>
        <v>0</v>
      </c>
      <c r="M1922" s="74"/>
      <c r="O1922" s="7" t="s">
        <v>6406</v>
      </c>
    </row>
    <row r="1923" spans="1:26" ht="28.7" customHeight="1" x14ac:dyDescent="0.3">
      <c r="A1923" s="73"/>
      <c r="B1923" s="73"/>
      <c r="C1923" s="73"/>
      <c r="D1923" s="73"/>
      <c r="E1923" s="73"/>
      <c r="F1923" s="73"/>
      <c r="G1923" s="73"/>
      <c r="H1923" s="73"/>
      <c r="I1923" s="73"/>
      <c r="J1923" s="73"/>
      <c r="K1923" s="73"/>
      <c r="L1923" s="73"/>
      <c r="M1923" s="73"/>
    </row>
    <row r="1924" spans="1:26" ht="28.7" customHeight="1" x14ac:dyDescent="0.3">
      <c r="A1924" s="136" t="s">
        <v>1105</v>
      </c>
      <c r="B1924" s="127"/>
      <c r="C1924" s="127"/>
      <c r="D1924" s="127"/>
      <c r="E1924" s="127"/>
      <c r="F1924" s="127"/>
      <c r="G1924" s="127"/>
      <c r="H1924" s="127"/>
      <c r="I1924" s="127"/>
      <c r="J1924" s="127"/>
      <c r="K1924" s="127"/>
      <c r="L1924" s="144"/>
      <c r="M1924" s="22" t="s">
        <v>7805</v>
      </c>
      <c r="N1924" s="84" t="str">
        <f>HYPERLINK("#N"&amp;ROW(N1926),"_x0005_`BDCOD|B05017_x0007_`POSS|"&amp;ROW(N1925)&amp;"_x0007_`POSE|"&amp;ROW(N1926)&amp;"_x0007_`")</f>
        <v>_x0005_`BDCOD|B05017_x0007_`POSS|1925_x0007_`POSE|1926_x0007_`</v>
      </c>
      <c r="O1924" s="7" t="s">
        <v>7806</v>
      </c>
    </row>
    <row r="1925" spans="1:26" ht="28.7" customHeight="1" x14ac:dyDescent="0.3">
      <c r="A1925" s="10" t="s">
        <v>1838</v>
      </c>
      <c r="B1925" s="10" t="s">
        <v>1869</v>
      </c>
      <c r="C1925" s="75">
        <v>1</v>
      </c>
      <c r="D1925" s="31" t="s">
        <v>1010</v>
      </c>
      <c r="E1925" s="55">
        <f>I1925+G1925+K1925</f>
        <v>60695</v>
      </c>
      <c r="F1925" s="76">
        <f>J1925+H1925+L1925</f>
        <v>60695</v>
      </c>
      <c r="G1925" s="78">
        <f>일위대가목록표!F724</f>
        <v>60695</v>
      </c>
      <c r="H1925" s="80">
        <f>IF(C1925=0,0,ROUNDDOWN(G1925*C1925,1))</f>
        <v>60695</v>
      </c>
      <c r="I1925" s="78">
        <f>일위대가목록표!G724</f>
        <v>0</v>
      </c>
      <c r="J1925" s="80">
        <f>IF(C1925=0,0,ROUNDDOWN(I1925*C1925,1))</f>
        <v>0</v>
      </c>
      <c r="K1925" s="78">
        <f>일위대가목록표!H724</f>
        <v>0</v>
      </c>
      <c r="L1925" s="80">
        <f>IF(C1925=0,0,ROUNDDOWN(K1925*C1925,1))</f>
        <v>0</v>
      </c>
      <c r="M1925" s="22" t="s">
        <v>7733</v>
      </c>
      <c r="N1925" s="17" t="s">
        <v>7731</v>
      </c>
      <c r="O1925" s="7" t="s">
        <v>7732</v>
      </c>
      <c r="P1925" s="7" t="s">
        <v>6406</v>
      </c>
      <c r="Z1925" s="3" t="str">
        <f ca="1">HYPERLINK("#"&amp;일위대가목록표!J2&amp;"!A"&amp;ROW(일위대가목록표!A724),"대가721 →")</f>
        <v>대가721 →</v>
      </c>
    </row>
    <row r="1926" spans="1:26" ht="28.7" customHeight="1" x14ac:dyDescent="0.3">
      <c r="A1926" s="10" t="s">
        <v>2848</v>
      </c>
      <c r="B1926" s="10" t="s">
        <v>1108</v>
      </c>
      <c r="C1926" s="75">
        <v>1</v>
      </c>
      <c r="D1926" s="31" t="s">
        <v>1010</v>
      </c>
      <c r="E1926" s="55">
        <f>I1926+G1926+K1926</f>
        <v>273000</v>
      </c>
      <c r="F1926" s="77">
        <f>J1926+H1926+L1926</f>
        <v>273000</v>
      </c>
      <c r="G1926" s="51">
        <v>0</v>
      </c>
      <c r="H1926" s="76">
        <f>IF(C1926=0,0,ROUNDDOWN(G1926*C1926,1))</f>
        <v>0</v>
      </c>
      <c r="I1926" s="78">
        <f>재료비목록표!E299</f>
        <v>273000</v>
      </c>
      <c r="J1926" s="81">
        <f>IF(C1926=0,0,ROUNDDOWN(I1926*C1926,1))</f>
        <v>273000</v>
      </c>
      <c r="K1926" s="51">
        <v>0</v>
      </c>
      <c r="L1926" s="76">
        <f>IF(C1926=0,0,ROUNDDOWN(K1926*C1926,1))</f>
        <v>0</v>
      </c>
      <c r="M1926" s="22" t="s">
        <v>7809</v>
      </c>
      <c r="N1926" s="17" t="s">
        <v>7807</v>
      </c>
      <c r="O1926" s="7" t="s">
        <v>7808</v>
      </c>
      <c r="P1926" s="7" t="s">
        <v>6406</v>
      </c>
      <c r="Z1926" s="3" t="str">
        <f ca="1">HYPERLINK("#"&amp;재료비목록표!G2&amp;"!A"&amp;ROW(재료비목록표!A299),"자재296 →")</f>
        <v>자재296 →</v>
      </c>
    </row>
    <row r="1927" spans="1:26" ht="28.7" customHeight="1" x14ac:dyDescent="0.3">
      <c r="A1927" s="22" t="s">
        <v>6</v>
      </c>
      <c r="B1927" s="74"/>
      <c r="C1927" s="74"/>
      <c r="D1927" s="74"/>
      <c r="E1927" s="74"/>
      <c r="F1927" s="48">
        <f>J1927+H1927+L1927</f>
        <v>333695</v>
      </c>
      <c r="G1927" s="74"/>
      <c r="H1927" s="48">
        <f>ROUNDDOWN(SUMIF(P1925:P1926,O1927,H1925:H1926),0)</f>
        <v>60695</v>
      </c>
      <c r="I1927" s="74"/>
      <c r="J1927" s="48">
        <f>ROUNDDOWN(SUMIF(P1925:P1926,O1927,J1925:J1926),0)</f>
        <v>273000</v>
      </c>
      <c r="K1927" s="74"/>
      <c r="L1927" s="48">
        <f>ROUNDDOWN(SUMIF(P1925:P1926,O1927,L1925:L1926),0)</f>
        <v>0</v>
      </c>
      <c r="M1927" s="74"/>
      <c r="O1927" s="7" t="s">
        <v>6406</v>
      </c>
    </row>
    <row r="1928" spans="1:26" ht="28.7" customHeight="1" x14ac:dyDescent="0.3">
      <c r="A1928" s="73"/>
      <c r="B1928" s="73"/>
      <c r="C1928" s="73"/>
      <c r="D1928" s="73"/>
      <c r="E1928" s="73"/>
      <c r="F1928" s="73"/>
      <c r="G1928" s="73"/>
      <c r="H1928" s="73"/>
      <c r="I1928" s="73"/>
      <c r="J1928" s="73"/>
      <c r="K1928" s="73"/>
      <c r="L1928" s="73"/>
      <c r="M1928" s="73"/>
    </row>
    <row r="1929" spans="1:26" ht="28.7" customHeight="1" x14ac:dyDescent="0.3">
      <c r="A1929" s="136" t="s">
        <v>1109</v>
      </c>
      <c r="B1929" s="127"/>
      <c r="C1929" s="127"/>
      <c r="D1929" s="127"/>
      <c r="E1929" s="127"/>
      <c r="F1929" s="127"/>
      <c r="G1929" s="127"/>
      <c r="H1929" s="127"/>
      <c r="I1929" s="127"/>
      <c r="J1929" s="127"/>
      <c r="K1929" s="127"/>
      <c r="L1929" s="144"/>
      <c r="M1929" s="22" t="s">
        <v>7810</v>
      </c>
      <c r="N1929" s="84" t="str">
        <f>HYPERLINK("#N"&amp;ROW(N1931),"_x0005_`BDCOD|B05018_x0007_`POSS|"&amp;ROW(N1930)&amp;"_x0007_`POSE|"&amp;ROW(N1931)&amp;"_x0007_`")</f>
        <v>_x0005_`BDCOD|B05018_x0007_`POSS|1930_x0007_`POSE|1931_x0007_`</v>
      </c>
      <c r="O1929" s="7" t="s">
        <v>7811</v>
      </c>
    </row>
    <row r="1930" spans="1:26" ht="28.7" customHeight="1" x14ac:dyDescent="0.3">
      <c r="A1930" s="10" t="s">
        <v>1838</v>
      </c>
      <c r="B1930" s="10" t="s">
        <v>1839</v>
      </c>
      <c r="C1930" s="75">
        <v>1</v>
      </c>
      <c r="D1930" s="31" t="s">
        <v>1010</v>
      </c>
      <c r="E1930" s="55">
        <f>I1930+G1930+K1930</f>
        <v>103775</v>
      </c>
      <c r="F1930" s="76">
        <f>J1930+H1930+L1930</f>
        <v>103775</v>
      </c>
      <c r="G1930" s="78">
        <f>일위대가목록표!F712</f>
        <v>100753</v>
      </c>
      <c r="H1930" s="80">
        <f>IF(C1930=0,0,ROUNDDOWN(G1930*C1930,1))</f>
        <v>100753</v>
      </c>
      <c r="I1930" s="78">
        <f>일위대가목록표!G712</f>
        <v>0</v>
      </c>
      <c r="J1930" s="80">
        <f>IF(C1930=0,0,ROUNDDOWN(I1930*C1930,1))</f>
        <v>0</v>
      </c>
      <c r="K1930" s="78">
        <f>일위대가목록표!H712</f>
        <v>3022</v>
      </c>
      <c r="L1930" s="80">
        <f>IF(C1930=0,0,ROUNDDOWN(K1930*C1930,1))</f>
        <v>3022</v>
      </c>
      <c r="M1930" s="22" t="s">
        <v>7657</v>
      </c>
      <c r="N1930" s="17" t="s">
        <v>7655</v>
      </c>
      <c r="O1930" s="7" t="s">
        <v>7656</v>
      </c>
      <c r="P1930" s="7" t="s">
        <v>6406</v>
      </c>
      <c r="Z1930" s="3" t="str">
        <f ca="1">HYPERLINK("#"&amp;일위대가목록표!J2&amp;"!A"&amp;ROW(일위대가목록표!A712),"대가709 →")</f>
        <v>대가709 →</v>
      </c>
    </row>
    <row r="1931" spans="1:26" ht="28.7" customHeight="1" x14ac:dyDescent="0.3">
      <c r="A1931" s="10" t="s">
        <v>2848</v>
      </c>
      <c r="B1931" s="10" t="s">
        <v>1111</v>
      </c>
      <c r="C1931" s="75">
        <v>1</v>
      </c>
      <c r="D1931" s="31" t="s">
        <v>1010</v>
      </c>
      <c r="E1931" s="55">
        <f>I1931+G1931+K1931</f>
        <v>354000</v>
      </c>
      <c r="F1931" s="77">
        <f>J1931+H1931+L1931</f>
        <v>354000</v>
      </c>
      <c r="G1931" s="51">
        <v>0</v>
      </c>
      <c r="H1931" s="76">
        <f>IF(C1931=0,0,ROUNDDOWN(G1931*C1931,1))</f>
        <v>0</v>
      </c>
      <c r="I1931" s="78">
        <f>재료비목록표!E300</f>
        <v>354000</v>
      </c>
      <c r="J1931" s="81">
        <f>IF(C1931=0,0,ROUNDDOWN(I1931*C1931,1))</f>
        <v>354000</v>
      </c>
      <c r="K1931" s="51">
        <v>0</v>
      </c>
      <c r="L1931" s="76">
        <f>IF(C1931=0,0,ROUNDDOWN(K1931*C1931,1))</f>
        <v>0</v>
      </c>
      <c r="M1931" s="22" t="s">
        <v>7813</v>
      </c>
      <c r="N1931" s="17" t="s">
        <v>7812</v>
      </c>
      <c r="O1931" s="7" t="s">
        <v>5883</v>
      </c>
      <c r="P1931" s="7" t="s">
        <v>6406</v>
      </c>
      <c r="Z1931" s="3" t="str">
        <f ca="1">HYPERLINK("#"&amp;재료비목록표!G2&amp;"!A"&amp;ROW(재료비목록표!A300),"자재297 →")</f>
        <v>자재297 →</v>
      </c>
    </row>
    <row r="1932" spans="1:26" ht="28.7" customHeight="1" x14ac:dyDescent="0.3">
      <c r="A1932" s="22" t="s">
        <v>6</v>
      </c>
      <c r="B1932" s="74"/>
      <c r="C1932" s="74"/>
      <c r="D1932" s="74"/>
      <c r="E1932" s="74"/>
      <c r="F1932" s="48">
        <f>J1932+H1932+L1932</f>
        <v>457775</v>
      </c>
      <c r="G1932" s="74"/>
      <c r="H1932" s="48">
        <f>ROUNDDOWN(SUMIF(P1930:P1931,O1932,H1930:H1931),0)</f>
        <v>100753</v>
      </c>
      <c r="I1932" s="74"/>
      <c r="J1932" s="48">
        <f>ROUNDDOWN(SUMIF(P1930:P1931,O1932,J1930:J1931),0)</f>
        <v>354000</v>
      </c>
      <c r="K1932" s="74"/>
      <c r="L1932" s="48">
        <f>ROUNDDOWN(SUMIF(P1930:P1931,O1932,L1930:L1931),0)</f>
        <v>3022</v>
      </c>
      <c r="M1932" s="74"/>
      <c r="O1932" s="7" t="s">
        <v>6406</v>
      </c>
    </row>
    <row r="1933" spans="1:26" ht="28.7" customHeight="1" x14ac:dyDescent="0.3">
      <c r="A1933" s="73"/>
      <c r="B1933" s="73"/>
      <c r="C1933" s="73"/>
      <c r="D1933" s="73"/>
      <c r="E1933" s="73"/>
      <c r="F1933" s="73"/>
      <c r="G1933" s="73"/>
      <c r="H1933" s="73"/>
      <c r="I1933" s="73"/>
      <c r="J1933" s="73"/>
      <c r="K1933" s="73"/>
      <c r="L1933" s="73"/>
      <c r="M1933" s="73"/>
    </row>
    <row r="1934" spans="1:26" ht="28.7" customHeight="1" x14ac:dyDescent="0.3">
      <c r="A1934" s="136" t="s">
        <v>1112</v>
      </c>
      <c r="B1934" s="127"/>
      <c r="C1934" s="127"/>
      <c r="D1934" s="127"/>
      <c r="E1934" s="127"/>
      <c r="F1934" s="127"/>
      <c r="G1934" s="127"/>
      <c r="H1934" s="127"/>
      <c r="I1934" s="127"/>
      <c r="J1934" s="127"/>
      <c r="K1934" s="127"/>
      <c r="L1934" s="144"/>
      <c r="M1934" s="22" t="s">
        <v>7814</v>
      </c>
      <c r="N1934" s="84" t="str">
        <f>HYPERLINK("#N"&amp;ROW(N1936),"_x0005_`BDCOD|B05019_x0007_`POSS|"&amp;ROW(N1935)&amp;"_x0007_`POSE|"&amp;ROW(N1936)&amp;"_x0007_`")</f>
        <v>_x0005_`BDCOD|B05019_x0007_`POSS|1935_x0007_`POSE|1936_x0007_`</v>
      </c>
      <c r="O1934" s="7" t="s">
        <v>7815</v>
      </c>
    </row>
    <row r="1935" spans="1:26" ht="28.7" customHeight="1" x14ac:dyDescent="0.3">
      <c r="A1935" s="10" t="s">
        <v>1838</v>
      </c>
      <c r="B1935" s="10" t="s">
        <v>1848</v>
      </c>
      <c r="C1935" s="75">
        <v>1</v>
      </c>
      <c r="D1935" s="31" t="s">
        <v>1010</v>
      </c>
      <c r="E1935" s="55">
        <f>I1935+G1935+K1935</f>
        <v>145668</v>
      </c>
      <c r="F1935" s="76">
        <f>J1935+H1935+L1935</f>
        <v>145668</v>
      </c>
      <c r="G1935" s="78">
        <f>일위대가목록표!F715</f>
        <v>145668</v>
      </c>
      <c r="H1935" s="80">
        <f>IF(C1935=0,0,ROUNDDOWN(G1935*C1935,1))</f>
        <v>145668</v>
      </c>
      <c r="I1935" s="78">
        <f>일위대가목록표!G715</f>
        <v>0</v>
      </c>
      <c r="J1935" s="80">
        <f>IF(C1935=0,0,ROUNDDOWN(I1935*C1935,1))</f>
        <v>0</v>
      </c>
      <c r="K1935" s="78">
        <f>일위대가목록표!H715</f>
        <v>0</v>
      </c>
      <c r="L1935" s="80">
        <f>IF(C1935=0,0,ROUNDDOWN(K1935*C1935,1))</f>
        <v>0</v>
      </c>
      <c r="M1935" s="22" t="s">
        <v>7664</v>
      </c>
      <c r="N1935" s="17" t="s">
        <v>7662</v>
      </c>
      <c r="O1935" s="7" t="s">
        <v>7663</v>
      </c>
      <c r="P1935" s="7" t="s">
        <v>6406</v>
      </c>
      <c r="Z1935" s="3" t="str">
        <f ca="1">HYPERLINK("#"&amp;일위대가목록표!J2&amp;"!A"&amp;ROW(일위대가목록표!A715),"대가712 →")</f>
        <v>대가712 →</v>
      </c>
    </row>
    <row r="1936" spans="1:26" ht="28.7" customHeight="1" x14ac:dyDescent="0.3">
      <c r="A1936" s="10" t="s">
        <v>2848</v>
      </c>
      <c r="B1936" s="10" t="s">
        <v>2849</v>
      </c>
      <c r="C1936" s="75">
        <v>1</v>
      </c>
      <c r="D1936" s="31" t="s">
        <v>1010</v>
      </c>
      <c r="E1936" s="55">
        <f>I1936+G1936+K1936</f>
        <v>518000</v>
      </c>
      <c r="F1936" s="77">
        <f>J1936+H1936+L1936</f>
        <v>518000</v>
      </c>
      <c r="G1936" s="51">
        <v>0</v>
      </c>
      <c r="H1936" s="76">
        <f>IF(C1936=0,0,ROUNDDOWN(G1936*C1936,1))</f>
        <v>0</v>
      </c>
      <c r="I1936" s="78">
        <f>재료비목록표!E296</f>
        <v>518000</v>
      </c>
      <c r="J1936" s="81">
        <f>IF(C1936=0,0,ROUNDDOWN(I1936*C1936,1))</f>
        <v>518000</v>
      </c>
      <c r="K1936" s="51">
        <v>0</v>
      </c>
      <c r="L1936" s="76">
        <f>IF(C1936=0,0,ROUNDDOWN(K1936*C1936,1))</f>
        <v>0</v>
      </c>
      <c r="M1936" s="22" t="s">
        <v>7817</v>
      </c>
      <c r="N1936" s="17" t="s">
        <v>7816</v>
      </c>
      <c r="O1936" s="7" t="s">
        <v>5886</v>
      </c>
      <c r="P1936" s="7" t="s">
        <v>6406</v>
      </c>
      <c r="Z1936" s="3" t="str">
        <f ca="1">HYPERLINK("#"&amp;재료비목록표!G2&amp;"!A"&amp;ROW(재료비목록표!A296),"자재293 →")</f>
        <v>자재293 →</v>
      </c>
    </row>
    <row r="1937" spans="1:26" ht="28.7" customHeight="1" x14ac:dyDescent="0.3">
      <c r="A1937" s="22" t="s">
        <v>6</v>
      </c>
      <c r="B1937" s="74"/>
      <c r="C1937" s="74"/>
      <c r="D1937" s="74"/>
      <c r="E1937" s="74"/>
      <c r="F1937" s="48">
        <f>J1937+H1937+L1937</f>
        <v>663668</v>
      </c>
      <c r="G1937" s="74"/>
      <c r="H1937" s="48">
        <f>ROUNDDOWN(SUMIF(P1935:P1936,O1937,H1935:H1936),0)</f>
        <v>145668</v>
      </c>
      <c r="I1937" s="74"/>
      <c r="J1937" s="48">
        <f>ROUNDDOWN(SUMIF(P1935:P1936,O1937,J1935:J1936),0)</f>
        <v>518000</v>
      </c>
      <c r="K1937" s="74"/>
      <c r="L1937" s="48">
        <f>ROUNDDOWN(SUMIF(P1935:P1936,O1937,L1935:L1936),0)</f>
        <v>0</v>
      </c>
      <c r="M1937" s="74"/>
      <c r="O1937" s="7" t="s">
        <v>6406</v>
      </c>
    </row>
    <row r="1938" spans="1:26" ht="28.7" customHeight="1" x14ac:dyDescent="0.3">
      <c r="A1938" s="73"/>
      <c r="B1938" s="73"/>
      <c r="C1938" s="73"/>
      <c r="D1938" s="73"/>
      <c r="E1938" s="73"/>
      <c r="F1938" s="73"/>
      <c r="G1938" s="73"/>
      <c r="H1938" s="73"/>
      <c r="I1938" s="73"/>
      <c r="J1938" s="73"/>
      <c r="K1938" s="73"/>
      <c r="L1938" s="73"/>
      <c r="M1938" s="73"/>
    </row>
    <row r="1939" spans="1:26" ht="28.7" customHeight="1" x14ac:dyDescent="0.3">
      <c r="A1939" s="136" t="s">
        <v>1115</v>
      </c>
      <c r="B1939" s="127"/>
      <c r="C1939" s="127"/>
      <c r="D1939" s="127"/>
      <c r="E1939" s="127"/>
      <c r="F1939" s="127"/>
      <c r="G1939" s="127"/>
      <c r="H1939" s="127"/>
      <c r="I1939" s="127"/>
      <c r="J1939" s="127"/>
      <c r="K1939" s="127"/>
      <c r="L1939" s="144"/>
      <c r="M1939" s="22" t="s">
        <v>7818</v>
      </c>
      <c r="N1939" s="84" t="str">
        <f>HYPERLINK("#N"&amp;ROW(N1941),"_x0005_`BDCOD|B05020_x0007_`POSS|"&amp;ROW(N1940)&amp;"_x0007_`POSE|"&amp;ROW(N1941)&amp;"_x0007_`")</f>
        <v>_x0005_`BDCOD|B05020_x0007_`POSS|1940_x0007_`POSE|1941_x0007_`</v>
      </c>
      <c r="O1939" s="7" t="s">
        <v>7819</v>
      </c>
    </row>
    <row r="1940" spans="1:26" ht="28.7" customHeight="1" x14ac:dyDescent="0.3">
      <c r="A1940" s="10" t="s">
        <v>1838</v>
      </c>
      <c r="B1940" s="10" t="s">
        <v>1855</v>
      </c>
      <c r="C1940" s="75">
        <v>1</v>
      </c>
      <c r="D1940" s="31" t="s">
        <v>1010</v>
      </c>
      <c r="E1940" s="55">
        <f>I1940+G1940+K1940</f>
        <v>189819</v>
      </c>
      <c r="F1940" s="76">
        <f>J1940+H1940+L1940</f>
        <v>189819</v>
      </c>
      <c r="G1940" s="78">
        <f>일위대가목록표!F718</f>
        <v>189819</v>
      </c>
      <c r="H1940" s="80">
        <f>IF(C1940=0,0,ROUNDDOWN(G1940*C1940,1))</f>
        <v>189819</v>
      </c>
      <c r="I1940" s="78">
        <f>일위대가목록표!G718</f>
        <v>0</v>
      </c>
      <c r="J1940" s="80">
        <f>IF(C1940=0,0,ROUNDDOWN(I1940*C1940,1))</f>
        <v>0</v>
      </c>
      <c r="K1940" s="78">
        <f>일위대가목록표!H718</f>
        <v>0</v>
      </c>
      <c r="L1940" s="80">
        <f>IF(C1940=0,0,ROUNDDOWN(K1940*C1940,1))</f>
        <v>0</v>
      </c>
      <c r="M1940" s="22" t="s">
        <v>7671</v>
      </c>
      <c r="N1940" s="17" t="s">
        <v>7669</v>
      </c>
      <c r="O1940" s="7" t="s">
        <v>7670</v>
      </c>
      <c r="P1940" s="7" t="s">
        <v>6406</v>
      </c>
      <c r="Z1940" s="3" t="str">
        <f ca="1">HYPERLINK("#"&amp;일위대가목록표!J2&amp;"!A"&amp;ROW(일위대가목록표!A718),"대가715 →")</f>
        <v>대가715 →</v>
      </c>
    </row>
    <row r="1941" spans="1:26" ht="28.7" customHeight="1" x14ac:dyDescent="0.3">
      <c r="A1941" s="10" t="s">
        <v>2848</v>
      </c>
      <c r="B1941" s="10" t="s">
        <v>1117</v>
      </c>
      <c r="C1941" s="75">
        <v>1</v>
      </c>
      <c r="D1941" s="31" t="s">
        <v>1010</v>
      </c>
      <c r="E1941" s="55">
        <f>I1941+G1941+K1941</f>
        <v>966000</v>
      </c>
      <c r="F1941" s="77">
        <f>J1941+H1941+L1941</f>
        <v>966000</v>
      </c>
      <c r="G1941" s="51">
        <v>0</v>
      </c>
      <c r="H1941" s="76">
        <f>IF(C1941=0,0,ROUNDDOWN(G1941*C1941,1))</f>
        <v>0</v>
      </c>
      <c r="I1941" s="78">
        <f>재료비목록표!E297</f>
        <v>966000</v>
      </c>
      <c r="J1941" s="81">
        <f>IF(C1941=0,0,ROUNDDOWN(I1941*C1941,1))</f>
        <v>966000</v>
      </c>
      <c r="K1941" s="51">
        <v>0</v>
      </c>
      <c r="L1941" s="76">
        <f>IF(C1941=0,0,ROUNDDOWN(K1941*C1941,1))</f>
        <v>0</v>
      </c>
      <c r="M1941" s="22" t="s">
        <v>7821</v>
      </c>
      <c r="N1941" s="17" t="s">
        <v>7820</v>
      </c>
      <c r="O1941" s="7" t="s">
        <v>5889</v>
      </c>
      <c r="P1941" s="7" t="s">
        <v>6406</v>
      </c>
      <c r="Z1941" s="3" t="str">
        <f ca="1">HYPERLINK("#"&amp;재료비목록표!G2&amp;"!A"&amp;ROW(재료비목록표!A297),"자재294 →")</f>
        <v>자재294 →</v>
      </c>
    </row>
    <row r="1942" spans="1:26" ht="28.7" customHeight="1" x14ac:dyDescent="0.3">
      <c r="A1942" s="22" t="s">
        <v>6</v>
      </c>
      <c r="B1942" s="74"/>
      <c r="C1942" s="74"/>
      <c r="D1942" s="74"/>
      <c r="E1942" s="74"/>
      <c r="F1942" s="48">
        <f>J1942+H1942+L1942</f>
        <v>1155819</v>
      </c>
      <c r="G1942" s="74"/>
      <c r="H1942" s="48">
        <f>ROUNDDOWN(SUMIF(P1940:P1941,O1942,H1940:H1941),0)</f>
        <v>189819</v>
      </c>
      <c r="I1942" s="74"/>
      <c r="J1942" s="48">
        <f>ROUNDDOWN(SUMIF(P1940:P1941,O1942,J1940:J1941),0)</f>
        <v>966000</v>
      </c>
      <c r="K1942" s="74"/>
      <c r="L1942" s="48">
        <f>ROUNDDOWN(SUMIF(P1940:P1941,O1942,L1940:L1941),0)</f>
        <v>0</v>
      </c>
      <c r="M1942" s="74"/>
      <c r="O1942" s="7" t="s">
        <v>6406</v>
      </c>
    </row>
    <row r="1943" spans="1:26" ht="28.7" customHeight="1" x14ac:dyDescent="0.3">
      <c r="A1943" s="73"/>
      <c r="B1943" s="73"/>
      <c r="C1943" s="73"/>
      <c r="D1943" s="73"/>
      <c r="E1943" s="73"/>
      <c r="F1943" s="73"/>
      <c r="G1943" s="73"/>
      <c r="H1943" s="73"/>
      <c r="I1943" s="73"/>
      <c r="J1943" s="73"/>
      <c r="K1943" s="73"/>
      <c r="L1943" s="73"/>
      <c r="M1943" s="73"/>
    </row>
    <row r="1944" spans="1:26" ht="28.7" customHeight="1" x14ac:dyDescent="0.3">
      <c r="A1944" s="136" t="s">
        <v>1118</v>
      </c>
      <c r="B1944" s="127"/>
      <c r="C1944" s="127"/>
      <c r="D1944" s="127"/>
      <c r="E1944" s="127"/>
      <c r="F1944" s="127"/>
      <c r="G1944" s="127"/>
      <c r="H1944" s="127"/>
      <c r="I1944" s="127"/>
      <c r="J1944" s="127"/>
      <c r="K1944" s="127"/>
      <c r="L1944" s="144"/>
      <c r="M1944" s="22" t="s">
        <v>7822</v>
      </c>
      <c r="N1944" s="84" t="str">
        <f>HYPERLINK("#N"&amp;ROW(N1946),"_x0005_`BDCOD|B05021_x0007_`POSS|"&amp;ROW(N1945)&amp;"_x0007_`POSE|"&amp;ROW(N1946)&amp;"_x0007_`")</f>
        <v>_x0005_`BDCOD|B05021_x0007_`POSS|1945_x0007_`POSE|1946_x0007_`</v>
      </c>
      <c r="O1944" s="7" t="s">
        <v>7823</v>
      </c>
    </row>
    <row r="1945" spans="1:26" ht="28.7" customHeight="1" x14ac:dyDescent="0.3">
      <c r="A1945" s="10" t="s">
        <v>1838</v>
      </c>
      <c r="B1945" s="10" t="s">
        <v>1862</v>
      </c>
      <c r="C1945" s="75">
        <v>1</v>
      </c>
      <c r="D1945" s="31" t="s">
        <v>1010</v>
      </c>
      <c r="E1945" s="55">
        <f>I1945+G1945+K1945</f>
        <v>246873</v>
      </c>
      <c r="F1945" s="76">
        <f>J1945+H1945+L1945</f>
        <v>246873</v>
      </c>
      <c r="G1945" s="78">
        <f>일위대가목록표!F721</f>
        <v>246873</v>
      </c>
      <c r="H1945" s="80">
        <f>IF(C1945=0,0,ROUNDDOWN(G1945*C1945,1))</f>
        <v>246873</v>
      </c>
      <c r="I1945" s="78">
        <f>일위대가목록표!G721</f>
        <v>0</v>
      </c>
      <c r="J1945" s="80">
        <f>IF(C1945=0,0,ROUNDDOWN(I1945*C1945,1))</f>
        <v>0</v>
      </c>
      <c r="K1945" s="78">
        <f>일위대가목록표!H721</f>
        <v>0</v>
      </c>
      <c r="L1945" s="80">
        <f>IF(C1945=0,0,ROUNDDOWN(K1945*C1945,1))</f>
        <v>0</v>
      </c>
      <c r="M1945" s="22" t="s">
        <v>7678</v>
      </c>
      <c r="N1945" s="17" t="s">
        <v>7676</v>
      </c>
      <c r="O1945" s="7" t="s">
        <v>7677</v>
      </c>
      <c r="P1945" s="7" t="s">
        <v>6406</v>
      </c>
      <c r="Z1945" s="3" t="str">
        <f ca="1">HYPERLINK("#"&amp;일위대가목록표!J2&amp;"!A"&amp;ROW(일위대가목록표!A721),"대가718 →")</f>
        <v>대가718 →</v>
      </c>
    </row>
    <row r="1946" spans="1:26" ht="28.7" customHeight="1" x14ac:dyDescent="0.3">
      <c r="A1946" s="10" t="s">
        <v>2848</v>
      </c>
      <c r="B1946" s="10" t="s">
        <v>1120</v>
      </c>
      <c r="C1946" s="75">
        <v>1</v>
      </c>
      <c r="D1946" s="31" t="s">
        <v>1010</v>
      </c>
      <c r="E1946" s="55">
        <f>I1946+G1946+K1946</f>
        <v>1522000</v>
      </c>
      <c r="F1946" s="77">
        <f>J1946+H1946+L1946</f>
        <v>1522000</v>
      </c>
      <c r="G1946" s="51">
        <v>0</v>
      </c>
      <c r="H1946" s="76">
        <f>IF(C1946=0,0,ROUNDDOWN(G1946*C1946,1))</f>
        <v>0</v>
      </c>
      <c r="I1946" s="78">
        <f>재료비목록표!E298</f>
        <v>1522000</v>
      </c>
      <c r="J1946" s="81">
        <f>IF(C1946=0,0,ROUNDDOWN(I1946*C1946,1))</f>
        <v>1522000</v>
      </c>
      <c r="K1946" s="51">
        <v>0</v>
      </c>
      <c r="L1946" s="76">
        <f>IF(C1946=0,0,ROUNDDOWN(K1946*C1946,1))</f>
        <v>0</v>
      </c>
      <c r="M1946" s="22" t="s">
        <v>7825</v>
      </c>
      <c r="N1946" s="17" t="s">
        <v>7824</v>
      </c>
      <c r="O1946" s="7" t="s">
        <v>5892</v>
      </c>
      <c r="P1946" s="7" t="s">
        <v>6406</v>
      </c>
      <c r="Z1946" s="3" t="str">
        <f ca="1">HYPERLINK("#"&amp;재료비목록표!G2&amp;"!A"&amp;ROW(재료비목록표!A298),"자재295 →")</f>
        <v>자재295 →</v>
      </c>
    </row>
    <row r="1947" spans="1:26" ht="28.7" customHeight="1" x14ac:dyDescent="0.3">
      <c r="A1947" s="22" t="s">
        <v>6</v>
      </c>
      <c r="B1947" s="74"/>
      <c r="C1947" s="74"/>
      <c r="D1947" s="74"/>
      <c r="E1947" s="74"/>
      <c r="F1947" s="48">
        <f>J1947+H1947+L1947</f>
        <v>1768873</v>
      </c>
      <c r="G1947" s="74"/>
      <c r="H1947" s="48">
        <f>ROUNDDOWN(SUMIF(P1945:P1946,O1947,H1945:H1946),0)</f>
        <v>246873</v>
      </c>
      <c r="I1947" s="74"/>
      <c r="J1947" s="48">
        <f>ROUNDDOWN(SUMIF(P1945:P1946,O1947,J1945:J1946),0)</f>
        <v>1522000</v>
      </c>
      <c r="K1947" s="74"/>
      <c r="L1947" s="48">
        <f>ROUNDDOWN(SUMIF(P1945:P1946,O1947,L1945:L1946),0)</f>
        <v>0</v>
      </c>
      <c r="M1947" s="74"/>
      <c r="O1947" s="7" t="s">
        <v>6406</v>
      </c>
    </row>
    <row r="1948" spans="1:26" ht="28.7" customHeight="1" x14ac:dyDescent="0.3">
      <c r="A1948" s="73"/>
      <c r="B1948" s="73"/>
      <c r="C1948" s="73"/>
      <c r="D1948" s="73"/>
      <c r="E1948" s="73"/>
      <c r="F1948" s="73"/>
      <c r="G1948" s="73"/>
      <c r="H1948" s="73"/>
      <c r="I1948" s="73"/>
      <c r="J1948" s="73"/>
      <c r="K1948" s="73"/>
      <c r="L1948" s="73"/>
      <c r="M1948" s="73"/>
    </row>
    <row r="1949" spans="1:26" ht="28.7" customHeight="1" x14ac:dyDescent="0.3">
      <c r="A1949" s="136" t="s">
        <v>1121</v>
      </c>
      <c r="B1949" s="127"/>
      <c r="C1949" s="127"/>
      <c r="D1949" s="127"/>
      <c r="E1949" s="127"/>
      <c r="F1949" s="127"/>
      <c r="G1949" s="127"/>
      <c r="H1949" s="127"/>
      <c r="I1949" s="127"/>
      <c r="J1949" s="127"/>
      <c r="K1949" s="127"/>
      <c r="L1949" s="144"/>
      <c r="M1949" s="22" t="s">
        <v>7826</v>
      </c>
      <c r="N1949" s="84" t="str">
        <f>HYPERLINK("#N"&amp;ROW(N1950),"_x0005_`BDCOD|B05383_x0007_`POSS|"&amp;ROW(N1950)&amp;"_x0007_`POSE|"&amp;ROW(N1950)&amp;"_x0007_`")</f>
        <v>_x0005_`BDCOD|B05383_x0007_`POSS|1950_x0007_`POSE|1950_x0007_`</v>
      </c>
      <c r="O1949" s="7" t="s">
        <v>7827</v>
      </c>
    </row>
    <row r="1950" spans="1:26" ht="28.7" customHeight="1" x14ac:dyDescent="0.3">
      <c r="A1950" s="10" t="s">
        <v>1838</v>
      </c>
      <c r="B1950" s="10" t="s">
        <v>1869</v>
      </c>
      <c r="C1950" s="75">
        <v>1</v>
      </c>
      <c r="D1950" s="31" t="s">
        <v>1010</v>
      </c>
      <c r="E1950" s="55">
        <f>I1950+G1950+K1950</f>
        <v>60695</v>
      </c>
      <c r="F1950" s="76">
        <f>J1950+H1950+L1950</f>
        <v>60695</v>
      </c>
      <c r="G1950" s="78">
        <f>일위대가목록표!F724</f>
        <v>60695</v>
      </c>
      <c r="H1950" s="80">
        <f>IF(C1950=0,0,ROUNDDOWN(G1950*C1950,1))</f>
        <v>60695</v>
      </c>
      <c r="I1950" s="78">
        <f>일위대가목록표!G724</f>
        <v>0</v>
      </c>
      <c r="J1950" s="80">
        <f>IF(C1950=0,0,ROUNDDOWN(I1950*C1950,1))</f>
        <v>0</v>
      </c>
      <c r="K1950" s="78">
        <f>일위대가목록표!H724</f>
        <v>0</v>
      </c>
      <c r="L1950" s="80">
        <f>IF(C1950=0,0,ROUNDDOWN(K1950*C1950,1))</f>
        <v>0</v>
      </c>
      <c r="M1950" s="22" t="s">
        <v>7733</v>
      </c>
      <c r="N1950" s="17" t="s">
        <v>7731</v>
      </c>
      <c r="O1950" s="7" t="s">
        <v>7732</v>
      </c>
      <c r="P1950" s="7" t="s">
        <v>6406</v>
      </c>
      <c r="Z1950" s="3" t="str">
        <f ca="1">HYPERLINK("#"&amp;일위대가목록표!J2&amp;"!A"&amp;ROW(일위대가목록표!A724),"대가721 →")</f>
        <v>대가721 →</v>
      </c>
    </row>
    <row r="1951" spans="1:26" ht="28.7" customHeight="1" x14ac:dyDescent="0.3">
      <c r="A1951" s="22" t="s">
        <v>6</v>
      </c>
      <c r="B1951" s="74"/>
      <c r="C1951" s="74"/>
      <c r="D1951" s="74"/>
      <c r="E1951" s="74"/>
      <c r="F1951" s="48">
        <f>J1951+H1951+L1951</f>
        <v>60695</v>
      </c>
      <c r="G1951" s="74"/>
      <c r="H1951" s="48">
        <f>ROUNDDOWN(SUMIF(P1950:P1950,O1951,H1950:H1950),0)</f>
        <v>60695</v>
      </c>
      <c r="I1951" s="74"/>
      <c r="J1951" s="48">
        <f>ROUNDDOWN(SUMIF(P1950:P1950,O1951,J1950:J1950),0)</f>
        <v>0</v>
      </c>
      <c r="K1951" s="74"/>
      <c r="L1951" s="48">
        <f>ROUNDDOWN(SUMIF(P1950:P1950,O1951,L1950:L1950),0)</f>
        <v>0</v>
      </c>
      <c r="M1951" s="74"/>
      <c r="O1951" s="7" t="s">
        <v>6406</v>
      </c>
    </row>
    <row r="1952" spans="1:26" ht="28.7" customHeight="1" x14ac:dyDescent="0.3">
      <c r="A1952" s="73"/>
      <c r="B1952" s="73"/>
      <c r="C1952" s="73"/>
      <c r="D1952" s="73"/>
      <c r="E1952" s="73"/>
      <c r="F1952" s="73"/>
      <c r="G1952" s="73"/>
      <c r="H1952" s="73"/>
      <c r="I1952" s="73"/>
      <c r="J1952" s="73"/>
      <c r="K1952" s="73"/>
      <c r="L1952" s="73"/>
      <c r="M1952" s="73"/>
    </row>
    <row r="1953" spans="1:26" ht="28.7" customHeight="1" x14ac:dyDescent="0.3">
      <c r="A1953" s="136" t="s">
        <v>1124</v>
      </c>
      <c r="B1953" s="127"/>
      <c r="C1953" s="127"/>
      <c r="D1953" s="127"/>
      <c r="E1953" s="127"/>
      <c r="F1953" s="127"/>
      <c r="G1953" s="127"/>
      <c r="H1953" s="127"/>
      <c r="I1953" s="127"/>
      <c r="J1953" s="127"/>
      <c r="K1953" s="127"/>
      <c r="L1953" s="144"/>
      <c r="M1953" s="22" t="s">
        <v>7828</v>
      </c>
      <c r="N1953" s="84" t="str">
        <f>HYPERLINK("#N"&amp;ROW(N1954),"_x0005_`BDCOD|B05384_x0007_`POSS|"&amp;ROW(N1954)&amp;"_x0007_`POSE|"&amp;ROW(N1954)&amp;"_x0007_`")</f>
        <v>_x0005_`BDCOD|B05384_x0007_`POSS|1954_x0007_`POSE|1954_x0007_`</v>
      </c>
      <c r="O1953" s="7" t="s">
        <v>7829</v>
      </c>
    </row>
    <row r="1954" spans="1:26" ht="28.7" customHeight="1" x14ac:dyDescent="0.3">
      <c r="A1954" s="10" t="s">
        <v>1838</v>
      </c>
      <c r="B1954" s="10" t="s">
        <v>1839</v>
      </c>
      <c r="C1954" s="75">
        <v>1</v>
      </c>
      <c r="D1954" s="31" t="s">
        <v>1010</v>
      </c>
      <c r="E1954" s="55">
        <f>I1954+G1954+K1954</f>
        <v>103775</v>
      </c>
      <c r="F1954" s="76">
        <f>J1954+H1954+L1954</f>
        <v>103775</v>
      </c>
      <c r="G1954" s="78">
        <f>일위대가목록표!F712</f>
        <v>100753</v>
      </c>
      <c r="H1954" s="80">
        <f>IF(C1954=0,0,ROUNDDOWN(G1954*C1954,1))</f>
        <v>100753</v>
      </c>
      <c r="I1954" s="78">
        <f>일위대가목록표!G712</f>
        <v>0</v>
      </c>
      <c r="J1954" s="80">
        <f>IF(C1954=0,0,ROUNDDOWN(I1954*C1954,1))</f>
        <v>0</v>
      </c>
      <c r="K1954" s="78">
        <f>일위대가목록표!H712</f>
        <v>3022</v>
      </c>
      <c r="L1954" s="80">
        <f>IF(C1954=0,0,ROUNDDOWN(K1954*C1954,1))</f>
        <v>3022</v>
      </c>
      <c r="M1954" s="22" t="s">
        <v>7657</v>
      </c>
      <c r="N1954" s="17" t="s">
        <v>7655</v>
      </c>
      <c r="O1954" s="7" t="s">
        <v>7656</v>
      </c>
      <c r="P1954" s="7" t="s">
        <v>6406</v>
      </c>
      <c r="Z1954" s="3" t="str">
        <f ca="1">HYPERLINK("#"&amp;일위대가목록표!J2&amp;"!A"&amp;ROW(일위대가목록표!A712),"대가709 →")</f>
        <v>대가709 →</v>
      </c>
    </row>
    <row r="1955" spans="1:26" ht="28.7" customHeight="1" x14ac:dyDescent="0.3">
      <c r="A1955" s="22" t="s">
        <v>6</v>
      </c>
      <c r="B1955" s="74"/>
      <c r="C1955" s="74"/>
      <c r="D1955" s="74"/>
      <c r="E1955" s="74"/>
      <c r="F1955" s="48">
        <f>J1955+H1955+L1955</f>
        <v>103775</v>
      </c>
      <c r="G1955" s="74"/>
      <c r="H1955" s="48">
        <f>ROUNDDOWN(SUMIF(P1954:P1954,O1955,H1954:H1954),0)</f>
        <v>100753</v>
      </c>
      <c r="I1955" s="74"/>
      <c r="J1955" s="48">
        <f>ROUNDDOWN(SUMIF(P1954:P1954,O1955,J1954:J1954),0)</f>
        <v>0</v>
      </c>
      <c r="K1955" s="74"/>
      <c r="L1955" s="48">
        <f>ROUNDDOWN(SUMIF(P1954:P1954,O1955,L1954:L1954),0)</f>
        <v>3022</v>
      </c>
      <c r="M1955" s="74"/>
      <c r="O1955" s="7" t="s">
        <v>6406</v>
      </c>
    </row>
    <row r="1956" spans="1:26" ht="28.7" customHeight="1" x14ac:dyDescent="0.3">
      <c r="A1956" s="73"/>
      <c r="B1956" s="73"/>
      <c r="C1956" s="73"/>
      <c r="D1956" s="73"/>
      <c r="E1956" s="73"/>
      <c r="F1956" s="73"/>
      <c r="G1956" s="73"/>
      <c r="H1956" s="73"/>
      <c r="I1956" s="73"/>
      <c r="J1956" s="73"/>
      <c r="K1956" s="73"/>
      <c r="L1956" s="73"/>
      <c r="M1956" s="73"/>
    </row>
    <row r="1957" spans="1:26" ht="28.7" customHeight="1" x14ac:dyDescent="0.3">
      <c r="A1957" s="136" t="s">
        <v>1126</v>
      </c>
      <c r="B1957" s="127"/>
      <c r="C1957" s="127"/>
      <c r="D1957" s="127"/>
      <c r="E1957" s="127"/>
      <c r="F1957" s="127"/>
      <c r="G1957" s="127"/>
      <c r="H1957" s="127"/>
      <c r="I1957" s="127"/>
      <c r="J1957" s="127"/>
      <c r="K1957" s="127"/>
      <c r="L1957" s="144"/>
      <c r="M1957" s="22" t="s">
        <v>7830</v>
      </c>
      <c r="N1957" s="84" t="str">
        <f>HYPERLINK("#N"&amp;ROW(N1958),"_x0005_`BDCOD|B05385_x0007_`POSS|"&amp;ROW(N1958)&amp;"_x0007_`POSE|"&amp;ROW(N1958)&amp;"_x0007_`")</f>
        <v>_x0005_`BDCOD|B05385_x0007_`POSS|1958_x0007_`POSE|1958_x0007_`</v>
      </c>
      <c r="O1957" s="7" t="s">
        <v>7831</v>
      </c>
    </row>
    <row r="1958" spans="1:26" ht="28.7" customHeight="1" x14ac:dyDescent="0.3">
      <c r="A1958" s="10" t="s">
        <v>1838</v>
      </c>
      <c r="B1958" s="10" t="s">
        <v>1848</v>
      </c>
      <c r="C1958" s="75">
        <v>1</v>
      </c>
      <c r="D1958" s="31" t="s">
        <v>1010</v>
      </c>
      <c r="E1958" s="55">
        <f>I1958+G1958+K1958</f>
        <v>145668</v>
      </c>
      <c r="F1958" s="76">
        <f>J1958+H1958+L1958</f>
        <v>145668</v>
      </c>
      <c r="G1958" s="78">
        <f>일위대가목록표!F715</f>
        <v>145668</v>
      </c>
      <c r="H1958" s="80">
        <f>IF(C1958=0,0,ROUNDDOWN(G1958*C1958,1))</f>
        <v>145668</v>
      </c>
      <c r="I1958" s="78">
        <f>일위대가목록표!G715</f>
        <v>0</v>
      </c>
      <c r="J1958" s="80">
        <f>IF(C1958=0,0,ROUNDDOWN(I1958*C1958,1))</f>
        <v>0</v>
      </c>
      <c r="K1958" s="78">
        <f>일위대가목록표!H715</f>
        <v>0</v>
      </c>
      <c r="L1958" s="80">
        <f>IF(C1958=0,0,ROUNDDOWN(K1958*C1958,1))</f>
        <v>0</v>
      </c>
      <c r="M1958" s="22" t="s">
        <v>7664</v>
      </c>
      <c r="N1958" s="17" t="s">
        <v>7662</v>
      </c>
      <c r="O1958" s="7" t="s">
        <v>7663</v>
      </c>
      <c r="P1958" s="7" t="s">
        <v>6406</v>
      </c>
      <c r="Z1958" s="3" t="str">
        <f ca="1">HYPERLINK("#"&amp;일위대가목록표!J2&amp;"!A"&amp;ROW(일위대가목록표!A715),"대가712 →")</f>
        <v>대가712 →</v>
      </c>
    </row>
    <row r="1959" spans="1:26" ht="28.7" customHeight="1" x14ac:dyDescent="0.3">
      <c r="A1959" s="22" t="s">
        <v>6</v>
      </c>
      <c r="B1959" s="74"/>
      <c r="C1959" s="74"/>
      <c r="D1959" s="74"/>
      <c r="E1959" s="74"/>
      <c r="F1959" s="48">
        <f>J1959+H1959+L1959</f>
        <v>145668</v>
      </c>
      <c r="G1959" s="74"/>
      <c r="H1959" s="48">
        <f>ROUNDDOWN(SUMIF(P1958:P1958,O1959,H1958:H1958),0)</f>
        <v>145668</v>
      </c>
      <c r="I1959" s="74"/>
      <c r="J1959" s="48">
        <f>ROUNDDOWN(SUMIF(P1958:P1958,O1959,J1958:J1958),0)</f>
        <v>0</v>
      </c>
      <c r="K1959" s="74"/>
      <c r="L1959" s="48">
        <f>ROUNDDOWN(SUMIF(P1958:P1958,O1959,L1958:L1958),0)</f>
        <v>0</v>
      </c>
      <c r="M1959" s="74"/>
      <c r="O1959" s="7" t="s">
        <v>6406</v>
      </c>
    </row>
    <row r="1960" spans="1:26" ht="28.7" customHeight="1" x14ac:dyDescent="0.3">
      <c r="A1960" s="73"/>
      <c r="B1960" s="73"/>
      <c r="C1960" s="73"/>
      <c r="D1960" s="73"/>
      <c r="E1960" s="73"/>
      <c r="F1960" s="73"/>
      <c r="G1960" s="73"/>
      <c r="H1960" s="73"/>
      <c r="I1960" s="73"/>
      <c r="J1960" s="73"/>
      <c r="K1960" s="73"/>
      <c r="L1960" s="73"/>
      <c r="M1960" s="73"/>
    </row>
    <row r="1961" spans="1:26" ht="28.7" customHeight="1" x14ac:dyDescent="0.3">
      <c r="A1961" s="136" t="s">
        <v>1128</v>
      </c>
      <c r="B1961" s="127"/>
      <c r="C1961" s="127"/>
      <c r="D1961" s="127"/>
      <c r="E1961" s="127"/>
      <c r="F1961" s="127"/>
      <c r="G1961" s="127"/>
      <c r="H1961" s="127"/>
      <c r="I1961" s="127"/>
      <c r="J1961" s="127"/>
      <c r="K1961" s="127"/>
      <c r="L1961" s="144"/>
      <c r="M1961" s="22" t="s">
        <v>7832</v>
      </c>
      <c r="N1961" s="84" t="str">
        <f>HYPERLINK("#N"&amp;ROW(N1962),"_x0005_`BDCOD|B05386_x0007_`POSS|"&amp;ROW(N1962)&amp;"_x0007_`POSE|"&amp;ROW(N1962)&amp;"_x0007_`")</f>
        <v>_x0005_`BDCOD|B05386_x0007_`POSS|1962_x0007_`POSE|1962_x0007_`</v>
      </c>
      <c r="O1961" s="7" t="s">
        <v>7833</v>
      </c>
    </row>
    <row r="1962" spans="1:26" ht="28.7" customHeight="1" x14ac:dyDescent="0.3">
      <c r="A1962" s="10" t="s">
        <v>1838</v>
      </c>
      <c r="B1962" s="10" t="s">
        <v>1855</v>
      </c>
      <c r="C1962" s="75">
        <v>1</v>
      </c>
      <c r="D1962" s="31" t="s">
        <v>1010</v>
      </c>
      <c r="E1962" s="55">
        <f>I1962+G1962+K1962</f>
        <v>189819</v>
      </c>
      <c r="F1962" s="76">
        <f>J1962+H1962+L1962</f>
        <v>189819</v>
      </c>
      <c r="G1962" s="78">
        <f>일위대가목록표!F718</f>
        <v>189819</v>
      </c>
      <c r="H1962" s="80">
        <f>IF(C1962=0,0,ROUNDDOWN(G1962*C1962,1))</f>
        <v>189819</v>
      </c>
      <c r="I1962" s="78">
        <f>일위대가목록표!G718</f>
        <v>0</v>
      </c>
      <c r="J1962" s="80">
        <f>IF(C1962=0,0,ROUNDDOWN(I1962*C1962,1))</f>
        <v>0</v>
      </c>
      <c r="K1962" s="78">
        <f>일위대가목록표!H718</f>
        <v>0</v>
      </c>
      <c r="L1962" s="80">
        <f>IF(C1962=0,0,ROUNDDOWN(K1962*C1962,1))</f>
        <v>0</v>
      </c>
      <c r="M1962" s="22" t="s">
        <v>7671</v>
      </c>
      <c r="N1962" s="17" t="s">
        <v>7669</v>
      </c>
      <c r="O1962" s="7" t="s">
        <v>7670</v>
      </c>
      <c r="P1962" s="7" t="s">
        <v>6406</v>
      </c>
      <c r="Z1962" s="3" t="str">
        <f ca="1">HYPERLINK("#"&amp;일위대가목록표!J2&amp;"!A"&amp;ROW(일위대가목록표!A718),"대가715 →")</f>
        <v>대가715 →</v>
      </c>
    </row>
    <row r="1963" spans="1:26" ht="28.7" customHeight="1" x14ac:dyDescent="0.3">
      <c r="A1963" s="22" t="s">
        <v>6</v>
      </c>
      <c r="B1963" s="74"/>
      <c r="C1963" s="74"/>
      <c r="D1963" s="74"/>
      <c r="E1963" s="74"/>
      <c r="F1963" s="48">
        <f>J1963+H1963+L1963</f>
        <v>189819</v>
      </c>
      <c r="G1963" s="74"/>
      <c r="H1963" s="48">
        <f>ROUNDDOWN(SUMIF(P1962:P1962,O1963,H1962:H1962),0)</f>
        <v>189819</v>
      </c>
      <c r="I1963" s="74"/>
      <c r="J1963" s="48">
        <f>ROUNDDOWN(SUMIF(P1962:P1962,O1963,J1962:J1962),0)</f>
        <v>0</v>
      </c>
      <c r="K1963" s="74"/>
      <c r="L1963" s="48">
        <f>ROUNDDOWN(SUMIF(P1962:P1962,O1963,L1962:L1962),0)</f>
        <v>0</v>
      </c>
      <c r="M1963" s="74"/>
      <c r="O1963" s="7" t="s">
        <v>6406</v>
      </c>
    </row>
    <row r="1964" spans="1:26" ht="28.7" customHeight="1" x14ac:dyDescent="0.3">
      <c r="A1964" s="73"/>
      <c r="B1964" s="73"/>
      <c r="C1964" s="73"/>
      <c r="D1964" s="73"/>
      <c r="E1964" s="73"/>
      <c r="F1964" s="73"/>
      <c r="G1964" s="73"/>
      <c r="H1964" s="73"/>
      <c r="I1964" s="73"/>
      <c r="J1964" s="73"/>
      <c r="K1964" s="73"/>
      <c r="L1964" s="73"/>
      <c r="M1964" s="73"/>
    </row>
    <row r="1965" spans="1:26" ht="28.7" customHeight="1" x14ac:dyDescent="0.3">
      <c r="A1965" s="136" t="s">
        <v>1130</v>
      </c>
      <c r="B1965" s="127"/>
      <c r="C1965" s="127"/>
      <c r="D1965" s="127"/>
      <c r="E1965" s="127"/>
      <c r="F1965" s="127"/>
      <c r="G1965" s="127"/>
      <c r="H1965" s="127"/>
      <c r="I1965" s="127"/>
      <c r="J1965" s="127"/>
      <c r="K1965" s="127"/>
      <c r="L1965" s="144"/>
      <c r="M1965" s="22" t="s">
        <v>7834</v>
      </c>
      <c r="N1965" s="84" t="str">
        <f>HYPERLINK("#N"&amp;ROW(N1966),"_x0005_`BDCOD|B05387_x0007_`POSS|"&amp;ROW(N1966)&amp;"_x0007_`POSE|"&amp;ROW(N1966)&amp;"_x0007_`")</f>
        <v>_x0005_`BDCOD|B05387_x0007_`POSS|1966_x0007_`POSE|1966_x0007_`</v>
      </c>
      <c r="O1965" s="7" t="s">
        <v>7835</v>
      </c>
    </row>
    <row r="1966" spans="1:26" ht="28.7" customHeight="1" x14ac:dyDescent="0.3">
      <c r="A1966" s="10" t="s">
        <v>1838</v>
      </c>
      <c r="B1966" s="10" t="s">
        <v>1862</v>
      </c>
      <c r="C1966" s="75">
        <v>1</v>
      </c>
      <c r="D1966" s="31" t="s">
        <v>1010</v>
      </c>
      <c r="E1966" s="55">
        <f>I1966+G1966+K1966</f>
        <v>246873</v>
      </c>
      <c r="F1966" s="76">
        <f>J1966+H1966+L1966</f>
        <v>246873</v>
      </c>
      <c r="G1966" s="78">
        <f>일위대가목록표!F721</f>
        <v>246873</v>
      </c>
      <c r="H1966" s="80">
        <f>IF(C1966=0,0,ROUNDDOWN(G1966*C1966,1))</f>
        <v>246873</v>
      </c>
      <c r="I1966" s="78">
        <f>일위대가목록표!G721</f>
        <v>0</v>
      </c>
      <c r="J1966" s="80">
        <f>IF(C1966=0,0,ROUNDDOWN(I1966*C1966,1))</f>
        <v>0</v>
      </c>
      <c r="K1966" s="78">
        <f>일위대가목록표!H721</f>
        <v>0</v>
      </c>
      <c r="L1966" s="80">
        <f>IF(C1966=0,0,ROUNDDOWN(K1966*C1966,1))</f>
        <v>0</v>
      </c>
      <c r="M1966" s="22" t="s">
        <v>7678</v>
      </c>
      <c r="N1966" s="17" t="s">
        <v>7676</v>
      </c>
      <c r="O1966" s="7" t="s">
        <v>7677</v>
      </c>
      <c r="P1966" s="7" t="s">
        <v>6406</v>
      </c>
      <c r="Z1966" s="3" t="str">
        <f ca="1">HYPERLINK("#"&amp;일위대가목록표!J2&amp;"!A"&amp;ROW(일위대가목록표!A721),"대가718 →")</f>
        <v>대가718 →</v>
      </c>
    </row>
    <row r="1967" spans="1:26" ht="28.7" customHeight="1" x14ac:dyDescent="0.3">
      <c r="A1967" s="22" t="s">
        <v>6</v>
      </c>
      <c r="B1967" s="74"/>
      <c r="C1967" s="74"/>
      <c r="D1967" s="74"/>
      <c r="E1967" s="74"/>
      <c r="F1967" s="48">
        <f>J1967+H1967+L1967</f>
        <v>246873</v>
      </c>
      <c r="G1967" s="74"/>
      <c r="H1967" s="48">
        <f>ROUNDDOWN(SUMIF(P1966:P1966,O1967,H1966:H1966),0)</f>
        <v>246873</v>
      </c>
      <c r="I1967" s="74"/>
      <c r="J1967" s="48">
        <f>ROUNDDOWN(SUMIF(P1966:P1966,O1967,J1966:J1966),0)</f>
        <v>0</v>
      </c>
      <c r="K1967" s="74"/>
      <c r="L1967" s="48">
        <f>ROUNDDOWN(SUMIF(P1966:P1966,O1967,L1966:L1966),0)</f>
        <v>0</v>
      </c>
      <c r="M1967" s="74"/>
      <c r="O1967" s="7" t="s">
        <v>6406</v>
      </c>
    </row>
    <row r="1968" spans="1:26" ht="28.7" customHeight="1" x14ac:dyDescent="0.3">
      <c r="A1968" s="73"/>
      <c r="B1968" s="73"/>
      <c r="C1968" s="73"/>
      <c r="D1968" s="73"/>
      <c r="E1968" s="73"/>
      <c r="F1968" s="73"/>
      <c r="G1968" s="73"/>
      <c r="H1968" s="73"/>
      <c r="I1968" s="73"/>
      <c r="J1968" s="73"/>
      <c r="K1968" s="73"/>
      <c r="L1968" s="73"/>
      <c r="M1968" s="73"/>
    </row>
    <row r="1969" spans="1:26" ht="28.7" customHeight="1" x14ac:dyDescent="0.3">
      <c r="A1969" s="136" t="s">
        <v>1132</v>
      </c>
      <c r="B1969" s="127"/>
      <c r="C1969" s="127"/>
      <c r="D1969" s="127"/>
      <c r="E1969" s="127"/>
      <c r="F1969" s="127"/>
      <c r="G1969" s="127"/>
      <c r="H1969" s="127"/>
      <c r="I1969" s="127"/>
      <c r="J1969" s="127"/>
      <c r="K1969" s="127"/>
      <c r="L1969" s="144"/>
      <c r="M1969" s="22" t="s">
        <v>7836</v>
      </c>
      <c r="N1969" s="84" t="str">
        <f>HYPERLINK("#N"&amp;ROW(N1970),"_x0005_`BDCOD|B05388_x0007_`POSS|"&amp;ROW(N1970)&amp;"_x0007_`POSE|"&amp;ROW(N1970)&amp;"_x0007_`")</f>
        <v>_x0005_`BDCOD|B05388_x0007_`POSS|1970_x0007_`POSE|1970_x0007_`</v>
      </c>
      <c r="O1969" s="7" t="s">
        <v>7837</v>
      </c>
    </row>
    <row r="1970" spans="1:26" ht="28.7" customHeight="1" x14ac:dyDescent="0.3">
      <c r="A1970" s="10" t="s">
        <v>1845</v>
      </c>
      <c r="B1970" s="10" t="s">
        <v>1562</v>
      </c>
      <c r="C1970" s="75">
        <v>1</v>
      </c>
      <c r="D1970" s="31" t="s">
        <v>1010</v>
      </c>
      <c r="E1970" s="55">
        <f>I1970+G1970+K1970</f>
        <v>43354</v>
      </c>
      <c r="F1970" s="76">
        <f>J1970+H1970+L1970</f>
        <v>43354</v>
      </c>
      <c r="G1970" s="78">
        <f>일위대가목록표!F726</f>
        <v>43354</v>
      </c>
      <c r="H1970" s="80">
        <f>IF(C1970=0,0,ROUNDDOWN(G1970*C1970,1))</f>
        <v>43354</v>
      </c>
      <c r="I1970" s="78">
        <f>일위대가목록표!G726</f>
        <v>0</v>
      </c>
      <c r="J1970" s="80">
        <f>IF(C1970=0,0,ROUNDDOWN(I1970*C1970,1))</f>
        <v>0</v>
      </c>
      <c r="K1970" s="78">
        <f>일위대가목록표!H726</f>
        <v>0</v>
      </c>
      <c r="L1970" s="80">
        <f>IF(C1970=0,0,ROUNDDOWN(K1970*C1970,1))</f>
        <v>0</v>
      </c>
      <c r="M1970" s="22" t="s">
        <v>7776</v>
      </c>
      <c r="N1970" s="17" t="s">
        <v>7774</v>
      </c>
      <c r="O1970" s="7" t="s">
        <v>7775</v>
      </c>
      <c r="P1970" s="7" t="s">
        <v>6406</v>
      </c>
      <c r="Z1970" s="3" t="str">
        <f ca="1">HYPERLINK("#"&amp;일위대가목록표!J2&amp;"!A"&amp;ROW(일위대가목록표!A726),"대가723 →")</f>
        <v>대가723 →</v>
      </c>
    </row>
    <row r="1971" spans="1:26" ht="28.7" customHeight="1" x14ac:dyDescent="0.3">
      <c r="A1971" s="22" t="s">
        <v>6</v>
      </c>
      <c r="B1971" s="74"/>
      <c r="C1971" s="74"/>
      <c r="D1971" s="74"/>
      <c r="E1971" s="74"/>
      <c r="F1971" s="48">
        <f>J1971+H1971+L1971</f>
        <v>43354</v>
      </c>
      <c r="G1971" s="74"/>
      <c r="H1971" s="48">
        <f>ROUNDDOWN(SUMIF(P1970:P1970,O1971,H1970:H1970),0)</f>
        <v>43354</v>
      </c>
      <c r="I1971" s="74"/>
      <c r="J1971" s="48">
        <f>ROUNDDOWN(SUMIF(P1970:P1970,O1971,J1970:J1970),0)</f>
        <v>0</v>
      </c>
      <c r="K1971" s="74"/>
      <c r="L1971" s="48">
        <f>ROUNDDOWN(SUMIF(P1970:P1970,O1971,L1970:L1970),0)</f>
        <v>0</v>
      </c>
      <c r="M1971" s="74"/>
      <c r="O1971" s="7" t="s">
        <v>6406</v>
      </c>
    </row>
    <row r="1972" spans="1:26" ht="28.7" customHeight="1" x14ac:dyDescent="0.3">
      <c r="A1972" s="73"/>
      <c r="B1972" s="73"/>
      <c r="C1972" s="73"/>
      <c r="D1972" s="73"/>
      <c r="E1972" s="73"/>
      <c r="F1972" s="73"/>
      <c r="G1972" s="73"/>
      <c r="H1972" s="73"/>
      <c r="I1972" s="73"/>
      <c r="J1972" s="73"/>
      <c r="K1972" s="73"/>
      <c r="L1972" s="73"/>
      <c r="M1972" s="73"/>
    </row>
    <row r="1973" spans="1:26" ht="28.7" customHeight="1" x14ac:dyDescent="0.3">
      <c r="A1973" s="136" t="s">
        <v>1135</v>
      </c>
      <c r="B1973" s="127"/>
      <c r="C1973" s="127"/>
      <c r="D1973" s="127"/>
      <c r="E1973" s="127"/>
      <c r="F1973" s="127"/>
      <c r="G1973" s="127"/>
      <c r="H1973" s="127"/>
      <c r="I1973" s="127"/>
      <c r="J1973" s="127"/>
      <c r="K1973" s="127"/>
      <c r="L1973" s="144"/>
      <c r="M1973" s="22" t="s">
        <v>7838</v>
      </c>
      <c r="N1973" s="84" t="str">
        <f>HYPERLINK("#N"&amp;ROW(N1974),"_x0005_`BDCOD|B05389_x0007_`POSS|"&amp;ROW(N1974)&amp;"_x0007_`POSE|"&amp;ROW(N1974)&amp;"_x0007_`")</f>
        <v>_x0005_`BDCOD|B05389_x0007_`POSS|1974_x0007_`POSE|1974_x0007_`</v>
      </c>
      <c r="O1973" s="7" t="s">
        <v>7839</v>
      </c>
    </row>
    <row r="1974" spans="1:26" ht="28.7" customHeight="1" x14ac:dyDescent="0.3">
      <c r="A1974" s="10" t="s">
        <v>1845</v>
      </c>
      <c r="B1974" s="10" t="s">
        <v>1543</v>
      </c>
      <c r="C1974" s="75">
        <v>1</v>
      </c>
      <c r="D1974" s="31" t="s">
        <v>1010</v>
      </c>
      <c r="E1974" s="55">
        <f>I1974+G1974+K1974</f>
        <v>74126</v>
      </c>
      <c r="F1974" s="76">
        <f>J1974+H1974+L1974</f>
        <v>74126</v>
      </c>
      <c r="G1974" s="78">
        <f>일위대가목록표!F714</f>
        <v>71967</v>
      </c>
      <c r="H1974" s="80">
        <f>IF(C1974=0,0,ROUNDDOWN(G1974*C1974,1))</f>
        <v>71967</v>
      </c>
      <c r="I1974" s="78">
        <f>일위대가목록표!G714</f>
        <v>0</v>
      </c>
      <c r="J1974" s="80">
        <f>IF(C1974=0,0,ROUNDDOWN(I1974*C1974,1))</f>
        <v>0</v>
      </c>
      <c r="K1974" s="78">
        <f>일위대가목록표!H714</f>
        <v>2159</v>
      </c>
      <c r="L1974" s="80">
        <f>IF(C1974=0,0,ROUNDDOWN(K1974*C1974,1))</f>
        <v>2159</v>
      </c>
      <c r="M1974" s="22" t="s">
        <v>7693</v>
      </c>
      <c r="N1974" s="17" t="s">
        <v>7691</v>
      </c>
      <c r="O1974" s="7" t="s">
        <v>7692</v>
      </c>
      <c r="P1974" s="7" t="s">
        <v>6406</v>
      </c>
      <c r="Z1974" s="3" t="str">
        <f ca="1">HYPERLINK("#"&amp;일위대가목록표!J2&amp;"!A"&amp;ROW(일위대가목록표!A714),"대가711 →")</f>
        <v>대가711 →</v>
      </c>
    </row>
    <row r="1975" spans="1:26" ht="28.7" customHeight="1" x14ac:dyDescent="0.3">
      <c r="A1975" s="22" t="s">
        <v>6</v>
      </c>
      <c r="B1975" s="74"/>
      <c r="C1975" s="74"/>
      <c r="D1975" s="74"/>
      <c r="E1975" s="74"/>
      <c r="F1975" s="48">
        <f>J1975+H1975+L1975</f>
        <v>74126</v>
      </c>
      <c r="G1975" s="74"/>
      <c r="H1975" s="48">
        <f>ROUNDDOWN(SUMIF(P1974:P1974,O1975,H1974:H1974),0)</f>
        <v>71967</v>
      </c>
      <c r="I1975" s="74"/>
      <c r="J1975" s="48">
        <f>ROUNDDOWN(SUMIF(P1974:P1974,O1975,J1974:J1974),0)</f>
        <v>0</v>
      </c>
      <c r="K1975" s="74"/>
      <c r="L1975" s="48">
        <f>ROUNDDOWN(SUMIF(P1974:P1974,O1975,L1974:L1974),0)</f>
        <v>2159</v>
      </c>
      <c r="M1975" s="74"/>
      <c r="O1975" s="7" t="s">
        <v>6406</v>
      </c>
    </row>
    <row r="1976" spans="1:26" ht="28.7" customHeight="1" x14ac:dyDescent="0.3">
      <c r="A1976" s="73"/>
      <c r="B1976" s="73"/>
      <c r="C1976" s="73"/>
      <c r="D1976" s="73"/>
      <c r="E1976" s="73"/>
      <c r="F1976" s="73"/>
      <c r="G1976" s="73"/>
      <c r="H1976" s="73"/>
      <c r="I1976" s="73"/>
      <c r="J1976" s="73"/>
      <c r="K1976" s="73"/>
      <c r="L1976" s="73"/>
      <c r="M1976" s="73"/>
    </row>
    <row r="1977" spans="1:26" ht="28.7" customHeight="1" x14ac:dyDescent="0.3">
      <c r="A1977" s="136" t="s">
        <v>1137</v>
      </c>
      <c r="B1977" s="127"/>
      <c r="C1977" s="127"/>
      <c r="D1977" s="127"/>
      <c r="E1977" s="127"/>
      <c r="F1977" s="127"/>
      <c r="G1977" s="127"/>
      <c r="H1977" s="127"/>
      <c r="I1977" s="127"/>
      <c r="J1977" s="127"/>
      <c r="K1977" s="127"/>
      <c r="L1977" s="144"/>
      <c r="M1977" s="22" t="s">
        <v>7840</v>
      </c>
      <c r="N1977" s="84" t="str">
        <f>HYPERLINK("#N"&amp;ROW(N1978),"_x0005_`BDCOD|B05390_x0007_`POSS|"&amp;ROW(N1978)&amp;"_x0007_`POSE|"&amp;ROW(N1978)&amp;"_x0007_`")</f>
        <v>_x0005_`BDCOD|B05390_x0007_`POSS|1978_x0007_`POSE|1978_x0007_`</v>
      </c>
      <c r="O1977" s="7" t="s">
        <v>7841</v>
      </c>
    </row>
    <row r="1978" spans="1:26" ht="28.7" customHeight="1" x14ac:dyDescent="0.3">
      <c r="A1978" s="10" t="s">
        <v>1845</v>
      </c>
      <c r="B1978" s="10" t="s">
        <v>1546</v>
      </c>
      <c r="C1978" s="75">
        <v>1</v>
      </c>
      <c r="D1978" s="31" t="s">
        <v>1010</v>
      </c>
      <c r="E1978" s="55">
        <f>I1978+G1978+K1978</f>
        <v>104049</v>
      </c>
      <c r="F1978" s="76">
        <f>J1978+H1978+L1978</f>
        <v>104049</v>
      </c>
      <c r="G1978" s="78">
        <f>일위대가목록표!F717</f>
        <v>104049</v>
      </c>
      <c r="H1978" s="80">
        <f>IF(C1978=0,0,ROUNDDOWN(G1978*C1978,1))</f>
        <v>104049</v>
      </c>
      <c r="I1978" s="78">
        <f>일위대가목록표!G717</f>
        <v>0</v>
      </c>
      <c r="J1978" s="80">
        <f>IF(C1978=0,0,ROUNDDOWN(I1978*C1978,1))</f>
        <v>0</v>
      </c>
      <c r="K1978" s="78">
        <f>일위대가목록표!H717</f>
        <v>0</v>
      </c>
      <c r="L1978" s="80">
        <f>IF(C1978=0,0,ROUNDDOWN(K1978*C1978,1))</f>
        <v>0</v>
      </c>
      <c r="M1978" s="22" t="s">
        <v>7698</v>
      </c>
      <c r="N1978" s="17" t="s">
        <v>7696</v>
      </c>
      <c r="O1978" s="7" t="s">
        <v>7697</v>
      </c>
      <c r="P1978" s="7" t="s">
        <v>6406</v>
      </c>
      <c r="Z1978" s="3" t="str">
        <f ca="1">HYPERLINK("#"&amp;일위대가목록표!J2&amp;"!A"&amp;ROW(일위대가목록표!A717),"대가714 →")</f>
        <v>대가714 →</v>
      </c>
    </row>
    <row r="1979" spans="1:26" ht="28.7" customHeight="1" x14ac:dyDescent="0.3">
      <c r="A1979" s="22" t="s">
        <v>6</v>
      </c>
      <c r="B1979" s="74"/>
      <c r="C1979" s="74"/>
      <c r="D1979" s="74"/>
      <c r="E1979" s="74"/>
      <c r="F1979" s="48">
        <f>J1979+H1979+L1979</f>
        <v>104049</v>
      </c>
      <c r="G1979" s="74"/>
      <c r="H1979" s="48">
        <f>ROUNDDOWN(SUMIF(P1978:P1978,O1979,H1978:H1978),0)</f>
        <v>104049</v>
      </c>
      <c r="I1979" s="74"/>
      <c r="J1979" s="48">
        <f>ROUNDDOWN(SUMIF(P1978:P1978,O1979,J1978:J1978),0)</f>
        <v>0</v>
      </c>
      <c r="K1979" s="74"/>
      <c r="L1979" s="48">
        <f>ROUNDDOWN(SUMIF(P1978:P1978,O1979,L1978:L1978),0)</f>
        <v>0</v>
      </c>
      <c r="M1979" s="74"/>
      <c r="O1979" s="7" t="s">
        <v>6406</v>
      </c>
    </row>
    <row r="1980" spans="1:26" ht="28.7" customHeight="1" x14ac:dyDescent="0.3">
      <c r="A1980" s="73"/>
      <c r="B1980" s="73"/>
      <c r="C1980" s="73"/>
      <c r="D1980" s="73"/>
      <c r="E1980" s="73"/>
      <c r="F1980" s="73"/>
      <c r="G1980" s="73"/>
      <c r="H1980" s="73"/>
      <c r="I1980" s="73"/>
      <c r="J1980" s="73"/>
      <c r="K1980" s="73"/>
      <c r="L1980" s="73"/>
      <c r="M1980" s="73"/>
    </row>
    <row r="1981" spans="1:26" ht="28.7" customHeight="1" x14ac:dyDescent="0.3">
      <c r="A1981" s="136" t="s">
        <v>1139</v>
      </c>
      <c r="B1981" s="127"/>
      <c r="C1981" s="127"/>
      <c r="D1981" s="127"/>
      <c r="E1981" s="127"/>
      <c r="F1981" s="127"/>
      <c r="G1981" s="127"/>
      <c r="H1981" s="127"/>
      <c r="I1981" s="127"/>
      <c r="J1981" s="127"/>
      <c r="K1981" s="127"/>
      <c r="L1981" s="144"/>
      <c r="M1981" s="22" t="s">
        <v>7842</v>
      </c>
      <c r="N1981" s="84" t="str">
        <f>HYPERLINK("#N"&amp;ROW(N1982),"_x0005_`BDCOD|B05391_x0007_`POSS|"&amp;ROW(N1982)&amp;"_x0007_`POSE|"&amp;ROW(N1982)&amp;"_x0007_`")</f>
        <v>_x0005_`BDCOD|B05391_x0007_`POSS|1982_x0007_`POSE|1982_x0007_`</v>
      </c>
      <c r="O1981" s="7" t="s">
        <v>7843</v>
      </c>
    </row>
    <row r="1982" spans="1:26" ht="28.7" customHeight="1" x14ac:dyDescent="0.3">
      <c r="A1982" s="10" t="s">
        <v>1845</v>
      </c>
      <c r="B1982" s="10" t="s">
        <v>1569</v>
      </c>
      <c r="C1982" s="75">
        <v>1</v>
      </c>
      <c r="D1982" s="31" t="s">
        <v>1010</v>
      </c>
      <c r="E1982" s="55">
        <f>I1982+G1982+K1982</f>
        <v>135585</v>
      </c>
      <c r="F1982" s="76">
        <f>J1982+H1982+L1982</f>
        <v>135585</v>
      </c>
      <c r="G1982" s="78">
        <f>일위대가목록표!F720</f>
        <v>135585</v>
      </c>
      <c r="H1982" s="80">
        <f>IF(C1982=0,0,ROUNDDOWN(G1982*C1982,1))</f>
        <v>135585</v>
      </c>
      <c r="I1982" s="78">
        <f>일위대가목록표!G720</f>
        <v>0</v>
      </c>
      <c r="J1982" s="80">
        <f>IF(C1982=0,0,ROUNDDOWN(I1982*C1982,1))</f>
        <v>0</v>
      </c>
      <c r="K1982" s="78">
        <f>일위대가목록표!H720</f>
        <v>0</v>
      </c>
      <c r="L1982" s="80">
        <f>IF(C1982=0,0,ROUNDDOWN(K1982*C1982,1))</f>
        <v>0</v>
      </c>
      <c r="M1982" s="22" t="s">
        <v>7703</v>
      </c>
      <c r="N1982" s="17" t="s">
        <v>7701</v>
      </c>
      <c r="O1982" s="7" t="s">
        <v>7702</v>
      </c>
      <c r="P1982" s="7" t="s">
        <v>6406</v>
      </c>
      <c r="Z1982" s="3" t="str">
        <f ca="1">HYPERLINK("#"&amp;일위대가목록표!J2&amp;"!A"&amp;ROW(일위대가목록표!A720),"대가717 →")</f>
        <v>대가717 →</v>
      </c>
    </row>
    <row r="1983" spans="1:26" ht="28.7" customHeight="1" x14ac:dyDescent="0.3">
      <c r="A1983" s="22" t="s">
        <v>6</v>
      </c>
      <c r="B1983" s="74"/>
      <c r="C1983" s="74"/>
      <c r="D1983" s="74"/>
      <c r="E1983" s="74"/>
      <c r="F1983" s="48">
        <f>J1983+H1983+L1983</f>
        <v>135585</v>
      </c>
      <c r="G1983" s="74"/>
      <c r="H1983" s="48">
        <f>ROUNDDOWN(SUMIF(P1982:P1982,O1983,H1982:H1982),0)</f>
        <v>135585</v>
      </c>
      <c r="I1983" s="74"/>
      <c r="J1983" s="48">
        <f>ROUNDDOWN(SUMIF(P1982:P1982,O1983,J1982:J1982),0)</f>
        <v>0</v>
      </c>
      <c r="K1983" s="74"/>
      <c r="L1983" s="48">
        <f>ROUNDDOWN(SUMIF(P1982:P1982,O1983,L1982:L1982),0)</f>
        <v>0</v>
      </c>
      <c r="M1983" s="74"/>
      <c r="O1983" s="7" t="s">
        <v>6406</v>
      </c>
    </row>
    <row r="1984" spans="1:26" ht="28.7" customHeight="1" x14ac:dyDescent="0.3">
      <c r="A1984" s="73"/>
      <c r="B1984" s="73"/>
      <c r="C1984" s="73"/>
      <c r="D1984" s="73"/>
      <c r="E1984" s="73"/>
      <c r="F1984" s="73"/>
      <c r="G1984" s="73"/>
      <c r="H1984" s="73"/>
      <c r="I1984" s="73"/>
      <c r="J1984" s="73"/>
      <c r="K1984" s="73"/>
      <c r="L1984" s="73"/>
      <c r="M1984" s="73"/>
    </row>
    <row r="1985" spans="1:26" ht="28.7" customHeight="1" x14ac:dyDescent="0.3">
      <c r="A1985" s="136" t="s">
        <v>1141</v>
      </c>
      <c r="B1985" s="127"/>
      <c r="C1985" s="127"/>
      <c r="D1985" s="127"/>
      <c r="E1985" s="127"/>
      <c r="F1985" s="127"/>
      <c r="G1985" s="127"/>
      <c r="H1985" s="127"/>
      <c r="I1985" s="127"/>
      <c r="J1985" s="127"/>
      <c r="K1985" s="127"/>
      <c r="L1985" s="144"/>
      <c r="M1985" s="22" t="s">
        <v>7844</v>
      </c>
      <c r="N1985" s="84" t="str">
        <f>HYPERLINK("#N"&amp;ROW(N1986),"_x0005_`BDCOD|B05392_x0007_`POSS|"&amp;ROW(N1986)&amp;"_x0007_`POSE|"&amp;ROW(N1986)&amp;"_x0007_`")</f>
        <v>_x0005_`BDCOD|B05392_x0007_`POSS|1986_x0007_`POSE|1986_x0007_`</v>
      </c>
      <c r="O1985" s="7" t="s">
        <v>7845</v>
      </c>
    </row>
    <row r="1986" spans="1:26" ht="28.7" customHeight="1" x14ac:dyDescent="0.3">
      <c r="A1986" s="10" t="s">
        <v>1845</v>
      </c>
      <c r="B1986" s="10" t="s">
        <v>1572</v>
      </c>
      <c r="C1986" s="75">
        <v>1</v>
      </c>
      <c r="D1986" s="31" t="s">
        <v>1010</v>
      </c>
      <c r="E1986" s="55">
        <f>I1986+G1986+K1986</f>
        <v>176338</v>
      </c>
      <c r="F1986" s="76">
        <f>J1986+H1986+L1986</f>
        <v>176338</v>
      </c>
      <c r="G1986" s="78">
        <f>일위대가목록표!F723</f>
        <v>176338</v>
      </c>
      <c r="H1986" s="80">
        <f>IF(C1986=0,0,ROUNDDOWN(G1986*C1986,1))</f>
        <v>176338</v>
      </c>
      <c r="I1986" s="78">
        <f>일위대가목록표!G723</f>
        <v>0</v>
      </c>
      <c r="J1986" s="80">
        <f>IF(C1986=0,0,ROUNDDOWN(I1986*C1986,1))</f>
        <v>0</v>
      </c>
      <c r="K1986" s="78">
        <f>일위대가목록표!H723</f>
        <v>0</v>
      </c>
      <c r="L1986" s="80">
        <f>IF(C1986=0,0,ROUNDDOWN(K1986*C1986,1))</f>
        <v>0</v>
      </c>
      <c r="M1986" s="22" t="s">
        <v>7708</v>
      </c>
      <c r="N1986" s="17" t="s">
        <v>7706</v>
      </c>
      <c r="O1986" s="7" t="s">
        <v>7707</v>
      </c>
      <c r="P1986" s="7" t="s">
        <v>6406</v>
      </c>
      <c r="Z1986" s="3" t="str">
        <f ca="1">HYPERLINK("#"&amp;일위대가목록표!J2&amp;"!A"&amp;ROW(일위대가목록표!A723),"대가720 →")</f>
        <v>대가720 →</v>
      </c>
    </row>
    <row r="1987" spans="1:26" ht="28.7" customHeight="1" x14ac:dyDescent="0.3">
      <c r="A1987" s="22" t="s">
        <v>6</v>
      </c>
      <c r="B1987" s="74"/>
      <c r="C1987" s="74"/>
      <c r="D1987" s="74"/>
      <c r="E1987" s="74"/>
      <c r="F1987" s="48">
        <f>J1987+H1987+L1987</f>
        <v>176338</v>
      </c>
      <c r="G1987" s="74"/>
      <c r="H1987" s="48">
        <f>ROUNDDOWN(SUMIF(P1986:P1986,O1987,H1986:H1986),0)</f>
        <v>176338</v>
      </c>
      <c r="I1987" s="74"/>
      <c r="J1987" s="48">
        <f>ROUNDDOWN(SUMIF(P1986:P1986,O1987,J1986:J1986),0)</f>
        <v>0</v>
      </c>
      <c r="K1987" s="74"/>
      <c r="L1987" s="48">
        <f>ROUNDDOWN(SUMIF(P1986:P1986,O1987,L1986:L1986),0)</f>
        <v>0</v>
      </c>
      <c r="M1987" s="74"/>
      <c r="O1987" s="7" t="s">
        <v>6406</v>
      </c>
    </row>
    <row r="1988" spans="1:26" ht="28.7" customHeight="1" x14ac:dyDescent="0.3">
      <c r="A1988" s="73"/>
      <c r="B1988" s="73"/>
      <c r="C1988" s="73"/>
      <c r="D1988" s="73"/>
      <c r="E1988" s="73"/>
      <c r="F1988" s="73"/>
      <c r="G1988" s="73"/>
      <c r="H1988" s="73"/>
      <c r="I1988" s="73"/>
      <c r="J1988" s="73"/>
      <c r="K1988" s="73"/>
      <c r="L1988" s="73"/>
      <c r="M1988" s="73"/>
    </row>
    <row r="1989" spans="1:26" ht="28.7" customHeight="1" x14ac:dyDescent="0.3">
      <c r="A1989" s="136" t="s">
        <v>1143</v>
      </c>
      <c r="B1989" s="127"/>
      <c r="C1989" s="127"/>
      <c r="D1989" s="127"/>
      <c r="E1989" s="127"/>
      <c r="F1989" s="127"/>
      <c r="G1989" s="127"/>
      <c r="H1989" s="127"/>
      <c r="I1989" s="127"/>
      <c r="J1989" s="127"/>
      <c r="K1989" s="127"/>
      <c r="L1989" s="144"/>
      <c r="M1989" s="22" t="s">
        <v>7846</v>
      </c>
      <c r="N1989" s="84" t="str">
        <f>HYPERLINK("#N"&amp;ROW(N1990),"_x0005_`BDCOD|B05393_x0007_`POSS|"&amp;ROW(N1990)&amp;"_x0007_`POSE|"&amp;ROW(N1990)&amp;"_x0007_`")</f>
        <v>_x0005_`BDCOD|B05393_x0007_`POSS|1990_x0007_`POSE|1990_x0007_`</v>
      </c>
      <c r="O1989" s="7" t="s">
        <v>7847</v>
      </c>
    </row>
    <row r="1990" spans="1:26" ht="28.7" customHeight="1" x14ac:dyDescent="0.3">
      <c r="A1990" s="10" t="s">
        <v>1842</v>
      </c>
      <c r="B1990" s="10" t="s">
        <v>1869</v>
      </c>
      <c r="C1990" s="75">
        <v>1</v>
      </c>
      <c r="D1990" s="31" t="s">
        <v>1010</v>
      </c>
      <c r="E1990" s="55">
        <f>I1990+G1990+K1990</f>
        <v>17341</v>
      </c>
      <c r="F1990" s="76">
        <f>J1990+H1990+L1990</f>
        <v>17341</v>
      </c>
      <c r="G1990" s="78">
        <f>일위대가목록표!F725</f>
        <v>17341</v>
      </c>
      <c r="H1990" s="80">
        <f>IF(C1990=0,0,ROUNDDOWN(G1990*C1990,1))</f>
        <v>17341</v>
      </c>
      <c r="I1990" s="78">
        <f>일위대가목록표!G725</f>
        <v>0</v>
      </c>
      <c r="J1990" s="80">
        <f>IF(C1990=0,0,ROUNDDOWN(I1990*C1990,1))</f>
        <v>0</v>
      </c>
      <c r="K1990" s="78">
        <f>일위대가목록표!H725</f>
        <v>0</v>
      </c>
      <c r="L1990" s="80">
        <f>IF(C1990=0,0,ROUNDDOWN(K1990*C1990,1))</f>
        <v>0</v>
      </c>
      <c r="M1990" s="22" t="s">
        <v>7794</v>
      </c>
      <c r="N1990" s="17" t="s">
        <v>7792</v>
      </c>
      <c r="O1990" s="7" t="s">
        <v>7793</v>
      </c>
      <c r="P1990" s="7" t="s">
        <v>6406</v>
      </c>
      <c r="Z1990" s="3" t="str">
        <f ca="1">HYPERLINK("#"&amp;일위대가목록표!J2&amp;"!A"&amp;ROW(일위대가목록표!A725),"대가722 →")</f>
        <v>대가722 →</v>
      </c>
    </row>
    <row r="1991" spans="1:26" ht="28.7" customHeight="1" x14ac:dyDescent="0.3">
      <c r="A1991" s="22" t="s">
        <v>6</v>
      </c>
      <c r="B1991" s="74"/>
      <c r="C1991" s="74"/>
      <c r="D1991" s="74"/>
      <c r="E1991" s="74"/>
      <c r="F1991" s="48">
        <f>J1991+H1991+L1991</f>
        <v>17341</v>
      </c>
      <c r="G1991" s="74"/>
      <c r="H1991" s="48">
        <f>ROUNDDOWN(SUMIF(P1990:P1990,O1991,H1990:H1990),0)</f>
        <v>17341</v>
      </c>
      <c r="I1991" s="74"/>
      <c r="J1991" s="48">
        <f>ROUNDDOWN(SUMIF(P1990:P1990,O1991,J1990:J1990),0)</f>
        <v>0</v>
      </c>
      <c r="K1991" s="74"/>
      <c r="L1991" s="48">
        <f>ROUNDDOWN(SUMIF(P1990:P1990,O1991,L1990:L1990),0)</f>
        <v>0</v>
      </c>
      <c r="M1991" s="74"/>
      <c r="O1991" s="7" t="s">
        <v>6406</v>
      </c>
    </row>
    <row r="1992" spans="1:26" ht="28.7" customHeight="1" x14ac:dyDescent="0.3">
      <c r="A1992" s="73"/>
      <c r="B1992" s="73"/>
      <c r="C1992" s="73"/>
      <c r="D1992" s="73"/>
      <c r="E1992" s="73"/>
      <c r="F1992" s="73"/>
      <c r="G1992" s="73"/>
      <c r="H1992" s="73"/>
      <c r="I1992" s="73"/>
      <c r="J1992" s="73"/>
      <c r="K1992" s="73"/>
      <c r="L1992" s="73"/>
      <c r="M1992" s="73"/>
    </row>
    <row r="1993" spans="1:26" ht="28.7" customHeight="1" x14ac:dyDescent="0.3">
      <c r="A1993" s="136" t="s">
        <v>1146</v>
      </c>
      <c r="B1993" s="127"/>
      <c r="C1993" s="127"/>
      <c r="D1993" s="127"/>
      <c r="E1993" s="127"/>
      <c r="F1993" s="127"/>
      <c r="G1993" s="127"/>
      <c r="H1993" s="127"/>
      <c r="I1993" s="127"/>
      <c r="J1993" s="127"/>
      <c r="K1993" s="127"/>
      <c r="L1993" s="144"/>
      <c r="M1993" s="22" t="s">
        <v>7848</v>
      </c>
      <c r="N1993" s="84" t="str">
        <f>HYPERLINK("#N"&amp;ROW(N1994),"_x0005_`BDCOD|B05394_x0007_`POSS|"&amp;ROW(N1994)&amp;"_x0007_`POSE|"&amp;ROW(N1994)&amp;"_x0007_`")</f>
        <v>_x0005_`BDCOD|B05394_x0007_`POSS|1994_x0007_`POSE|1994_x0007_`</v>
      </c>
      <c r="O1993" s="7" t="s">
        <v>7849</v>
      </c>
    </row>
    <row r="1994" spans="1:26" ht="28.7" customHeight="1" x14ac:dyDescent="0.3">
      <c r="A1994" s="10" t="s">
        <v>1842</v>
      </c>
      <c r="B1994" s="10" t="s">
        <v>1839</v>
      </c>
      <c r="C1994" s="75">
        <v>1</v>
      </c>
      <c r="D1994" s="31" t="s">
        <v>1010</v>
      </c>
      <c r="E1994" s="55">
        <f>I1994+G1994+K1994</f>
        <v>29649</v>
      </c>
      <c r="F1994" s="76">
        <f>J1994+H1994+L1994</f>
        <v>29649</v>
      </c>
      <c r="G1994" s="78">
        <f>일위대가목록표!F713</f>
        <v>28786</v>
      </c>
      <c r="H1994" s="80">
        <f>IF(C1994=0,0,ROUNDDOWN(G1994*C1994,1))</f>
        <v>28786</v>
      </c>
      <c r="I1994" s="78">
        <f>일위대가목록표!G713</f>
        <v>0</v>
      </c>
      <c r="J1994" s="80">
        <f>IF(C1994=0,0,ROUNDDOWN(I1994*C1994,1))</f>
        <v>0</v>
      </c>
      <c r="K1994" s="78">
        <f>일위대가목록표!H713</f>
        <v>863</v>
      </c>
      <c r="L1994" s="80">
        <f>IF(C1994=0,0,ROUNDDOWN(K1994*C1994,1))</f>
        <v>863</v>
      </c>
      <c r="M1994" s="22" t="s">
        <v>7713</v>
      </c>
      <c r="N1994" s="17" t="s">
        <v>7711</v>
      </c>
      <c r="O1994" s="7" t="s">
        <v>7712</v>
      </c>
      <c r="P1994" s="7" t="s">
        <v>6406</v>
      </c>
      <c r="Z1994" s="3" t="str">
        <f ca="1">HYPERLINK("#"&amp;일위대가목록표!J2&amp;"!A"&amp;ROW(일위대가목록표!A713),"대가710 →")</f>
        <v>대가710 →</v>
      </c>
    </row>
    <row r="1995" spans="1:26" ht="28.7" customHeight="1" x14ac:dyDescent="0.3">
      <c r="A1995" s="22" t="s">
        <v>6</v>
      </c>
      <c r="B1995" s="74"/>
      <c r="C1995" s="74"/>
      <c r="D1995" s="74"/>
      <c r="E1995" s="74"/>
      <c r="F1995" s="48">
        <f>J1995+H1995+L1995</f>
        <v>29649</v>
      </c>
      <c r="G1995" s="74"/>
      <c r="H1995" s="48">
        <f>ROUNDDOWN(SUMIF(P1994:P1994,O1995,H1994:H1994),0)</f>
        <v>28786</v>
      </c>
      <c r="I1995" s="74"/>
      <c r="J1995" s="48">
        <f>ROUNDDOWN(SUMIF(P1994:P1994,O1995,J1994:J1994),0)</f>
        <v>0</v>
      </c>
      <c r="K1995" s="74"/>
      <c r="L1995" s="48">
        <f>ROUNDDOWN(SUMIF(P1994:P1994,O1995,L1994:L1994),0)</f>
        <v>863</v>
      </c>
      <c r="M1995" s="74"/>
      <c r="O1995" s="7" t="s">
        <v>6406</v>
      </c>
    </row>
    <row r="1996" spans="1:26" ht="28.7" customHeight="1" x14ac:dyDescent="0.3">
      <c r="A1996" s="73"/>
      <c r="B1996" s="73"/>
      <c r="C1996" s="73"/>
      <c r="D1996" s="73"/>
      <c r="E1996" s="73"/>
      <c r="F1996" s="73"/>
      <c r="G1996" s="73"/>
      <c r="H1996" s="73"/>
      <c r="I1996" s="73"/>
      <c r="J1996" s="73"/>
      <c r="K1996" s="73"/>
      <c r="L1996" s="73"/>
      <c r="M1996" s="73"/>
    </row>
    <row r="1997" spans="1:26" ht="28.7" customHeight="1" x14ac:dyDescent="0.3">
      <c r="A1997" s="136" t="s">
        <v>1148</v>
      </c>
      <c r="B1997" s="127"/>
      <c r="C1997" s="127"/>
      <c r="D1997" s="127"/>
      <c r="E1997" s="127"/>
      <c r="F1997" s="127"/>
      <c r="G1997" s="127"/>
      <c r="H1997" s="127"/>
      <c r="I1997" s="127"/>
      <c r="J1997" s="127"/>
      <c r="K1997" s="127"/>
      <c r="L1997" s="144"/>
      <c r="M1997" s="22" t="s">
        <v>7850</v>
      </c>
      <c r="N1997" s="84" t="str">
        <f>HYPERLINK("#N"&amp;ROW(N1998),"_x0005_`BDCOD|B05395_x0007_`POSS|"&amp;ROW(N1998)&amp;"_x0007_`POSE|"&amp;ROW(N1998)&amp;"_x0007_`")</f>
        <v>_x0005_`BDCOD|B05395_x0007_`POSS|1998_x0007_`POSE|1998_x0007_`</v>
      </c>
      <c r="O1997" s="7" t="s">
        <v>7851</v>
      </c>
    </row>
    <row r="1998" spans="1:26" ht="28.7" customHeight="1" x14ac:dyDescent="0.3">
      <c r="A1998" s="10" t="s">
        <v>1842</v>
      </c>
      <c r="B1998" s="10" t="s">
        <v>1848</v>
      </c>
      <c r="C1998" s="75">
        <v>1</v>
      </c>
      <c r="D1998" s="31" t="s">
        <v>1010</v>
      </c>
      <c r="E1998" s="55">
        <f>I1998+G1998+K1998</f>
        <v>41619</v>
      </c>
      <c r="F1998" s="76">
        <f>J1998+H1998+L1998</f>
        <v>41619</v>
      </c>
      <c r="G1998" s="78">
        <f>일위대가목록표!F716</f>
        <v>41619</v>
      </c>
      <c r="H1998" s="80">
        <f>IF(C1998=0,0,ROUNDDOWN(G1998*C1998,1))</f>
        <v>41619</v>
      </c>
      <c r="I1998" s="78">
        <f>일위대가목록표!G716</f>
        <v>0</v>
      </c>
      <c r="J1998" s="80">
        <f>IF(C1998=0,0,ROUNDDOWN(I1998*C1998,1))</f>
        <v>0</v>
      </c>
      <c r="K1998" s="78">
        <f>일위대가목록표!H716</f>
        <v>0</v>
      </c>
      <c r="L1998" s="80">
        <f>IF(C1998=0,0,ROUNDDOWN(K1998*C1998,1))</f>
        <v>0</v>
      </c>
      <c r="M1998" s="22" t="s">
        <v>7718</v>
      </c>
      <c r="N1998" s="17" t="s">
        <v>7716</v>
      </c>
      <c r="O1998" s="7" t="s">
        <v>7717</v>
      </c>
      <c r="P1998" s="7" t="s">
        <v>6406</v>
      </c>
      <c r="Z1998" s="3" t="str">
        <f ca="1">HYPERLINK("#"&amp;일위대가목록표!J2&amp;"!A"&amp;ROW(일위대가목록표!A716),"대가713 →")</f>
        <v>대가713 →</v>
      </c>
    </row>
    <row r="1999" spans="1:26" ht="28.7" customHeight="1" x14ac:dyDescent="0.3">
      <c r="A1999" s="22" t="s">
        <v>6</v>
      </c>
      <c r="B1999" s="74"/>
      <c r="C1999" s="74"/>
      <c r="D1999" s="74"/>
      <c r="E1999" s="74"/>
      <c r="F1999" s="48">
        <f>J1999+H1999+L1999</f>
        <v>41619</v>
      </c>
      <c r="G1999" s="74"/>
      <c r="H1999" s="48">
        <f>ROUNDDOWN(SUMIF(P1998:P1998,O1999,H1998:H1998),0)</f>
        <v>41619</v>
      </c>
      <c r="I1999" s="74"/>
      <c r="J1999" s="48">
        <f>ROUNDDOWN(SUMIF(P1998:P1998,O1999,J1998:J1998),0)</f>
        <v>0</v>
      </c>
      <c r="K1999" s="74"/>
      <c r="L1999" s="48">
        <f>ROUNDDOWN(SUMIF(P1998:P1998,O1999,L1998:L1998),0)</f>
        <v>0</v>
      </c>
      <c r="M1999" s="74"/>
      <c r="O1999" s="7" t="s">
        <v>6406</v>
      </c>
    </row>
    <row r="2000" spans="1:26" ht="28.7" customHeight="1" x14ac:dyDescent="0.3">
      <c r="A2000" s="73"/>
      <c r="B2000" s="73"/>
      <c r="C2000" s="73"/>
      <c r="D2000" s="73"/>
      <c r="E2000" s="73"/>
      <c r="F2000" s="73"/>
      <c r="G2000" s="73"/>
      <c r="H2000" s="73"/>
      <c r="I2000" s="73"/>
      <c r="J2000" s="73"/>
      <c r="K2000" s="73"/>
      <c r="L2000" s="73"/>
      <c r="M2000" s="73"/>
    </row>
    <row r="2001" spans="1:26" ht="28.7" customHeight="1" x14ac:dyDescent="0.3">
      <c r="A2001" s="136" t="s">
        <v>1150</v>
      </c>
      <c r="B2001" s="127"/>
      <c r="C2001" s="127"/>
      <c r="D2001" s="127"/>
      <c r="E2001" s="127"/>
      <c r="F2001" s="127"/>
      <c r="G2001" s="127"/>
      <c r="H2001" s="127"/>
      <c r="I2001" s="127"/>
      <c r="J2001" s="127"/>
      <c r="K2001" s="127"/>
      <c r="L2001" s="144"/>
      <c r="M2001" s="22" t="s">
        <v>7852</v>
      </c>
      <c r="N2001" s="84" t="str">
        <f>HYPERLINK("#N"&amp;ROW(N2002),"_x0005_`BDCOD|B05396_x0007_`POSS|"&amp;ROW(N2002)&amp;"_x0007_`POSE|"&amp;ROW(N2002)&amp;"_x0007_`")</f>
        <v>_x0005_`BDCOD|B05396_x0007_`POSS|2002_x0007_`POSE|2002_x0007_`</v>
      </c>
      <c r="O2001" s="7" t="s">
        <v>7853</v>
      </c>
    </row>
    <row r="2002" spans="1:26" ht="28.7" customHeight="1" x14ac:dyDescent="0.3">
      <c r="A2002" s="10" t="s">
        <v>1842</v>
      </c>
      <c r="B2002" s="10" t="s">
        <v>1855</v>
      </c>
      <c r="C2002" s="75">
        <v>1</v>
      </c>
      <c r="D2002" s="31" t="s">
        <v>1010</v>
      </c>
      <c r="E2002" s="55">
        <f>I2002+G2002+K2002</f>
        <v>54234</v>
      </c>
      <c r="F2002" s="76">
        <f>J2002+H2002+L2002</f>
        <v>54234</v>
      </c>
      <c r="G2002" s="78">
        <f>일위대가목록표!F719</f>
        <v>54234</v>
      </c>
      <c r="H2002" s="80">
        <f>IF(C2002=0,0,ROUNDDOWN(G2002*C2002,1))</f>
        <v>54234</v>
      </c>
      <c r="I2002" s="78">
        <f>일위대가목록표!G719</f>
        <v>0</v>
      </c>
      <c r="J2002" s="80">
        <f>IF(C2002=0,0,ROUNDDOWN(I2002*C2002,1))</f>
        <v>0</v>
      </c>
      <c r="K2002" s="78">
        <f>일위대가목록표!H719</f>
        <v>0</v>
      </c>
      <c r="L2002" s="80">
        <f>IF(C2002=0,0,ROUNDDOWN(K2002*C2002,1))</f>
        <v>0</v>
      </c>
      <c r="M2002" s="22" t="s">
        <v>7723</v>
      </c>
      <c r="N2002" s="17" t="s">
        <v>7721</v>
      </c>
      <c r="O2002" s="7" t="s">
        <v>7722</v>
      </c>
      <c r="P2002" s="7" t="s">
        <v>6406</v>
      </c>
      <c r="Z2002" s="3" t="str">
        <f ca="1">HYPERLINK("#"&amp;일위대가목록표!J2&amp;"!A"&amp;ROW(일위대가목록표!A719),"대가716 →")</f>
        <v>대가716 →</v>
      </c>
    </row>
    <row r="2003" spans="1:26" ht="28.7" customHeight="1" x14ac:dyDescent="0.3">
      <c r="A2003" s="22" t="s">
        <v>6</v>
      </c>
      <c r="B2003" s="74"/>
      <c r="C2003" s="74"/>
      <c r="D2003" s="74"/>
      <c r="E2003" s="74"/>
      <c r="F2003" s="48">
        <f>J2003+H2003+L2003</f>
        <v>54234</v>
      </c>
      <c r="G2003" s="74"/>
      <c r="H2003" s="48">
        <f>ROUNDDOWN(SUMIF(P2002:P2002,O2003,H2002:H2002),0)</f>
        <v>54234</v>
      </c>
      <c r="I2003" s="74"/>
      <c r="J2003" s="48">
        <f>ROUNDDOWN(SUMIF(P2002:P2002,O2003,J2002:J2002),0)</f>
        <v>0</v>
      </c>
      <c r="K2003" s="74"/>
      <c r="L2003" s="48">
        <f>ROUNDDOWN(SUMIF(P2002:P2002,O2003,L2002:L2002),0)</f>
        <v>0</v>
      </c>
      <c r="M2003" s="74"/>
      <c r="O2003" s="7" t="s">
        <v>6406</v>
      </c>
    </row>
    <row r="2004" spans="1:26" ht="28.7" customHeight="1" x14ac:dyDescent="0.3">
      <c r="A2004" s="73"/>
      <c r="B2004" s="73"/>
      <c r="C2004" s="73"/>
      <c r="D2004" s="73"/>
      <c r="E2004" s="73"/>
      <c r="F2004" s="73"/>
      <c r="G2004" s="73"/>
      <c r="H2004" s="73"/>
      <c r="I2004" s="73"/>
      <c r="J2004" s="73"/>
      <c r="K2004" s="73"/>
      <c r="L2004" s="73"/>
      <c r="M2004" s="73"/>
    </row>
    <row r="2005" spans="1:26" ht="28.7" customHeight="1" x14ac:dyDescent="0.3">
      <c r="A2005" s="136" t="s">
        <v>1152</v>
      </c>
      <c r="B2005" s="127"/>
      <c r="C2005" s="127"/>
      <c r="D2005" s="127"/>
      <c r="E2005" s="127"/>
      <c r="F2005" s="127"/>
      <c r="G2005" s="127"/>
      <c r="H2005" s="127"/>
      <c r="I2005" s="127"/>
      <c r="J2005" s="127"/>
      <c r="K2005" s="127"/>
      <c r="L2005" s="144"/>
      <c r="M2005" s="22" t="s">
        <v>7854</v>
      </c>
      <c r="N2005" s="84" t="str">
        <f>HYPERLINK("#N"&amp;ROW(N2006),"_x0005_`BDCOD|B05397_x0007_`POSS|"&amp;ROW(N2006)&amp;"_x0007_`POSE|"&amp;ROW(N2006)&amp;"_x0007_`")</f>
        <v>_x0005_`BDCOD|B05397_x0007_`POSS|2006_x0007_`POSE|2006_x0007_`</v>
      </c>
      <c r="O2005" s="7" t="s">
        <v>7855</v>
      </c>
    </row>
    <row r="2006" spans="1:26" ht="28.7" customHeight="1" x14ac:dyDescent="0.3">
      <c r="A2006" s="10" t="s">
        <v>1842</v>
      </c>
      <c r="B2006" s="10" t="s">
        <v>1862</v>
      </c>
      <c r="C2006" s="75">
        <v>1</v>
      </c>
      <c r="D2006" s="31" t="s">
        <v>1010</v>
      </c>
      <c r="E2006" s="55">
        <f>I2006+G2006+K2006</f>
        <v>70535</v>
      </c>
      <c r="F2006" s="76">
        <f>J2006+H2006+L2006</f>
        <v>70535</v>
      </c>
      <c r="G2006" s="78">
        <f>일위대가목록표!F722</f>
        <v>70535</v>
      </c>
      <c r="H2006" s="80">
        <f>IF(C2006=0,0,ROUNDDOWN(G2006*C2006,1))</f>
        <v>70535</v>
      </c>
      <c r="I2006" s="78">
        <f>일위대가목록표!G722</f>
        <v>0</v>
      </c>
      <c r="J2006" s="80">
        <f>IF(C2006=0,0,ROUNDDOWN(I2006*C2006,1))</f>
        <v>0</v>
      </c>
      <c r="K2006" s="78">
        <f>일위대가목록표!H722</f>
        <v>0</v>
      </c>
      <c r="L2006" s="80">
        <f>IF(C2006=0,0,ROUNDDOWN(K2006*C2006,1))</f>
        <v>0</v>
      </c>
      <c r="M2006" s="22" t="s">
        <v>7728</v>
      </c>
      <c r="N2006" s="17" t="s">
        <v>7726</v>
      </c>
      <c r="O2006" s="7" t="s">
        <v>7727</v>
      </c>
      <c r="P2006" s="7" t="s">
        <v>6406</v>
      </c>
      <c r="Z2006" s="3" t="str">
        <f ca="1">HYPERLINK("#"&amp;일위대가목록표!J2&amp;"!A"&amp;ROW(일위대가목록표!A722),"대가719 →")</f>
        <v>대가719 →</v>
      </c>
    </row>
    <row r="2007" spans="1:26" ht="28.7" customHeight="1" x14ac:dyDescent="0.3">
      <c r="A2007" s="22" t="s">
        <v>6</v>
      </c>
      <c r="B2007" s="74"/>
      <c r="C2007" s="74"/>
      <c r="D2007" s="74"/>
      <c r="E2007" s="74"/>
      <c r="F2007" s="48">
        <f>J2007+H2007+L2007</f>
        <v>70535</v>
      </c>
      <c r="G2007" s="74"/>
      <c r="H2007" s="48">
        <f>ROUNDDOWN(SUMIF(P2006:P2006,O2007,H2006:H2006),0)</f>
        <v>70535</v>
      </c>
      <c r="I2007" s="74"/>
      <c r="J2007" s="48">
        <f>ROUNDDOWN(SUMIF(P2006:P2006,O2007,J2006:J2006),0)</f>
        <v>0</v>
      </c>
      <c r="K2007" s="74"/>
      <c r="L2007" s="48">
        <f>ROUNDDOWN(SUMIF(P2006:P2006,O2007,L2006:L2006),0)</f>
        <v>0</v>
      </c>
      <c r="M2007" s="74"/>
      <c r="O2007" s="7" t="s">
        <v>6406</v>
      </c>
    </row>
    <row r="2008" spans="1:26" ht="28.7" customHeight="1" x14ac:dyDescent="0.3">
      <c r="A2008" s="73"/>
      <c r="B2008" s="73"/>
      <c r="C2008" s="73"/>
      <c r="D2008" s="73"/>
      <c r="E2008" s="73"/>
      <c r="F2008" s="73"/>
      <c r="G2008" s="73"/>
      <c r="H2008" s="73"/>
      <c r="I2008" s="73"/>
      <c r="J2008" s="73"/>
      <c r="K2008" s="73"/>
      <c r="L2008" s="73"/>
      <c r="M2008" s="73"/>
    </row>
    <row r="2009" spans="1:26" ht="28.7" customHeight="1" x14ac:dyDescent="0.3">
      <c r="A2009" s="136" t="s">
        <v>1154</v>
      </c>
      <c r="B2009" s="127"/>
      <c r="C2009" s="127"/>
      <c r="D2009" s="127"/>
      <c r="E2009" s="127"/>
      <c r="F2009" s="127"/>
      <c r="G2009" s="127"/>
      <c r="H2009" s="127"/>
      <c r="I2009" s="127"/>
      <c r="J2009" s="127"/>
      <c r="K2009" s="127"/>
      <c r="L2009" s="144"/>
      <c r="M2009" s="22" t="s">
        <v>7856</v>
      </c>
      <c r="N2009" s="84" t="str">
        <f>HYPERLINK("#N"&amp;ROW(N2011),"_x0005_`BDCOD|B05067_x0007_`POSS|"&amp;ROW(N2010)&amp;"_x0007_`POSE|"&amp;ROW(N2011)&amp;"_x0007_`")</f>
        <v>_x0005_`BDCOD|B05067_x0007_`POSS|2010_x0007_`POSE|2011_x0007_`</v>
      </c>
      <c r="O2009" s="7" t="s">
        <v>7857</v>
      </c>
    </row>
    <row r="2010" spans="1:26" ht="28.7" customHeight="1" x14ac:dyDescent="0.3">
      <c r="A2010" s="10" t="s">
        <v>1838</v>
      </c>
      <c r="B2010" s="10" t="s">
        <v>1882</v>
      </c>
      <c r="C2010" s="75">
        <v>1</v>
      </c>
      <c r="D2010" s="31" t="s">
        <v>1010</v>
      </c>
      <c r="E2010" s="55">
        <f>I2010+G2010+K2010</f>
        <v>60695</v>
      </c>
      <c r="F2010" s="76">
        <f>J2010+H2010+L2010</f>
        <v>60695</v>
      </c>
      <c r="G2010" s="78">
        <f>일위대가목록표!F729</f>
        <v>60695</v>
      </c>
      <c r="H2010" s="80">
        <f>IF(C2010=0,0,ROUNDDOWN(G2010*C2010,1))</f>
        <v>60695</v>
      </c>
      <c r="I2010" s="78">
        <f>일위대가목록표!G729</f>
        <v>0</v>
      </c>
      <c r="J2010" s="80">
        <f>IF(C2010=0,0,ROUNDDOWN(I2010*C2010,1))</f>
        <v>0</v>
      </c>
      <c r="K2010" s="78">
        <f>일위대가목록표!H729</f>
        <v>0</v>
      </c>
      <c r="L2010" s="80">
        <f>IF(C2010=0,0,ROUNDDOWN(K2010*C2010,1))</f>
        <v>0</v>
      </c>
      <c r="M2010" s="22" t="s">
        <v>7860</v>
      </c>
      <c r="N2010" s="17" t="s">
        <v>7858</v>
      </c>
      <c r="O2010" s="7" t="s">
        <v>7859</v>
      </c>
      <c r="P2010" s="7" t="s">
        <v>6406</v>
      </c>
      <c r="Z2010" s="3" t="str">
        <f ca="1">HYPERLINK("#"&amp;일위대가목록표!J2&amp;"!A"&amp;ROW(일위대가목록표!A729),"대가726 →")</f>
        <v>대가726 →</v>
      </c>
    </row>
    <row r="2011" spans="1:26" ht="28.7" customHeight="1" x14ac:dyDescent="0.3">
      <c r="A2011" s="10" t="s">
        <v>1156</v>
      </c>
      <c r="B2011" s="10" t="s">
        <v>2908</v>
      </c>
      <c r="C2011" s="75">
        <v>1</v>
      </c>
      <c r="D2011" s="31" t="s">
        <v>1010</v>
      </c>
      <c r="E2011" s="55">
        <f>I2011+G2011+K2011</f>
        <v>109000</v>
      </c>
      <c r="F2011" s="77">
        <f>J2011+H2011+L2011</f>
        <v>109000</v>
      </c>
      <c r="G2011" s="51">
        <v>0</v>
      </c>
      <c r="H2011" s="76">
        <f>IF(C2011=0,0,ROUNDDOWN(G2011*C2011,1))</f>
        <v>0</v>
      </c>
      <c r="I2011" s="78">
        <f>재료비목록표!E317</f>
        <v>109000</v>
      </c>
      <c r="J2011" s="81">
        <f>IF(C2011=0,0,ROUNDDOWN(I2011*C2011,1))</f>
        <v>109000</v>
      </c>
      <c r="K2011" s="51">
        <v>0</v>
      </c>
      <c r="L2011" s="76">
        <f>IF(C2011=0,0,ROUNDDOWN(K2011*C2011,1))</f>
        <v>0</v>
      </c>
      <c r="M2011" s="22" t="s">
        <v>7863</v>
      </c>
      <c r="N2011" s="17" t="s">
        <v>7861</v>
      </c>
      <c r="O2011" s="7" t="s">
        <v>7862</v>
      </c>
      <c r="P2011" s="7" t="s">
        <v>6406</v>
      </c>
      <c r="Z2011" s="3" t="str">
        <f ca="1">HYPERLINK("#"&amp;재료비목록표!G2&amp;"!A"&amp;ROW(재료비목록표!A317),"자재314 →")</f>
        <v>자재314 →</v>
      </c>
    </row>
    <row r="2012" spans="1:26" ht="28.7" customHeight="1" x14ac:dyDescent="0.3">
      <c r="A2012" s="22" t="s">
        <v>6</v>
      </c>
      <c r="B2012" s="74"/>
      <c r="C2012" s="74"/>
      <c r="D2012" s="74"/>
      <c r="E2012" s="74"/>
      <c r="F2012" s="48">
        <f>J2012+H2012+L2012</f>
        <v>169695</v>
      </c>
      <c r="G2012" s="74"/>
      <c r="H2012" s="48">
        <f>ROUNDDOWN(SUMIF(P2010:P2011,O2012,H2010:H2011),0)</f>
        <v>60695</v>
      </c>
      <c r="I2012" s="74"/>
      <c r="J2012" s="48">
        <f>ROUNDDOWN(SUMIF(P2010:P2011,O2012,J2010:J2011),0)</f>
        <v>109000</v>
      </c>
      <c r="K2012" s="74"/>
      <c r="L2012" s="48">
        <f>ROUNDDOWN(SUMIF(P2010:P2011,O2012,L2010:L2011),0)</f>
        <v>0</v>
      </c>
      <c r="M2012" s="74"/>
      <c r="O2012" s="7" t="s">
        <v>6406</v>
      </c>
    </row>
    <row r="2013" spans="1:26" ht="28.7" customHeight="1" x14ac:dyDescent="0.3">
      <c r="A2013" s="73"/>
      <c r="B2013" s="73"/>
      <c r="C2013" s="73"/>
      <c r="D2013" s="73"/>
      <c r="E2013" s="73"/>
      <c r="F2013" s="73"/>
      <c r="G2013" s="73"/>
      <c r="H2013" s="73"/>
      <c r="I2013" s="73"/>
      <c r="J2013" s="73"/>
      <c r="K2013" s="73"/>
      <c r="L2013" s="73"/>
      <c r="M2013" s="73"/>
    </row>
    <row r="2014" spans="1:26" ht="28.7" customHeight="1" x14ac:dyDescent="0.3">
      <c r="A2014" s="136" t="s">
        <v>1158</v>
      </c>
      <c r="B2014" s="127"/>
      <c r="C2014" s="127"/>
      <c r="D2014" s="127"/>
      <c r="E2014" s="127"/>
      <c r="F2014" s="127"/>
      <c r="G2014" s="127"/>
      <c r="H2014" s="127"/>
      <c r="I2014" s="127"/>
      <c r="J2014" s="127"/>
      <c r="K2014" s="127"/>
      <c r="L2014" s="144"/>
      <c r="M2014" s="22" t="s">
        <v>7864</v>
      </c>
      <c r="N2014" s="84" t="str">
        <f>HYPERLINK("#N"&amp;ROW(N2016),"_x0005_`BDCOD|B05022_x0007_`POSS|"&amp;ROW(N2015)&amp;"_x0007_`POSE|"&amp;ROW(N2016)&amp;"_x0007_`")</f>
        <v>_x0005_`BDCOD|B05022_x0007_`POSS|2015_x0007_`POSE|2016_x0007_`</v>
      </c>
      <c r="O2014" s="7" t="s">
        <v>7865</v>
      </c>
    </row>
    <row r="2015" spans="1:26" ht="28.7" customHeight="1" x14ac:dyDescent="0.3">
      <c r="A2015" s="10" t="s">
        <v>1838</v>
      </c>
      <c r="B2015" s="10" t="s">
        <v>1869</v>
      </c>
      <c r="C2015" s="75">
        <v>1</v>
      </c>
      <c r="D2015" s="31" t="s">
        <v>1010</v>
      </c>
      <c r="E2015" s="55">
        <f>I2015+G2015+K2015</f>
        <v>60695</v>
      </c>
      <c r="F2015" s="76">
        <f>J2015+H2015+L2015</f>
        <v>60695</v>
      </c>
      <c r="G2015" s="78">
        <f>일위대가목록표!F724</f>
        <v>60695</v>
      </c>
      <c r="H2015" s="80">
        <f>IF(C2015=0,0,ROUNDDOWN(G2015*C2015,1))</f>
        <v>60695</v>
      </c>
      <c r="I2015" s="78">
        <f>일위대가목록표!G724</f>
        <v>0</v>
      </c>
      <c r="J2015" s="80">
        <f>IF(C2015=0,0,ROUNDDOWN(I2015*C2015,1))</f>
        <v>0</v>
      </c>
      <c r="K2015" s="78">
        <f>일위대가목록표!H724</f>
        <v>0</v>
      </c>
      <c r="L2015" s="80">
        <f>IF(C2015=0,0,ROUNDDOWN(K2015*C2015,1))</f>
        <v>0</v>
      </c>
      <c r="M2015" s="22" t="s">
        <v>7733</v>
      </c>
      <c r="N2015" s="17" t="s">
        <v>7731</v>
      </c>
      <c r="O2015" s="7" t="s">
        <v>7732</v>
      </c>
      <c r="P2015" s="7" t="s">
        <v>6406</v>
      </c>
      <c r="Z2015" s="3" t="str">
        <f ca="1">HYPERLINK("#"&amp;일위대가목록표!J2&amp;"!A"&amp;ROW(일위대가목록표!A724),"대가721 →")</f>
        <v>대가721 →</v>
      </c>
    </row>
    <row r="2016" spans="1:26" ht="28.7" customHeight="1" x14ac:dyDescent="0.3">
      <c r="A2016" s="10" t="s">
        <v>1156</v>
      </c>
      <c r="B2016" s="10" t="s">
        <v>2911</v>
      </c>
      <c r="C2016" s="75">
        <v>1</v>
      </c>
      <c r="D2016" s="31" t="s">
        <v>1010</v>
      </c>
      <c r="E2016" s="55">
        <f>I2016+G2016+K2016</f>
        <v>151200</v>
      </c>
      <c r="F2016" s="77">
        <f>J2016+H2016+L2016</f>
        <v>151200</v>
      </c>
      <c r="G2016" s="51">
        <v>0</v>
      </c>
      <c r="H2016" s="76">
        <f>IF(C2016=0,0,ROUNDDOWN(G2016*C2016,1))</f>
        <v>0</v>
      </c>
      <c r="I2016" s="78">
        <f>재료비목록표!E318</f>
        <v>151200</v>
      </c>
      <c r="J2016" s="81">
        <f>IF(C2016=0,0,ROUNDDOWN(I2016*C2016,1))</f>
        <v>151200</v>
      </c>
      <c r="K2016" s="51">
        <v>0</v>
      </c>
      <c r="L2016" s="76">
        <f>IF(C2016=0,0,ROUNDDOWN(K2016*C2016,1))</f>
        <v>0</v>
      </c>
      <c r="M2016" s="22" t="s">
        <v>7868</v>
      </c>
      <c r="N2016" s="17" t="s">
        <v>7866</v>
      </c>
      <c r="O2016" s="7" t="s">
        <v>7867</v>
      </c>
      <c r="P2016" s="7" t="s">
        <v>6406</v>
      </c>
      <c r="Z2016" s="3" t="str">
        <f ca="1">HYPERLINK("#"&amp;재료비목록표!G2&amp;"!A"&amp;ROW(재료비목록표!A318),"자재315 →")</f>
        <v>자재315 →</v>
      </c>
    </row>
    <row r="2017" spans="1:26" ht="28.7" customHeight="1" x14ac:dyDescent="0.3">
      <c r="A2017" s="22" t="s">
        <v>6</v>
      </c>
      <c r="B2017" s="74"/>
      <c r="C2017" s="74"/>
      <c r="D2017" s="74"/>
      <c r="E2017" s="74"/>
      <c r="F2017" s="48">
        <f>J2017+H2017+L2017</f>
        <v>211895</v>
      </c>
      <c r="G2017" s="74"/>
      <c r="H2017" s="48">
        <f>ROUNDDOWN(SUMIF(P2015:P2016,O2017,H2015:H2016),0)</f>
        <v>60695</v>
      </c>
      <c r="I2017" s="74"/>
      <c r="J2017" s="48">
        <f>ROUNDDOWN(SUMIF(P2015:P2016,O2017,J2015:J2016),0)</f>
        <v>151200</v>
      </c>
      <c r="K2017" s="74"/>
      <c r="L2017" s="48">
        <f>ROUNDDOWN(SUMIF(P2015:P2016,O2017,L2015:L2016),0)</f>
        <v>0</v>
      </c>
      <c r="M2017" s="74"/>
      <c r="O2017" s="7" t="s">
        <v>6406</v>
      </c>
    </row>
    <row r="2018" spans="1:26" ht="28.7" customHeight="1" x14ac:dyDescent="0.3">
      <c r="A2018" s="73"/>
      <c r="B2018" s="73"/>
      <c r="C2018" s="73"/>
      <c r="D2018" s="73"/>
      <c r="E2018" s="73"/>
      <c r="F2018" s="73"/>
      <c r="G2018" s="73"/>
      <c r="H2018" s="73"/>
      <c r="I2018" s="73"/>
      <c r="J2018" s="73"/>
      <c r="K2018" s="73"/>
      <c r="L2018" s="73"/>
      <c r="M2018" s="73"/>
    </row>
    <row r="2019" spans="1:26" ht="28.7" customHeight="1" x14ac:dyDescent="0.3">
      <c r="A2019" s="136" t="s">
        <v>1161</v>
      </c>
      <c r="B2019" s="127"/>
      <c r="C2019" s="127"/>
      <c r="D2019" s="127"/>
      <c r="E2019" s="127"/>
      <c r="F2019" s="127"/>
      <c r="G2019" s="127"/>
      <c r="H2019" s="127"/>
      <c r="I2019" s="127"/>
      <c r="J2019" s="127"/>
      <c r="K2019" s="127"/>
      <c r="L2019" s="144"/>
      <c r="M2019" s="22" t="s">
        <v>7869</v>
      </c>
      <c r="N2019" s="84" t="str">
        <f>HYPERLINK("#N"&amp;ROW(N2020),"_x0005_`BDCOD|B05398_x0007_`POSS|"&amp;ROW(N2020)&amp;"_x0007_`POSE|"&amp;ROW(N2020)&amp;"_x0007_`")</f>
        <v>_x0005_`BDCOD|B05398_x0007_`POSS|2020_x0007_`POSE|2020_x0007_`</v>
      </c>
      <c r="O2019" s="7" t="s">
        <v>7870</v>
      </c>
    </row>
    <row r="2020" spans="1:26" ht="28.7" customHeight="1" x14ac:dyDescent="0.3">
      <c r="A2020" s="10" t="s">
        <v>1838</v>
      </c>
      <c r="B2020" s="10" t="s">
        <v>1882</v>
      </c>
      <c r="C2020" s="75">
        <v>1</v>
      </c>
      <c r="D2020" s="31" t="s">
        <v>1010</v>
      </c>
      <c r="E2020" s="55">
        <f>I2020+G2020+K2020</f>
        <v>60695</v>
      </c>
      <c r="F2020" s="76">
        <f>J2020+H2020+L2020</f>
        <v>60695</v>
      </c>
      <c r="G2020" s="78">
        <f>일위대가목록표!F729</f>
        <v>60695</v>
      </c>
      <c r="H2020" s="80">
        <f>IF(C2020=0,0,ROUNDDOWN(G2020*C2020,1))</f>
        <v>60695</v>
      </c>
      <c r="I2020" s="78">
        <f>일위대가목록표!G729</f>
        <v>0</v>
      </c>
      <c r="J2020" s="80">
        <f>IF(C2020=0,0,ROUNDDOWN(I2020*C2020,1))</f>
        <v>0</v>
      </c>
      <c r="K2020" s="78">
        <f>일위대가목록표!H729</f>
        <v>0</v>
      </c>
      <c r="L2020" s="80">
        <f>IF(C2020=0,0,ROUNDDOWN(K2020*C2020,1))</f>
        <v>0</v>
      </c>
      <c r="M2020" s="22" t="s">
        <v>7860</v>
      </c>
      <c r="N2020" s="17" t="s">
        <v>7858</v>
      </c>
      <c r="O2020" s="7" t="s">
        <v>7859</v>
      </c>
      <c r="P2020" s="7" t="s">
        <v>6406</v>
      </c>
      <c r="Z2020" s="3" t="str">
        <f ca="1">HYPERLINK("#"&amp;일위대가목록표!J2&amp;"!A"&amp;ROW(일위대가목록표!A729),"대가726 →")</f>
        <v>대가726 →</v>
      </c>
    </row>
    <row r="2021" spans="1:26" ht="28.7" customHeight="1" x14ac:dyDescent="0.3">
      <c r="A2021" s="22" t="s">
        <v>6</v>
      </c>
      <c r="B2021" s="74"/>
      <c r="C2021" s="74"/>
      <c r="D2021" s="74"/>
      <c r="E2021" s="74"/>
      <c r="F2021" s="48">
        <f>J2021+H2021+L2021</f>
        <v>60695</v>
      </c>
      <c r="G2021" s="74"/>
      <c r="H2021" s="48">
        <f>ROUNDDOWN(SUMIF(P2020:P2020,O2021,H2020:H2020),0)</f>
        <v>60695</v>
      </c>
      <c r="I2021" s="74"/>
      <c r="J2021" s="48">
        <f>ROUNDDOWN(SUMIF(P2020:P2020,O2021,J2020:J2020),0)</f>
        <v>0</v>
      </c>
      <c r="K2021" s="74"/>
      <c r="L2021" s="48">
        <f>ROUNDDOWN(SUMIF(P2020:P2020,O2021,L2020:L2020),0)</f>
        <v>0</v>
      </c>
      <c r="M2021" s="74"/>
      <c r="O2021" s="7" t="s">
        <v>6406</v>
      </c>
    </row>
    <row r="2022" spans="1:26" ht="28.7" customHeight="1" x14ac:dyDescent="0.3">
      <c r="A2022" s="73"/>
      <c r="B2022" s="73"/>
      <c r="C2022" s="73"/>
      <c r="D2022" s="73"/>
      <c r="E2022" s="73"/>
      <c r="F2022" s="73"/>
      <c r="G2022" s="73"/>
      <c r="H2022" s="73"/>
      <c r="I2022" s="73"/>
      <c r="J2022" s="73"/>
      <c r="K2022" s="73"/>
      <c r="L2022" s="73"/>
      <c r="M2022" s="73"/>
    </row>
    <row r="2023" spans="1:26" ht="28.7" customHeight="1" x14ac:dyDescent="0.3">
      <c r="A2023" s="136" t="s">
        <v>1164</v>
      </c>
      <c r="B2023" s="127"/>
      <c r="C2023" s="127"/>
      <c r="D2023" s="127"/>
      <c r="E2023" s="127"/>
      <c r="F2023" s="127"/>
      <c r="G2023" s="127"/>
      <c r="H2023" s="127"/>
      <c r="I2023" s="127"/>
      <c r="J2023" s="127"/>
      <c r="K2023" s="127"/>
      <c r="L2023" s="144"/>
      <c r="M2023" s="22" t="s">
        <v>7871</v>
      </c>
      <c r="N2023" s="84" t="str">
        <f>HYPERLINK("#N"&amp;ROW(N2024),"_x0005_`BDCOD|B05399_x0007_`POSS|"&amp;ROW(N2024)&amp;"_x0007_`POSE|"&amp;ROW(N2024)&amp;"_x0007_`")</f>
        <v>_x0005_`BDCOD|B05399_x0007_`POSS|2024_x0007_`POSE|2024_x0007_`</v>
      </c>
      <c r="O2023" s="7" t="s">
        <v>7872</v>
      </c>
    </row>
    <row r="2024" spans="1:26" ht="28.7" customHeight="1" x14ac:dyDescent="0.3">
      <c r="A2024" s="10" t="s">
        <v>1838</v>
      </c>
      <c r="B2024" s="10" t="s">
        <v>1869</v>
      </c>
      <c r="C2024" s="75">
        <v>1</v>
      </c>
      <c r="D2024" s="31" t="s">
        <v>1010</v>
      </c>
      <c r="E2024" s="55">
        <f>I2024+G2024+K2024</f>
        <v>60695</v>
      </c>
      <c r="F2024" s="76">
        <f>J2024+H2024+L2024</f>
        <v>60695</v>
      </c>
      <c r="G2024" s="78">
        <f>일위대가목록표!F724</f>
        <v>60695</v>
      </c>
      <c r="H2024" s="80">
        <f>IF(C2024=0,0,ROUNDDOWN(G2024*C2024,1))</f>
        <v>60695</v>
      </c>
      <c r="I2024" s="78">
        <f>일위대가목록표!G724</f>
        <v>0</v>
      </c>
      <c r="J2024" s="80">
        <f>IF(C2024=0,0,ROUNDDOWN(I2024*C2024,1))</f>
        <v>0</v>
      </c>
      <c r="K2024" s="78">
        <f>일위대가목록표!H724</f>
        <v>0</v>
      </c>
      <c r="L2024" s="80">
        <f>IF(C2024=0,0,ROUNDDOWN(K2024*C2024,1))</f>
        <v>0</v>
      </c>
      <c r="M2024" s="22" t="s">
        <v>7733</v>
      </c>
      <c r="N2024" s="17" t="s">
        <v>7731</v>
      </c>
      <c r="O2024" s="7" t="s">
        <v>7732</v>
      </c>
      <c r="P2024" s="7" t="s">
        <v>6406</v>
      </c>
      <c r="Z2024" s="3" t="str">
        <f ca="1">HYPERLINK("#"&amp;일위대가목록표!J2&amp;"!A"&amp;ROW(일위대가목록표!A724),"대가721 →")</f>
        <v>대가721 →</v>
      </c>
    </row>
    <row r="2025" spans="1:26" ht="28.7" customHeight="1" x14ac:dyDescent="0.3">
      <c r="A2025" s="22" t="s">
        <v>6</v>
      </c>
      <c r="B2025" s="74"/>
      <c r="C2025" s="74"/>
      <c r="D2025" s="74"/>
      <c r="E2025" s="74"/>
      <c r="F2025" s="48">
        <f>J2025+H2025+L2025</f>
        <v>60695</v>
      </c>
      <c r="G2025" s="74"/>
      <c r="H2025" s="48">
        <f>ROUNDDOWN(SUMIF(P2024:P2024,O2025,H2024:H2024),0)</f>
        <v>60695</v>
      </c>
      <c r="I2025" s="74"/>
      <c r="J2025" s="48">
        <f>ROUNDDOWN(SUMIF(P2024:P2024,O2025,J2024:J2024),0)</f>
        <v>0</v>
      </c>
      <c r="K2025" s="74"/>
      <c r="L2025" s="48">
        <f>ROUNDDOWN(SUMIF(P2024:P2024,O2025,L2024:L2024),0)</f>
        <v>0</v>
      </c>
      <c r="M2025" s="74"/>
      <c r="O2025" s="7" t="s">
        <v>6406</v>
      </c>
    </row>
    <row r="2026" spans="1:26" ht="28.7" customHeight="1" x14ac:dyDescent="0.3">
      <c r="A2026" s="73"/>
      <c r="B2026" s="73"/>
      <c r="C2026" s="73"/>
      <c r="D2026" s="73"/>
      <c r="E2026" s="73"/>
      <c r="F2026" s="73"/>
      <c r="G2026" s="73"/>
      <c r="H2026" s="73"/>
      <c r="I2026" s="73"/>
      <c r="J2026" s="73"/>
      <c r="K2026" s="73"/>
      <c r="L2026" s="73"/>
      <c r="M2026" s="73"/>
    </row>
    <row r="2027" spans="1:26" ht="28.7" customHeight="1" x14ac:dyDescent="0.3">
      <c r="A2027" s="136" t="s">
        <v>1166</v>
      </c>
      <c r="B2027" s="127"/>
      <c r="C2027" s="127"/>
      <c r="D2027" s="127"/>
      <c r="E2027" s="127"/>
      <c r="F2027" s="127"/>
      <c r="G2027" s="127"/>
      <c r="H2027" s="127"/>
      <c r="I2027" s="127"/>
      <c r="J2027" s="127"/>
      <c r="K2027" s="127"/>
      <c r="L2027" s="144"/>
      <c r="M2027" s="22" t="s">
        <v>7873</v>
      </c>
      <c r="N2027" s="84" t="str">
        <f>HYPERLINK("#N"&amp;ROW(N2028),"_x0005_`BDCOD|B05400_x0007_`POSS|"&amp;ROW(N2028)&amp;"_x0007_`POSE|"&amp;ROW(N2028)&amp;"_x0007_`")</f>
        <v>_x0005_`BDCOD|B05400_x0007_`POSS|2028_x0007_`POSE|2028_x0007_`</v>
      </c>
      <c r="O2027" s="7" t="s">
        <v>7874</v>
      </c>
    </row>
    <row r="2028" spans="1:26" ht="28.7" customHeight="1" x14ac:dyDescent="0.3">
      <c r="A2028" s="10" t="s">
        <v>1845</v>
      </c>
      <c r="B2028" s="10" t="s">
        <v>1562</v>
      </c>
      <c r="C2028" s="75">
        <v>1</v>
      </c>
      <c r="D2028" s="31" t="s">
        <v>1010</v>
      </c>
      <c r="E2028" s="55">
        <f>I2028+G2028+K2028</f>
        <v>43354</v>
      </c>
      <c r="F2028" s="76">
        <f>J2028+H2028+L2028</f>
        <v>43354</v>
      </c>
      <c r="G2028" s="78">
        <f>일위대가목록표!F726</f>
        <v>43354</v>
      </c>
      <c r="H2028" s="80">
        <f>IF(C2028=0,0,ROUNDDOWN(G2028*C2028,1))</f>
        <v>43354</v>
      </c>
      <c r="I2028" s="78">
        <f>일위대가목록표!G726</f>
        <v>0</v>
      </c>
      <c r="J2028" s="80">
        <f>IF(C2028=0,0,ROUNDDOWN(I2028*C2028,1))</f>
        <v>0</v>
      </c>
      <c r="K2028" s="78">
        <f>일위대가목록표!H726</f>
        <v>0</v>
      </c>
      <c r="L2028" s="80">
        <f>IF(C2028=0,0,ROUNDDOWN(K2028*C2028,1))</f>
        <v>0</v>
      </c>
      <c r="M2028" s="22" t="s">
        <v>7776</v>
      </c>
      <c r="N2028" s="17" t="s">
        <v>7774</v>
      </c>
      <c r="O2028" s="7" t="s">
        <v>7775</v>
      </c>
      <c r="P2028" s="7" t="s">
        <v>6406</v>
      </c>
      <c r="Z2028" s="3" t="str">
        <f ca="1">HYPERLINK("#"&amp;일위대가목록표!J2&amp;"!A"&amp;ROW(일위대가목록표!A726),"대가723 →")</f>
        <v>대가723 →</v>
      </c>
    </row>
    <row r="2029" spans="1:26" ht="28.7" customHeight="1" x14ac:dyDescent="0.3">
      <c r="A2029" s="22" t="s">
        <v>6</v>
      </c>
      <c r="B2029" s="74"/>
      <c r="C2029" s="74"/>
      <c r="D2029" s="74"/>
      <c r="E2029" s="74"/>
      <c r="F2029" s="48">
        <f>J2029+H2029+L2029</f>
        <v>43354</v>
      </c>
      <c r="G2029" s="74"/>
      <c r="H2029" s="48">
        <f>ROUNDDOWN(SUMIF(P2028:P2028,O2029,H2028:H2028),0)</f>
        <v>43354</v>
      </c>
      <c r="I2029" s="74"/>
      <c r="J2029" s="48">
        <f>ROUNDDOWN(SUMIF(P2028:P2028,O2029,J2028:J2028),0)</f>
        <v>0</v>
      </c>
      <c r="K2029" s="74"/>
      <c r="L2029" s="48">
        <f>ROUNDDOWN(SUMIF(P2028:P2028,O2029,L2028:L2028),0)</f>
        <v>0</v>
      </c>
      <c r="M2029" s="74"/>
      <c r="O2029" s="7" t="s">
        <v>6406</v>
      </c>
    </row>
    <row r="2030" spans="1:26" ht="28.7" customHeight="1" x14ac:dyDescent="0.3">
      <c r="A2030" s="73"/>
      <c r="B2030" s="73"/>
      <c r="C2030" s="73"/>
      <c r="D2030" s="73"/>
      <c r="E2030" s="73"/>
      <c r="F2030" s="73"/>
      <c r="G2030" s="73"/>
      <c r="H2030" s="73"/>
      <c r="I2030" s="73"/>
      <c r="J2030" s="73"/>
      <c r="K2030" s="73"/>
      <c r="L2030" s="73"/>
      <c r="M2030" s="73"/>
    </row>
    <row r="2031" spans="1:26" ht="28.7" customHeight="1" x14ac:dyDescent="0.3">
      <c r="A2031" s="136" t="s">
        <v>1169</v>
      </c>
      <c r="B2031" s="127"/>
      <c r="C2031" s="127"/>
      <c r="D2031" s="127"/>
      <c r="E2031" s="127"/>
      <c r="F2031" s="127"/>
      <c r="G2031" s="127"/>
      <c r="H2031" s="127"/>
      <c r="I2031" s="127"/>
      <c r="J2031" s="127"/>
      <c r="K2031" s="127"/>
      <c r="L2031" s="144"/>
      <c r="M2031" s="22" t="s">
        <v>7875</v>
      </c>
      <c r="N2031" s="84" t="str">
        <f>HYPERLINK("#N"&amp;ROW(N2032),"_x0005_`BDCOD|B05401_x0007_`POSS|"&amp;ROW(N2032)&amp;"_x0007_`POSE|"&amp;ROW(N2032)&amp;"_x0007_`")</f>
        <v>_x0005_`BDCOD|B05401_x0007_`POSS|2032_x0007_`POSE|2032_x0007_`</v>
      </c>
      <c r="O2031" s="7" t="s">
        <v>7876</v>
      </c>
    </row>
    <row r="2032" spans="1:26" ht="28.7" customHeight="1" x14ac:dyDescent="0.3">
      <c r="A2032" s="10" t="s">
        <v>1845</v>
      </c>
      <c r="B2032" s="10" t="s">
        <v>1562</v>
      </c>
      <c r="C2032" s="75">
        <v>1</v>
      </c>
      <c r="D2032" s="31" t="s">
        <v>1010</v>
      </c>
      <c r="E2032" s="55">
        <f>I2032+G2032+K2032</f>
        <v>43354</v>
      </c>
      <c r="F2032" s="76">
        <f>J2032+H2032+L2032</f>
        <v>43354</v>
      </c>
      <c r="G2032" s="78">
        <f>일위대가목록표!F726</f>
        <v>43354</v>
      </c>
      <c r="H2032" s="80">
        <f>IF(C2032=0,0,ROUNDDOWN(G2032*C2032,1))</f>
        <v>43354</v>
      </c>
      <c r="I2032" s="78">
        <f>일위대가목록표!G726</f>
        <v>0</v>
      </c>
      <c r="J2032" s="80">
        <f>IF(C2032=0,0,ROUNDDOWN(I2032*C2032,1))</f>
        <v>0</v>
      </c>
      <c r="K2032" s="78">
        <f>일위대가목록표!H726</f>
        <v>0</v>
      </c>
      <c r="L2032" s="80">
        <f>IF(C2032=0,0,ROUNDDOWN(K2032*C2032,1))</f>
        <v>0</v>
      </c>
      <c r="M2032" s="22" t="s">
        <v>7776</v>
      </c>
      <c r="N2032" s="17" t="s">
        <v>7774</v>
      </c>
      <c r="O2032" s="7" t="s">
        <v>7775</v>
      </c>
      <c r="P2032" s="7" t="s">
        <v>6406</v>
      </c>
      <c r="Z2032" s="3" t="str">
        <f ca="1">HYPERLINK("#"&amp;일위대가목록표!J2&amp;"!A"&amp;ROW(일위대가목록표!A726),"대가723 →")</f>
        <v>대가723 →</v>
      </c>
    </row>
    <row r="2033" spans="1:26" ht="28.7" customHeight="1" x14ac:dyDescent="0.3">
      <c r="A2033" s="22" t="s">
        <v>6</v>
      </c>
      <c r="B2033" s="74"/>
      <c r="C2033" s="74"/>
      <c r="D2033" s="74"/>
      <c r="E2033" s="74"/>
      <c r="F2033" s="48">
        <f>J2033+H2033+L2033</f>
        <v>43354</v>
      </c>
      <c r="G2033" s="74"/>
      <c r="H2033" s="48">
        <f>ROUNDDOWN(SUMIF(P2032:P2032,O2033,H2032:H2032),0)</f>
        <v>43354</v>
      </c>
      <c r="I2033" s="74"/>
      <c r="J2033" s="48">
        <f>ROUNDDOWN(SUMIF(P2032:P2032,O2033,J2032:J2032),0)</f>
        <v>0</v>
      </c>
      <c r="K2033" s="74"/>
      <c r="L2033" s="48">
        <f>ROUNDDOWN(SUMIF(P2032:P2032,O2033,L2032:L2032),0)</f>
        <v>0</v>
      </c>
      <c r="M2033" s="74"/>
      <c r="O2033" s="7" t="s">
        <v>6406</v>
      </c>
    </row>
    <row r="2034" spans="1:26" ht="28.7" customHeight="1" x14ac:dyDescent="0.3">
      <c r="A2034" s="73"/>
      <c r="B2034" s="73"/>
      <c r="C2034" s="73"/>
      <c r="D2034" s="73"/>
      <c r="E2034" s="73"/>
      <c r="F2034" s="73"/>
      <c r="G2034" s="73"/>
      <c r="H2034" s="73"/>
      <c r="I2034" s="73"/>
      <c r="J2034" s="73"/>
      <c r="K2034" s="73"/>
      <c r="L2034" s="73"/>
      <c r="M2034" s="73"/>
    </row>
    <row r="2035" spans="1:26" ht="28.7" customHeight="1" x14ac:dyDescent="0.3">
      <c r="A2035" s="136" t="s">
        <v>1171</v>
      </c>
      <c r="B2035" s="127"/>
      <c r="C2035" s="127"/>
      <c r="D2035" s="127"/>
      <c r="E2035" s="127"/>
      <c r="F2035" s="127"/>
      <c r="G2035" s="127"/>
      <c r="H2035" s="127"/>
      <c r="I2035" s="127"/>
      <c r="J2035" s="127"/>
      <c r="K2035" s="127"/>
      <c r="L2035" s="144"/>
      <c r="M2035" s="22" t="s">
        <v>7877</v>
      </c>
      <c r="N2035" s="84" t="str">
        <f>HYPERLINK("#N"&amp;ROW(N2036),"_x0005_`BDCOD|B05402_x0007_`POSS|"&amp;ROW(N2036)&amp;"_x0007_`POSE|"&amp;ROW(N2036)&amp;"_x0007_`")</f>
        <v>_x0005_`BDCOD|B05402_x0007_`POSS|2036_x0007_`POSE|2036_x0007_`</v>
      </c>
      <c r="O2035" s="7" t="s">
        <v>7878</v>
      </c>
    </row>
    <row r="2036" spans="1:26" ht="28.7" customHeight="1" x14ac:dyDescent="0.3">
      <c r="A2036" s="10" t="s">
        <v>1842</v>
      </c>
      <c r="B2036" s="10" t="s">
        <v>1869</v>
      </c>
      <c r="C2036" s="75">
        <v>1</v>
      </c>
      <c r="D2036" s="31" t="s">
        <v>1010</v>
      </c>
      <c r="E2036" s="55">
        <f>I2036+G2036+K2036</f>
        <v>17341</v>
      </c>
      <c r="F2036" s="76">
        <f>J2036+H2036+L2036</f>
        <v>17341</v>
      </c>
      <c r="G2036" s="78">
        <f>일위대가목록표!F725</f>
        <v>17341</v>
      </c>
      <c r="H2036" s="80">
        <f>IF(C2036=0,0,ROUNDDOWN(G2036*C2036,1))</f>
        <v>17341</v>
      </c>
      <c r="I2036" s="78">
        <f>일위대가목록표!G725</f>
        <v>0</v>
      </c>
      <c r="J2036" s="80">
        <f>IF(C2036=0,0,ROUNDDOWN(I2036*C2036,1))</f>
        <v>0</v>
      </c>
      <c r="K2036" s="78">
        <f>일위대가목록표!H725</f>
        <v>0</v>
      </c>
      <c r="L2036" s="80">
        <f>IF(C2036=0,0,ROUNDDOWN(K2036*C2036,1))</f>
        <v>0</v>
      </c>
      <c r="M2036" s="22" t="s">
        <v>7794</v>
      </c>
      <c r="N2036" s="17" t="s">
        <v>7792</v>
      </c>
      <c r="O2036" s="7" t="s">
        <v>7793</v>
      </c>
      <c r="P2036" s="7" t="s">
        <v>6406</v>
      </c>
      <c r="Z2036" s="3" t="str">
        <f ca="1">HYPERLINK("#"&amp;일위대가목록표!J2&amp;"!A"&amp;ROW(일위대가목록표!A725),"대가722 →")</f>
        <v>대가722 →</v>
      </c>
    </row>
    <row r="2037" spans="1:26" ht="28.7" customHeight="1" x14ac:dyDescent="0.3">
      <c r="A2037" s="22" t="s">
        <v>6</v>
      </c>
      <c r="B2037" s="74"/>
      <c r="C2037" s="74"/>
      <c r="D2037" s="74"/>
      <c r="E2037" s="74"/>
      <c r="F2037" s="48">
        <f>J2037+H2037+L2037</f>
        <v>17341</v>
      </c>
      <c r="G2037" s="74"/>
      <c r="H2037" s="48">
        <f>ROUNDDOWN(SUMIF(P2036:P2036,O2037,H2036:H2036),0)</f>
        <v>17341</v>
      </c>
      <c r="I2037" s="74"/>
      <c r="J2037" s="48">
        <f>ROUNDDOWN(SUMIF(P2036:P2036,O2037,J2036:J2036),0)</f>
        <v>0</v>
      </c>
      <c r="K2037" s="74"/>
      <c r="L2037" s="48">
        <f>ROUNDDOWN(SUMIF(P2036:P2036,O2037,L2036:L2036),0)</f>
        <v>0</v>
      </c>
      <c r="M2037" s="74"/>
      <c r="O2037" s="7" t="s">
        <v>6406</v>
      </c>
    </row>
    <row r="2038" spans="1:26" ht="28.7" customHeight="1" x14ac:dyDescent="0.3">
      <c r="A2038" s="73"/>
      <c r="B2038" s="73"/>
      <c r="C2038" s="73"/>
      <c r="D2038" s="73"/>
      <c r="E2038" s="73"/>
      <c r="F2038" s="73"/>
      <c r="G2038" s="73"/>
      <c r="H2038" s="73"/>
      <c r="I2038" s="73"/>
      <c r="J2038" s="73"/>
      <c r="K2038" s="73"/>
      <c r="L2038" s="73"/>
      <c r="M2038" s="73"/>
    </row>
    <row r="2039" spans="1:26" ht="28.7" customHeight="1" x14ac:dyDescent="0.3">
      <c r="A2039" s="136" t="s">
        <v>1174</v>
      </c>
      <c r="B2039" s="127"/>
      <c r="C2039" s="127"/>
      <c r="D2039" s="127"/>
      <c r="E2039" s="127"/>
      <c r="F2039" s="127"/>
      <c r="G2039" s="127"/>
      <c r="H2039" s="127"/>
      <c r="I2039" s="127"/>
      <c r="J2039" s="127"/>
      <c r="K2039" s="127"/>
      <c r="L2039" s="144"/>
      <c r="M2039" s="22" t="s">
        <v>7879</v>
      </c>
      <c r="N2039" s="84" t="str">
        <f>HYPERLINK("#N"&amp;ROW(N2040),"_x0005_`BDCOD|B05403_x0007_`POSS|"&amp;ROW(N2040)&amp;"_x0007_`POSE|"&amp;ROW(N2040)&amp;"_x0007_`")</f>
        <v>_x0005_`BDCOD|B05403_x0007_`POSS|2040_x0007_`POSE|2040_x0007_`</v>
      </c>
      <c r="O2039" s="7" t="s">
        <v>7880</v>
      </c>
    </row>
    <row r="2040" spans="1:26" ht="28.7" customHeight="1" x14ac:dyDescent="0.3">
      <c r="A2040" s="10" t="s">
        <v>1842</v>
      </c>
      <c r="B2040" s="10" t="s">
        <v>1869</v>
      </c>
      <c r="C2040" s="75">
        <v>1</v>
      </c>
      <c r="D2040" s="31" t="s">
        <v>1010</v>
      </c>
      <c r="E2040" s="55">
        <f>I2040+G2040+K2040</f>
        <v>17341</v>
      </c>
      <c r="F2040" s="76">
        <f>J2040+H2040+L2040</f>
        <v>17341</v>
      </c>
      <c r="G2040" s="78">
        <f>일위대가목록표!F725</f>
        <v>17341</v>
      </c>
      <c r="H2040" s="80">
        <f>IF(C2040=0,0,ROUNDDOWN(G2040*C2040,1))</f>
        <v>17341</v>
      </c>
      <c r="I2040" s="78">
        <f>일위대가목록표!G725</f>
        <v>0</v>
      </c>
      <c r="J2040" s="80">
        <f>IF(C2040=0,0,ROUNDDOWN(I2040*C2040,1))</f>
        <v>0</v>
      </c>
      <c r="K2040" s="78">
        <f>일위대가목록표!H725</f>
        <v>0</v>
      </c>
      <c r="L2040" s="80">
        <f>IF(C2040=0,0,ROUNDDOWN(K2040*C2040,1))</f>
        <v>0</v>
      </c>
      <c r="M2040" s="22" t="s">
        <v>7794</v>
      </c>
      <c r="N2040" s="17" t="s">
        <v>7792</v>
      </c>
      <c r="O2040" s="7" t="s">
        <v>7793</v>
      </c>
      <c r="P2040" s="7" t="s">
        <v>6406</v>
      </c>
      <c r="Z2040" s="3" t="str">
        <f ca="1">HYPERLINK("#"&amp;일위대가목록표!J2&amp;"!A"&amp;ROW(일위대가목록표!A725),"대가722 →")</f>
        <v>대가722 →</v>
      </c>
    </row>
    <row r="2041" spans="1:26" ht="28.7" customHeight="1" x14ac:dyDescent="0.3">
      <c r="A2041" s="22" t="s">
        <v>6</v>
      </c>
      <c r="B2041" s="74"/>
      <c r="C2041" s="74"/>
      <c r="D2041" s="74"/>
      <c r="E2041" s="74"/>
      <c r="F2041" s="48">
        <f>J2041+H2041+L2041</f>
        <v>17341</v>
      </c>
      <c r="G2041" s="74"/>
      <c r="H2041" s="48">
        <f>ROUNDDOWN(SUMIF(P2040:P2040,O2041,H2040:H2040),0)</f>
        <v>17341</v>
      </c>
      <c r="I2041" s="74"/>
      <c r="J2041" s="48">
        <f>ROUNDDOWN(SUMIF(P2040:P2040,O2041,J2040:J2040),0)</f>
        <v>0</v>
      </c>
      <c r="K2041" s="74"/>
      <c r="L2041" s="48">
        <f>ROUNDDOWN(SUMIF(P2040:P2040,O2041,L2040:L2040),0)</f>
        <v>0</v>
      </c>
      <c r="M2041" s="74"/>
      <c r="O2041" s="7" t="s">
        <v>6406</v>
      </c>
    </row>
    <row r="2042" spans="1:26" ht="28.7" customHeight="1" x14ac:dyDescent="0.3">
      <c r="A2042" s="73"/>
      <c r="B2042" s="73"/>
      <c r="C2042" s="73"/>
      <c r="D2042" s="73"/>
      <c r="E2042" s="73"/>
      <c r="F2042" s="73"/>
      <c r="G2042" s="73"/>
      <c r="H2042" s="73"/>
      <c r="I2042" s="73"/>
      <c r="J2042" s="73"/>
      <c r="K2042" s="73"/>
      <c r="L2042" s="73"/>
      <c r="M2042" s="73"/>
    </row>
    <row r="2043" spans="1:26" ht="28.7" customHeight="1" x14ac:dyDescent="0.3">
      <c r="A2043" s="136" t="s">
        <v>1176</v>
      </c>
      <c r="B2043" s="127"/>
      <c r="C2043" s="127"/>
      <c r="D2043" s="127"/>
      <c r="E2043" s="127"/>
      <c r="F2043" s="127"/>
      <c r="G2043" s="127"/>
      <c r="H2043" s="127"/>
      <c r="I2043" s="127"/>
      <c r="J2043" s="127"/>
      <c r="K2043" s="127"/>
      <c r="L2043" s="144"/>
      <c r="M2043" s="22" t="s">
        <v>7881</v>
      </c>
      <c r="N2043" s="84" t="str">
        <f>HYPERLINK("#N"&amp;ROW(N2045),"_x0005_`BDCOD|B05023_x0007_`POSS|"&amp;ROW(N2044)&amp;"_x0007_`POSE|"&amp;ROW(N2045)&amp;"_x0007_`")</f>
        <v>_x0005_`BDCOD|B05023_x0007_`POSS|2044_x0007_`POSE|2045_x0007_`</v>
      </c>
      <c r="O2043" s="7" t="s">
        <v>7882</v>
      </c>
    </row>
    <row r="2044" spans="1:26" ht="28.7" customHeight="1" x14ac:dyDescent="0.3">
      <c r="A2044" s="10" t="s">
        <v>1838</v>
      </c>
      <c r="B2044" s="10" t="s">
        <v>1839</v>
      </c>
      <c r="C2044" s="75">
        <v>1</v>
      </c>
      <c r="D2044" s="31" t="s">
        <v>1010</v>
      </c>
      <c r="E2044" s="55">
        <f>I2044+G2044+K2044</f>
        <v>103775</v>
      </c>
      <c r="F2044" s="76">
        <f>J2044+H2044+L2044</f>
        <v>103775</v>
      </c>
      <c r="G2044" s="78">
        <f>일위대가목록표!F712</f>
        <v>100753</v>
      </c>
      <c r="H2044" s="80">
        <f>IF(C2044=0,0,ROUNDDOWN(G2044*C2044,1))</f>
        <v>100753</v>
      </c>
      <c r="I2044" s="78">
        <f>일위대가목록표!G712</f>
        <v>0</v>
      </c>
      <c r="J2044" s="80">
        <f>IF(C2044=0,0,ROUNDDOWN(I2044*C2044,1))</f>
        <v>0</v>
      </c>
      <c r="K2044" s="78">
        <f>일위대가목록표!H712</f>
        <v>3022</v>
      </c>
      <c r="L2044" s="80">
        <f>IF(C2044=0,0,ROUNDDOWN(K2044*C2044,1))</f>
        <v>3022</v>
      </c>
      <c r="M2044" s="22" t="s">
        <v>7657</v>
      </c>
      <c r="N2044" s="17" t="s">
        <v>7655</v>
      </c>
      <c r="O2044" s="7" t="s">
        <v>7656</v>
      </c>
      <c r="P2044" s="7" t="s">
        <v>6406</v>
      </c>
      <c r="Z2044" s="3" t="str">
        <f ca="1">HYPERLINK("#"&amp;일위대가목록표!J2&amp;"!A"&amp;ROW(일위대가목록표!A712),"대가709 →")</f>
        <v>대가709 →</v>
      </c>
    </row>
    <row r="2045" spans="1:26" ht="28.7" customHeight="1" x14ac:dyDescent="0.3">
      <c r="A2045" s="10" t="s">
        <v>1178</v>
      </c>
      <c r="B2045" s="10" t="s">
        <v>1053</v>
      </c>
      <c r="C2045" s="75">
        <v>1</v>
      </c>
      <c r="D2045" s="31" t="s">
        <v>1010</v>
      </c>
      <c r="E2045" s="55">
        <f>I2045+G2045+K2045</f>
        <v>580000</v>
      </c>
      <c r="F2045" s="77">
        <f>J2045+H2045+L2045</f>
        <v>580000</v>
      </c>
      <c r="G2045" s="51">
        <v>0</v>
      </c>
      <c r="H2045" s="76">
        <f>IF(C2045=0,0,ROUNDDOWN(G2045*C2045,1))</f>
        <v>0</v>
      </c>
      <c r="I2045" s="78">
        <f>재료비목록표!E231</f>
        <v>580000</v>
      </c>
      <c r="J2045" s="81">
        <f>IF(C2045=0,0,ROUNDDOWN(I2045*C2045,1))</f>
        <v>580000</v>
      </c>
      <c r="K2045" s="51">
        <v>0</v>
      </c>
      <c r="L2045" s="76">
        <f>IF(C2045=0,0,ROUNDDOWN(K2045*C2045,1))</f>
        <v>0</v>
      </c>
      <c r="M2045" s="22" t="s">
        <v>7884</v>
      </c>
      <c r="N2045" s="17" t="s">
        <v>7883</v>
      </c>
      <c r="O2045" s="7" t="s">
        <v>5895</v>
      </c>
      <c r="P2045" s="7" t="s">
        <v>6406</v>
      </c>
      <c r="Z2045" s="3" t="str">
        <f ca="1">HYPERLINK("#"&amp;재료비목록표!G2&amp;"!A"&amp;ROW(재료비목록표!A231),"자재228 →")</f>
        <v>자재228 →</v>
      </c>
    </row>
    <row r="2046" spans="1:26" ht="28.7" customHeight="1" x14ac:dyDescent="0.3">
      <c r="A2046" s="22" t="s">
        <v>6</v>
      </c>
      <c r="B2046" s="74"/>
      <c r="C2046" s="74"/>
      <c r="D2046" s="74"/>
      <c r="E2046" s="74"/>
      <c r="F2046" s="48">
        <f>J2046+H2046+L2046</f>
        <v>683775</v>
      </c>
      <c r="G2046" s="74"/>
      <c r="H2046" s="48">
        <f>ROUNDDOWN(SUMIF(P2044:P2045,O2046,H2044:H2045),0)</f>
        <v>100753</v>
      </c>
      <c r="I2046" s="74"/>
      <c r="J2046" s="48">
        <f>ROUNDDOWN(SUMIF(P2044:P2045,O2046,J2044:J2045),0)</f>
        <v>580000</v>
      </c>
      <c r="K2046" s="74"/>
      <c r="L2046" s="48">
        <f>ROUNDDOWN(SUMIF(P2044:P2045,O2046,L2044:L2045),0)</f>
        <v>3022</v>
      </c>
      <c r="M2046" s="74"/>
      <c r="O2046" s="7" t="s">
        <v>6406</v>
      </c>
    </row>
    <row r="2047" spans="1:26" ht="28.7" customHeight="1" x14ac:dyDescent="0.3">
      <c r="A2047" s="73"/>
      <c r="B2047" s="73"/>
      <c r="C2047" s="73"/>
      <c r="D2047" s="73"/>
      <c r="E2047" s="73"/>
      <c r="F2047" s="73"/>
      <c r="G2047" s="73"/>
      <c r="H2047" s="73"/>
      <c r="I2047" s="73"/>
      <c r="J2047" s="73"/>
      <c r="K2047" s="73"/>
      <c r="L2047" s="73"/>
      <c r="M2047" s="73"/>
    </row>
    <row r="2048" spans="1:26" ht="28.7" customHeight="1" x14ac:dyDescent="0.3">
      <c r="A2048" s="136" t="s">
        <v>1179</v>
      </c>
      <c r="B2048" s="127"/>
      <c r="C2048" s="127"/>
      <c r="D2048" s="127"/>
      <c r="E2048" s="127"/>
      <c r="F2048" s="127"/>
      <c r="G2048" s="127"/>
      <c r="H2048" s="127"/>
      <c r="I2048" s="127"/>
      <c r="J2048" s="127"/>
      <c r="K2048" s="127"/>
      <c r="L2048" s="144"/>
      <c r="M2048" s="22" t="s">
        <v>7885</v>
      </c>
      <c r="N2048" s="84" t="str">
        <f>HYPERLINK("#N"&amp;ROW(N2050),"_x0005_`BDCOD|B05024_x0007_`POSS|"&amp;ROW(N2049)&amp;"_x0007_`POSE|"&amp;ROW(N2050)&amp;"_x0007_`")</f>
        <v>_x0005_`BDCOD|B05024_x0007_`POSS|2049_x0007_`POSE|2050_x0007_`</v>
      </c>
      <c r="O2048" s="7" t="s">
        <v>7886</v>
      </c>
    </row>
    <row r="2049" spans="1:26" ht="28.7" customHeight="1" x14ac:dyDescent="0.3">
      <c r="A2049" s="10" t="s">
        <v>1838</v>
      </c>
      <c r="B2049" s="10" t="s">
        <v>1848</v>
      </c>
      <c r="C2049" s="75">
        <v>1</v>
      </c>
      <c r="D2049" s="31" t="s">
        <v>1010</v>
      </c>
      <c r="E2049" s="55">
        <f>I2049+G2049+K2049</f>
        <v>145668</v>
      </c>
      <c r="F2049" s="76">
        <f>J2049+H2049+L2049</f>
        <v>145668</v>
      </c>
      <c r="G2049" s="78">
        <f>일위대가목록표!F715</f>
        <v>145668</v>
      </c>
      <c r="H2049" s="80">
        <f>IF(C2049=0,0,ROUNDDOWN(G2049*C2049,1))</f>
        <v>145668</v>
      </c>
      <c r="I2049" s="78">
        <f>일위대가목록표!G715</f>
        <v>0</v>
      </c>
      <c r="J2049" s="80">
        <f>IF(C2049=0,0,ROUNDDOWN(I2049*C2049,1))</f>
        <v>0</v>
      </c>
      <c r="K2049" s="78">
        <f>일위대가목록표!H715</f>
        <v>0</v>
      </c>
      <c r="L2049" s="80">
        <f>IF(C2049=0,0,ROUNDDOWN(K2049*C2049,1))</f>
        <v>0</v>
      </c>
      <c r="M2049" s="22" t="s">
        <v>7664</v>
      </c>
      <c r="N2049" s="17" t="s">
        <v>7662</v>
      </c>
      <c r="O2049" s="7" t="s">
        <v>7663</v>
      </c>
      <c r="P2049" s="7" t="s">
        <v>6406</v>
      </c>
      <c r="Z2049" s="3" t="str">
        <f ca="1">HYPERLINK("#"&amp;일위대가목록표!J2&amp;"!A"&amp;ROW(일위대가목록표!A715),"대가712 →")</f>
        <v>대가712 →</v>
      </c>
    </row>
    <row r="2050" spans="1:26" ht="28.7" customHeight="1" x14ac:dyDescent="0.3">
      <c r="A2050" s="10" t="s">
        <v>1178</v>
      </c>
      <c r="B2050" s="10" t="s">
        <v>1056</v>
      </c>
      <c r="C2050" s="75">
        <v>1</v>
      </c>
      <c r="D2050" s="31" t="s">
        <v>1010</v>
      </c>
      <c r="E2050" s="55">
        <f>I2050+G2050+K2050</f>
        <v>830000</v>
      </c>
      <c r="F2050" s="77">
        <f>J2050+H2050+L2050</f>
        <v>830000</v>
      </c>
      <c r="G2050" s="51">
        <v>0</v>
      </c>
      <c r="H2050" s="76">
        <f>IF(C2050=0,0,ROUNDDOWN(G2050*C2050,1))</f>
        <v>0</v>
      </c>
      <c r="I2050" s="78">
        <f>재료비목록표!E227</f>
        <v>830000</v>
      </c>
      <c r="J2050" s="81">
        <f>IF(C2050=0,0,ROUNDDOWN(I2050*C2050,1))</f>
        <v>830000</v>
      </c>
      <c r="K2050" s="51">
        <v>0</v>
      </c>
      <c r="L2050" s="76">
        <f>IF(C2050=0,0,ROUNDDOWN(K2050*C2050,1))</f>
        <v>0</v>
      </c>
      <c r="M2050" s="22" t="s">
        <v>7888</v>
      </c>
      <c r="N2050" s="17" t="s">
        <v>7887</v>
      </c>
      <c r="O2050" s="7" t="s">
        <v>5898</v>
      </c>
      <c r="P2050" s="7" t="s">
        <v>6406</v>
      </c>
      <c r="Z2050" s="3" t="str">
        <f ca="1">HYPERLINK("#"&amp;재료비목록표!G2&amp;"!A"&amp;ROW(재료비목록표!A227),"자재224 →")</f>
        <v>자재224 →</v>
      </c>
    </row>
    <row r="2051" spans="1:26" ht="28.7" customHeight="1" x14ac:dyDescent="0.3">
      <c r="A2051" s="22" t="s">
        <v>6</v>
      </c>
      <c r="B2051" s="74"/>
      <c r="C2051" s="74"/>
      <c r="D2051" s="74"/>
      <c r="E2051" s="74"/>
      <c r="F2051" s="48">
        <f>J2051+H2051+L2051</f>
        <v>975668</v>
      </c>
      <c r="G2051" s="74"/>
      <c r="H2051" s="48">
        <f>ROUNDDOWN(SUMIF(P2049:P2050,O2051,H2049:H2050),0)</f>
        <v>145668</v>
      </c>
      <c r="I2051" s="74"/>
      <c r="J2051" s="48">
        <f>ROUNDDOWN(SUMIF(P2049:P2050,O2051,J2049:J2050),0)</f>
        <v>830000</v>
      </c>
      <c r="K2051" s="74"/>
      <c r="L2051" s="48">
        <f>ROUNDDOWN(SUMIF(P2049:P2050,O2051,L2049:L2050),0)</f>
        <v>0</v>
      </c>
      <c r="M2051" s="74"/>
      <c r="O2051" s="7" t="s">
        <v>6406</v>
      </c>
    </row>
    <row r="2052" spans="1:26" ht="28.7" customHeight="1" x14ac:dyDescent="0.3">
      <c r="A2052" s="73"/>
      <c r="B2052" s="73"/>
      <c r="C2052" s="73"/>
      <c r="D2052" s="73"/>
      <c r="E2052" s="73"/>
      <c r="F2052" s="73"/>
      <c r="G2052" s="73"/>
      <c r="H2052" s="73"/>
      <c r="I2052" s="73"/>
      <c r="J2052" s="73"/>
      <c r="K2052" s="73"/>
      <c r="L2052" s="73"/>
      <c r="M2052" s="73"/>
    </row>
    <row r="2053" spans="1:26" ht="28.7" customHeight="1" x14ac:dyDescent="0.3">
      <c r="A2053" s="136" t="s">
        <v>1181</v>
      </c>
      <c r="B2053" s="127"/>
      <c r="C2053" s="127"/>
      <c r="D2053" s="127"/>
      <c r="E2053" s="127"/>
      <c r="F2053" s="127"/>
      <c r="G2053" s="127"/>
      <c r="H2053" s="127"/>
      <c r="I2053" s="127"/>
      <c r="J2053" s="127"/>
      <c r="K2053" s="127"/>
      <c r="L2053" s="144"/>
      <c r="M2053" s="22" t="s">
        <v>7889</v>
      </c>
      <c r="N2053" s="84" t="str">
        <f>HYPERLINK("#N"&amp;ROW(N2055),"_x0005_`BDCOD|B05025_x0007_`POSS|"&amp;ROW(N2054)&amp;"_x0007_`POSE|"&amp;ROW(N2055)&amp;"_x0007_`")</f>
        <v>_x0005_`BDCOD|B05025_x0007_`POSS|2054_x0007_`POSE|2055_x0007_`</v>
      </c>
      <c r="O2053" s="7" t="s">
        <v>7890</v>
      </c>
    </row>
    <row r="2054" spans="1:26" ht="28.7" customHeight="1" x14ac:dyDescent="0.3">
      <c r="A2054" s="10" t="s">
        <v>1838</v>
      </c>
      <c r="B2054" s="10" t="s">
        <v>1855</v>
      </c>
      <c r="C2054" s="75">
        <v>1</v>
      </c>
      <c r="D2054" s="31" t="s">
        <v>1010</v>
      </c>
      <c r="E2054" s="55">
        <f>I2054+G2054+K2054</f>
        <v>189819</v>
      </c>
      <c r="F2054" s="76">
        <f>J2054+H2054+L2054</f>
        <v>189819</v>
      </c>
      <c r="G2054" s="78">
        <f>일위대가목록표!F718</f>
        <v>189819</v>
      </c>
      <c r="H2054" s="80">
        <f>IF(C2054=0,0,ROUNDDOWN(G2054*C2054,1))</f>
        <v>189819</v>
      </c>
      <c r="I2054" s="78">
        <f>일위대가목록표!G718</f>
        <v>0</v>
      </c>
      <c r="J2054" s="80">
        <f>IF(C2054=0,0,ROUNDDOWN(I2054*C2054,1))</f>
        <v>0</v>
      </c>
      <c r="K2054" s="78">
        <f>일위대가목록표!H718</f>
        <v>0</v>
      </c>
      <c r="L2054" s="80">
        <f>IF(C2054=0,0,ROUNDDOWN(K2054*C2054,1))</f>
        <v>0</v>
      </c>
      <c r="M2054" s="22" t="s">
        <v>7671</v>
      </c>
      <c r="N2054" s="17" t="s">
        <v>7669</v>
      </c>
      <c r="O2054" s="7" t="s">
        <v>7670</v>
      </c>
      <c r="P2054" s="7" t="s">
        <v>6406</v>
      </c>
      <c r="Z2054" s="3" t="str">
        <f ca="1">HYPERLINK("#"&amp;일위대가목록표!J2&amp;"!A"&amp;ROW(일위대가목록표!A718),"대가715 →")</f>
        <v>대가715 →</v>
      </c>
    </row>
    <row r="2055" spans="1:26" ht="28.7" customHeight="1" x14ac:dyDescent="0.3">
      <c r="A2055" s="10" t="s">
        <v>1178</v>
      </c>
      <c r="B2055" s="10" t="s">
        <v>1059</v>
      </c>
      <c r="C2055" s="75">
        <v>1</v>
      </c>
      <c r="D2055" s="31" t="s">
        <v>1010</v>
      </c>
      <c r="E2055" s="55">
        <f>I2055+G2055+K2055</f>
        <v>1450000</v>
      </c>
      <c r="F2055" s="77">
        <f>J2055+H2055+L2055</f>
        <v>1450000</v>
      </c>
      <c r="G2055" s="51">
        <v>0</v>
      </c>
      <c r="H2055" s="76">
        <f>IF(C2055=0,0,ROUNDDOWN(G2055*C2055,1))</f>
        <v>0</v>
      </c>
      <c r="I2055" s="78">
        <f>재료비목록표!E228</f>
        <v>1450000</v>
      </c>
      <c r="J2055" s="81">
        <f>IF(C2055=0,0,ROUNDDOWN(I2055*C2055,1))</f>
        <v>1450000</v>
      </c>
      <c r="K2055" s="51">
        <v>0</v>
      </c>
      <c r="L2055" s="76">
        <f>IF(C2055=0,0,ROUNDDOWN(K2055*C2055,1))</f>
        <v>0</v>
      </c>
      <c r="M2055" s="22" t="s">
        <v>7892</v>
      </c>
      <c r="N2055" s="17" t="s">
        <v>7891</v>
      </c>
      <c r="O2055" s="7" t="s">
        <v>5901</v>
      </c>
      <c r="P2055" s="7" t="s">
        <v>6406</v>
      </c>
      <c r="Z2055" s="3" t="str">
        <f ca="1">HYPERLINK("#"&amp;재료비목록표!G2&amp;"!A"&amp;ROW(재료비목록표!A228),"자재225 →")</f>
        <v>자재225 →</v>
      </c>
    </row>
    <row r="2056" spans="1:26" ht="28.7" customHeight="1" x14ac:dyDescent="0.3">
      <c r="A2056" s="22" t="s">
        <v>6</v>
      </c>
      <c r="B2056" s="74"/>
      <c r="C2056" s="74"/>
      <c r="D2056" s="74"/>
      <c r="E2056" s="74"/>
      <c r="F2056" s="48">
        <f>J2056+H2056+L2056</f>
        <v>1639819</v>
      </c>
      <c r="G2056" s="74"/>
      <c r="H2056" s="48">
        <f>ROUNDDOWN(SUMIF(P2054:P2055,O2056,H2054:H2055),0)</f>
        <v>189819</v>
      </c>
      <c r="I2056" s="74"/>
      <c r="J2056" s="48">
        <f>ROUNDDOWN(SUMIF(P2054:P2055,O2056,J2054:J2055),0)</f>
        <v>1450000</v>
      </c>
      <c r="K2056" s="74"/>
      <c r="L2056" s="48">
        <f>ROUNDDOWN(SUMIF(P2054:P2055,O2056,L2054:L2055),0)</f>
        <v>0</v>
      </c>
      <c r="M2056" s="74"/>
      <c r="O2056" s="7" t="s">
        <v>6406</v>
      </c>
    </row>
    <row r="2057" spans="1:26" ht="28.7" customHeight="1" x14ac:dyDescent="0.3">
      <c r="A2057" s="73"/>
      <c r="B2057" s="73"/>
      <c r="C2057" s="73"/>
      <c r="D2057" s="73"/>
      <c r="E2057" s="73"/>
      <c r="F2057" s="73"/>
      <c r="G2057" s="73"/>
      <c r="H2057" s="73"/>
      <c r="I2057" s="73"/>
      <c r="J2057" s="73"/>
      <c r="K2057" s="73"/>
      <c r="L2057" s="73"/>
      <c r="M2057" s="73"/>
    </row>
    <row r="2058" spans="1:26" ht="28.7" customHeight="1" x14ac:dyDescent="0.3">
      <c r="A2058" s="136" t="s">
        <v>1183</v>
      </c>
      <c r="B2058" s="127"/>
      <c r="C2058" s="127"/>
      <c r="D2058" s="127"/>
      <c r="E2058" s="127"/>
      <c r="F2058" s="127"/>
      <c r="G2058" s="127"/>
      <c r="H2058" s="127"/>
      <c r="I2058" s="127"/>
      <c r="J2058" s="127"/>
      <c r="K2058" s="127"/>
      <c r="L2058" s="144"/>
      <c r="M2058" s="22" t="s">
        <v>7893</v>
      </c>
      <c r="N2058" s="84" t="str">
        <f>HYPERLINK("#N"&amp;ROW(N2060),"_x0005_`BDCOD|B05026_x0007_`POSS|"&amp;ROW(N2059)&amp;"_x0007_`POSE|"&amp;ROW(N2060)&amp;"_x0007_`")</f>
        <v>_x0005_`BDCOD|B05026_x0007_`POSS|2059_x0007_`POSE|2060_x0007_`</v>
      </c>
      <c r="O2058" s="7" t="s">
        <v>7894</v>
      </c>
    </row>
    <row r="2059" spans="1:26" ht="28.7" customHeight="1" x14ac:dyDescent="0.3">
      <c r="A2059" s="10" t="s">
        <v>1838</v>
      </c>
      <c r="B2059" s="10" t="s">
        <v>1862</v>
      </c>
      <c r="C2059" s="75">
        <v>1</v>
      </c>
      <c r="D2059" s="31" t="s">
        <v>1010</v>
      </c>
      <c r="E2059" s="55">
        <f>I2059+G2059+K2059</f>
        <v>246873</v>
      </c>
      <c r="F2059" s="76">
        <f>J2059+H2059+L2059</f>
        <v>246873</v>
      </c>
      <c r="G2059" s="78">
        <f>일위대가목록표!F721</f>
        <v>246873</v>
      </c>
      <c r="H2059" s="80">
        <f>IF(C2059=0,0,ROUNDDOWN(G2059*C2059,1))</f>
        <v>246873</v>
      </c>
      <c r="I2059" s="78">
        <f>일위대가목록표!G721</f>
        <v>0</v>
      </c>
      <c r="J2059" s="80">
        <f>IF(C2059=0,0,ROUNDDOWN(I2059*C2059,1))</f>
        <v>0</v>
      </c>
      <c r="K2059" s="78">
        <f>일위대가목록표!H721</f>
        <v>0</v>
      </c>
      <c r="L2059" s="80">
        <f>IF(C2059=0,0,ROUNDDOWN(K2059*C2059,1))</f>
        <v>0</v>
      </c>
      <c r="M2059" s="22" t="s">
        <v>7678</v>
      </c>
      <c r="N2059" s="17" t="s">
        <v>7676</v>
      </c>
      <c r="O2059" s="7" t="s">
        <v>7677</v>
      </c>
      <c r="P2059" s="7" t="s">
        <v>6406</v>
      </c>
      <c r="Z2059" s="3" t="str">
        <f ca="1">HYPERLINK("#"&amp;일위대가목록표!J2&amp;"!A"&amp;ROW(일위대가목록표!A721),"대가718 →")</f>
        <v>대가718 →</v>
      </c>
    </row>
    <row r="2060" spans="1:26" ht="28.7" customHeight="1" x14ac:dyDescent="0.3">
      <c r="A2060" s="10" t="s">
        <v>1178</v>
      </c>
      <c r="B2060" s="10" t="s">
        <v>1062</v>
      </c>
      <c r="C2060" s="75">
        <v>1</v>
      </c>
      <c r="D2060" s="31" t="s">
        <v>1010</v>
      </c>
      <c r="E2060" s="55">
        <f>I2060+G2060+K2060</f>
        <v>2230000</v>
      </c>
      <c r="F2060" s="77">
        <f>J2060+H2060+L2060</f>
        <v>2230000</v>
      </c>
      <c r="G2060" s="51">
        <v>0</v>
      </c>
      <c r="H2060" s="76">
        <f>IF(C2060=0,0,ROUNDDOWN(G2060*C2060,1))</f>
        <v>0</v>
      </c>
      <c r="I2060" s="78">
        <f>재료비목록표!E229</f>
        <v>2230000</v>
      </c>
      <c r="J2060" s="81">
        <f>IF(C2060=0,0,ROUNDDOWN(I2060*C2060,1))</f>
        <v>2230000</v>
      </c>
      <c r="K2060" s="51">
        <v>0</v>
      </c>
      <c r="L2060" s="76">
        <f>IF(C2060=0,0,ROUNDDOWN(K2060*C2060,1))</f>
        <v>0</v>
      </c>
      <c r="M2060" s="22" t="s">
        <v>7896</v>
      </c>
      <c r="N2060" s="17" t="s">
        <v>7895</v>
      </c>
      <c r="O2060" s="7" t="s">
        <v>5904</v>
      </c>
      <c r="P2060" s="7" t="s">
        <v>6406</v>
      </c>
      <c r="Z2060" s="3" t="str">
        <f ca="1">HYPERLINK("#"&amp;재료비목록표!G2&amp;"!A"&amp;ROW(재료비목록표!A229),"자재226 →")</f>
        <v>자재226 →</v>
      </c>
    </row>
    <row r="2061" spans="1:26" ht="28.7" customHeight="1" x14ac:dyDescent="0.3">
      <c r="A2061" s="22" t="s">
        <v>6</v>
      </c>
      <c r="B2061" s="74"/>
      <c r="C2061" s="74"/>
      <c r="D2061" s="74"/>
      <c r="E2061" s="74"/>
      <c r="F2061" s="48">
        <f>J2061+H2061+L2061</f>
        <v>2476873</v>
      </c>
      <c r="G2061" s="74"/>
      <c r="H2061" s="48">
        <f>ROUNDDOWN(SUMIF(P2059:P2060,O2061,H2059:H2060),0)</f>
        <v>246873</v>
      </c>
      <c r="I2061" s="74"/>
      <c r="J2061" s="48">
        <f>ROUNDDOWN(SUMIF(P2059:P2060,O2061,J2059:J2060),0)</f>
        <v>2230000</v>
      </c>
      <c r="K2061" s="74"/>
      <c r="L2061" s="48">
        <f>ROUNDDOWN(SUMIF(P2059:P2060,O2061,L2059:L2060),0)</f>
        <v>0</v>
      </c>
      <c r="M2061" s="74"/>
      <c r="O2061" s="7" t="s">
        <v>6406</v>
      </c>
    </row>
    <row r="2062" spans="1:26" ht="28.7" customHeight="1" x14ac:dyDescent="0.3">
      <c r="A2062" s="73"/>
      <c r="B2062" s="73"/>
      <c r="C2062" s="73"/>
      <c r="D2062" s="73"/>
      <c r="E2062" s="73"/>
      <c r="F2062" s="73"/>
      <c r="G2062" s="73"/>
      <c r="H2062" s="73"/>
      <c r="I2062" s="73"/>
      <c r="J2062" s="73"/>
      <c r="K2062" s="73"/>
      <c r="L2062" s="73"/>
      <c r="M2062" s="73"/>
    </row>
    <row r="2063" spans="1:26" ht="28.7" customHeight="1" x14ac:dyDescent="0.3">
      <c r="A2063" s="136" t="s">
        <v>1185</v>
      </c>
      <c r="B2063" s="127"/>
      <c r="C2063" s="127"/>
      <c r="D2063" s="127"/>
      <c r="E2063" s="127"/>
      <c r="F2063" s="127"/>
      <c r="G2063" s="127"/>
      <c r="H2063" s="127"/>
      <c r="I2063" s="127"/>
      <c r="J2063" s="127"/>
      <c r="K2063" s="127"/>
      <c r="L2063" s="144"/>
      <c r="M2063" s="22" t="s">
        <v>7897</v>
      </c>
      <c r="N2063" s="84" t="str">
        <f>HYPERLINK("#N"&amp;ROW(N2065),"_x0005_`BDCOD|B05070_x0007_`POSS|"&amp;ROW(N2064)&amp;"_x0007_`POSE|"&amp;ROW(N2065)&amp;"_x0007_`")</f>
        <v>_x0005_`BDCOD|B05070_x0007_`POSS|2064_x0007_`POSE|2065_x0007_`</v>
      </c>
      <c r="O2063" s="7" t="s">
        <v>7898</v>
      </c>
    </row>
    <row r="2064" spans="1:26" ht="28.7" customHeight="1" x14ac:dyDescent="0.3">
      <c r="A2064" s="10" t="s">
        <v>1838</v>
      </c>
      <c r="B2064" s="10" t="s">
        <v>1876</v>
      </c>
      <c r="C2064" s="75">
        <v>1</v>
      </c>
      <c r="D2064" s="31" t="s">
        <v>1010</v>
      </c>
      <c r="E2064" s="55">
        <f>I2064+G2064+K2064</f>
        <v>246873</v>
      </c>
      <c r="F2064" s="76">
        <f>J2064+H2064+L2064</f>
        <v>246873</v>
      </c>
      <c r="G2064" s="78">
        <f>일위대가목록표!F730</f>
        <v>246873</v>
      </c>
      <c r="H2064" s="80">
        <f>IF(C2064=0,0,ROUNDDOWN(G2064*C2064,1))</f>
        <v>246873</v>
      </c>
      <c r="I2064" s="78">
        <f>일위대가목록표!G730</f>
        <v>0</v>
      </c>
      <c r="J2064" s="80">
        <f>IF(C2064=0,0,ROUNDDOWN(I2064*C2064,1))</f>
        <v>0</v>
      </c>
      <c r="K2064" s="78">
        <f>일위대가목록표!H730</f>
        <v>0</v>
      </c>
      <c r="L2064" s="80">
        <f>IF(C2064=0,0,ROUNDDOWN(K2064*C2064,1))</f>
        <v>0</v>
      </c>
      <c r="M2064" s="22" t="s">
        <v>7901</v>
      </c>
      <c r="N2064" s="17" t="s">
        <v>7899</v>
      </c>
      <c r="O2064" s="7" t="s">
        <v>7900</v>
      </c>
      <c r="P2064" s="7" t="s">
        <v>6406</v>
      </c>
      <c r="Z2064" s="3" t="str">
        <f ca="1">HYPERLINK("#"&amp;일위대가목록표!J2&amp;"!A"&amp;ROW(일위대가목록표!A730),"대가727 →")</f>
        <v>대가727 →</v>
      </c>
    </row>
    <row r="2065" spans="1:26" ht="28.7" customHeight="1" x14ac:dyDescent="0.3">
      <c r="A2065" s="10" t="s">
        <v>1178</v>
      </c>
      <c r="B2065" s="10" t="s">
        <v>1065</v>
      </c>
      <c r="C2065" s="75">
        <v>1</v>
      </c>
      <c r="D2065" s="31" t="s">
        <v>1010</v>
      </c>
      <c r="E2065" s="55">
        <f>I2065+G2065+K2065</f>
        <v>3800000</v>
      </c>
      <c r="F2065" s="77">
        <f>J2065+H2065+L2065</f>
        <v>3800000</v>
      </c>
      <c r="G2065" s="51">
        <v>0</v>
      </c>
      <c r="H2065" s="76">
        <f>IF(C2065=0,0,ROUNDDOWN(G2065*C2065,1))</f>
        <v>0</v>
      </c>
      <c r="I2065" s="78">
        <f>재료비목록표!E230</f>
        <v>3800000</v>
      </c>
      <c r="J2065" s="81">
        <f>IF(C2065=0,0,ROUNDDOWN(I2065*C2065,1))</f>
        <v>3800000</v>
      </c>
      <c r="K2065" s="51">
        <v>0</v>
      </c>
      <c r="L2065" s="76">
        <f>IF(C2065=0,0,ROUNDDOWN(K2065*C2065,1))</f>
        <v>0</v>
      </c>
      <c r="M2065" s="22" t="s">
        <v>7903</v>
      </c>
      <c r="N2065" s="17" t="s">
        <v>7902</v>
      </c>
      <c r="O2065" s="7" t="s">
        <v>5907</v>
      </c>
      <c r="P2065" s="7" t="s">
        <v>6406</v>
      </c>
      <c r="Z2065" s="3" t="str">
        <f ca="1">HYPERLINK("#"&amp;재료비목록표!G2&amp;"!A"&amp;ROW(재료비목록표!A230),"자재227 →")</f>
        <v>자재227 →</v>
      </c>
    </row>
    <row r="2066" spans="1:26" ht="28.7" customHeight="1" x14ac:dyDescent="0.3">
      <c r="A2066" s="22" t="s">
        <v>6</v>
      </c>
      <c r="B2066" s="74"/>
      <c r="C2066" s="74"/>
      <c r="D2066" s="74"/>
      <c r="E2066" s="74"/>
      <c r="F2066" s="48">
        <f>J2066+H2066+L2066</f>
        <v>4046873</v>
      </c>
      <c r="G2066" s="74"/>
      <c r="H2066" s="48">
        <f>ROUNDDOWN(SUMIF(P2064:P2065,O2066,H2064:H2065),0)</f>
        <v>246873</v>
      </c>
      <c r="I2066" s="74"/>
      <c r="J2066" s="48">
        <f>ROUNDDOWN(SUMIF(P2064:P2065,O2066,J2064:J2065),0)</f>
        <v>3800000</v>
      </c>
      <c r="K2066" s="74"/>
      <c r="L2066" s="48">
        <f>ROUNDDOWN(SUMIF(P2064:P2065,O2066,L2064:L2065),0)</f>
        <v>0</v>
      </c>
      <c r="M2066" s="74"/>
      <c r="O2066" s="7" t="s">
        <v>6406</v>
      </c>
    </row>
    <row r="2067" spans="1:26" ht="28.7" customHeight="1" x14ac:dyDescent="0.3">
      <c r="A2067" s="73"/>
      <c r="B2067" s="73"/>
      <c r="C2067" s="73"/>
      <c r="D2067" s="73"/>
      <c r="E2067" s="73"/>
      <c r="F2067" s="73"/>
      <c r="G2067" s="73"/>
      <c r="H2067" s="73"/>
      <c r="I2067" s="73"/>
      <c r="J2067" s="73"/>
      <c r="K2067" s="73"/>
      <c r="L2067" s="73"/>
      <c r="M2067" s="73"/>
    </row>
    <row r="2068" spans="1:26" ht="28.7" customHeight="1" x14ac:dyDescent="0.3">
      <c r="A2068" s="136" t="s">
        <v>1187</v>
      </c>
      <c r="B2068" s="127"/>
      <c r="C2068" s="127"/>
      <c r="D2068" s="127"/>
      <c r="E2068" s="127"/>
      <c r="F2068" s="127"/>
      <c r="G2068" s="127"/>
      <c r="H2068" s="127"/>
      <c r="I2068" s="127"/>
      <c r="J2068" s="127"/>
      <c r="K2068" s="127"/>
      <c r="L2068" s="144"/>
      <c r="M2068" s="22" t="s">
        <v>7904</v>
      </c>
      <c r="N2068" s="84" t="str">
        <f>HYPERLINK("#N"&amp;ROW(N2069),"_x0005_`BDCOD|B05404_x0007_`POSS|"&amp;ROW(N2069)&amp;"_x0007_`POSE|"&amp;ROW(N2069)&amp;"_x0007_`")</f>
        <v>_x0005_`BDCOD|B05404_x0007_`POSS|2069_x0007_`POSE|2069_x0007_`</v>
      </c>
      <c r="O2068" s="7" t="s">
        <v>7905</v>
      </c>
    </row>
    <row r="2069" spans="1:26" ht="28.7" customHeight="1" x14ac:dyDescent="0.3">
      <c r="A2069" s="10" t="s">
        <v>1838</v>
      </c>
      <c r="B2069" s="10" t="s">
        <v>1839</v>
      </c>
      <c r="C2069" s="75">
        <v>1</v>
      </c>
      <c r="D2069" s="31" t="s">
        <v>1010</v>
      </c>
      <c r="E2069" s="55">
        <f>I2069+G2069+K2069</f>
        <v>103775</v>
      </c>
      <c r="F2069" s="76">
        <f>J2069+H2069+L2069</f>
        <v>103775</v>
      </c>
      <c r="G2069" s="78">
        <f>일위대가목록표!F712</f>
        <v>100753</v>
      </c>
      <c r="H2069" s="80">
        <f>IF(C2069=0,0,ROUNDDOWN(G2069*C2069,1))</f>
        <v>100753</v>
      </c>
      <c r="I2069" s="78">
        <f>일위대가목록표!G712</f>
        <v>0</v>
      </c>
      <c r="J2069" s="80">
        <f>IF(C2069=0,0,ROUNDDOWN(I2069*C2069,1))</f>
        <v>0</v>
      </c>
      <c r="K2069" s="78">
        <f>일위대가목록표!H712</f>
        <v>3022</v>
      </c>
      <c r="L2069" s="80">
        <f>IF(C2069=0,0,ROUNDDOWN(K2069*C2069,1))</f>
        <v>3022</v>
      </c>
      <c r="M2069" s="22" t="s">
        <v>7657</v>
      </c>
      <c r="N2069" s="17" t="s">
        <v>7655</v>
      </c>
      <c r="O2069" s="7" t="s">
        <v>7656</v>
      </c>
      <c r="P2069" s="7" t="s">
        <v>6406</v>
      </c>
      <c r="Z2069" s="3" t="str">
        <f ca="1">HYPERLINK("#"&amp;일위대가목록표!J2&amp;"!A"&amp;ROW(일위대가목록표!A712),"대가709 →")</f>
        <v>대가709 →</v>
      </c>
    </row>
    <row r="2070" spans="1:26" ht="28.7" customHeight="1" x14ac:dyDescent="0.3">
      <c r="A2070" s="22" t="s">
        <v>6</v>
      </c>
      <c r="B2070" s="74"/>
      <c r="C2070" s="74"/>
      <c r="D2070" s="74"/>
      <c r="E2070" s="74"/>
      <c r="F2070" s="48">
        <f>J2070+H2070+L2070</f>
        <v>103775</v>
      </c>
      <c r="G2070" s="74"/>
      <c r="H2070" s="48">
        <f>ROUNDDOWN(SUMIF(P2069:P2069,O2070,H2069:H2069),0)</f>
        <v>100753</v>
      </c>
      <c r="I2070" s="74"/>
      <c r="J2070" s="48">
        <f>ROUNDDOWN(SUMIF(P2069:P2069,O2070,J2069:J2069),0)</f>
        <v>0</v>
      </c>
      <c r="K2070" s="74"/>
      <c r="L2070" s="48">
        <f>ROUNDDOWN(SUMIF(P2069:P2069,O2070,L2069:L2069),0)</f>
        <v>3022</v>
      </c>
      <c r="M2070" s="74"/>
      <c r="O2070" s="7" t="s">
        <v>6406</v>
      </c>
    </row>
    <row r="2071" spans="1:26" ht="28.7" customHeight="1" x14ac:dyDescent="0.3">
      <c r="A2071" s="73"/>
      <c r="B2071" s="73"/>
      <c r="C2071" s="73"/>
      <c r="D2071" s="73"/>
      <c r="E2071" s="73"/>
      <c r="F2071" s="73"/>
      <c r="G2071" s="73"/>
      <c r="H2071" s="73"/>
      <c r="I2071" s="73"/>
      <c r="J2071" s="73"/>
      <c r="K2071" s="73"/>
      <c r="L2071" s="73"/>
      <c r="M2071" s="73"/>
    </row>
    <row r="2072" spans="1:26" ht="28.7" customHeight="1" x14ac:dyDescent="0.3">
      <c r="A2072" s="136" t="s">
        <v>1190</v>
      </c>
      <c r="B2072" s="127"/>
      <c r="C2072" s="127"/>
      <c r="D2072" s="127"/>
      <c r="E2072" s="127"/>
      <c r="F2072" s="127"/>
      <c r="G2072" s="127"/>
      <c r="H2072" s="127"/>
      <c r="I2072" s="127"/>
      <c r="J2072" s="127"/>
      <c r="K2072" s="127"/>
      <c r="L2072" s="144"/>
      <c r="M2072" s="22" t="s">
        <v>7906</v>
      </c>
      <c r="N2072" s="84" t="str">
        <f>HYPERLINK("#N"&amp;ROW(N2073),"_x0005_`BDCOD|B05405_x0007_`POSS|"&amp;ROW(N2073)&amp;"_x0007_`POSE|"&amp;ROW(N2073)&amp;"_x0007_`")</f>
        <v>_x0005_`BDCOD|B05405_x0007_`POSS|2073_x0007_`POSE|2073_x0007_`</v>
      </c>
      <c r="O2072" s="7" t="s">
        <v>7907</v>
      </c>
    </row>
    <row r="2073" spans="1:26" ht="28.7" customHeight="1" x14ac:dyDescent="0.3">
      <c r="A2073" s="10" t="s">
        <v>1838</v>
      </c>
      <c r="B2073" s="10" t="s">
        <v>1848</v>
      </c>
      <c r="C2073" s="75">
        <v>1</v>
      </c>
      <c r="D2073" s="31" t="s">
        <v>1010</v>
      </c>
      <c r="E2073" s="55">
        <f>I2073+G2073+K2073</f>
        <v>145668</v>
      </c>
      <c r="F2073" s="76">
        <f>J2073+H2073+L2073</f>
        <v>145668</v>
      </c>
      <c r="G2073" s="78">
        <f>일위대가목록표!F715</f>
        <v>145668</v>
      </c>
      <c r="H2073" s="80">
        <f>IF(C2073=0,0,ROUNDDOWN(G2073*C2073,1))</f>
        <v>145668</v>
      </c>
      <c r="I2073" s="78">
        <f>일위대가목록표!G715</f>
        <v>0</v>
      </c>
      <c r="J2073" s="80">
        <f>IF(C2073=0,0,ROUNDDOWN(I2073*C2073,1))</f>
        <v>0</v>
      </c>
      <c r="K2073" s="78">
        <f>일위대가목록표!H715</f>
        <v>0</v>
      </c>
      <c r="L2073" s="80">
        <f>IF(C2073=0,0,ROUNDDOWN(K2073*C2073,1))</f>
        <v>0</v>
      </c>
      <c r="M2073" s="22" t="s">
        <v>7664</v>
      </c>
      <c r="N2073" s="17" t="s">
        <v>7662</v>
      </c>
      <c r="O2073" s="7" t="s">
        <v>7663</v>
      </c>
      <c r="P2073" s="7" t="s">
        <v>6406</v>
      </c>
      <c r="Z2073" s="3" t="str">
        <f ca="1">HYPERLINK("#"&amp;일위대가목록표!J2&amp;"!A"&amp;ROW(일위대가목록표!A715),"대가712 →")</f>
        <v>대가712 →</v>
      </c>
    </row>
    <row r="2074" spans="1:26" ht="28.7" customHeight="1" x14ac:dyDescent="0.3">
      <c r="A2074" s="22" t="s">
        <v>6</v>
      </c>
      <c r="B2074" s="74"/>
      <c r="C2074" s="74"/>
      <c r="D2074" s="74"/>
      <c r="E2074" s="74"/>
      <c r="F2074" s="48">
        <f>J2074+H2074+L2074</f>
        <v>145668</v>
      </c>
      <c r="G2074" s="74"/>
      <c r="H2074" s="48">
        <f>ROUNDDOWN(SUMIF(P2073:P2073,O2074,H2073:H2073),0)</f>
        <v>145668</v>
      </c>
      <c r="I2074" s="74"/>
      <c r="J2074" s="48">
        <f>ROUNDDOWN(SUMIF(P2073:P2073,O2074,J2073:J2073),0)</f>
        <v>0</v>
      </c>
      <c r="K2074" s="74"/>
      <c r="L2074" s="48">
        <f>ROUNDDOWN(SUMIF(P2073:P2073,O2074,L2073:L2073),0)</f>
        <v>0</v>
      </c>
      <c r="M2074" s="74"/>
      <c r="O2074" s="7" t="s">
        <v>6406</v>
      </c>
    </row>
    <row r="2075" spans="1:26" ht="28.7" customHeight="1" x14ac:dyDescent="0.3">
      <c r="A2075" s="73"/>
      <c r="B2075" s="73"/>
      <c r="C2075" s="73"/>
      <c r="D2075" s="73"/>
      <c r="E2075" s="73"/>
      <c r="F2075" s="73"/>
      <c r="G2075" s="73"/>
      <c r="H2075" s="73"/>
      <c r="I2075" s="73"/>
      <c r="J2075" s="73"/>
      <c r="K2075" s="73"/>
      <c r="L2075" s="73"/>
      <c r="M2075" s="73"/>
    </row>
    <row r="2076" spans="1:26" ht="28.7" customHeight="1" x14ac:dyDescent="0.3">
      <c r="A2076" s="136" t="s">
        <v>1192</v>
      </c>
      <c r="B2076" s="127"/>
      <c r="C2076" s="127"/>
      <c r="D2076" s="127"/>
      <c r="E2076" s="127"/>
      <c r="F2076" s="127"/>
      <c r="G2076" s="127"/>
      <c r="H2076" s="127"/>
      <c r="I2076" s="127"/>
      <c r="J2076" s="127"/>
      <c r="K2076" s="127"/>
      <c r="L2076" s="144"/>
      <c r="M2076" s="22" t="s">
        <v>7908</v>
      </c>
      <c r="N2076" s="84" t="str">
        <f>HYPERLINK("#N"&amp;ROW(N2077),"_x0005_`BDCOD|B05406_x0007_`POSS|"&amp;ROW(N2077)&amp;"_x0007_`POSE|"&amp;ROW(N2077)&amp;"_x0007_`")</f>
        <v>_x0005_`BDCOD|B05406_x0007_`POSS|2077_x0007_`POSE|2077_x0007_`</v>
      </c>
      <c r="O2076" s="7" t="s">
        <v>7909</v>
      </c>
    </row>
    <row r="2077" spans="1:26" ht="28.7" customHeight="1" x14ac:dyDescent="0.3">
      <c r="A2077" s="10" t="s">
        <v>1838</v>
      </c>
      <c r="B2077" s="10" t="s">
        <v>1855</v>
      </c>
      <c r="C2077" s="75">
        <v>1</v>
      </c>
      <c r="D2077" s="31" t="s">
        <v>1010</v>
      </c>
      <c r="E2077" s="55">
        <f>I2077+G2077+K2077</f>
        <v>189819</v>
      </c>
      <c r="F2077" s="76">
        <f>J2077+H2077+L2077</f>
        <v>189819</v>
      </c>
      <c r="G2077" s="78">
        <f>일위대가목록표!F718</f>
        <v>189819</v>
      </c>
      <c r="H2077" s="80">
        <f>IF(C2077=0,0,ROUNDDOWN(G2077*C2077,1))</f>
        <v>189819</v>
      </c>
      <c r="I2077" s="78">
        <f>일위대가목록표!G718</f>
        <v>0</v>
      </c>
      <c r="J2077" s="80">
        <f>IF(C2077=0,0,ROUNDDOWN(I2077*C2077,1))</f>
        <v>0</v>
      </c>
      <c r="K2077" s="78">
        <f>일위대가목록표!H718</f>
        <v>0</v>
      </c>
      <c r="L2077" s="80">
        <f>IF(C2077=0,0,ROUNDDOWN(K2077*C2077,1))</f>
        <v>0</v>
      </c>
      <c r="M2077" s="22" t="s">
        <v>7671</v>
      </c>
      <c r="N2077" s="17" t="s">
        <v>7669</v>
      </c>
      <c r="O2077" s="7" t="s">
        <v>7670</v>
      </c>
      <c r="P2077" s="7" t="s">
        <v>6406</v>
      </c>
      <c r="Z2077" s="3" t="str">
        <f ca="1">HYPERLINK("#"&amp;일위대가목록표!J2&amp;"!A"&amp;ROW(일위대가목록표!A718),"대가715 →")</f>
        <v>대가715 →</v>
      </c>
    </row>
    <row r="2078" spans="1:26" ht="28.7" customHeight="1" x14ac:dyDescent="0.3">
      <c r="A2078" s="22" t="s">
        <v>6</v>
      </c>
      <c r="B2078" s="74"/>
      <c r="C2078" s="74"/>
      <c r="D2078" s="74"/>
      <c r="E2078" s="74"/>
      <c r="F2078" s="48">
        <f>J2078+H2078+L2078</f>
        <v>189819</v>
      </c>
      <c r="G2078" s="74"/>
      <c r="H2078" s="48">
        <f>ROUNDDOWN(SUMIF(P2077:P2077,O2078,H2077:H2077),0)</f>
        <v>189819</v>
      </c>
      <c r="I2078" s="74"/>
      <c r="J2078" s="48">
        <f>ROUNDDOWN(SUMIF(P2077:P2077,O2078,J2077:J2077),0)</f>
        <v>0</v>
      </c>
      <c r="K2078" s="74"/>
      <c r="L2078" s="48">
        <f>ROUNDDOWN(SUMIF(P2077:P2077,O2078,L2077:L2077),0)</f>
        <v>0</v>
      </c>
      <c r="M2078" s="74"/>
      <c r="O2078" s="7" t="s">
        <v>6406</v>
      </c>
    </row>
    <row r="2079" spans="1:26" ht="28.7" customHeight="1" x14ac:dyDescent="0.3">
      <c r="A2079" s="73"/>
      <c r="B2079" s="73"/>
      <c r="C2079" s="73"/>
      <c r="D2079" s="73"/>
      <c r="E2079" s="73"/>
      <c r="F2079" s="73"/>
      <c r="G2079" s="73"/>
      <c r="H2079" s="73"/>
      <c r="I2079" s="73"/>
      <c r="J2079" s="73"/>
      <c r="K2079" s="73"/>
      <c r="L2079" s="73"/>
      <c r="M2079" s="73"/>
    </row>
    <row r="2080" spans="1:26" ht="28.7" customHeight="1" x14ac:dyDescent="0.3">
      <c r="A2080" s="136" t="s">
        <v>1194</v>
      </c>
      <c r="B2080" s="127"/>
      <c r="C2080" s="127"/>
      <c r="D2080" s="127"/>
      <c r="E2080" s="127"/>
      <c r="F2080" s="127"/>
      <c r="G2080" s="127"/>
      <c r="H2080" s="127"/>
      <c r="I2080" s="127"/>
      <c r="J2080" s="127"/>
      <c r="K2080" s="127"/>
      <c r="L2080" s="144"/>
      <c r="M2080" s="22" t="s">
        <v>7910</v>
      </c>
      <c r="N2080" s="84" t="str">
        <f>HYPERLINK("#N"&amp;ROW(N2081),"_x0005_`BDCOD|B05407_x0007_`POSS|"&amp;ROW(N2081)&amp;"_x0007_`POSE|"&amp;ROW(N2081)&amp;"_x0007_`")</f>
        <v>_x0005_`BDCOD|B05407_x0007_`POSS|2081_x0007_`POSE|2081_x0007_`</v>
      </c>
      <c r="O2080" s="7" t="s">
        <v>7911</v>
      </c>
    </row>
    <row r="2081" spans="1:26" ht="28.7" customHeight="1" x14ac:dyDescent="0.3">
      <c r="A2081" s="10" t="s">
        <v>1838</v>
      </c>
      <c r="B2081" s="10" t="s">
        <v>1862</v>
      </c>
      <c r="C2081" s="75">
        <v>1</v>
      </c>
      <c r="D2081" s="31" t="s">
        <v>1010</v>
      </c>
      <c r="E2081" s="55">
        <f>I2081+G2081+K2081</f>
        <v>246873</v>
      </c>
      <c r="F2081" s="76">
        <f>J2081+H2081+L2081</f>
        <v>246873</v>
      </c>
      <c r="G2081" s="78">
        <f>일위대가목록표!F721</f>
        <v>246873</v>
      </c>
      <c r="H2081" s="80">
        <f>IF(C2081=0,0,ROUNDDOWN(G2081*C2081,1))</f>
        <v>246873</v>
      </c>
      <c r="I2081" s="78">
        <f>일위대가목록표!G721</f>
        <v>0</v>
      </c>
      <c r="J2081" s="80">
        <f>IF(C2081=0,0,ROUNDDOWN(I2081*C2081,1))</f>
        <v>0</v>
      </c>
      <c r="K2081" s="78">
        <f>일위대가목록표!H721</f>
        <v>0</v>
      </c>
      <c r="L2081" s="80">
        <f>IF(C2081=0,0,ROUNDDOWN(K2081*C2081,1))</f>
        <v>0</v>
      </c>
      <c r="M2081" s="22" t="s">
        <v>7678</v>
      </c>
      <c r="N2081" s="17" t="s">
        <v>7676</v>
      </c>
      <c r="O2081" s="7" t="s">
        <v>7677</v>
      </c>
      <c r="P2081" s="7" t="s">
        <v>6406</v>
      </c>
      <c r="Z2081" s="3" t="str">
        <f ca="1">HYPERLINK("#"&amp;일위대가목록표!J2&amp;"!A"&amp;ROW(일위대가목록표!A721),"대가718 →")</f>
        <v>대가718 →</v>
      </c>
    </row>
    <row r="2082" spans="1:26" ht="28.7" customHeight="1" x14ac:dyDescent="0.3">
      <c r="A2082" s="22" t="s">
        <v>6</v>
      </c>
      <c r="B2082" s="74"/>
      <c r="C2082" s="74"/>
      <c r="D2082" s="74"/>
      <c r="E2082" s="74"/>
      <c r="F2082" s="48">
        <f>J2082+H2082+L2082</f>
        <v>246873</v>
      </c>
      <c r="G2082" s="74"/>
      <c r="H2082" s="48">
        <f>ROUNDDOWN(SUMIF(P2081:P2081,O2082,H2081:H2081),0)</f>
        <v>246873</v>
      </c>
      <c r="I2082" s="74"/>
      <c r="J2082" s="48">
        <f>ROUNDDOWN(SUMIF(P2081:P2081,O2082,J2081:J2081),0)</f>
        <v>0</v>
      </c>
      <c r="K2082" s="74"/>
      <c r="L2082" s="48">
        <f>ROUNDDOWN(SUMIF(P2081:P2081,O2082,L2081:L2081),0)</f>
        <v>0</v>
      </c>
      <c r="M2082" s="74"/>
      <c r="O2082" s="7" t="s">
        <v>6406</v>
      </c>
    </row>
    <row r="2083" spans="1:26" ht="28.7" customHeight="1" x14ac:dyDescent="0.3">
      <c r="A2083" s="73"/>
      <c r="B2083" s="73"/>
      <c r="C2083" s="73"/>
      <c r="D2083" s="73"/>
      <c r="E2083" s="73"/>
      <c r="F2083" s="73"/>
      <c r="G2083" s="73"/>
      <c r="H2083" s="73"/>
      <c r="I2083" s="73"/>
      <c r="J2083" s="73"/>
      <c r="K2083" s="73"/>
      <c r="L2083" s="73"/>
      <c r="M2083" s="73"/>
    </row>
    <row r="2084" spans="1:26" ht="28.7" customHeight="1" x14ac:dyDescent="0.3">
      <c r="A2084" s="136" t="s">
        <v>1196</v>
      </c>
      <c r="B2084" s="127"/>
      <c r="C2084" s="127"/>
      <c r="D2084" s="127"/>
      <c r="E2084" s="127"/>
      <c r="F2084" s="127"/>
      <c r="G2084" s="127"/>
      <c r="H2084" s="127"/>
      <c r="I2084" s="127"/>
      <c r="J2084" s="127"/>
      <c r="K2084" s="127"/>
      <c r="L2084" s="144"/>
      <c r="M2084" s="22" t="s">
        <v>7912</v>
      </c>
      <c r="N2084" s="84" t="str">
        <f>HYPERLINK("#N"&amp;ROW(N2085),"_x0005_`BDCOD|B05408_x0007_`POSS|"&amp;ROW(N2085)&amp;"_x0007_`POSE|"&amp;ROW(N2085)&amp;"_x0007_`")</f>
        <v>_x0005_`BDCOD|B05408_x0007_`POSS|2085_x0007_`POSE|2085_x0007_`</v>
      </c>
      <c r="O2084" s="7" t="s">
        <v>7913</v>
      </c>
    </row>
    <row r="2085" spans="1:26" ht="28.7" customHeight="1" x14ac:dyDescent="0.3">
      <c r="A2085" s="10" t="s">
        <v>1845</v>
      </c>
      <c r="B2085" s="10" t="s">
        <v>1543</v>
      </c>
      <c r="C2085" s="75">
        <v>1</v>
      </c>
      <c r="D2085" s="31" t="s">
        <v>1010</v>
      </c>
      <c r="E2085" s="55">
        <f>I2085+G2085+K2085</f>
        <v>74126</v>
      </c>
      <c r="F2085" s="76">
        <f>J2085+H2085+L2085</f>
        <v>74126</v>
      </c>
      <c r="G2085" s="78">
        <f>일위대가목록표!F714</f>
        <v>71967</v>
      </c>
      <c r="H2085" s="80">
        <f>IF(C2085=0,0,ROUNDDOWN(G2085*C2085,1))</f>
        <v>71967</v>
      </c>
      <c r="I2085" s="78">
        <f>일위대가목록표!G714</f>
        <v>0</v>
      </c>
      <c r="J2085" s="80">
        <f>IF(C2085=0,0,ROUNDDOWN(I2085*C2085,1))</f>
        <v>0</v>
      </c>
      <c r="K2085" s="78">
        <f>일위대가목록표!H714</f>
        <v>2159</v>
      </c>
      <c r="L2085" s="80">
        <f>IF(C2085=0,0,ROUNDDOWN(K2085*C2085,1))</f>
        <v>2159</v>
      </c>
      <c r="M2085" s="22" t="s">
        <v>7693</v>
      </c>
      <c r="N2085" s="17" t="s">
        <v>7691</v>
      </c>
      <c r="O2085" s="7" t="s">
        <v>7692</v>
      </c>
      <c r="P2085" s="7" t="s">
        <v>6406</v>
      </c>
      <c r="Z2085" s="3" t="str">
        <f ca="1">HYPERLINK("#"&amp;일위대가목록표!J2&amp;"!A"&amp;ROW(일위대가목록표!A714),"대가711 →")</f>
        <v>대가711 →</v>
      </c>
    </row>
    <row r="2086" spans="1:26" ht="28.7" customHeight="1" x14ac:dyDescent="0.3">
      <c r="A2086" s="22" t="s">
        <v>6</v>
      </c>
      <c r="B2086" s="74"/>
      <c r="C2086" s="74"/>
      <c r="D2086" s="74"/>
      <c r="E2086" s="74"/>
      <c r="F2086" s="48">
        <f>J2086+H2086+L2086</f>
        <v>74126</v>
      </c>
      <c r="G2086" s="74"/>
      <c r="H2086" s="48">
        <f>ROUNDDOWN(SUMIF(P2085:P2085,O2086,H2085:H2085),0)</f>
        <v>71967</v>
      </c>
      <c r="I2086" s="74"/>
      <c r="J2086" s="48">
        <f>ROUNDDOWN(SUMIF(P2085:P2085,O2086,J2085:J2085),0)</f>
        <v>0</v>
      </c>
      <c r="K2086" s="74"/>
      <c r="L2086" s="48">
        <f>ROUNDDOWN(SUMIF(P2085:P2085,O2086,L2085:L2085),0)</f>
        <v>2159</v>
      </c>
      <c r="M2086" s="74"/>
      <c r="O2086" s="7" t="s">
        <v>6406</v>
      </c>
    </row>
    <row r="2087" spans="1:26" ht="28.7" customHeight="1" x14ac:dyDescent="0.3">
      <c r="A2087" s="73"/>
      <c r="B2087" s="73"/>
      <c r="C2087" s="73"/>
      <c r="D2087" s="73"/>
      <c r="E2087" s="73"/>
      <c r="F2087" s="73"/>
      <c r="G2087" s="73"/>
      <c r="H2087" s="73"/>
      <c r="I2087" s="73"/>
      <c r="J2087" s="73"/>
      <c r="K2087" s="73"/>
      <c r="L2087" s="73"/>
      <c r="M2087" s="73"/>
    </row>
    <row r="2088" spans="1:26" ht="28.7" customHeight="1" x14ac:dyDescent="0.3">
      <c r="A2088" s="136" t="s">
        <v>1199</v>
      </c>
      <c r="B2088" s="127"/>
      <c r="C2088" s="127"/>
      <c r="D2088" s="127"/>
      <c r="E2088" s="127"/>
      <c r="F2088" s="127"/>
      <c r="G2088" s="127"/>
      <c r="H2088" s="127"/>
      <c r="I2088" s="127"/>
      <c r="J2088" s="127"/>
      <c r="K2088" s="127"/>
      <c r="L2088" s="144"/>
      <c r="M2088" s="22" t="s">
        <v>7914</v>
      </c>
      <c r="N2088" s="84" t="str">
        <f>HYPERLINK("#N"&amp;ROW(N2089),"_x0005_`BDCOD|B05409_x0007_`POSS|"&amp;ROW(N2089)&amp;"_x0007_`POSE|"&amp;ROW(N2089)&amp;"_x0007_`")</f>
        <v>_x0005_`BDCOD|B05409_x0007_`POSS|2089_x0007_`POSE|2089_x0007_`</v>
      </c>
      <c r="O2088" s="7" t="s">
        <v>7915</v>
      </c>
    </row>
    <row r="2089" spans="1:26" ht="28.7" customHeight="1" x14ac:dyDescent="0.3">
      <c r="A2089" s="10" t="s">
        <v>1845</v>
      </c>
      <c r="B2089" s="10" t="s">
        <v>1546</v>
      </c>
      <c r="C2089" s="75">
        <v>1</v>
      </c>
      <c r="D2089" s="31" t="s">
        <v>1010</v>
      </c>
      <c r="E2089" s="55">
        <f>I2089+G2089+K2089</f>
        <v>104049</v>
      </c>
      <c r="F2089" s="76">
        <f>J2089+H2089+L2089</f>
        <v>104049</v>
      </c>
      <c r="G2089" s="78">
        <f>일위대가목록표!F717</f>
        <v>104049</v>
      </c>
      <c r="H2089" s="80">
        <f>IF(C2089=0,0,ROUNDDOWN(G2089*C2089,1))</f>
        <v>104049</v>
      </c>
      <c r="I2089" s="78">
        <f>일위대가목록표!G717</f>
        <v>0</v>
      </c>
      <c r="J2089" s="80">
        <f>IF(C2089=0,0,ROUNDDOWN(I2089*C2089,1))</f>
        <v>0</v>
      </c>
      <c r="K2089" s="78">
        <f>일위대가목록표!H717</f>
        <v>0</v>
      </c>
      <c r="L2089" s="80">
        <f>IF(C2089=0,0,ROUNDDOWN(K2089*C2089,1))</f>
        <v>0</v>
      </c>
      <c r="M2089" s="22" t="s">
        <v>7698</v>
      </c>
      <c r="N2089" s="17" t="s">
        <v>7696</v>
      </c>
      <c r="O2089" s="7" t="s">
        <v>7697</v>
      </c>
      <c r="P2089" s="7" t="s">
        <v>6406</v>
      </c>
      <c r="Z2089" s="3" t="str">
        <f ca="1">HYPERLINK("#"&amp;일위대가목록표!J2&amp;"!A"&amp;ROW(일위대가목록표!A717),"대가714 →")</f>
        <v>대가714 →</v>
      </c>
    </row>
    <row r="2090" spans="1:26" ht="28.7" customHeight="1" x14ac:dyDescent="0.3">
      <c r="A2090" s="22" t="s">
        <v>6</v>
      </c>
      <c r="B2090" s="74"/>
      <c r="C2090" s="74"/>
      <c r="D2090" s="74"/>
      <c r="E2090" s="74"/>
      <c r="F2090" s="48">
        <f>J2090+H2090+L2090</f>
        <v>104049</v>
      </c>
      <c r="G2090" s="74"/>
      <c r="H2090" s="48">
        <f>ROUNDDOWN(SUMIF(P2089:P2089,O2090,H2089:H2089),0)</f>
        <v>104049</v>
      </c>
      <c r="I2090" s="74"/>
      <c r="J2090" s="48">
        <f>ROUNDDOWN(SUMIF(P2089:P2089,O2090,J2089:J2089),0)</f>
        <v>0</v>
      </c>
      <c r="K2090" s="74"/>
      <c r="L2090" s="48">
        <f>ROUNDDOWN(SUMIF(P2089:P2089,O2090,L2089:L2089),0)</f>
        <v>0</v>
      </c>
      <c r="M2090" s="74"/>
      <c r="O2090" s="7" t="s">
        <v>6406</v>
      </c>
    </row>
    <row r="2091" spans="1:26" ht="28.7" customHeight="1" x14ac:dyDescent="0.3">
      <c r="A2091" s="73"/>
      <c r="B2091" s="73"/>
      <c r="C2091" s="73"/>
      <c r="D2091" s="73"/>
      <c r="E2091" s="73"/>
      <c r="F2091" s="73"/>
      <c r="G2091" s="73"/>
      <c r="H2091" s="73"/>
      <c r="I2091" s="73"/>
      <c r="J2091" s="73"/>
      <c r="K2091" s="73"/>
      <c r="L2091" s="73"/>
      <c r="M2091" s="73"/>
    </row>
    <row r="2092" spans="1:26" ht="28.7" customHeight="1" x14ac:dyDescent="0.3">
      <c r="A2092" s="136" t="s">
        <v>1201</v>
      </c>
      <c r="B2092" s="127"/>
      <c r="C2092" s="127"/>
      <c r="D2092" s="127"/>
      <c r="E2092" s="127"/>
      <c r="F2092" s="127"/>
      <c r="G2092" s="127"/>
      <c r="H2092" s="127"/>
      <c r="I2092" s="127"/>
      <c r="J2092" s="127"/>
      <c r="K2092" s="127"/>
      <c r="L2092" s="144"/>
      <c r="M2092" s="22" t="s">
        <v>7916</v>
      </c>
      <c r="N2092" s="84" t="str">
        <f>HYPERLINK("#N"&amp;ROW(N2093),"_x0005_`BDCOD|B05410_x0007_`POSS|"&amp;ROW(N2093)&amp;"_x0007_`POSE|"&amp;ROW(N2093)&amp;"_x0007_`")</f>
        <v>_x0005_`BDCOD|B05410_x0007_`POSS|2093_x0007_`POSE|2093_x0007_`</v>
      </c>
      <c r="O2092" s="7" t="s">
        <v>7917</v>
      </c>
    </row>
    <row r="2093" spans="1:26" ht="28.7" customHeight="1" x14ac:dyDescent="0.3">
      <c r="A2093" s="10" t="s">
        <v>1845</v>
      </c>
      <c r="B2093" s="10" t="s">
        <v>1569</v>
      </c>
      <c r="C2093" s="75">
        <v>1</v>
      </c>
      <c r="D2093" s="31" t="s">
        <v>1010</v>
      </c>
      <c r="E2093" s="55">
        <f>I2093+G2093+K2093</f>
        <v>135585</v>
      </c>
      <c r="F2093" s="76">
        <f>J2093+H2093+L2093</f>
        <v>135585</v>
      </c>
      <c r="G2093" s="78">
        <f>일위대가목록표!F720</f>
        <v>135585</v>
      </c>
      <c r="H2093" s="80">
        <f>IF(C2093=0,0,ROUNDDOWN(G2093*C2093,1))</f>
        <v>135585</v>
      </c>
      <c r="I2093" s="78">
        <f>일위대가목록표!G720</f>
        <v>0</v>
      </c>
      <c r="J2093" s="80">
        <f>IF(C2093=0,0,ROUNDDOWN(I2093*C2093,1))</f>
        <v>0</v>
      </c>
      <c r="K2093" s="78">
        <f>일위대가목록표!H720</f>
        <v>0</v>
      </c>
      <c r="L2093" s="80">
        <f>IF(C2093=0,0,ROUNDDOWN(K2093*C2093,1))</f>
        <v>0</v>
      </c>
      <c r="M2093" s="22" t="s">
        <v>7703</v>
      </c>
      <c r="N2093" s="17" t="s">
        <v>7701</v>
      </c>
      <c r="O2093" s="7" t="s">
        <v>7702</v>
      </c>
      <c r="P2093" s="7" t="s">
        <v>6406</v>
      </c>
      <c r="Z2093" s="3" t="str">
        <f ca="1">HYPERLINK("#"&amp;일위대가목록표!J2&amp;"!A"&amp;ROW(일위대가목록표!A720),"대가717 →")</f>
        <v>대가717 →</v>
      </c>
    </row>
    <row r="2094" spans="1:26" ht="28.7" customHeight="1" x14ac:dyDescent="0.3">
      <c r="A2094" s="22" t="s">
        <v>6</v>
      </c>
      <c r="B2094" s="74"/>
      <c r="C2094" s="74"/>
      <c r="D2094" s="74"/>
      <c r="E2094" s="74"/>
      <c r="F2094" s="48">
        <f>J2094+H2094+L2094</f>
        <v>135585</v>
      </c>
      <c r="G2094" s="74"/>
      <c r="H2094" s="48">
        <f>ROUNDDOWN(SUMIF(P2093:P2093,O2094,H2093:H2093),0)</f>
        <v>135585</v>
      </c>
      <c r="I2094" s="74"/>
      <c r="J2094" s="48">
        <f>ROUNDDOWN(SUMIF(P2093:P2093,O2094,J2093:J2093),0)</f>
        <v>0</v>
      </c>
      <c r="K2094" s="74"/>
      <c r="L2094" s="48">
        <f>ROUNDDOWN(SUMIF(P2093:P2093,O2094,L2093:L2093),0)</f>
        <v>0</v>
      </c>
      <c r="M2094" s="74"/>
      <c r="O2094" s="7" t="s">
        <v>6406</v>
      </c>
    </row>
    <row r="2095" spans="1:26" ht="28.7" customHeight="1" x14ac:dyDescent="0.3">
      <c r="A2095" s="73"/>
      <c r="B2095" s="73"/>
      <c r="C2095" s="73"/>
      <c r="D2095" s="73"/>
      <c r="E2095" s="73"/>
      <c r="F2095" s="73"/>
      <c r="G2095" s="73"/>
      <c r="H2095" s="73"/>
      <c r="I2095" s="73"/>
      <c r="J2095" s="73"/>
      <c r="K2095" s="73"/>
      <c r="L2095" s="73"/>
      <c r="M2095" s="73"/>
    </row>
    <row r="2096" spans="1:26" ht="28.7" customHeight="1" x14ac:dyDescent="0.3">
      <c r="A2096" s="136" t="s">
        <v>1203</v>
      </c>
      <c r="B2096" s="127"/>
      <c r="C2096" s="127"/>
      <c r="D2096" s="127"/>
      <c r="E2096" s="127"/>
      <c r="F2096" s="127"/>
      <c r="G2096" s="127"/>
      <c r="H2096" s="127"/>
      <c r="I2096" s="127"/>
      <c r="J2096" s="127"/>
      <c r="K2096" s="127"/>
      <c r="L2096" s="144"/>
      <c r="M2096" s="22" t="s">
        <v>7918</v>
      </c>
      <c r="N2096" s="84" t="str">
        <f>HYPERLINK("#N"&amp;ROW(N2097),"_x0005_`BDCOD|B05411_x0007_`POSS|"&amp;ROW(N2097)&amp;"_x0007_`POSE|"&amp;ROW(N2097)&amp;"_x0007_`")</f>
        <v>_x0005_`BDCOD|B05411_x0007_`POSS|2097_x0007_`POSE|2097_x0007_`</v>
      </c>
      <c r="O2096" s="7" t="s">
        <v>7919</v>
      </c>
    </row>
    <row r="2097" spans="1:26" ht="28.7" customHeight="1" x14ac:dyDescent="0.3">
      <c r="A2097" s="10" t="s">
        <v>1845</v>
      </c>
      <c r="B2097" s="10" t="s">
        <v>1572</v>
      </c>
      <c r="C2097" s="75">
        <v>1</v>
      </c>
      <c r="D2097" s="31" t="s">
        <v>1010</v>
      </c>
      <c r="E2097" s="55">
        <f>I2097+G2097+K2097</f>
        <v>176338</v>
      </c>
      <c r="F2097" s="76">
        <f>J2097+H2097+L2097</f>
        <v>176338</v>
      </c>
      <c r="G2097" s="78">
        <f>일위대가목록표!F723</f>
        <v>176338</v>
      </c>
      <c r="H2097" s="80">
        <f>IF(C2097=0,0,ROUNDDOWN(G2097*C2097,1))</f>
        <v>176338</v>
      </c>
      <c r="I2097" s="78">
        <f>일위대가목록표!G723</f>
        <v>0</v>
      </c>
      <c r="J2097" s="80">
        <f>IF(C2097=0,0,ROUNDDOWN(I2097*C2097,1))</f>
        <v>0</v>
      </c>
      <c r="K2097" s="78">
        <f>일위대가목록표!H723</f>
        <v>0</v>
      </c>
      <c r="L2097" s="80">
        <f>IF(C2097=0,0,ROUNDDOWN(K2097*C2097,1))</f>
        <v>0</v>
      </c>
      <c r="M2097" s="22" t="s">
        <v>7708</v>
      </c>
      <c r="N2097" s="17" t="s">
        <v>7706</v>
      </c>
      <c r="O2097" s="7" t="s">
        <v>7707</v>
      </c>
      <c r="P2097" s="7" t="s">
        <v>6406</v>
      </c>
      <c r="Z2097" s="3" t="str">
        <f ca="1">HYPERLINK("#"&amp;일위대가목록표!J2&amp;"!A"&amp;ROW(일위대가목록표!A723),"대가720 →")</f>
        <v>대가720 →</v>
      </c>
    </row>
    <row r="2098" spans="1:26" ht="28.7" customHeight="1" x14ac:dyDescent="0.3">
      <c r="A2098" s="22" t="s">
        <v>6</v>
      </c>
      <c r="B2098" s="74"/>
      <c r="C2098" s="74"/>
      <c r="D2098" s="74"/>
      <c r="E2098" s="74"/>
      <c r="F2098" s="48">
        <f>J2098+H2098+L2098</f>
        <v>176338</v>
      </c>
      <c r="G2098" s="74"/>
      <c r="H2098" s="48">
        <f>ROUNDDOWN(SUMIF(P2097:P2097,O2098,H2097:H2097),0)</f>
        <v>176338</v>
      </c>
      <c r="I2098" s="74"/>
      <c r="J2098" s="48">
        <f>ROUNDDOWN(SUMIF(P2097:P2097,O2098,J2097:J2097),0)</f>
        <v>0</v>
      </c>
      <c r="K2098" s="74"/>
      <c r="L2098" s="48">
        <f>ROUNDDOWN(SUMIF(P2097:P2097,O2098,L2097:L2097),0)</f>
        <v>0</v>
      </c>
      <c r="M2098" s="74"/>
      <c r="O2098" s="7" t="s">
        <v>6406</v>
      </c>
    </row>
    <row r="2099" spans="1:26" ht="28.7" customHeight="1" x14ac:dyDescent="0.3">
      <c r="A2099" s="73"/>
      <c r="B2099" s="73"/>
      <c r="C2099" s="73"/>
      <c r="D2099" s="73"/>
      <c r="E2099" s="73"/>
      <c r="F2099" s="73"/>
      <c r="G2099" s="73"/>
      <c r="H2099" s="73"/>
      <c r="I2099" s="73"/>
      <c r="J2099" s="73"/>
      <c r="K2099" s="73"/>
      <c r="L2099" s="73"/>
      <c r="M2099" s="73"/>
    </row>
    <row r="2100" spans="1:26" ht="28.7" customHeight="1" x14ac:dyDescent="0.3">
      <c r="A2100" s="136" t="s">
        <v>1205</v>
      </c>
      <c r="B2100" s="127"/>
      <c r="C2100" s="127"/>
      <c r="D2100" s="127"/>
      <c r="E2100" s="127"/>
      <c r="F2100" s="127"/>
      <c r="G2100" s="127"/>
      <c r="H2100" s="127"/>
      <c r="I2100" s="127"/>
      <c r="J2100" s="127"/>
      <c r="K2100" s="127"/>
      <c r="L2100" s="144"/>
      <c r="M2100" s="22" t="s">
        <v>7920</v>
      </c>
      <c r="N2100" s="84" t="str">
        <f>HYPERLINK("#N"&amp;ROW(N2101),"_x0005_`BDCOD|B05412_x0007_`POSS|"&amp;ROW(N2101)&amp;"_x0007_`POSE|"&amp;ROW(N2101)&amp;"_x0007_`")</f>
        <v>_x0005_`BDCOD|B05412_x0007_`POSS|2101_x0007_`POSE|2101_x0007_`</v>
      </c>
      <c r="O2100" s="7" t="s">
        <v>7921</v>
      </c>
    </row>
    <row r="2101" spans="1:26" ht="28.7" customHeight="1" x14ac:dyDescent="0.3">
      <c r="A2101" s="10" t="s">
        <v>1842</v>
      </c>
      <c r="B2101" s="10" t="s">
        <v>1839</v>
      </c>
      <c r="C2101" s="75">
        <v>1</v>
      </c>
      <c r="D2101" s="31" t="s">
        <v>1010</v>
      </c>
      <c r="E2101" s="55">
        <f>I2101+G2101+K2101</f>
        <v>29649</v>
      </c>
      <c r="F2101" s="76">
        <f>J2101+H2101+L2101</f>
        <v>29649</v>
      </c>
      <c r="G2101" s="78">
        <f>일위대가목록표!F713</f>
        <v>28786</v>
      </c>
      <c r="H2101" s="80">
        <f>IF(C2101=0,0,ROUNDDOWN(G2101*C2101,1))</f>
        <v>28786</v>
      </c>
      <c r="I2101" s="78">
        <f>일위대가목록표!G713</f>
        <v>0</v>
      </c>
      <c r="J2101" s="80">
        <f>IF(C2101=0,0,ROUNDDOWN(I2101*C2101,1))</f>
        <v>0</v>
      </c>
      <c r="K2101" s="78">
        <f>일위대가목록표!H713</f>
        <v>863</v>
      </c>
      <c r="L2101" s="80">
        <f>IF(C2101=0,0,ROUNDDOWN(K2101*C2101,1))</f>
        <v>863</v>
      </c>
      <c r="M2101" s="22" t="s">
        <v>7713</v>
      </c>
      <c r="N2101" s="17" t="s">
        <v>7711</v>
      </c>
      <c r="O2101" s="7" t="s">
        <v>7712</v>
      </c>
      <c r="P2101" s="7" t="s">
        <v>6406</v>
      </c>
      <c r="Z2101" s="3" t="str">
        <f ca="1">HYPERLINK("#"&amp;일위대가목록표!J2&amp;"!A"&amp;ROW(일위대가목록표!A713),"대가710 →")</f>
        <v>대가710 →</v>
      </c>
    </row>
    <row r="2102" spans="1:26" ht="28.7" customHeight="1" x14ac:dyDescent="0.3">
      <c r="A2102" s="22" t="s">
        <v>6</v>
      </c>
      <c r="B2102" s="74"/>
      <c r="C2102" s="74"/>
      <c r="D2102" s="74"/>
      <c r="E2102" s="74"/>
      <c r="F2102" s="48">
        <f>J2102+H2102+L2102</f>
        <v>29649</v>
      </c>
      <c r="G2102" s="74"/>
      <c r="H2102" s="48">
        <f>ROUNDDOWN(SUMIF(P2101:P2101,O2102,H2101:H2101),0)</f>
        <v>28786</v>
      </c>
      <c r="I2102" s="74"/>
      <c r="J2102" s="48">
        <f>ROUNDDOWN(SUMIF(P2101:P2101,O2102,J2101:J2101),0)</f>
        <v>0</v>
      </c>
      <c r="K2102" s="74"/>
      <c r="L2102" s="48">
        <f>ROUNDDOWN(SUMIF(P2101:P2101,O2102,L2101:L2101),0)</f>
        <v>863</v>
      </c>
      <c r="M2102" s="74"/>
      <c r="O2102" s="7" t="s">
        <v>6406</v>
      </c>
    </row>
    <row r="2103" spans="1:26" ht="28.7" customHeight="1" x14ac:dyDescent="0.3">
      <c r="A2103" s="73"/>
      <c r="B2103" s="73"/>
      <c r="C2103" s="73"/>
      <c r="D2103" s="73"/>
      <c r="E2103" s="73"/>
      <c r="F2103" s="73"/>
      <c r="G2103" s="73"/>
      <c r="H2103" s="73"/>
      <c r="I2103" s="73"/>
      <c r="J2103" s="73"/>
      <c r="K2103" s="73"/>
      <c r="L2103" s="73"/>
      <c r="M2103" s="73"/>
    </row>
    <row r="2104" spans="1:26" ht="28.7" customHeight="1" x14ac:dyDescent="0.3">
      <c r="A2104" s="136" t="s">
        <v>1208</v>
      </c>
      <c r="B2104" s="127"/>
      <c r="C2104" s="127"/>
      <c r="D2104" s="127"/>
      <c r="E2104" s="127"/>
      <c r="F2104" s="127"/>
      <c r="G2104" s="127"/>
      <c r="H2104" s="127"/>
      <c r="I2104" s="127"/>
      <c r="J2104" s="127"/>
      <c r="K2104" s="127"/>
      <c r="L2104" s="144"/>
      <c r="M2104" s="22" t="s">
        <v>7922</v>
      </c>
      <c r="N2104" s="84" t="str">
        <f>HYPERLINK("#N"&amp;ROW(N2105),"_x0005_`BDCOD|B05413_x0007_`POSS|"&amp;ROW(N2105)&amp;"_x0007_`POSE|"&amp;ROW(N2105)&amp;"_x0007_`")</f>
        <v>_x0005_`BDCOD|B05413_x0007_`POSS|2105_x0007_`POSE|2105_x0007_`</v>
      </c>
      <c r="O2104" s="7" t="s">
        <v>7923</v>
      </c>
    </row>
    <row r="2105" spans="1:26" ht="28.7" customHeight="1" x14ac:dyDescent="0.3">
      <c r="A2105" s="10" t="s">
        <v>1842</v>
      </c>
      <c r="B2105" s="10" t="s">
        <v>1848</v>
      </c>
      <c r="C2105" s="75">
        <v>1</v>
      </c>
      <c r="D2105" s="31" t="s">
        <v>1010</v>
      </c>
      <c r="E2105" s="55">
        <f>I2105+G2105+K2105</f>
        <v>41619</v>
      </c>
      <c r="F2105" s="76">
        <f>J2105+H2105+L2105</f>
        <v>41619</v>
      </c>
      <c r="G2105" s="78">
        <f>일위대가목록표!F716</f>
        <v>41619</v>
      </c>
      <c r="H2105" s="80">
        <f>IF(C2105=0,0,ROUNDDOWN(G2105*C2105,1))</f>
        <v>41619</v>
      </c>
      <c r="I2105" s="78">
        <f>일위대가목록표!G716</f>
        <v>0</v>
      </c>
      <c r="J2105" s="80">
        <f>IF(C2105=0,0,ROUNDDOWN(I2105*C2105,1))</f>
        <v>0</v>
      </c>
      <c r="K2105" s="78">
        <f>일위대가목록표!H716</f>
        <v>0</v>
      </c>
      <c r="L2105" s="80">
        <f>IF(C2105=0,0,ROUNDDOWN(K2105*C2105,1))</f>
        <v>0</v>
      </c>
      <c r="M2105" s="22" t="s">
        <v>7718</v>
      </c>
      <c r="N2105" s="17" t="s">
        <v>7716</v>
      </c>
      <c r="O2105" s="7" t="s">
        <v>7717</v>
      </c>
      <c r="P2105" s="7" t="s">
        <v>6406</v>
      </c>
      <c r="Z2105" s="3" t="str">
        <f ca="1">HYPERLINK("#"&amp;일위대가목록표!J2&amp;"!A"&amp;ROW(일위대가목록표!A716),"대가713 →")</f>
        <v>대가713 →</v>
      </c>
    </row>
    <row r="2106" spans="1:26" ht="28.7" customHeight="1" x14ac:dyDescent="0.3">
      <c r="A2106" s="22" t="s">
        <v>6</v>
      </c>
      <c r="B2106" s="74"/>
      <c r="C2106" s="74"/>
      <c r="D2106" s="74"/>
      <c r="E2106" s="74"/>
      <c r="F2106" s="48">
        <f>J2106+H2106+L2106</f>
        <v>41619</v>
      </c>
      <c r="G2106" s="74"/>
      <c r="H2106" s="48">
        <f>ROUNDDOWN(SUMIF(P2105:P2105,O2106,H2105:H2105),0)</f>
        <v>41619</v>
      </c>
      <c r="I2106" s="74"/>
      <c r="J2106" s="48">
        <f>ROUNDDOWN(SUMIF(P2105:P2105,O2106,J2105:J2105),0)</f>
        <v>0</v>
      </c>
      <c r="K2106" s="74"/>
      <c r="L2106" s="48">
        <f>ROUNDDOWN(SUMIF(P2105:P2105,O2106,L2105:L2105),0)</f>
        <v>0</v>
      </c>
      <c r="M2106" s="74"/>
      <c r="O2106" s="7" t="s">
        <v>6406</v>
      </c>
    </row>
    <row r="2107" spans="1:26" ht="28.7" customHeight="1" x14ac:dyDescent="0.3">
      <c r="A2107" s="73"/>
      <c r="B2107" s="73"/>
      <c r="C2107" s="73"/>
      <c r="D2107" s="73"/>
      <c r="E2107" s="73"/>
      <c r="F2107" s="73"/>
      <c r="G2107" s="73"/>
      <c r="H2107" s="73"/>
      <c r="I2107" s="73"/>
      <c r="J2107" s="73"/>
      <c r="K2107" s="73"/>
      <c r="L2107" s="73"/>
      <c r="M2107" s="73"/>
    </row>
    <row r="2108" spans="1:26" ht="28.7" customHeight="1" x14ac:dyDescent="0.3">
      <c r="A2108" s="136" t="s">
        <v>1210</v>
      </c>
      <c r="B2108" s="127"/>
      <c r="C2108" s="127"/>
      <c r="D2108" s="127"/>
      <c r="E2108" s="127"/>
      <c r="F2108" s="127"/>
      <c r="G2108" s="127"/>
      <c r="H2108" s="127"/>
      <c r="I2108" s="127"/>
      <c r="J2108" s="127"/>
      <c r="K2108" s="127"/>
      <c r="L2108" s="144"/>
      <c r="M2108" s="22" t="s">
        <v>7924</v>
      </c>
      <c r="N2108" s="84" t="str">
        <f>HYPERLINK("#N"&amp;ROW(N2109),"_x0005_`BDCOD|B05414_x0007_`POSS|"&amp;ROW(N2109)&amp;"_x0007_`POSE|"&amp;ROW(N2109)&amp;"_x0007_`")</f>
        <v>_x0005_`BDCOD|B05414_x0007_`POSS|2109_x0007_`POSE|2109_x0007_`</v>
      </c>
      <c r="O2108" s="7" t="s">
        <v>7925</v>
      </c>
    </row>
    <row r="2109" spans="1:26" ht="28.7" customHeight="1" x14ac:dyDescent="0.3">
      <c r="A2109" s="10" t="s">
        <v>1842</v>
      </c>
      <c r="B2109" s="10" t="s">
        <v>1855</v>
      </c>
      <c r="C2109" s="75">
        <v>1</v>
      </c>
      <c r="D2109" s="31" t="s">
        <v>1010</v>
      </c>
      <c r="E2109" s="55">
        <f>I2109+G2109+K2109</f>
        <v>54234</v>
      </c>
      <c r="F2109" s="76">
        <f>J2109+H2109+L2109</f>
        <v>54234</v>
      </c>
      <c r="G2109" s="78">
        <f>일위대가목록표!F719</f>
        <v>54234</v>
      </c>
      <c r="H2109" s="80">
        <f>IF(C2109=0,0,ROUNDDOWN(G2109*C2109,1))</f>
        <v>54234</v>
      </c>
      <c r="I2109" s="78">
        <f>일위대가목록표!G719</f>
        <v>0</v>
      </c>
      <c r="J2109" s="80">
        <f>IF(C2109=0,0,ROUNDDOWN(I2109*C2109,1))</f>
        <v>0</v>
      </c>
      <c r="K2109" s="78">
        <f>일위대가목록표!H719</f>
        <v>0</v>
      </c>
      <c r="L2109" s="80">
        <f>IF(C2109=0,0,ROUNDDOWN(K2109*C2109,1))</f>
        <v>0</v>
      </c>
      <c r="M2109" s="22" t="s">
        <v>7723</v>
      </c>
      <c r="N2109" s="17" t="s">
        <v>7721</v>
      </c>
      <c r="O2109" s="7" t="s">
        <v>7722</v>
      </c>
      <c r="P2109" s="7" t="s">
        <v>6406</v>
      </c>
      <c r="Z2109" s="3" t="str">
        <f ca="1">HYPERLINK("#"&amp;일위대가목록표!J2&amp;"!A"&amp;ROW(일위대가목록표!A719),"대가716 →")</f>
        <v>대가716 →</v>
      </c>
    </row>
    <row r="2110" spans="1:26" ht="28.7" customHeight="1" x14ac:dyDescent="0.3">
      <c r="A2110" s="22" t="s">
        <v>6</v>
      </c>
      <c r="B2110" s="74"/>
      <c r="C2110" s="74"/>
      <c r="D2110" s="74"/>
      <c r="E2110" s="74"/>
      <c r="F2110" s="48">
        <f>J2110+H2110+L2110</f>
        <v>54234</v>
      </c>
      <c r="G2110" s="74"/>
      <c r="H2110" s="48">
        <f>ROUNDDOWN(SUMIF(P2109:P2109,O2110,H2109:H2109),0)</f>
        <v>54234</v>
      </c>
      <c r="I2110" s="74"/>
      <c r="J2110" s="48">
        <f>ROUNDDOWN(SUMIF(P2109:P2109,O2110,J2109:J2109),0)</f>
        <v>0</v>
      </c>
      <c r="K2110" s="74"/>
      <c r="L2110" s="48">
        <f>ROUNDDOWN(SUMIF(P2109:P2109,O2110,L2109:L2109),0)</f>
        <v>0</v>
      </c>
      <c r="M2110" s="74"/>
      <c r="O2110" s="7" t="s">
        <v>6406</v>
      </c>
    </row>
    <row r="2111" spans="1:26" ht="28.7" customHeight="1" x14ac:dyDescent="0.3">
      <c r="A2111" s="73"/>
      <c r="B2111" s="73"/>
      <c r="C2111" s="73"/>
      <c r="D2111" s="73"/>
      <c r="E2111" s="73"/>
      <c r="F2111" s="73"/>
      <c r="G2111" s="73"/>
      <c r="H2111" s="73"/>
      <c r="I2111" s="73"/>
      <c r="J2111" s="73"/>
      <c r="K2111" s="73"/>
      <c r="L2111" s="73"/>
      <c r="M2111" s="73"/>
    </row>
    <row r="2112" spans="1:26" ht="28.7" customHeight="1" x14ac:dyDescent="0.3">
      <c r="A2112" s="136" t="s">
        <v>1212</v>
      </c>
      <c r="B2112" s="127"/>
      <c r="C2112" s="127"/>
      <c r="D2112" s="127"/>
      <c r="E2112" s="127"/>
      <c r="F2112" s="127"/>
      <c r="G2112" s="127"/>
      <c r="H2112" s="127"/>
      <c r="I2112" s="127"/>
      <c r="J2112" s="127"/>
      <c r="K2112" s="127"/>
      <c r="L2112" s="144"/>
      <c r="M2112" s="22" t="s">
        <v>7926</v>
      </c>
      <c r="N2112" s="84" t="str">
        <f>HYPERLINK("#N"&amp;ROW(N2113),"_x0005_`BDCOD|B05415_x0007_`POSS|"&amp;ROW(N2113)&amp;"_x0007_`POSE|"&amp;ROW(N2113)&amp;"_x0007_`")</f>
        <v>_x0005_`BDCOD|B05415_x0007_`POSS|2113_x0007_`POSE|2113_x0007_`</v>
      </c>
      <c r="O2112" s="7" t="s">
        <v>7927</v>
      </c>
    </row>
    <row r="2113" spans="1:26" ht="28.7" customHeight="1" x14ac:dyDescent="0.3">
      <c r="A2113" s="10" t="s">
        <v>1842</v>
      </c>
      <c r="B2113" s="10" t="s">
        <v>1862</v>
      </c>
      <c r="C2113" s="75">
        <v>1</v>
      </c>
      <c r="D2113" s="31" t="s">
        <v>1010</v>
      </c>
      <c r="E2113" s="55">
        <f>I2113+G2113+K2113</f>
        <v>70535</v>
      </c>
      <c r="F2113" s="76">
        <f>J2113+H2113+L2113</f>
        <v>70535</v>
      </c>
      <c r="G2113" s="78">
        <f>일위대가목록표!F722</f>
        <v>70535</v>
      </c>
      <c r="H2113" s="80">
        <f>IF(C2113=0,0,ROUNDDOWN(G2113*C2113,1))</f>
        <v>70535</v>
      </c>
      <c r="I2113" s="78">
        <f>일위대가목록표!G722</f>
        <v>0</v>
      </c>
      <c r="J2113" s="80">
        <f>IF(C2113=0,0,ROUNDDOWN(I2113*C2113,1))</f>
        <v>0</v>
      </c>
      <c r="K2113" s="78">
        <f>일위대가목록표!H722</f>
        <v>0</v>
      </c>
      <c r="L2113" s="80">
        <f>IF(C2113=0,0,ROUNDDOWN(K2113*C2113,1))</f>
        <v>0</v>
      </c>
      <c r="M2113" s="22" t="s">
        <v>7728</v>
      </c>
      <c r="N2113" s="17" t="s">
        <v>7726</v>
      </c>
      <c r="O2113" s="7" t="s">
        <v>7727</v>
      </c>
      <c r="P2113" s="7" t="s">
        <v>6406</v>
      </c>
      <c r="Z2113" s="3" t="str">
        <f ca="1">HYPERLINK("#"&amp;일위대가목록표!J2&amp;"!A"&amp;ROW(일위대가목록표!A722),"대가719 →")</f>
        <v>대가719 →</v>
      </c>
    </row>
    <row r="2114" spans="1:26" ht="28.7" customHeight="1" x14ac:dyDescent="0.3">
      <c r="A2114" s="22" t="s">
        <v>6</v>
      </c>
      <c r="B2114" s="74"/>
      <c r="C2114" s="74"/>
      <c r="D2114" s="74"/>
      <c r="E2114" s="74"/>
      <c r="F2114" s="48">
        <f>J2114+H2114+L2114</f>
        <v>70535</v>
      </c>
      <c r="G2114" s="74"/>
      <c r="H2114" s="48">
        <f>ROUNDDOWN(SUMIF(P2113:P2113,O2114,H2113:H2113),0)</f>
        <v>70535</v>
      </c>
      <c r="I2114" s="74"/>
      <c r="J2114" s="48">
        <f>ROUNDDOWN(SUMIF(P2113:P2113,O2114,J2113:J2113),0)</f>
        <v>0</v>
      </c>
      <c r="K2114" s="74"/>
      <c r="L2114" s="48">
        <f>ROUNDDOWN(SUMIF(P2113:P2113,O2114,L2113:L2113),0)</f>
        <v>0</v>
      </c>
      <c r="M2114" s="74"/>
      <c r="O2114" s="7" t="s">
        <v>6406</v>
      </c>
    </row>
    <row r="2115" spans="1:26" ht="28.7" customHeight="1" x14ac:dyDescent="0.3">
      <c r="A2115" s="73"/>
      <c r="B2115" s="73"/>
      <c r="C2115" s="73"/>
      <c r="D2115" s="73"/>
      <c r="E2115" s="73"/>
      <c r="F2115" s="73"/>
      <c r="G2115" s="73"/>
      <c r="H2115" s="73"/>
      <c r="I2115" s="73"/>
      <c r="J2115" s="73"/>
      <c r="K2115" s="73"/>
      <c r="L2115" s="73"/>
      <c r="M2115" s="73"/>
    </row>
    <row r="2116" spans="1:26" ht="28.7" customHeight="1" x14ac:dyDescent="0.3">
      <c r="A2116" s="136" t="s">
        <v>1214</v>
      </c>
      <c r="B2116" s="127"/>
      <c r="C2116" s="127"/>
      <c r="D2116" s="127"/>
      <c r="E2116" s="127"/>
      <c r="F2116" s="127"/>
      <c r="G2116" s="127"/>
      <c r="H2116" s="127"/>
      <c r="I2116" s="127"/>
      <c r="J2116" s="127"/>
      <c r="K2116" s="127"/>
      <c r="L2116" s="144"/>
      <c r="M2116" s="22" t="s">
        <v>7928</v>
      </c>
      <c r="N2116" s="84" t="str">
        <f>HYPERLINK("#N"&amp;ROW(N2118),"_x0005_`BDCOD|B05027_x0007_`POSS|"&amp;ROW(N2117)&amp;"_x0007_`POSE|"&amp;ROW(N2118)&amp;"_x0007_`")</f>
        <v>_x0005_`BDCOD|B05027_x0007_`POSS|2117_x0007_`POSE|2118_x0007_`</v>
      </c>
      <c r="O2116" s="7" t="s">
        <v>7929</v>
      </c>
    </row>
    <row r="2117" spans="1:26" ht="28.7" customHeight="1" x14ac:dyDescent="0.3">
      <c r="A2117" s="10" t="s">
        <v>1838</v>
      </c>
      <c r="B2117" s="10" t="s">
        <v>1869</v>
      </c>
      <c r="C2117" s="75">
        <v>1</v>
      </c>
      <c r="D2117" s="31" t="s">
        <v>1010</v>
      </c>
      <c r="E2117" s="55">
        <f>I2117+G2117+K2117</f>
        <v>60695</v>
      </c>
      <c r="F2117" s="76">
        <f>J2117+H2117+L2117</f>
        <v>60695</v>
      </c>
      <c r="G2117" s="78">
        <f>일위대가목록표!F724</f>
        <v>60695</v>
      </c>
      <c r="H2117" s="80">
        <f>IF(C2117=0,0,ROUNDDOWN(G2117*C2117,1))</f>
        <v>60695</v>
      </c>
      <c r="I2117" s="78">
        <f>일위대가목록표!G724</f>
        <v>0</v>
      </c>
      <c r="J2117" s="80">
        <f>IF(C2117=0,0,ROUNDDOWN(I2117*C2117,1))</f>
        <v>0</v>
      </c>
      <c r="K2117" s="78">
        <f>일위대가목록표!H724</f>
        <v>0</v>
      </c>
      <c r="L2117" s="80">
        <f>IF(C2117=0,0,ROUNDDOWN(K2117*C2117,1))</f>
        <v>0</v>
      </c>
      <c r="M2117" s="22" t="s">
        <v>7733</v>
      </c>
      <c r="N2117" s="17" t="s">
        <v>7731</v>
      </c>
      <c r="O2117" s="7" t="s">
        <v>7732</v>
      </c>
      <c r="P2117" s="7" t="s">
        <v>6406</v>
      </c>
      <c r="Z2117" s="3" t="str">
        <f ca="1">HYPERLINK("#"&amp;일위대가목록표!J2&amp;"!A"&amp;ROW(일위대가목록표!A724),"대가721 →")</f>
        <v>대가721 →</v>
      </c>
    </row>
    <row r="2118" spans="1:26" ht="28.7" customHeight="1" x14ac:dyDescent="0.3">
      <c r="A2118" s="10" t="s">
        <v>2640</v>
      </c>
      <c r="B2118" s="10" t="s">
        <v>1050</v>
      </c>
      <c r="C2118" s="75">
        <v>1</v>
      </c>
      <c r="D2118" s="31" t="s">
        <v>1010</v>
      </c>
      <c r="E2118" s="55">
        <f>I2118+G2118+K2118</f>
        <v>350000</v>
      </c>
      <c r="F2118" s="77">
        <f>J2118+H2118+L2118</f>
        <v>350000</v>
      </c>
      <c r="G2118" s="51">
        <v>0</v>
      </c>
      <c r="H2118" s="76">
        <f>IF(C2118=0,0,ROUNDDOWN(G2118*C2118,1))</f>
        <v>0</v>
      </c>
      <c r="I2118" s="78">
        <f>재료비목록표!E218</f>
        <v>350000</v>
      </c>
      <c r="J2118" s="81">
        <f>IF(C2118=0,0,ROUNDDOWN(I2118*C2118,1))</f>
        <v>350000</v>
      </c>
      <c r="K2118" s="51">
        <v>0</v>
      </c>
      <c r="L2118" s="76">
        <f>IF(C2118=0,0,ROUNDDOWN(K2118*C2118,1))</f>
        <v>0</v>
      </c>
      <c r="M2118" s="22" t="s">
        <v>7931</v>
      </c>
      <c r="N2118" s="17" t="s">
        <v>7930</v>
      </c>
      <c r="O2118" s="7" t="s">
        <v>5865</v>
      </c>
      <c r="P2118" s="7" t="s">
        <v>6406</v>
      </c>
      <c r="Z2118" s="3" t="str">
        <f ca="1">HYPERLINK("#"&amp;재료비목록표!G2&amp;"!A"&amp;ROW(재료비목록표!A218),"자재215 →")</f>
        <v>자재215 →</v>
      </c>
    </row>
    <row r="2119" spans="1:26" ht="28.7" customHeight="1" x14ac:dyDescent="0.3">
      <c r="A2119" s="22" t="s">
        <v>6</v>
      </c>
      <c r="B2119" s="74"/>
      <c r="C2119" s="74"/>
      <c r="D2119" s="74"/>
      <c r="E2119" s="74"/>
      <c r="F2119" s="48">
        <f>J2119+H2119+L2119</f>
        <v>410695</v>
      </c>
      <c r="G2119" s="74"/>
      <c r="H2119" s="48">
        <f>ROUNDDOWN(SUMIF(P2117:P2118,O2119,H2117:H2118),0)</f>
        <v>60695</v>
      </c>
      <c r="I2119" s="74"/>
      <c r="J2119" s="48">
        <f>ROUNDDOWN(SUMIF(P2117:P2118,O2119,J2117:J2118),0)</f>
        <v>350000</v>
      </c>
      <c r="K2119" s="74"/>
      <c r="L2119" s="48">
        <f>ROUNDDOWN(SUMIF(P2117:P2118,O2119,L2117:L2118),0)</f>
        <v>0</v>
      </c>
      <c r="M2119" s="74"/>
      <c r="O2119" s="7" t="s">
        <v>6406</v>
      </c>
    </row>
    <row r="2120" spans="1:26" ht="28.7" customHeight="1" x14ac:dyDescent="0.3">
      <c r="A2120" s="73"/>
      <c r="B2120" s="73"/>
      <c r="C2120" s="73"/>
      <c r="D2120" s="73"/>
      <c r="E2120" s="73"/>
      <c r="F2120" s="73"/>
      <c r="G2120" s="73"/>
      <c r="H2120" s="73"/>
      <c r="I2120" s="73"/>
      <c r="J2120" s="73"/>
      <c r="K2120" s="73"/>
      <c r="L2120" s="73"/>
      <c r="M2120" s="73"/>
    </row>
    <row r="2121" spans="1:26" ht="28.7" customHeight="1" x14ac:dyDescent="0.3">
      <c r="A2121" s="136" t="s">
        <v>1217</v>
      </c>
      <c r="B2121" s="127"/>
      <c r="C2121" s="127"/>
      <c r="D2121" s="127"/>
      <c r="E2121" s="127"/>
      <c r="F2121" s="127"/>
      <c r="G2121" s="127"/>
      <c r="H2121" s="127"/>
      <c r="I2121" s="127"/>
      <c r="J2121" s="127"/>
      <c r="K2121" s="127"/>
      <c r="L2121" s="144"/>
      <c r="M2121" s="22" t="s">
        <v>7932</v>
      </c>
      <c r="N2121" s="84" t="str">
        <f>HYPERLINK("#N"&amp;ROW(N2123),"_x0005_`BDCOD|B05028_x0007_`POSS|"&amp;ROW(N2122)&amp;"_x0007_`POSE|"&amp;ROW(N2123)&amp;"_x0007_`")</f>
        <v>_x0005_`BDCOD|B05028_x0007_`POSS|2122_x0007_`POSE|2123_x0007_`</v>
      </c>
      <c r="O2121" s="7" t="s">
        <v>7933</v>
      </c>
    </row>
    <row r="2122" spans="1:26" ht="28.7" customHeight="1" x14ac:dyDescent="0.3">
      <c r="A2122" s="10" t="s">
        <v>1838</v>
      </c>
      <c r="B2122" s="10" t="s">
        <v>1839</v>
      </c>
      <c r="C2122" s="75">
        <v>1</v>
      </c>
      <c r="D2122" s="31" t="s">
        <v>1010</v>
      </c>
      <c r="E2122" s="55">
        <f>I2122+G2122+K2122</f>
        <v>103775</v>
      </c>
      <c r="F2122" s="76">
        <f>J2122+H2122+L2122</f>
        <v>103775</v>
      </c>
      <c r="G2122" s="78">
        <f>일위대가목록표!F712</f>
        <v>100753</v>
      </c>
      <c r="H2122" s="80">
        <f>IF(C2122=0,0,ROUNDDOWN(G2122*C2122,1))</f>
        <v>100753</v>
      </c>
      <c r="I2122" s="78">
        <f>일위대가목록표!G712</f>
        <v>0</v>
      </c>
      <c r="J2122" s="80">
        <f>IF(C2122=0,0,ROUNDDOWN(I2122*C2122,1))</f>
        <v>0</v>
      </c>
      <c r="K2122" s="78">
        <f>일위대가목록표!H712</f>
        <v>3022</v>
      </c>
      <c r="L2122" s="80">
        <f>IF(C2122=0,0,ROUNDDOWN(K2122*C2122,1))</f>
        <v>3022</v>
      </c>
      <c r="M2122" s="22" t="s">
        <v>7657</v>
      </c>
      <c r="N2122" s="17" t="s">
        <v>7655</v>
      </c>
      <c r="O2122" s="7" t="s">
        <v>7656</v>
      </c>
      <c r="P2122" s="7" t="s">
        <v>6406</v>
      </c>
      <c r="Z2122" s="3" t="str">
        <f ca="1">HYPERLINK("#"&amp;일위대가목록표!J2&amp;"!A"&amp;ROW(일위대가목록표!A712),"대가709 →")</f>
        <v>대가709 →</v>
      </c>
    </row>
    <row r="2123" spans="1:26" ht="28.7" customHeight="1" x14ac:dyDescent="0.3">
      <c r="A2123" s="10" t="s">
        <v>2640</v>
      </c>
      <c r="B2123" s="10" t="s">
        <v>1053</v>
      </c>
      <c r="C2123" s="75">
        <v>1</v>
      </c>
      <c r="D2123" s="31" t="s">
        <v>1010</v>
      </c>
      <c r="E2123" s="55">
        <f>I2123+G2123+K2123</f>
        <v>650000</v>
      </c>
      <c r="F2123" s="77">
        <f>J2123+H2123+L2123</f>
        <v>650000</v>
      </c>
      <c r="G2123" s="51">
        <v>0</v>
      </c>
      <c r="H2123" s="76">
        <f>IF(C2123=0,0,ROUNDDOWN(G2123*C2123,1))</f>
        <v>0</v>
      </c>
      <c r="I2123" s="78">
        <f>재료비목록표!E219</f>
        <v>650000</v>
      </c>
      <c r="J2123" s="81">
        <f>IF(C2123=0,0,ROUNDDOWN(I2123*C2123,1))</f>
        <v>650000</v>
      </c>
      <c r="K2123" s="51">
        <v>0</v>
      </c>
      <c r="L2123" s="76">
        <f>IF(C2123=0,0,ROUNDDOWN(K2123*C2123,1))</f>
        <v>0</v>
      </c>
      <c r="M2123" s="22" t="s">
        <v>7935</v>
      </c>
      <c r="N2123" s="17" t="s">
        <v>7934</v>
      </c>
      <c r="O2123" s="7" t="s">
        <v>5868</v>
      </c>
      <c r="P2123" s="7" t="s">
        <v>6406</v>
      </c>
      <c r="Z2123" s="3" t="str">
        <f ca="1">HYPERLINK("#"&amp;재료비목록표!G2&amp;"!A"&amp;ROW(재료비목록표!A219),"자재216 →")</f>
        <v>자재216 →</v>
      </c>
    </row>
    <row r="2124" spans="1:26" ht="28.7" customHeight="1" x14ac:dyDescent="0.3">
      <c r="A2124" s="22" t="s">
        <v>6</v>
      </c>
      <c r="B2124" s="74"/>
      <c r="C2124" s="74"/>
      <c r="D2124" s="74"/>
      <c r="E2124" s="74"/>
      <c r="F2124" s="48">
        <f>J2124+H2124+L2124</f>
        <v>753775</v>
      </c>
      <c r="G2124" s="74"/>
      <c r="H2124" s="48">
        <f>ROUNDDOWN(SUMIF(P2122:P2123,O2124,H2122:H2123),0)</f>
        <v>100753</v>
      </c>
      <c r="I2124" s="74"/>
      <c r="J2124" s="48">
        <f>ROUNDDOWN(SUMIF(P2122:P2123,O2124,J2122:J2123),0)</f>
        <v>650000</v>
      </c>
      <c r="K2124" s="74"/>
      <c r="L2124" s="48">
        <f>ROUNDDOWN(SUMIF(P2122:P2123,O2124,L2122:L2123),0)</f>
        <v>3022</v>
      </c>
      <c r="M2124" s="74"/>
      <c r="O2124" s="7" t="s">
        <v>6406</v>
      </c>
    </row>
    <row r="2125" spans="1:26" ht="28.7" customHeight="1" x14ac:dyDescent="0.3">
      <c r="A2125" s="73"/>
      <c r="B2125" s="73"/>
      <c r="C2125" s="73"/>
      <c r="D2125" s="73"/>
      <c r="E2125" s="73"/>
      <c r="F2125" s="73"/>
      <c r="G2125" s="73"/>
      <c r="H2125" s="73"/>
      <c r="I2125" s="73"/>
      <c r="J2125" s="73"/>
      <c r="K2125" s="73"/>
      <c r="L2125" s="73"/>
      <c r="M2125" s="73"/>
    </row>
    <row r="2126" spans="1:26" ht="28.7" customHeight="1" x14ac:dyDescent="0.3">
      <c r="A2126" s="136" t="s">
        <v>1219</v>
      </c>
      <c r="B2126" s="127"/>
      <c r="C2126" s="127"/>
      <c r="D2126" s="127"/>
      <c r="E2126" s="127"/>
      <c r="F2126" s="127"/>
      <c r="G2126" s="127"/>
      <c r="H2126" s="127"/>
      <c r="I2126" s="127"/>
      <c r="J2126" s="127"/>
      <c r="K2126" s="127"/>
      <c r="L2126" s="144"/>
      <c r="M2126" s="22" t="s">
        <v>7936</v>
      </c>
      <c r="N2126" s="84" t="str">
        <f>HYPERLINK("#N"&amp;ROW(N2128),"_x0005_`BDCOD|B05029_x0007_`POSS|"&amp;ROW(N2127)&amp;"_x0007_`POSE|"&amp;ROW(N2128)&amp;"_x0007_`")</f>
        <v>_x0005_`BDCOD|B05029_x0007_`POSS|2127_x0007_`POSE|2128_x0007_`</v>
      </c>
      <c r="O2126" s="7" t="s">
        <v>7937</v>
      </c>
    </row>
    <row r="2127" spans="1:26" ht="28.7" customHeight="1" x14ac:dyDescent="0.3">
      <c r="A2127" s="10" t="s">
        <v>1838</v>
      </c>
      <c r="B2127" s="10" t="s">
        <v>1848</v>
      </c>
      <c r="C2127" s="75">
        <v>1</v>
      </c>
      <c r="D2127" s="31" t="s">
        <v>1010</v>
      </c>
      <c r="E2127" s="55">
        <f>I2127+G2127+K2127</f>
        <v>145668</v>
      </c>
      <c r="F2127" s="76">
        <f>J2127+H2127+L2127</f>
        <v>145668</v>
      </c>
      <c r="G2127" s="78">
        <f>일위대가목록표!F715</f>
        <v>145668</v>
      </c>
      <c r="H2127" s="80">
        <f>IF(C2127=0,0,ROUNDDOWN(G2127*C2127,1))</f>
        <v>145668</v>
      </c>
      <c r="I2127" s="78">
        <f>일위대가목록표!G715</f>
        <v>0</v>
      </c>
      <c r="J2127" s="80">
        <f>IF(C2127=0,0,ROUNDDOWN(I2127*C2127,1))</f>
        <v>0</v>
      </c>
      <c r="K2127" s="78">
        <f>일위대가목록표!H715</f>
        <v>0</v>
      </c>
      <c r="L2127" s="80">
        <f>IF(C2127=0,0,ROUNDDOWN(K2127*C2127,1))</f>
        <v>0</v>
      </c>
      <c r="M2127" s="22" t="s">
        <v>7664</v>
      </c>
      <c r="N2127" s="17" t="s">
        <v>7662</v>
      </c>
      <c r="O2127" s="7" t="s">
        <v>7663</v>
      </c>
      <c r="P2127" s="7" t="s">
        <v>6406</v>
      </c>
      <c r="Z2127" s="3" t="str">
        <f ca="1">HYPERLINK("#"&amp;일위대가목록표!J2&amp;"!A"&amp;ROW(일위대가목록표!A715),"대가712 →")</f>
        <v>대가712 →</v>
      </c>
    </row>
    <row r="2128" spans="1:26" ht="28.7" customHeight="1" x14ac:dyDescent="0.3">
      <c r="A2128" s="10" t="s">
        <v>2640</v>
      </c>
      <c r="B2128" s="10" t="s">
        <v>1056</v>
      </c>
      <c r="C2128" s="75">
        <v>1</v>
      </c>
      <c r="D2128" s="31" t="s">
        <v>1010</v>
      </c>
      <c r="E2128" s="55">
        <f>I2128+G2128+K2128</f>
        <v>860000</v>
      </c>
      <c r="F2128" s="77">
        <f>J2128+H2128+L2128</f>
        <v>860000</v>
      </c>
      <c r="G2128" s="51">
        <v>0</v>
      </c>
      <c r="H2128" s="76">
        <f>IF(C2128=0,0,ROUNDDOWN(G2128*C2128,1))</f>
        <v>0</v>
      </c>
      <c r="I2128" s="78">
        <f>재료비목록표!E214</f>
        <v>860000</v>
      </c>
      <c r="J2128" s="81">
        <f>IF(C2128=0,0,ROUNDDOWN(I2128*C2128,1))</f>
        <v>860000</v>
      </c>
      <c r="K2128" s="51">
        <v>0</v>
      </c>
      <c r="L2128" s="76">
        <f>IF(C2128=0,0,ROUNDDOWN(K2128*C2128,1))</f>
        <v>0</v>
      </c>
      <c r="M2128" s="22" t="s">
        <v>7939</v>
      </c>
      <c r="N2128" s="17" t="s">
        <v>7938</v>
      </c>
      <c r="O2128" s="7" t="s">
        <v>5871</v>
      </c>
      <c r="P2128" s="7" t="s">
        <v>6406</v>
      </c>
      <c r="Z2128" s="3" t="str">
        <f ca="1">HYPERLINK("#"&amp;재료비목록표!G2&amp;"!A"&amp;ROW(재료비목록표!A214),"자재211 →")</f>
        <v>자재211 →</v>
      </c>
    </row>
    <row r="2129" spans="1:26" ht="28.7" customHeight="1" x14ac:dyDescent="0.3">
      <c r="A2129" s="22" t="s">
        <v>6</v>
      </c>
      <c r="B2129" s="74"/>
      <c r="C2129" s="74"/>
      <c r="D2129" s="74"/>
      <c r="E2129" s="74"/>
      <c r="F2129" s="48">
        <f>J2129+H2129+L2129</f>
        <v>1005668</v>
      </c>
      <c r="G2129" s="74"/>
      <c r="H2129" s="48">
        <f>ROUNDDOWN(SUMIF(P2127:P2128,O2129,H2127:H2128),0)</f>
        <v>145668</v>
      </c>
      <c r="I2129" s="74"/>
      <c r="J2129" s="48">
        <f>ROUNDDOWN(SUMIF(P2127:P2128,O2129,J2127:J2128),0)</f>
        <v>860000</v>
      </c>
      <c r="K2129" s="74"/>
      <c r="L2129" s="48">
        <f>ROUNDDOWN(SUMIF(P2127:P2128,O2129,L2127:L2128),0)</f>
        <v>0</v>
      </c>
      <c r="M2129" s="74"/>
      <c r="O2129" s="7" t="s">
        <v>6406</v>
      </c>
    </row>
    <row r="2130" spans="1:26" ht="28.7" customHeight="1" x14ac:dyDescent="0.3">
      <c r="A2130" s="73"/>
      <c r="B2130" s="73"/>
      <c r="C2130" s="73"/>
      <c r="D2130" s="73"/>
      <c r="E2130" s="73"/>
      <c r="F2130" s="73"/>
      <c r="G2130" s="73"/>
      <c r="H2130" s="73"/>
      <c r="I2130" s="73"/>
      <c r="J2130" s="73"/>
      <c r="K2130" s="73"/>
      <c r="L2130" s="73"/>
      <c r="M2130" s="73"/>
    </row>
    <row r="2131" spans="1:26" ht="28.7" customHeight="1" x14ac:dyDescent="0.3">
      <c r="A2131" s="136" t="s">
        <v>1221</v>
      </c>
      <c r="B2131" s="127"/>
      <c r="C2131" s="127"/>
      <c r="D2131" s="127"/>
      <c r="E2131" s="127"/>
      <c r="F2131" s="127"/>
      <c r="G2131" s="127"/>
      <c r="H2131" s="127"/>
      <c r="I2131" s="127"/>
      <c r="J2131" s="127"/>
      <c r="K2131" s="127"/>
      <c r="L2131" s="144"/>
      <c r="M2131" s="22" t="s">
        <v>7940</v>
      </c>
      <c r="N2131" s="84" t="str">
        <f>HYPERLINK("#N"&amp;ROW(N2133),"_x0005_`BDCOD|B05030_x0007_`POSS|"&amp;ROW(N2132)&amp;"_x0007_`POSE|"&amp;ROW(N2133)&amp;"_x0007_`")</f>
        <v>_x0005_`BDCOD|B05030_x0007_`POSS|2132_x0007_`POSE|2133_x0007_`</v>
      </c>
      <c r="O2131" s="7" t="s">
        <v>7941</v>
      </c>
    </row>
    <row r="2132" spans="1:26" ht="28.7" customHeight="1" x14ac:dyDescent="0.3">
      <c r="A2132" s="10" t="s">
        <v>1838</v>
      </c>
      <c r="B2132" s="10" t="s">
        <v>1855</v>
      </c>
      <c r="C2132" s="75">
        <v>1</v>
      </c>
      <c r="D2132" s="31" t="s">
        <v>1010</v>
      </c>
      <c r="E2132" s="55">
        <f>I2132+G2132+K2132</f>
        <v>189819</v>
      </c>
      <c r="F2132" s="76">
        <f>J2132+H2132+L2132</f>
        <v>189819</v>
      </c>
      <c r="G2132" s="78">
        <f>일위대가목록표!F718</f>
        <v>189819</v>
      </c>
      <c r="H2132" s="80">
        <f>IF(C2132=0,0,ROUNDDOWN(G2132*C2132,1))</f>
        <v>189819</v>
      </c>
      <c r="I2132" s="78">
        <f>일위대가목록표!G718</f>
        <v>0</v>
      </c>
      <c r="J2132" s="80">
        <f>IF(C2132=0,0,ROUNDDOWN(I2132*C2132,1))</f>
        <v>0</v>
      </c>
      <c r="K2132" s="78">
        <f>일위대가목록표!H718</f>
        <v>0</v>
      </c>
      <c r="L2132" s="80">
        <f>IF(C2132=0,0,ROUNDDOWN(K2132*C2132,1))</f>
        <v>0</v>
      </c>
      <c r="M2132" s="22" t="s">
        <v>7671</v>
      </c>
      <c r="N2132" s="17" t="s">
        <v>7669</v>
      </c>
      <c r="O2132" s="7" t="s">
        <v>7670</v>
      </c>
      <c r="P2132" s="7" t="s">
        <v>6406</v>
      </c>
      <c r="Z2132" s="3" t="str">
        <f ca="1">HYPERLINK("#"&amp;일위대가목록표!J2&amp;"!A"&amp;ROW(일위대가목록표!A718),"대가715 →")</f>
        <v>대가715 →</v>
      </c>
    </row>
    <row r="2133" spans="1:26" ht="28.7" customHeight="1" x14ac:dyDescent="0.3">
      <c r="A2133" s="10" t="s">
        <v>2640</v>
      </c>
      <c r="B2133" s="10" t="s">
        <v>1059</v>
      </c>
      <c r="C2133" s="75">
        <v>1</v>
      </c>
      <c r="D2133" s="31" t="s">
        <v>1010</v>
      </c>
      <c r="E2133" s="55">
        <f>I2133+G2133+K2133</f>
        <v>1480000</v>
      </c>
      <c r="F2133" s="77">
        <f>J2133+H2133+L2133</f>
        <v>1480000</v>
      </c>
      <c r="G2133" s="51">
        <v>0</v>
      </c>
      <c r="H2133" s="76">
        <f>IF(C2133=0,0,ROUNDDOWN(G2133*C2133,1))</f>
        <v>0</v>
      </c>
      <c r="I2133" s="78">
        <f>재료비목록표!E215</f>
        <v>1480000</v>
      </c>
      <c r="J2133" s="81">
        <f>IF(C2133=0,0,ROUNDDOWN(I2133*C2133,1))</f>
        <v>1480000</v>
      </c>
      <c r="K2133" s="51">
        <v>0</v>
      </c>
      <c r="L2133" s="76">
        <f>IF(C2133=0,0,ROUNDDOWN(K2133*C2133,1))</f>
        <v>0</v>
      </c>
      <c r="M2133" s="22" t="s">
        <v>7943</v>
      </c>
      <c r="N2133" s="17" t="s">
        <v>7942</v>
      </c>
      <c r="O2133" s="7" t="s">
        <v>5874</v>
      </c>
      <c r="P2133" s="7" t="s">
        <v>6406</v>
      </c>
      <c r="Z2133" s="3" t="str">
        <f ca="1">HYPERLINK("#"&amp;재료비목록표!G2&amp;"!A"&amp;ROW(재료비목록표!A215),"자재212 →")</f>
        <v>자재212 →</v>
      </c>
    </row>
    <row r="2134" spans="1:26" ht="28.7" customHeight="1" x14ac:dyDescent="0.3">
      <c r="A2134" s="22" t="s">
        <v>6</v>
      </c>
      <c r="B2134" s="74"/>
      <c r="C2134" s="74"/>
      <c r="D2134" s="74"/>
      <c r="E2134" s="74"/>
      <c r="F2134" s="48">
        <f>J2134+H2134+L2134</f>
        <v>1669819</v>
      </c>
      <c r="G2134" s="74"/>
      <c r="H2134" s="48">
        <f>ROUNDDOWN(SUMIF(P2132:P2133,O2134,H2132:H2133),0)</f>
        <v>189819</v>
      </c>
      <c r="I2134" s="74"/>
      <c r="J2134" s="48">
        <f>ROUNDDOWN(SUMIF(P2132:P2133,O2134,J2132:J2133),0)</f>
        <v>1480000</v>
      </c>
      <c r="K2134" s="74"/>
      <c r="L2134" s="48">
        <f>ROUNDDOWN(SUMIF(P2132:P2133,O2134,L2132:L2133),0)</f>
        <v>0</v>
      </c>
      <c r="M2134" s="74"/>
      <c r="O2134" s="7" t="s">
        <v>6406</v>
      </c>
    </row>
    <row r="2135" spans="1:26" ht="28.7" customHeight="1" x14ac:dyDescent="0.3">
      <c r="A2135" s="73"/>
      <c r="B2135" s="73"/>
      <c r="C2135" s="73"/>
      <c r="D2135" s="73"/>
      <c r="E2135" s="73"/>
      <c r="F2135" s="73"/>
      <c r="G2135" s="73"/>
      <c r="H2135" s="73"/>
      <c r="I2135" s="73"/>
      <c r="J2135" s="73"/>
      <c r="K2135" s="73"/>
      <c r="L2135" s="73"/>
      <c r="M2135" s="73"/>
    </row>
    <row r="2136" spans="1:26" ht="28.7" customHeight="1" x14ac:dyDescent="0.3">
      <c r="A2136" s="136" t="s">
        <v>1223</v>
      </c>
      <c r="B2136" s="127"/>
      <c r="C2136" s="127"/>
      <c r="D2136" s="127"/>
      <c r="E2136" s="127"/>
      <c r="F2136" s="127"/>
      <c r="G2136" s="127"/>
      <c r="H2136" s="127"/>
      <c r="I2136" s="127"/>
      <c r="J2136" s="127"/>
      <c r="K2136" s="127"/>
      <c r="L2136" s="144"/>
      <c r="M2136" s="22" t="s">
        <v>7944</v>
      </c>
      <c r="N2136" s="84" t="str">
        <f>HYPERLINK("#N"&amp;ROW(N2138),"_x0005_`BDCOD|B05031_x0007_`POSS|"&amp;ROW(N2137)&amp;"_x0007_`POSE|"&amp;ROW(N2138)&amp;"_x0007_`")</f>
        <v>_x0005_`BDCOD|B05031_x0007_`POSS|2137_x0007_`POSE|2138_x0007_`</v>
      </c>
      <c r="O2136" s="7" t="s">
        <v>7945</v>
      </c>
    </row>
    <row r="2137" spans="1:26" ht="28.7" customHeight="1" x14ac:dyDescent="0.3">
      <c r="A2137" s="10" t="s">
        <v>1838</v>
      </c>
      <c r="B2137" s="10" t="s">
        <v>1862</v>
      </c>
      <c r="C2137" s="75">
        <v>1</v>
      </c>
      <c r="D2137" s="31" t="s">
        <v>1010</v>
      </c>
      <c r="E2137" s="55">
        <f>I2137+G2137+K2137</f>
        <v>246873</v>
      </c>
      <c r="F2137" s="76">
        <f>J2137+H2137+L2137</f>
        <v>246873</v>
      </c>
      <c r="G2137" s="78">
        <f>일위대가목록표!F721</f>
        <v>246873</v>
      </c>
      <c r="H2137" s="80">
        <f>IF(C2137=0,0,ROUNDDOWN(G2137*C2137,1))</f>
        <v>246873</v>
      </c>
      <c r="I2137" s="78">
        <f>일위대가목록표!G721</f>
        <v>0</v>
      </c>
      <c r="J2137" s="80">
        <f>IF(C2137=0,0,ROUNDDOWN(I2137*C2137,1))</f>
        <v>0</v>
      </c>
      <c r="K2137" s="78">
        <f>일위대가목록표!H721</f>
        <v>0</v>
      </c>
      <c r="L2137" s="80">
        <f>IF(C2137=0,0,ROUNDDOWN(K2137*C2137,1))</f>
        <v>0</v>
      </c>
      <c r="M2137" s="22" t="s">
        <v>7678</v>
      </c>
      <c r="N2137" s="17" t="s">
        <v>7676</v>
      </c>
      <c r="O2137" s="7" t="s">
        <v>7677</v>
      </c>
      <c r="P2137" s="7" t="s">
        <v>6406</v>
      </c>
      <c r="Z2137" s="3" t="str">
        <f ca="1">HYPERLINK("#"&amp;일위대가목록표!J2&amp;"!A"&amp;ROW(일위대가목록표!A721),"대가718 →")</f>
        <v>대가718 →</v>
      </c>
    </row>
    <row r="2138" spans="1:26" ht="28.7" customHeight="1" x14ac:dyDescent="0.3">
      <c r="A2138" s="10" t="s">
        <v>2640</v>
      </c>
      <c r="B2138" s="10" t="s">
        <v>1062</v>
      </c>
      <c r="C2138" s="75">
        <v>1</v>
      </c>
      <c r="D2138" s="31" t="s">
        <v>1010</v>
      </c>
      <c r="E2138" s="55">
        <f>I2138+G2138+K2138</f>
        <v>2050000</v>
      </c>
      <c r="F2138" s="77">
        <f>J2138+H2138+L2138</f>
        <v>2050000</v>
      </c>
      <c r="G2138" s="51">
        <v>0</v>
      </c>
      <c r="H2138" s="76">
        <f>IF(C2138=0,0,ROUNDDOWN(G2138*C2138,1))</f>
        <v>0</v>
      </c>
      <c r="I2138" s="78">
        <f>재료비목록표!E216</f>
        <v>2050000</v>
      </c>
      <c r="J2138" s="81">
        <f>IF(C2138=0,0,ROUNDDOWN(I2138*C2138,1))</f>
        <v>2050000</v>
      </c>
      <c r="K2138" s="51">
        <v>0</v>
      </c>
      <c r="L2138" s="76">
        <f>IF(C2138=0,0,ROUNDDOWN(K2138*C2138,1))</f>
        <v>0</v>
      </c>
      <c r="M2138" s="22" t="s">
        <v>7947</v>
      </c>
      <c r="N2138" s="17" t="s">
        <v>7946</v>
      </c>
      <c r="O2138" s="7" t="s">
        <v>5877</v>
      </c>
      <c r="P2138" s="7" t="s">
        <v>6406</v>
      </c>
      <c r="Z2138" s="3" t="str">
        <f ca="1">HYPERLINK("#"&amp;재료비목록표!G2&amp;"!A"&amp;ROW(재료비목록표!A216),"자재213 →")</f>
        <v>자재213 →</v>
      </c>
    </row>
    <row r="2139" spans="1:26" ht="28.7" customHeight="1" x14ac:dyDescent="0.3">
      <c r="A2139" s="22" t="s">
        <v>6</v>
      </c>
      <c r="B2139" s="74"/>
      <c r="C2139" s="74"/>
      <c r="D2139" s="74"/>
      <c r="E2139" s="74"/>
      <c r="F2139" s="48">
        <f>J2139+H2139+L2139</f>
        <v>2296873</v>
      </c>
      <c r="G2139" s="74"/>
      <c r="H2139" s="48">
        <f>ROUNDDOWN(SUMIF(P2137:P2138,O2139,H2137:H2138),0)</f>
        <v>246873</v>
      </c>
      <c r="I2139" s="74"/>
      <c r="J2139" s="48">
        <f>ROUNDDOWN(SUMIF(P2137:P2138,O2139,J2137:J2138),0)</f>
        <v>2050000</v>
      </c>
      <c r="K2139" s="74"/>
      <c r="L2139" s="48">
        <f>ROUNDDOWN(SUMIF(P2137:P2138,O2139,L2137:L2138),0)</f>
        <v>0</v>
      </c>
      <c r="M2139" s="74"/>
      <c r="O2139" s="7" t="s">
        <v>6406</v>
      </c>
    </row>
    <row r="2140" spans="1:26" ht="28.7" customHeight="1" x14ac:dyDescent="0.3">
      <c r="A2140" s="73"/>
      <c r="B2140" s="73"/>
      <c r="C2140" s="73"/>
      <c r="D2140" s="73"/>
      <c r="E2140" s="73"/>
      <c r="F2140" s="73"/>
      <c r="G2140" s="73"/>
      <c r="H2140" s="73"/>
      <c r="I2140" s="73"/>
      <c r="J2140" s="73"/>
      <c r="K2140" s="73"/>
      <c r="L2140" s="73"/>
      <c r="M2140" s="73"/>
    </row>
    <row r="2141" spans="1:26" ht="28.7" customHeight="1" x14ac:dyDescent="0.3">
      <c r="A2141" s="136" t="s">
        <v>1225</v>
      </c>
      <c r="B2141" s="127"/>
      <c r="C2141" s="127"/>
      <c r="D2141" s="127"/>
      <c r="E2141" s="127"/>
      <c r="F2141" s="127"/>
      <c r="G2141" s="127"/>
      <c r="H2141" s="127"/>
      <c r="I2141" s="127"/>
      <c r="J2141" s="127"/>
      <c r="K2141" s="127"/>
      <c r="L2141" s="144"/>
      <c r="M2141" s="22" t="s">
        <v>7948</v>
      </c>
      <c r="N2141" s="84" t="str">
        <f>HYPERLINK("#N"&amp;ROW(N2143),"_x0005_`BDCOD|B05072_x0007_`POSS|"&amp;ROW(N2142)&amp;"_x0007_`POSE|"&amp;ROW(N2143)&amp;"_x0007_`")</f>
        <v>_x0005_`BDCOD|B05072_x0007_`POSS|2142_x0007_`POSE|2143_x0007_`</v>
      </c>
      <c r="O2141" s="7" t="s">
        <v>7949</v>
      </c>
    </row>
    <row r="2142" spans="1:26" ht="28.7" customHeight="1" x14ac:dyDescent="0.3">
      <c r="A2142" s="10" t="s">
        <v>1838</v>
      </c>
      <c r="B2142" s="10" t="s">
        <v>1876</v>
      </c>
      <c r="C2142" s="75">
        <v>1</v>
      </c>
      <c r="D2142" s="31" t="s">
        <v>1010</v>
      </c>
      <c r="E2142" s="55">
        <f>I2142+G2142+K2142</f>
        <v>246873</v>
      </c>
      <c r="F2142" s="76">
        <f>J2142+H2142+L2142</f>
        <v>246873</v>
      </c>
      <c r="G2142" s="78">
        <f>일위대가목록표!F730</f>
        <v>246873</v>
      </c>
      <c r="H2142" s="80">
        <f>IF(C2142=0,0,ROUNDDOWN(G2142*C2142,1))</f>
        <v>246873</v>
      </c>
      <c r="I2142" s="78">
        <f>일위대가목록표!G730</f>
        <v>0</v>
      </c>
      <c r="J2142" s="80">
        <f>IF(C2142=0,0,ROUNDDOWN(I2142*C2142,1))</f>
        <v>0</v>
      </c>
      <c r="K2142" s="78">
        <f>일위대가목록표!H730</f>
        <v>0</v>
      </c>
      <c r="L2142" s="80">
        <f>IF(C2142=0,0,ROUNDDOWN(K2142*C2142,1))</f>
        <v>0</v>
      </c>
      <c r="M2142" s="22" t="s">
        <v>7901</v>
      </c>
      <c r="N2142" s="17" t="s">
        <v>7899</v>
      </c>
      <c r="O2142" s="7" t="s">
        <v>7900</v>
      </c>
      <c r="P2142" s="7" t="s">
        <v>6406</v>
      </c>
      <c r="Z2142" s="3" t="str">
        <f ca="1">HYPERLINK("#"&amp;일위대가목록표!J2&amp;"!A"&amp;ROW(일위대가목록표!A730),"대가727 →")</f>
        <v>대가727 →</v>
      </c>
    </row>
    <row r="2143" spans="1:26" ht="28.7" customHeight="1" x14ac:dyDescent="0.3">
      <c r="A2143" s="10" t="s">
        <v>2640</v>
      </c>
      <c r="B2143" s="10" t="s">
        <v>1065</v>
      </c>
      <c r="C2143" s="75">
        <v>1</v>
      </c>
      <c r="D2143" s="31" t="s">
        <v>1010</v>
      </c>
      <c r="E2143" s="55">
        <f>I2143+G2143+K2143</f>
        <v>3630000</v>
      </c>
      <c r="F2143" s="77">
        <f>J2143+H2143+L2143</f>
        <v>3630000</v>
      </c>
      <c r="G2143" s="51">
        <v>0</v>
      </c>
      <c r="H2143" s="76">
        <f>IF(C2143=0,0,ROUNDDOWN(G2143*C2143,1))</f>
        <v>0</v>
      </c>
      <c r="I2143" s="78">
        <f>재료비목록표!E217</f>
        <v>3630000</v>
      </c>
      <c r="J2143" s="81">
        <f>IF(C2143=0,0,ROUNDDOWN(I2143*C2143,1))</f>
        <v>3630000</v>
      </c>
      <c r="K2143" s="51">
        <v>0</v>
      </c>
      <c r="L2143" s="76">
        <f>IF(C2143=0,0,ROUNDDOWN(K2143*C2143,1))</f>
        <v>0</v>
      </c>
      <c r="M2143" s="22" t="s">
        <v>7951</v>
      </c>
      <c r="N2143" s="17" t="s">
        <v>7950</v>
      </c>
      <c r="O2143" s="7" t="s">
        <v>5880</v>
      </c>
      <c r="P2143" s="7" t="s">
        <v>6406</v>
      </c>
      <c r="Z2143" s="3" t="str">
        <f ca="1">HYPERLINK("#"&amp;재료비목록표!G2&amp;"!A"&amp;ROW(재료비목록표!A217),"자재214 →")</f>
        <v>자재214 →</v>
      </c>
    </row>
    <row r="2144" spans="1:26" ht="28.7" customHeight="1" x14ac:dyDescent="0.3">
      <c r="A2144" s="22" t="s">
        <v>6</v>
      </c>
      <c r="B2144" s="74"/>
      <c r="C2144" s="74"/>
      <c r="D2144" s="74"/>
      <c r="E2144" s="74"/>
      <c r="F2144" s="48">
        <f>J2144+H2144+L2144</f>
        <v>3876873</v>
      </c>
      <c r="G2144" s="74"/>
      <c r="H2144" s="48">
        <f>ROUNDDOWN(SUMIF(P2142:P2143,O2144,H2142:H2143),0)</f>
        <v>246873</v>
      </c>
      <c r="I2144" s="74"/>
      <c r="J2144" s="48">
        <f>ROUNDDOWN(SUMIF(P2142:P2143,O2144,J2142:J2143),0)</f>
        <v>3630000</v>
      </c>
      <c r="K2144" s="74"/>
      <c r="L2144" s="48">
        <f>ROUNDDOWN(SUMIF(P2142:P2143,O2144,L2142:L2143),0)</f>
        <v>0</v>
      </c>
      <c r="M2144" s="74"/>
      <c r="O2144" s="7" t="s">
        <v>6406</v>
      </c>
    </row>
    <row r="2145" spans="1:26" ht="28.7" customHeight="1" x14ac:dyDescent="0.3">
      <c r="A2145" s="73"/>
      <c r="B2145" s="73"/>
      <c r="C2145" s="73"/>
      <c r="D2145" s="73"/>
      <c r="E2145" s="73"/>
      <c r="F2145" s="73"/>
      <c r="G2145" s="73"/>
      <c r="H2145" s="73"/>
      <c r="I2145" s="73"/>
      <c r="J2145" s="73"/>
      <c r="K2145" s="73"/>
      <c r="L2145" s="73"/>
      <c r="M2145" s="73"/>
    </row>
    <row r="2146" spans="1:26" ht="28.7" customHeight="1" x14ac:dyDescent="0.3">
      <c r="A2146" s="136" t="s">
        <v>1227</v>
      </c>
      <c r="B2146" s="127"/>
      <c r="C2146" s="127"/>
      <c r="D2146" s="127"/>
      <c r="E2146" s="127"/>
      <c r="F2146" s="127"/>
      <c r="G2146" s="127"/>
      <c r="H2146" s="127"/>
      <c r="I2146" s="127"/>
      <c r="J2146" s="127"/>
      <c r="K2146" s="127"/>
      <c r="L2146" s="144"/>
      <c r="M2146" s="22" t="s">
        <v>7952</v>
      </c>
      <c r="N2146" s="84" t="str">
        <f>HYPERLINK("#N"&amp;ROW(N2147),"_x0005_`BDCOD|B05416_x0007_`POSS|"&amp;ROW(N2147)&amp;"_x0007_`POSE|"&amp;ROW(N2147)&amp;"_x0007_`")</f>
        <v>_x0005_`BDCOD|B05416_x0007_`POSS|2147_x0007_`POSE|2147_x0007_`</v>
      </c>
      <c r="O2146" s="7" t="s">
        <v>7953</v>
      </c>
    </row>
    <row r="2147" spans="1:26" ht="28.7" customHeight="1" x14ac:dyDescent="0.3">
      <c r="A2147" s="10" t="s">
        <v>1838</v>
      </c>
      <c r="B2147" s="10" t="s">
        <v>1869</v>
      </c>
      <c r="C2147" s="75">
        <v>1</v>
      </c>
      <c r="D2147" s="31" t="s">
        <v>1010</v>
      </c>
      <c r="E2147" s="55">
        <f>I2147+G2147+K2147</f>
        <v>60695</v>
      </c>
      <c r="F2147" s="76">
        <f>J2147+H2147+L2147</f>
        <v>60695</v>
      </c>
      <c r="G2147" s="78">
        <f>일위대가목록표!F724</f>
        <v>60695</v>
      </c>
      <c r="H2147" s="80">
        <f>IF(C2147=0,0,ROUNDDOWN(G2147*C2147,1))</f>
        <v>60695</v>
      </c>
      <c r="I2147" s="78">
        <f>일위대가목록표!G724</f>
        <v>0</v>
      </c>
      <c r="J2147" s="80">
        <f>IF(C2147=0,0,ROUNDDOWN(I2147*C2147,1))</f>
        <v>0</v>
      </c>
      <c r="K2147" s="78">
        <f>일위대가목록표!H724</f>
        <v>0</v>
      </c>
      <c r="L2147" s="80">
        <f>IF(C2147=0,0,ROUNDDOWN(K2147*C2147,1))</f>
        <v>0</v>
      </c>
      <c r="M2147" s="22" t="s">
        <v>7733</v>
      </c>
      <c r="N2147" s="17" t="s">
        <v>7731</v>
      </c>
      <c r="O2147" s="7" t="s">
        <v>7732</v>
      </c>
      <c r="P2147" s="7" t="s">
        <v>6406</v>
      </c>
      <c r="Z2147" s="3" t="str">
        <f ca="1">HYPERLINK("#"&amp;일위대가목록표!J2&amp;"!A"&amp;ROW(일위대가목록표!A724),"대가721 →")</f>
        <v>대가721 →</v>
      </c>
    </row>
    <row r="2148" spans="1:26" ht="28.7" customHeight="1" x14ac:dyDescent="0.3">
      <c r="A2148" s="22" t="s">
        <v>6</v>
      </c>
      <c r="B2148" s="74"/>
      <c r="C2148" s="74"/>
      <c r="D2148" s="74"/>
      <c r="E2148" s="74"/>
      <c r="F2148" s="48">
        <f>J2148+H2148+L2148</f>
        <v>60695</v>
      </c>
      <c r="G2148" s="74"/>
      <c r="H2148" s="48">
        <f>ROUNDDOWN(SUMIF(P2147:P2147,O2148,H2147:H2147),0)</f>
        <v>60695</v>
      </c>
      <c r="I2148" s="74"/>
      <c r="J2148" s="48">
        <f>ROUNDDOWN(SUMIF(P2147:P2147,O2148,J2147:J2147),0)</f>
        <v>0</v>
      </c>
      <c r="K2148" s="74"/>
      <c r="L2148" s="48">
        <f>ROUNDDOWN(SUMIF(P2147:P2147,O2148,L2147:L2147),0)</f>
        <v>0</v>
      </c>
      <c r="M2148" s="74"/>
      <c r="O2148" s="7" t="s">
        <v>6406</v>
      </c>
    </row>
    <row r="2149" spans="1:26" ht="28.7" customHeight="1" x14ac:dyDescent="0.3">
      <c r="A2149" s="73"/>
      <c r="B2149" s="73"/>
      <c r="C2149" s="73"/>
      <c r="D2149" s="73"/>
      <c r="E2149" s="73"/>
      <c r="F2149" s="73"/>
      <c r="G2149" s="73"/>
      <c r="H2149" s="73"/>
      <c r="I2149" s="73"/>
      <c r="J2149" s="73"/>
      <c r="K2149" s="73"/>
      <c r="L2149" s="73"/>
      <c r="M2149" s="73"/>
    </row>
    <row r="2150" spans="1:26" ht="28.7" customHeight="1" x14ac:dyDescent="0.3">
      <c r="A2150" s="136" t="s">
        <v>1230</v>
      </c>
      <c r="B2150" s="127"/>
      <c r="C2150" s="127"/>
      <c r="D2150" s="127"/>
      <c r="E2150" s="127"/>
      <c r="F2150" s="127"/>
      <c r="G2150" s="127"/>
      <c r="H2150" s="127"/>
      <c r="I2150" s="127"/>
      <c r="J2150" s="127"/>
      <c r="K2150" s="127"/>
      <c r="L2150" s="144"/>
      <c r="M2150" s="22" t="s">
        <v>7954</v>
      </c>
      <c r="N2150" s="84" t="str">
        <f>HYPERLINK("#N"&amp;ROW(N2151),"_x0005_`BDCOD|B05417_x0007_`POSS|"&amp;ROW(N2151)&amp;"_x0007_`POSE|"&amp;ROW(N2151)&amp;"_x0007_`")</f>
        <v>_x0005_`BDCOD|B05417_x0007_`POSS|2151_x0007_`POSE|2151_x0007_`</v>
      </c>
      <c r="O2150" s="7" t="s">
        <v>7955</v>
      </c>
    </row>
    <row r="2151" spans="1:26" ht="28.7" customHeight="1" x14ac:dyDescent="0.3">
      <c r="A2151" s="10" t="s">
        <v>1838</v>
      </c>
      <c r="B2151" s="10" t="s">
        <v>1839</v>
      </c>
      <c r="C2151" s="75">
        <v>1</v>
      </c>
      <c r="D2151" s="31" t="s">
        <v>1010</v>
      </c>
      <c r="E2151" s="55">
        <f>I2151+G2151+K2151</f>
        <v>103775</v>
      </c>
      <c r="F2151" s="76">
        <f>J2151+H2151+L2151</f>
        <v>103775</v>
      </c>
      <c r="G2151" s="78">
        <f>일위대가목록표!F712</f>
        <v>100753</v>
      </c>
      <c r="H2151" s="80">
        <f>IF(C2151=0,0,ROUNDDOWN(G2151*C2151,1))</f>
        <v>100753</v>
      </c>
      <c r="I2151" s="78">
        <f>일위대가목록표!G712</f>
        <v>0</v>
      </c>
      <c r="J2151" s="80">
        <f>IF(C2151=0,0,ROUNDDOWN(I2151*C2151,1))</f>
        <v>0</v>
      </c>
      <c r="K2151" s="78">
        <f>일위대가목록표!H712</f>
        <v>3022</v>
      </c>
      <c r="L2151" s="80">
        <f>IF(C2151=0,0,ROUNDDOWN(K2151*C2151,1))</f>
        <v>3022</v>
      </c>
      <c r="M2151" s="22" t="s">
        <v>7657</v>
      </c>
      <c r="N2151" s="17" t="s">
        <v>7655</v>
      </c>
      <c r="O2151" s="7" t="s">
        <v>7656</v>
      </c>
      <c r="P2151" s="7" t="s">
        <v>6406</v>
      </c>
      <c r="Z2151" s="3" t="str">
        <f ca="1">HYPERLINK("#"&amp;일위대가목록표!J2&amp;"!A"&amp;ROW(일위대가목록표!A712),"대가709 →")</f>
        <v>대가709 →</v>
      </c>
    </row>
    <row r="2152" spans="1:26" ht="28.7" customHeight="1" x14ac:dyDescent="0.3">
      <c r="A2152" s="22" t="s">
        <v>6</v>
      </c>
      <c r="B2152" s="74"/>
      <c r="C2152" s="74"/>
      <c r="D2152" s="74"/>
      <c r="E2152" s="74"/>
      <c r="F2152" s="48">
        <f>J2152+H2152+L2152</f>
        <v>103775</v>
      </c>
      <c r="G2152" s="74"/>
      <c r="H2152" s="48">
        <f>ROUNDDOWN(SUMIF(P2151:P2151,O2152,H2151:H2151),0)</f>
        <v>100753</v>
      </c>
      <c r="I2152" s="74"/>
      <c r="J2152" s="48">
        <f>ROUNDDOWN(SUMIF(P2151:P2151,O2152,J2151:J2151),0)</f>
        <v>0</v>
      </c>
      <c r="K2152" s="74"/>
      <c r="L2152" s="48">
        <f>ROUNDDOWN(SUMIF(P2151:P2151,O2152,L2151:L2151),0)</f>
        <v>3022</v>
      </c>
      <c r="M2152" s="74"/>
      <c r="O2152" s="7" t="s">
        <v>6406</v>
      </c>
    </row>
    <row r="2153" spans="1:26" ht="28.7" customHeight="1" x14ac:dyDescent="0.3">
      <c r="A2153" s="73"/>
      <c r="B2153" s="73"/>
      <c r="C2153" s="73"/>
      <c r="D2153" s="73"/>
      <c r="E2153" s="73"/>
      <c r="F2153" s="73"/>
      <c r="G2153" s="73"/>
      <c r="H2153" s="73"/>
      <c r="I2153" s="73"/>
      <c r="J2153" s="73"/>
      <c r="K2153" s="73"/>
      <c r="L2153" s="73"/>
      <c r="M2153" s="73"/>
    </row>
    <row r="2154" spans="1:26" ht="28.7" customHeight="1" x14ac:dyDescent="0.3">
      <c r="A2154" s="136" t="s">
        <v>1232</v>
      </c>
      <c r="B2154" s="127"/>
      <c r="C2154" s="127"/>
      <c r="D2154" s="127"/>
      <c r="E2154" s="127"/>
      <c r="F2154" s="127"/>
      <c r="G2154" s="127"/>
      <c r="H2154" s="127"/>
      <c r="I2154" s="127"/>
      <c r="J2154" s="127"/>
      <c r="K2154" s="127"/>
      <c r="L2154" s="144"/>
      <c r="M2154" s="22" t="s">
        <v>7956</v>
      </c>
      <c r="N2154" s="84" t="str">
        <f>HYPERLINK("#N"&amp;ROW(N2155),"_x0005_`BDCOD|B05418_x0007_`POSS|"&amp;ROW(N2155)&amp;"_x0007_`POSE|"&amp;ROW(N2155)&amp;"_x0007_`")</f>
        <v>_x0005_`BDCOD|B05418_x0007_`POSS|2155_x0007_`POSE|2155_x0007_`</v>
      </c>
      <c r="O2154" s="7" t="s">
        <v>7957</v>
      </c>
    </row>
    <row r="2155" spans="1:26" ht="28.7" customHeight="1" x14ac:dyDescent="0.3">
      <c r="A2155" s="10" t="s">
        <v>1838</v>
      </c>
      <c r="B2155" s="10" t="s">
        <v>1848</v>
      </c>
      <c r="C2155" s="75">
        <v>1</v>
      </c>
      <c r="D2155" s="31" t="s">
        <v>1010</v>
      </c>
      <c r="E2155" s="55">
        <f>I2155+G2155+K2155</f>
        <v>145668</v>
      </c>
      <c r="F2155" s="76">
        <f>J2155+H2155+L2155</f>
        <v>145668</v>
      </c>
      <c r="G2155" s="78">
        <f>일위대가목록표!F715</f>
        <v>145668</v>
      </c>
      <c r="H2155" s="80">
        <f>IF(C2155=0,0,ROUNDDOWN(G2155*C2155,1))</f>
        <v>145668</v>
      </c>
      <c r="I2155" s="78">
        <f>일위대가목록표!G715</f>
        <v>0</v>
      </c>
      <c r="J2155" s="80">
        <f>IF(C2155=0,0,ROUNDDOWN(I2155*C2155,1))</f>
        <v>0</v>
      </c>
      <c r="K2155" s="78">
        <f>일위대가목록표!H715</f>
        <v>0</v>
      </c>
      <c r="L2155" s="80">
        <f>IF(C2155=0,0,ROUNDDOWN(K2155*C2155,1))</f>
        <v>0</v>
      </c>
      <c r="M2155" s="22" t="s">
        <v>7664</v>
      </c>
      <c r="N2155" s="17" t="s">
        <v>7662</v>
      </c>
      <c r="O2155" s="7" t="s">
        <v>7663</v>
      </c>
      <c r="P2155" s="7" t="s">
        <v>6406</v>
      </c>
      <c r="Z2155" s="3" t="str">
        <f ca="1">HYPERLINK("#"&amp;일위대가목록표!J2&amp;"!A"&amp;ROW(일위대가목록표!A715),"대가712 →")</f>
        <v>대가712 →</v>
      </c>
    </row>
    <row r="2156" spans="1:26" ht="28.7" customHeight="1" x14ac:dyDescent="0.3">
      <c r="A2156" s="22" t="s">
        <v>6</v>
      </c>
      <c r="B2156" s="74"/>
      <c r="C2156" s="74"/>
      <c r="D2156" s="74"/>
      <c r="E2156" s="74"/>
      <c r="F2156" s="48">
        <f>J2156+H2156+L2156</f>
        <v>145668</v>
      </c>
      <c r="G2156" s="74"/>
      <c r="H2156" s="48">
        <f>ROUNDDOWN(SUMIF(P2155:P2155,O2156,H2155:H2155),0)</f>
        <v>145668</v>
      </c>
      <c r="I2156" s="74"/>
      <c r="J2156" s="48">
        <f>ROUNDDOWN(SUMIF(P2155:P2155,O2156,J2155:J2155),0)</f>
        <v>0</v>
      </c>
      <c r="K2156" s="74"/>
      <c r="L2156" s="48">
        <f>ROUNDDOWN(SUMIF(P2155:P2155,O2156,L2155:L2155),0)</f>
        <v>0</v>
      </c>
      <c r="M2156" s="74"/>
      <c r="O2156" s="7" t="s">
        <v>6406</v>
      </c>
    </row>
    <row r="2157" spans="1:26" ht="28.7" customHeight="1" x14ac:dyDescent="0.3">
      <c r="A2157" s="73"/>
      <c r="B2157" s="73"/>
      <c r="C2157" s="73"/>
      <c r="D2157" s="73"/>
      <c r="E2157" s="73"/>
      <c r="F2157" s="73"/>
      <c r="G2157" s="73"/>
      <c r="H2157" s="73"/>
      <c r="I2157" s="73"/>
      <c r="J2157" s="73"/>
      <c r="K2157" s="73"/>
      <c r="L2157" s="73"/>
      <c r="M2157" s="73"/>
    </row>
    <row r="2158" spans="1:26" ht="28.7" customHeight="1" x14ac:dyDescent="0.3">
      <c r="A2158" s="136" t="s">
        <v>1234</v>
      </c>
      <c r="B2158" s="127"/>
      <c r="C2158" s="127"/>
      <c r="D2158" s="127"/>
      <c r="E2158" s="127"/>
      <c r="F2158" s="127"/>
      <c r="G2158" s="127"/>
      <c r="H2158" s="127"/>
      <c r="I2158" s="127"/>
      <c r="J2158" s="127"/>
      <c r="K2158" s="127"/>
      <c r="L2158" s="144"/>
      <c r="M2158" s="22" t="s">
        <v>7958</v>
      </c>
      <c r="N2158" s="84" t="str">
        <f>HYPERLINK("#N"&amp;ROW(N2159),"_x0005_`BDCOD|B05419_x0007_`POSS|"&amp;ROW(N2159)&amp;"_x0007_`POSE|"&amp;ROW(N2159)&amp;"_x0007_`")</f>
        <v>_x0005_`BDCOD|B05419_x0007_`POSS|2159_x0007_`POSE|2159_x0007_`</v>
      </c>
      <c r="O2158" s="7" t="s">
        <v>7959</v>
      </c>
    </row>
    <row r="2159" spans="1:26" ht="28.7" customHeight="1" x14ac:dyDescent="0.3">
      <c r="A2159" s="10" t="s">
        <v>1838</v>
      </c>
      <c r="B2159" s="10" t="s">
        <v>1855</v>
      </c>
      <c r="C2159" s="75">
        <v>1</v>
      </c>
      <c r="D2159" s="31" t="s">
        <v>1010</v>
      </c>
      <c r="E2159" s="55">
        <f>I2159+G2159+K2159</f>
        <v>189819</v>
      </c>
      <c r="F2159" s="76">
        <f>J2159+H2159+L2159</f>
        <v>189819</v>
      </c>
      <c r="G2159" s="78">
        <f>일위대가목록표!F718</f>
        <v>189819</v>
      </c>
      <c r="H2159" s="80">
        <f>IF(C2159=0,0,ROUNDDOWN(G2159*C2159,1))</f>
        <v>189819</v>
      </c>
      <c r="I2159" s="78">
        <f>일위대가목록표!G718</f>
        <v>0</v>
      </c>
      <c r="J2159" s="80">
        <f>IF(C2159=0,0,ROUNDDOWN(I2159*C2159,1))</f>
        <v>0</v>
      </c>
      <c r="K2159" s="78">
        <f>일위대가목록표!H718</f>
        <v>0</v>
      </c>
      <c r="L2159" s="80">
        <f>IF(C2159=0,0,ROUNDDOWN(K2159*C2159,1))</f>
        <v>0</v>
      </c>
      <c r="M2159" s="22" t="s">
        <v>7671</v>
      </c>
      <c r="N2159" s="17" t="s">
        <v>7669</v>
      </c>
      <c r="O2159" s="7" t="s">
        <v>7670</v>
      </c>
      <c r="P2159" s="7" t="s">
        <v>6406</v>
      </c>
      <c r="Z2159" s="3" t="str">
        <f ca="1">HYPERLINK("#"&amp;일위대가목록표!J2&amp;"!A"&amp;ROW(일위대가목록표!A718),"대가715 →")</f>
        <v>대가715 →</v>
      </c>
    </row>
    <row r="2160" spans="1:26" ht="28.7" customHeight="1" x14ac:dyDescent="0.3">
      <c r="A2160" s="22" t="s">
        <v>6</v>
      </c>
      <c r="B2160" s="74"/>
      <c r="C2160" s="74"/>
      <c r="D2160" s="74"/>
      <c r="E2160" s="74"/>
      <c r="F2160" s="48">
        <f>J2160+H2160+L2160</f>
        <v>189819</v>
      </c>
      <c r="G2160" s="74"/>
      <c r="H2160" s="48">
        <f>ROUNDDOWN(SUMIF(P2159:P2159,O2160,H2159:H2159),0)</f>
        <v>189819</v>
      </c>
      <c r="I2160" s="74"/>
      <c r="J2160" s="48">
        <f>ROUNDDOWN(SUMIF(P2159:P2159,O2160,J2159:J2159),0)</f>
        <v>0</v>
      </c>
      <c r="K2160" s="74"/>
      <c r="L2160" s="48">
        <f>ROUNDDOWN(SUMIF(P2159:P2159,O2160,L2159:L2159),0)</f>
        <v>0</v>
      </c>
      <c r="M2160" s="74"/>
      <c r="O2160" s="7" t="s">
        <v>6406</v>
      </c>
    </row>
    <row r="2161" spans="1:26" ht="28.7" customHeight="1" x14ac:dyDescent="0.3">
      <c r="A2161" s="73"/>
      <c r="B2161" s="73"/>
      <c r="C2161" s="73"/>
      <c r="D2161" s="73"/>
      <c r="E2161" s="73"/>
      <c r="F2161" s="73"/>
      <c r="G2161" s="73"/>
      <c r="H2161" s="73"/>
      <c r="I2161" s="73"/>
      <c r="J2161" s="73"/>
      <c r="K2161" s="73"/>
      <c r="L2161" s="73"/>
      <c r="M2161" s="73"/>
    </row>
    <row r="2162" spans="1:26" ht="28.7" customHeight="1" x14ac:dyDescent="0.3">
      <c r="A2162" s="136" t="s">
        <v>1236</v>
      </c>
      <c r="B2162" s="127"/>
      <c r="C2162" s="127"/>
      <c r="D2162" s="127"/>
      <c r="E2162" s="127"/>
      <c r="F2162" s="127"/>
      <c r="G2162" s="127"/>
      <c r="H2162" s="127"/>
      <c r="I2162" s="127"/>
      <c r="J2162" s="127"/>
      <c r="K2162" s="127"/>
      <c r="L2162" s="144"/>
      <c r="M2162" s="22" t="s">
        <v>7960</v>
      </c>
      <c r="N2162" s="84" t="str">
        <f>HYPERLINK("#N"&amp;ROW(N2163),"_x0005_`BDCOD|B05420_x0007_`POSS|"&amp;ROW(N2163)&amp;"_x0007_`POSE|"&amp;ROW(N2163)&amp;"_x0007_`")</f>
        <v>_x0005_`BDCOD|B05420_x0007_`POSS|2163_x0007_`POSE|2163_x0007_`</v>
      </c>
      <c r="O2162" s="7" t="s">
        <v>7961</v>
      </c>
    </row>
    <row r="2163" spans="1:26" ht="28.7" customHeight="1" x14ac:dyDescent="0.3">
      <c r="A2163" s="10" t="s">
        <v>1838</v>
      </c>
      <c r="B2163" s="10" t="s">
        <v>1862</v>
      </c>
      <c r="C2163" s="75">
        <v>1</v>
      </c>
      <c r="D2163" s="31" t="s">
        <v>1010</v>
      </c>
      <c r="E2163" s="55">
        <f>I2163+G2163+K2163</f>
        <v>246873</v>
      </c>
      <c r="F2163" s="76">
        <f>J2163+H2163+L2163</f>
        <v>246873</v>
      </c>
      <c r="G2163" s="78">
        <f>일위대가목록표!F721</f>
        <v>246873</v>
      </c>
      <c r="H2163" s="80">
        <f>IF(C2163=0,0,ROUNDDOWN(G2163*C2163,1))</f>
        <v>246873</v>
      </c>
      <c r="I2163" s="78">
        <f>일위대가목록표!G721</f>
        <v>0</v>
      </c>
      <c r="J2163" s="80">
        <f>IF(C2163=0,0,ROUNDDOWN(I2163*C2163,1))</f>
        <v>0</v>
      </c>
      <c r="K2163" s="78">
        <f>일위대가목록표!H721</f>
        <v>0</v>
      </c>
      <c r="L2163" s="80">
        <f>IF(C2163=0,0,ROUNDDOWN(K2163*C2163,1))</f>
        <v>0</v>
      </c>
      <c r="M2163" s="22" t="s">
        <v>7678</v>
      </c>
      <c r="N2163" s="17" t="s">
        <v>7676</v>
      </c>
      <c r="O2163" s="7" t="s">
        <v>7677</v>
      </c>
      <c r="P2163" s="7" t="s">
        <v>6406</v>
      </c>
      <c r="Z2163" s="3" t="str">
        <f ca="1">HYPERLINK("#"&amp;일위대가목록표!J2&amp;"!A"&amp;ROW(일위대가목록표!A721),"대가718 →")</f>
        <v>대가718 →</v>
      </c>
    </row>
    <row r="2164" spans="1:26" ht="28.7" customHeight="1" x14ac:dyDescent="0.3">
      <c r="A2164" s="22" t="s">
        <v>6</v>
      </c>
      <c r="B2164" s="74"/>
      <c r="C2164" s="74"/>
      <c r="D2164" s="74"/>
      <c r="E2164" s="74"/>
      <c r="F2164" s="48">
        <f>J2164+H2164+L2164</f>
        <v>246873</v>
      </c>
      <c r="G2164" s="74"/>
      <c r="H2164" s="48">
        <f>ROUNDDOWN(SUMIF(P2163:P2163,O2164,H2163:H2163),0)</f>
        <v>246873</v>
      </c>
      <c r="I2164" s="74"/>
      <c r="J2164" s="48">
        <f>ROUNDDOWN(SUMIF(P2163:P2163,O2164,J2163:J2163),0)</f>
        <v>0</v>
      </c>
      <c r="K2164" s="74"/>
      <c r="L2164" s="48">
        <f>ROUNDDOWN(SUMIF(P2163:P2163,O2164,L2163:L2163),0)</f>
        <v>0</v>
      </c>
      <c r="M2164" s="74"/>
      <c r="O2164" s="7" t="s">
        <v>6406</v>
      </c>
    </row>
    <row r="2165" spans="1:26" ht="28.7" customHeight="1" x14ac:dyDescent="0.3">
      <c r="A2165" s="73"/>
      <c r="B2165" s="73"/>
      <c r="C2165" s="73"/>
      <c r="D2165" s="73"/>
      <c r="E2165" s="73"/>
      <c r="F2165" s="73"/>
      <c r="G2165" s="73"/>
      <c r="H2165" s="73"/>
      <c r="I2165" s="73"/>
      <c r="J2165" s="73"/>
      <c r="K2165" s="73"/>
      <c r="L2165" s="73"/>
      <c r="M2165" s="73"/>
    </row>
    <row r="2166" spans="1:26" ht="28.7" customHeight="1" x14ac:dyDescent="0.3">
      <c r="A2166" s="136" t="s">
        <v>1238</v>
      </c>
      <c r="B2166" s="127"/>
      <c r="C2166" s="127"/>
      <c r="D2166" s="127"/>
      <c r="E2166" s="127"/>
      <c r="F2166" s="127"/>
      <c r="G2166" s="127"/>
      <c r="H2166" s="127"/>
      <c r="I2166" s="127"/>
      <c r="J2166" s="127"/>
      <c r="K2166" s="127"/>
      <c r="L2166" s="144"/>
      <c r="M2166" s="22" t="s">
        <v>7962</v>
      </c>
      <c r="N2166" s="84" t="str">
        <f>HYPERLINK("#N"&amp;ROW(N2167),"_x0005_`BDCOD|B05421_x0007_`POSS|"&amp;ROW(N2167)&amp;"_x0007_`POSE|"&amp;ROW(N2167)&amp;"_x0007_`")</f>
        <v>_x0005_`BDCOD|B05421_x0007_`POSS|2167_x0007_`POSE|2167_x0007_`</v>
      </c>
      <c r="O2166" s="7" t="s">
        <v>7963</v>
      </c>
    </row>
    <row r="2167" spans="1:26" ht="28.7" customHeight="1" x14ac:dyDescent="0.3">
      <c r="A2167" s="10" t="s">
        <v>1838</v>
      </c>
      <c r="B2167" s="10" t="s">
        <v>1876</v>
      </c>
      <c r="C2167" s="75">
        <v>1</v>
      </c>
      <c r="D2167" s="31" t="s">
        <v>1010</v>
      </c>
      <c r="E2167" s="55">
        <f>I2167+G2167+K2167</f>
        <v>246873</v>
      </c>
      <c r="F2167" s="76">
        <f>J2167+H2167+L2167</f>
        <v>246873</v>
      </c>
      <c r="G2167" s="78">
        <f>일위대가목록표!F730</f>
        <v>246873</v>
      </c>
      <c r="H2167" s="80">
        <f>IF(C2167=0,0,ROUNDDOWN(G2167*C2167,1))</f>
        <v>246873</v>
      </c>
      <c r="I2167" s="78">
        <f>일위대가목록표!G730</f>
        <v>0</v>
      </c>
      <c r="J2167" s="80">
        <f>IF(C2167=0,0,ROUNDDOWN(I2167*C2167,1))</f>
        <v>0</v>
      </c>
      <c r="K2167" s="78">
        <f>일위대가목록표!H730</f>
        <v>0</v>
      </c>
      <c r="L2167" s="80">
        <f>IF(C2167=0,0,ROUNDDOWN(K2167*C2167,1))</f>
        <v>0</v>
      </c>
      <c r="M2167" s="22" t="s">
        <v>7901</v>
      </c>
      <c r="N2167" s="17" t="s">
        <v>7899</v>
      </c>
      <c r="O2167" s="7" t="s">
        <v>7900</v>
      </c>
      <c r="P2167" s="7" t="s">
        <v>6406</v>
      </c>
      <c r="Z2167" s="3" t="str">
        <f ca="1">HYPERLINK("#"&amp;일위대가목록표!J2&amp;"!A"&amp;ROW(일위대가목록표!A730),"대가727 →")</f>
        <v>대가727 →</v>
      </c>
    </row>
    <row r="2168" spans="1:26" ht="28.7" customHeight="1" x14ac:dyDescent="0.3">
      <c r="A2168" s="22" t="s">
        <v>6</v>
      </c>
      <c r="B2168" s="74"/>
      <c r="C2168" s="74"/>
      <c r="D2168" s="74"/>
      <c r="E2168" s="74"/>
      <c r="F2168" s="48">
        <f>J2168+H2168+L2168</f>
        <v>246873</v>
      </c>
      <c r="G2168" s="74"/>
      <c r="H2168" s="48">
        <f>ROUNDDOWN(SUMIF(P2167:P2167,O2168,H2167:H2167),0)</f>
        <v>246873</v>
      </c>
      <c r="I2168" s="74"/>
      <c r="J2168" s="48">
        <f>ROUNDDOWN(SUMIF(P2167:P2167,O2168,J2167:J2167),0)</f>
        <v>0</v>
      </c>
      <c r="K2168" s="74"/>
      <c r="L2168" s="48">
        <f>ROUNDDOWN(SUMIF(P2167:P2167,O2168,L2167:L2167),0)</f>
        <v>0</v>
      </c>
      <c r="M2168" s="74"/>
      <c r="O2168" s="7" t="s">
        <v>6406</v>
      </c>
    </row>
    <row r="2169" spans="1:26" ht="28.7" customHeight="1" x14ac:dyDescent="0.3">
      <c r="A2169" s="73"/>
      <c r="B2169" s="73"/>
      <c r="C2169" s="73"/>
      <c r="D2169" s="73"/>
      <c r="E2169" s="73"/>
      <c r="F2169" s="73"/>
      <c r="G2169" s="73"/>
      <c r="H2169" s="73"/>
      <c r="I2169" s="73"/>
      <c r="J2169" s="73"/>
      <c r="K2169" s="73"/>
      <c r="L2169" s="73"/>
      <c r="M2169" s="73"/>
    </row>
    <row r="2170" spans="1:26" ht="28.7" customHeight="1" x14ac:dyDescent="0.3">
      <c r="A2170" s="136" t="s">
        <v>1240</v>
      </c>
      <c r="B2170" s="127"/>
      <c r="C2170" s="127"/>
      <c r="D2170" s="127"/>
      <c r="E2170" s="127"/>
      <c r="F2170" s="127"/>
      <c r="G2170" s="127"/>
      <c r="H2170" s="127"/>
      <c r="I2170" s="127"/>
      <c r="J2170" s="127"/>
      <c r="K2170" s="127"/>
      <c r="L2170" s="144"/>
      <c r="M2170" s="22" t="s">
        <v>7964</v>
      </c>
      <c r="N2170" s="84" t="str">
        <f>HYPERLINK("#N"&amp;ROW(N2171),"_x0005_`BDCOD|B05422_x0007_`POSS|"&amp;ROW(N2171)&amp;"_x0007_`POSE|"&amp;ROW(N2171)&amp;"_x0007_`")</f>
        <v>_x0005_`BDCOD|B05422_x0007_`POSS|2171_x0007_`POSE|2171_x0007_`</v>
      </c>
      <c r="O2170" s="7" t="s">
        <v>7965</v>
      </c>
    </row>
    <row r="2171" spans="1:26" ht="28.7" customHeight="1" x14ac:dyDescent="0.3">
      <c r="A2171" s="10" t="s">
        <v>1845</v>
      </c>
      <c r="B2171" s="10" t="s">
        <v>1562</v>
      </c>
      <c r="C2171" s="75">
        <v>1</v>
      </c>
      <c r="D2171" s="31" t="s">
        <v>1010</v>
      </c>
      <c r="E2171" s="55">
        <f>I2171+G2171+K2171</f>
        <v>43354</v>
      </c>
      <c r="F2171" s="76">
        <f>J2171+H2171+L2171</f>
        <v>43354</v>
      </c>
      <c r="G2171" s="78">
        <f>일위대가목록표!F726</f>
        <v>43354</v>
      </c>
      <c r="H2171" s="80">
        <f>IF(C2171=0,0,ROUNDDOWN(G2171*C2171,1))</f>
        <v>43354</v>
      </c>
      <c r="I2171" s="78">
        <f>일위대가목록표!G726</f>
        <v>0</v>
      </c>
      <c r="J2171" s="80">
        <f>IF(C2171=0,0,ROUNDDOWN(I2171*C2171,1))</f>
        <v>0</v>
      </c>
      <c r="K2171" s="78">
        <f>일위대가목록표!H726</f>
        <v>0</v>
      </c>
      <c r="L2171" s="80">
        <f>IF(C2171=0,0,ROUNDDOWN(K2171*C2171,1))</f>
        <v>0</v>
      </c>
      <c r="M2171" s="22" t="s">
        <v>7776</v>
      </c>
      <c r="N2171" s="17" t="s">
        <v>7774</v>
      </c>
      <c r="O2171" s="7" t="s">
        <v>7775</v>
      </c>
      <c r="P2171" s="7" t="s">
        <v>6406</v>
      </c>
      <c r="Z2171" s="3" t="str">
        <f ca="1">HYPERLINK("#"&amp;일위대가목록표!J2&amp;"!A"&amp;ROW(일위대가목록표!A726),"대가723 →")</f>
        <v>대가723 →</v>
      </c>
    </row>
    <row r="2172" spans="1:26" ht="28.7" customHeight="1" x14ac:dyDescent="0.3">
      <c r="A2172" s="22" t="s">
        <v>6</v>
      </c>
      <c r="B2172" s="74"/>
      <c r="C2172" s="74"/>
      <c r="D2172" s="74"/>
      <c r="E2172" s="74"/>
      <c r="F2172" s="48">
        <f>J2172+H2172+L2172</f>
        <v>43354</v>
      </c>
      <c r="G2172" s="74"/>
      <c r="H2172" s="48">
        <f>ROUNDDOWN(SUMIF(P2171:P2171,O2172,H2171:H2171),0)</f>
        <v>43354</v>
      </c>
      <c r="I2172" s="74"/>
      <c r="J2172" s="48">
        <f>ROUNDDOWN(SUMIF(P2171:P2171,O2172,J2171:J2171),0)</f>
        <v>0</v>
      </c>
      <c r="K2172" s="74"/>
      <c r="L2172" s="48">
        <f>ROUNDDOWN(SUMIF(P2171:P2171,O2172,L2171:L2171),0)</f>
        <v>0</v>
      </c>
      <c r="M2172" s="74"/>
      <c r="O2172" s="7" t="s">
        <v>6406</v>
      </c>
    </row>
    <row r="2173" spans="1:26" ht="28.7" customHeight="1" x14ac:dyDescent="0.3">
      <c r="A2173" s="73"/>
      <c r="B2173" s="73"/>
      <c r="C2173" s="73"/>
      <c r="D2173" s="73"/>
      <c r="E2173" s="73"/>
      <c r="F2173" s="73"/>
      <c r="G2173" s="73"/>
      <c r="H2173" s="73"/>
      <c r="I2173" s="73"/>
      <c r="J2173" s="73"/>
      <c r="K2173" s="73"/>
      <c r="L2173" s="73"/>
      <c r="M2173" s="73"/>
    </row>
    <row r="2174" spans="1:26" ht="28.7" customHeight="1" x14ac:dyDescent="0.3">
      <c r="A2174" s="136" t="s">
        <v>1243</v>
      </c>
      <c r="B2174" s="127"/>
      <c r="C2174" s="127"/>
      <c r="D2174" s="127"/>
      <c r="E2174" s="127"/>
      <c r="F2174" s="127"/>
      <c r="G2174" s="127"/>
      <c r="H2174" s="127"/>
      <c r="I2174" s="127"/>
      <c r="J2174" s="127"/>
      <c r="K2174" s="127"/>
      <c r="L2174" s="144"/>
      <c r="M2174" s="22" t="s">
        <v>7966</v>
      </c>
      <c r="N2174" s="84" t="str">
        <f>HYPERLINK("#N"&amp;ROW(N2175),"_x0005_`BDCOD|B05423_x0007_`POSS|"&amp;ROW(N2175)&amp;"_x0007_`POSE|"&amp;ROW(N2175)&amp;"_x0007_`")</f>
        <v>_x0005_`BDCOD|B05423_x0007_`POSS|2175_x0007_`POSE|2175_x0007_`</v>
      </c>
      <c r="O2174" s="7" t="s">
        <v>7967</v>
      </c>
    </row>
    <row r="2175" spans="1:26" ht="28.7" customHeight="1" x14ac:dyDescent="0.3">
      <c r="A2175" s="10" t="s">
        <v>1845</v>
      </c>
      <c r="B2175" s="10" t="s">
        <v>1543</v>
      </c>
      <c r="C2175" s="75">
        <v>1</v>
      </c>
      <c r="D2175" s="31" t="s">
        <v>1010</v>
      </c>
      <c r="E2175" s="55">
        <f>I2175+G2175+K2175</f>
        <v>74126</v>
      </c>
      <c r="F2175" s="76">
        <f>J2175+H2175+L2175</f>
        <v>74126</v>
      </c>
      <c r="G2175" s="78">
        <f>일위대가목록표!F714</f>
        <v>71967</v>
      </c>
      <c r="H2175" s="80">
        <f>IF(C2175=0,0,ROUNDDOWN(G2175*C2175,1))</f>
        <v>71967</v>
      </c>
      <c r="I2175" s="78">
        <f>일위대가목록표!G714</f>
        <v>0</v>
      </c>
      <c r="J2175" s="80">
        <f>IF(C2175=0,0,ROUNDDOWN(I2175*C2175,1))</f>
        <v>0</v>
      </c>
      <c r="K2175" s="78">
        <f>일위대가목록표!H714</f>
        <v>2159</v>
      </c>
      <c r="L2175" s="80">
        <f>IF(C2175=0,0,ROUNDDOWN(K2175*C2175,1))</f>
        <v>2159</v>
      </c>
      <c r="M2175" s="22" t="s">
        <v>7693</v>
      </c>
      <c r="N2175" s="17" t="s">
        <v>7691</v>
      </c>
      <c r="O2175" s="7" t="s">
        <v>7692</v>
      </c>
      <c r="P2175" s="7" t="s">
        <v>6406</v>
      </c>
      <c r="Z2175" s="3" t="str">
        <f ca="1">HYPERLINK("#"&amp;일위대가목록표!J2&amp;"!A"&amp;ROW(일위대가목록표!A714),"대가711 →")</f>
        <v>대가711 →</v>
      </c>
    </row>
    <row r="2176" spans="1:26" ht="28.7" customHeight="1" x14ac:dyDescent="0.3">
      <c r="A2176" s="22" t="s">
        <v>6</v>
      </c>
      <c r="B2176" s="74"/>
      <c r="C2176" s="74"/>
      <c r="D2176" s="74"/>
      <c r="E2176" s="74"/>
      <c r="F2176" s="48">
        <f>J2176+H2176+L2176</f>
        <v>74126</v>
      </c>
      <c r="G2176" s="74"/>
      <c r="H2176" s="48">
        <f>ROUNDDOWN(SUMIF(P2175:P2175,O2176,H2175:H2175),0)</f>
        <v>71967</v>
      </c>
      <c r="I2176" s="74"/>
      <c r="J2176" s="48">
        <f>ROUNDDOWN(SUMIF(P2175:P2175,O2176,J2175:J2175),0)</f>
        <v>0</v>
      </c>
      <c r="K2176" s="74"/>
      <c r="L2176" s="48">
        <f>ROUNDDOWN(SUMIF(P2175:P2175,O2176,L2175:L2175),0)</f>
        <v>2159</v>
      </c>
      <c r="M2176" s="74"/>
      <c r="O2176" s="7" t="s">
        <v>6406</v>
      </c>
    </row>
    <row r="2177" spans="1:26" ht="28.7" customHeight="1" x14ac:dyDescent="0.3">
      <c r="A2177" s="73"/>
      <c r="B2177" s="73"/>
      <c r="C2177" s="73"/>
      <c r="D2177" s="73"/>
      <c r="E2177" s="73"/>
      <c r="F2177" s="73"/>
      <c r="G2177" s="73"/>
      <c r="H2177" s="73"/>
      <c r="I2177" s="73"/>
      <c r="J2177" s="73"/>
      <c r="K2177" s="73"/>
      <c r="L2177" s="73"/>
      <c r="M2177" s="73"/>
    </row>
    <row r="2178" spans="1:26" ht="28.7" customHeight="1" x14ac:dyDescent="0.3">
      <c r="A2178" s="136" t="s">
        <v>1245</v>
      </c>
      <c r="B2178" s="127"/>
      <c r="C2178" s="127"/>
      <c r="D2178" s="127"/>
      <c r="E2178" s="127"/>
      <c r="F2178" s="127"/>
      <c r="G2178" s="127"/>
      <c r="H2178" s="127"/>
      <c r="I2178" s="127"/>
      <c r="J2178" s="127"/>
      <c r="K2178" s="127"/>
      <c r="L2178" s="144"/>
      <c r="M2178" s="22" t="s">
        <v>7968</v>
      </c>
      <c r="N2178" s="84" t="str">
        <f>HYPERLINK("#N"&amp;ROW(N2179),"_x0005_`BDCOD|B05424_x0007_`POSS|"&amp;ROW(N2179)&amp;"_x0007_`POSE|"&amp;ROW(N2179)&amp;"_x0007_`")</f>
        <v>_x0005_`BDCOD|B05424_x0007_`POSS|2179_x0007_`POSE|2179_x0007_`</v>
      </c>
      <c r="O2178" s="7" t="s">
        <v>7969</v>
      </c>
    </row>
    <row r="2179" spans="1:26" ht="28.7" customHeight="1" x14ac:dyDescent="0.3">
      <c r="A2179" s="10" t="s">
        <v>1845</v>
      </c>
      <c r="B2179" s="10" t="s">
        <v>1546</v>
      </c>
      <c r="C2179" s="75">
        <v>1</v>
      </c>
      <c r="D2179" s="31" t="s">
        <v>1010</v>
      </c>
      <c r="E2179" s="55">
        <f>I2179+G2179+K2179</f>
        <v>104049</v>
      </c>
      <c r="F2179" s="76">
        <f>J2179+H2179+L2179</f>
        <v>104049</v>
      </c>
      <c r="G2179" s="78">
        <f>일위대가목록표!F717</f>
        <v>104049</v>
      </c>
      <c r="H2179" s="80">
        <f>IF(C2179=0,0,ROUNDDOWN(G2179*C2179,1))</f>
        <v>104049</v>
      </c>
      <c r="I2179" s="78">
        <f>일위대가목록표!G717</f>
        <v>0</v>
      </c>
      <c r="J2179" s="80">
        <f>IF(C2179=0,0,ROUNDDOWN(I2179*C2179,1))</f>
        <v>0</v>
      </c>
      <c r="K2179" s="78">
        <f>일위대가목록표!H717</f>
        <v>0</v>
      </c>
      <c r="L2179" s="80">
        <f>IF(C2179=0,0,ROUNDDOWN(K2179*C2179,1))</f>
        <v>0</v>
      </c>
      <c r="M2179" s="22" t="s">
        <v>7698</v>
      </c>
      <c r="N2179" s="17" t="s">
        <v>7696</v>
      </c>
      <c r="O2179" s="7" t="s">
        <v>7697</v>
      </c>
      <c r="P2179" s="7" t="s">
        <v>6406</v>
      </c>
      <c r="Z2179" s="3" t="str">
        <f ca="1">HYPERLINK("#"&amp;일위대가목록표!J2&amp;"!A"&amp;ROW(일위대가목록표!A717),"대가714 →")</f>
        <v>대가714 →</v>
      </c>
    </row>
    <row r="2180" spans="1:26" ht="28.7" customHeight="1" x14ac:dyDescent="0.3">
      <c r="A2180" s="22" t="s">
        <v>6</v>
      </c>
      <c r="B2180" s="74"/>
      <c r="C2180" s="74"/>
      <c r="D2180" s="74"/>
      <c r="E2180" s="74"/>
      <c r="F2180" s="48">
        <f>J2180+H2180+L2180</f>
        <v>104049</v>
      </c>
      <c r="G2180" s="74"/>
      <c r="H2180" s="48">
        <f>ROUNDDOWN(SUMIF(P2179:P2179,O2180,H2179:H2179),0)</f>
        <v>104049</v>
      </c>
      <c r="I2180" s="74"/>
      <c r="J2180" s="48">
        <f>ROUNDDOWN(SUMIF(P2179:P2179,O2180,J2179:J2179),0)</f>
        <v>0</v>
      </c>
      <c r="K2180" s="74"/>
      <c r="L2180" s="48">
        <f>ROUNDDOWN(SUMIF(P2179:P2179,O2180,L2179:L2179),0)</f>
        <v>0</v>
      </c>
      <c r="M2180" s="74"/>
      <c r="O2180" s="7" t="s">
        <v>6406</v>
      </c>
    </row>
    <row r="2181" spans="1:26" ht="28.7" customHeight="1" x14ac:dyDescent="0.3">
      <c r="A2181" s="73"/>
      <c r="B2181" s="73"/>
      <c r="C2181" s="73"/>
      <c r="D2181" s="73"/>
      <c r="E2181" s="73"/>
      <c r="F2181" s="73"/>
      <c r="G2181" s="73"/>
      <c r="H2181" s="73"/>
      <c r="I2181" s="73"/>
      <c r="J2181" s="73"/>
      <c r="K2181" s="73"/>
      <c r="L2181" s="73"/>
      <c r="M2181" s="73"/>
    </row>
    <row r="2182" spans="1:26" ht="28.7" customHeight="1" x14ac:dyDescent="0.3">
      <c r="A2182" s="136" t="s">
        <v>1247</v>
      </c>
      <c r="B2182" s="127"/>
      <c r="C2182" s="127"/>
      <c r="D2182" s="127"/>
      <c r="E2182" s="127"/>
      <c r="F2182" s="127"/>
      <c r="G2182" s="127"/>
      <c r="H2182" s="127"/>
      <c r="I2182" s="127"/>
      <c r="J2182" s="127"/>
      <c r="K2182" s="127"/>
      <c r="L2182" s="144"/>
      <c r="M2182" s="22" t="s">
        <v>7970</v>
      </c>
      <c r="N2182" s="84" t="str">
        <f>HYPERLINK("#N"&amp;ROW(N2183),"_x0005_`BDCOD|B05425_x0007_`POSS|"&amp;ROW(N2183)&amp;"_x0007_`POSE|"&amp;ROW(N2183)&amp;"_x0007_`")</f>
        <v>_x0005_`BDCOD|B05425_x0007_`POSS|2183_x0007_`POSE|2183_x0007_`</v>
      </c>
      <c r="O2182" s="7" t="s">
        <v>7971</v>
      </c>
    </row>
    <row r="2183" spans="1:26" ht="28.7" customHeight="1" x14ac:dyDescent="0.3">
      <c r="A2183" s="10" t="s">
        <v>1845</v>
      </c>
      <c r="B2183" s="10" t="s">
        <v>1569</v>
      </c>
      <c r="C2183" s="75">
        <v>1</v>
      </c>
      <c r="D2183" s="31" t="s">
        <v>1010</v>
      </c>
      <c r="E2183" s="55">
        <f>I2183+G2183+K2183</f>
        <v>135585</v>
      </c>
      <c r="F2183" s="76">
        <f>J2183+H2183+L2183</f>
        <v>135585</v>
      </c>
      <c r="G2183" s="78">
        <f>일위대가목록표!F720</f>
        <v>135585</v>
      </c>
      <c r="H2183" s="80">
        <f>IF(C2183=0,0,ROUNDDOWN(G2183*C2183,1))</f>
        <v>135585</v>
      </c>
      <c r="I2183" s="78">
        <f>일위대가목록표!G720</f>
        <v>0</v>
      </c>
      <c r="J2183" s="80">
        <f>IF(C2183=0,0,ROUNDDOWN(I2183*C2183,1))</f>
        <v>0</v>
      </c>
      <c r="K2183" s="78">
        <f>일위대가목록표!H720</f>
        <v>0</v>
      </c>
      <c r="L2183" s="80">
        <f>IF(C2183=0,0,ROUNDDOWN(K2183*C2183,1))</f>
        <v>0</v>
      </c>
      <c r="M2183" s="22" t="s">
        <v>7703</v>
      </c>
      <c r="N2183" s="17" t="s">
        <v>7701</v>
      </c>
      <c r="O2183" s="7" t="s">
        <v>7702</v>
      </c>
      <c r="P2183" s="7" t="s">
        <v>6406</v>
      </c>
      <c r="Z2183" s="3" t="str">
        <f ca="1">HYPERLINK("#"&amp;일위대가목록표!J2&amp;"!A"&amp;ROW(일위대가목록표!A720),"대가717 →")</f>
        <v>대가717 →</v>
      </c>
    </row>
    <row r="2184" spans="1:26" ht="28.7" customHeight="1" x14ac:dyDescent="0.3">
      <c r="A2184" s="22" t="s">
        <v>6</v>
      </c>
      <c r="B2184" s="74"/>
      <c r="C2184" s="74"/>
      <c r="D2184" s="74"/>
      <c r="E2184" s="74"/>
      <c r="F2184" s="48">
        <f>J2184+H2184+L2184</f>
        <v>135585</v>
      </c>
      <c r="G2184" s="74"/>
      <c r="H2184" s="48">
        <f>ROUNDDOWN(SUMIF(P2183:P2183,O2184,H2183:H2183),0)</f>
        <v>135585</v>
      </c>
      <c r="I2184" s="74"/>
      <c r="J2184" s="48">
        <f>ROUNDDOWN(SUMIF(P2183:P2183,O2184,J2183:J2183),0)</f>
        <v>0</v>
      </c>
      <c r="K2184" s="74"/>
      <c r="L2184" s="48">
        <f>ROUNDDOWN(SUMIF(P2183:P2183,O2184,L2183:L2183),0)</f>
        <v>0</v>
      </c>
      <c r="M2184" s="74"/>
      <c r="O2184" s="7" t="s">
        <v>6406</v>
      </c>
    </row>
    <row r="2185" spans="1:26" ht="28.7" customHeight="1" x14ac:dyDescent="0.3">
      <c r="A2185" s="73"/>
      <c r="B2185" s="73"/>
      <c r="C2185" s="73"/>
      <c r="D2185" s="73"/>
      <c r="E2185" s="73"/>
      <c r="F2185" s="73"/>
      <c r="G2185" s="73"/>
      <c r="H2185" s="73"/>
      <c r="I2185" s="73"/>
      <c r="J2185" s="73"/>
      <c r="K2185" s="73"/>
      <c r="L2185" s="73"/>
      <c r="M2185" s="73"/>
    </row>
    <row r="2186" spans="1:26" ht="28.7" customHeight="1" x14ac:dyDescent="0.3">
      <c r="A2186" s="136" t="s">
        <v>1249</v>
      </c>
      <c r="B2186" s="127"/>
      <c r="C2186" s="127"/>
      <c r="D2186" s="127"/>
      <c r="E2186" s="127"/>
      <c r="F2186" s="127"/>
      <c r="G2186" s="127"/>
      <c r="H2186" s="127"/>
      <c r="I2186" s="127"/>
      <c r="J2186" s="127"/>
      <c r="K2186" s="127"/>
      <c r="L2186" s="144"/>
      <c r="M2186" s="22" t="s">
        <v>7972</v>
      </c>
      <c r="N2186" s="84" t="str">
        <f>HYPERLINK("#N"&amp;ROW(N2187),"_x0005_`BDCOD|B05426_x0007_`POSS|"&amp;ROW(N2187)&amp;"_x0007_`POSE|"&amp;ROW(N2187)&amp;"_x0007_`")</f>
        <v>_x0005_`BDCOD|B05426_x0007_`POSS|2187_x0007_`POSE|2187_x0007_`</v>
      </c>
      <c r="O2186" s="7" t="s">
        <v>7973</v>
      </c>
    </row>
    <row r="2187" spans="1:26" ht="28.7" customHeight="1" x14ac:dyDescent="0.3">
      <c r="A2187" s="10" t="s">
        <v>1845</v>
      </c>
      <c r="B2187" s="10" t="s">
        <v>1572</v>
      </c>
      <c r="C2187" s="75">
        <v>1</v>
      </c>
      <c r="D2187" s="31" t="s">
        <v>1010</v>
      </c>
      <c r="E2187" s="55">
        <f>I2187+G2187+K2187</f>
        <v>176338</v>
      </c>
      <c r="F2187" s="76">
        <f>J2187+H2187+L2187</f>
        <v>176338</v>
      </c>
      <c r="G2187" s="78">
        <f>일위대가목록표!F723</f>
        <v>176338</v>
      </c>
      <c r="H2187" s="80">
        <f>IF(C2187=0,0,ROUNDDOWN(G2187*C2187,1))</f>
        <v>176338</v>
      </c>
      <c r="I2187" s="78">
        <f>일위대가목록표!G723</f>
        <v>0</v>
      </c>
      <c r="J2187" s="80">
        <f>IF(C2187=0,0,ROUNDDOWN(I2187*C2187,1))</f>
        <v>0</v>
      </c>
      <c r="K2187" s="78">
        <f>일위대가목록표!H723</f>
        <v>0</v>
      </c>
      <c r="L2187" s="80">
        <f>IF(C2187=0,0,ROUNDDOWN(K2187*C2187,1))</f>
        <v>0</v>
      </c>
      <c r="M2187" s="22" t="s">
        <v>7708</v>
      </c>
      <c r="N2187" s="17" t="s">
        <v>7706</v>
      </c>
      <c r="O2187" s="7" t="s">
        <v>7707</v>
      </c>
      <c r="P2187" s="7" t="s">
        <v>6406</v>
      </c>
      <c r="Z2187" s="3" t="str">
        <f ca="1">HYPERLINK("#"&amp;일위대가목록표!J2&amp;"!A"&amp;ROW(일위대가목록표!A723),"대가720 →")</f>
        <v>대가720 →</v>
      </c>
    </row>
    <row r="2188" spans="1:26" ht="28.7" customHeight="1" x14ac:dyDescent="0.3">
      <c r="A2188" s="22" t="s">
        <v>6</v>
      </c>
      <c r="B2188" s="74"/>
      <c r="C2188" s="74"/>
      <c r="D2188" s="74"/>
      <c r="E2188" s="74"/>
      <c r="F2188" s="48">
        <f>J2188+H2188+L2188</f>
        <v>176338</v>
      </c>
      <c r="G2188" s="74"/>
      <c r="H2188" s="48">
        <f>ROUNDDOWN(SUMIF(P2187:P2187,O2188,H2187:H2187),0)</f>
        <v>176338</v>
      </c>
      <c r="I2188" s="74"/>
      <c r="J2188" s="48">
        <f>ROUNDDOWN(SUMIF(P2187:P2187,O2188,J2187:J2187),0)</f>
        <v>0</v>
      </c>
      <c r="K2188" s="74"/>
      <c r="L2188" s="48">
        <f>ROUNDDOWN(SUMIF(P2187:P2187,O2188,L2187:L2187),0)</f>
        <v>0</v>
      </c>
      <c r="M2188" s="74"/>
      <c r="O2188" s="7" t="s">
        <v>6406</v>
      </c>
    </row>
    <row r="2189" spans="1:26" ht="28.7" customHeight="1" x14ac:dyDescent="0.3">
      <c r="A2189" s="73"/>
      <c r="B2189" s="73"/>
      <c r="C2189" s="73"/>
      <c r="D2189" s="73"/>
      <c r="E2189" s="73"/>
      <c r="F2189" s="73"/>
      <c r="G2189" s="73"/>
      <c r="H2189" s="73"/>
      <c r="I2189" s="73"/>
      <c r="J2189" s="73"/>
      <c r="K2189" s="73"/>
      <c r="L2189" s="73"/>
      <c r="M2189" s="73"/>
    </row>
    <row r="2190" spans="1:26" ht="28.7" customHeight="1" x14ac:dyDescent="0.3">
      <c r="A2190" s="136" t="s">
        <v>1251</v>
      </c>
      <c r="B2190" s="127"/>
      <c r="C2190" s="127"/>
      <c r="D2190" s="127"/>
      <c r="E2190" s="127"/>
      <c r="F2190" s="127"/>
      <c r="G2190" s="127"/>
      <c r="H2190" s="127"/>
      <c r="I2190" s="127"/>
      <c r="J2190" s="127"/>
      <c r="K2190" s="127"/>
      <c r="L2190" s="144"/>
      <c r="M2190" s="22" t="s">
        <v>7974</v>
      </c>
      <c r="N2190" s="84" t="str">
        <f>HYPERLINK("#N"&amp;ROW(N2191),"_x0005_`BDCOD|B05427_x0007_`POSS|"&amp;ROW(N2191)&amp;"_x0007_`POSE|"&amp;ROW(N2191)&amp;"_x0007_`")</f>
        <v>_x0005_`BDCOD|B05427_x0007_`POSS|2191_x0007_`POSE|2191_x0007_`</v>
      </c>
      <c r="O2190" s="7" t="s">
        <v>7975</v>
      </c>
    </row>
    <row r="2191" spans="1:26" ht="28.7" customHeight="1" x14ac:dyDescent="0.3">
      <c r="A2191" s="10" t="s">
        <v>1845</v>
      </c>
      <c r="B2191" s="10" t="s">
        <v>1879</v>
      </c>
      <c r="C2191" s="75">
        <v>1</v>
      </c>
      <c r="D2191" s="31" t="s">
        <v>1010</v>
      </c>
      <c r="E2191" s="55">
        <f>I2191+G2191+K2191</f>
        <v>176338</v>
      </c>
      <c r="F2191" s="76">
        <f>J2191+H2191+L2191</f>
        <v>176338</v>
      </c>
      <c r="G2191" s="78">
        <f>일위대가목록표!F728</f>
        <v>176338</v>
      </c>
      <c r="H2191" s="80">
        <f>IF(C2191=0,0,ROUNDDOWN(G2191*C2191,1))</f>
        <v>176338</v>
      </c>
      <c r="I2191" s="78">
        <f>일위대가목록표!G728</f>
        <v>0</v>
      </c>
      <c r="J2191" s="80">
        <f>IF(C2191=0,0,ROUNDDOWN(I2191*C2191,1))</f>
        <v>0</v>
      </c>
      <c r="K2191" s="78">
        <f>일위대가목록표!H728</f>
        <v>0</v>
      </c>
      <c r="L2191" s="80">
        <f>IF(C2191=0,0,ROUNDDOWN(K2191*C2191,1))</f>
        <v>0</v>
      </c>
      <c r="M2191" s="22" t="s">
        <v>7789</v>
      </c>
      <c r="N2191" s="17" t="s">
        <v>7787</v>
      </c>
      <c r="O2191" s="7" t="s">
        <v>7788</v>
      </c>
      <c r="P2191" s="7" t="s">
        <v>6406</v>
      </c>
      <c r="Z2191" s="3" t="str">
        <f ca="1">HYPERLINK("#"&amp;일위대가목록표!J2&amp;"!A"&amp;ROW(일위대가목록표!A728),"대가725 →")</f>
        <v>대가725 →</v>
      </c>
    </row>
    <row r="2192" spans="1:26" ht="28.7" customHeight="1" x14ac:dyDescent="0.3">
      <c r="A2192" s="22" t="s">
        <v>6</v>
      </c>
      <c r="B2192" s="74"/>
      <c r="C2192" s="74"/>
      <c r="D2192" s="74"/>
      <c r="E2192" s="74"/>
      <c r="F2192" s="48">
        <f>J2192+H2192+L2192</f>
        <v>176338</v>
      </c>
      <c r="G2192" s="74"/>
      <c r="H2192" s="48">
        <f>ROUNDDOWN(SUMIF(P2191:P2191,O2192,H2191:H2191),0)</f>
        <v>176338</v>
      </c>
      <c r="I2192" s="74"/>
      <c r="J2192" s="48">
        <f>ROUNDDOWN(SUMIF(P2191:P2191,O2192,J2191:J2191),0)</f>
        <v>0</v>
      </c>
      <c r="K2192" s="74"/>
      <c r="L2192" s="48">
        <f>ROUNDDOWN(SUMIF(P2191:P2191,O2192,L2191:L2191),0)</f>
        <v>0</v>
      </c>
      <c r="M2192" s="74"/>
      <c r="O2192" s="7" t="s">
        <v>6406</v>
      </c>
    </row>
    <row r="2193" spans="1:26" ht="28.7" customHeight="1" x14ac:dyDescent="0.3">
      <c r="A2193" s="73"/>
      <c r="B2193" s="73"/>
      <c r="C2193" s="73"/>
      <c r="D2193" s="73"/>
      <c r="E2193" s="73"/>
      <c r="F2193" s="73"/>
      <c r="G2193" s="73"/>
      <c r="H2193" s="73"/>
      <c r="I2193" s="73"/>
      <c r="J2193" s="73"/>
      <c r="K2193" s="73"/>
      <c r="L2193" s="73"/>
      <c r="M2193" s="73"/>
    </row>
    <row r="2194" spans="1:26" ht="28.7" customHeight="1" x14ac:dyDescent="0.3">
      <c r="A2194" s="136" t="s">
        <v>1253</v>
      </c>
      <c r="B2194" s="127"/>
      <c r="C2194" s="127"/>
      <c r="D2194" s="127"/>
      <c r="E2194" s="127"/>
      <c r="F2194" s="127"/>
      <c r="G2194" s="127"/>
      <c r="H2194" s="127"/>
      <c r="I2194" s="127"/>
      <c r="J2194" s="127"/>
      <c r="K2194" s="127"/>
      <c r="L2194" s="144"/>
      <c r="M2194" s="22" t="s">
        <v>7976</v>
      </c>
      <c r="N2194" s="84" t="str">
        <f>HYPERLINK("#N"&amp;ROW(N2195),"_x0005_`BDCOD|B05428_x0007_`POSS|"&amp;ROW(N2195)&amp;"_x0007_`POSE|"&amp;ROW(N2195)&amp;"_x0007_`")</f>
        <v>_x0005_`BDCOD|B05428_x0007_`POSS|2195_x0007_`POSE|2195_x0007_`</v>
      </c>
      <c r="O2194" s="7" t="s">
        <v>7977</v>
      </c>
    </row>
    <row r="2195" spans="1:26" ht="28.7" customHeight="1" x14ac:dyDescent="0.3">
      <c r="A2195" s="10" t="s">
        <v>1842</v>
      </c>
      <c r="B2195" s="10" t="s">
        <v>1869</v>
      </c>
      <c r="C2195" s="75">
        <v>1</v>
      </c>
      <c r="D2195" s="31" t="s">
        <v>1010</v>
      </c>
      <c r="E2195" s="55">
        <f>I2195+G2195+K2195</f>
        <v>17341</v>
      </c>
      <c r="F2195" s="76">
        <f>J2195+H2195+L2195</f>
        <v>17341</v>
      </c>
      <c r="G2195" s="78">
        <f>일위대가목록표!F725</f>
        <v>17341</v>
      </c>
      <c r="H2195" s="80">
        <f>IF(C2195=0,0,ROUNDDOWN(G2195*C2195,1))</f>
        <v>17341</v>
      </c>
      <c r="I2195" s="78">
        <f>일위대가목록표!G725</f>
        <v>0</v>
      </c>
      <c r="J2195" s="80">
        <f>IF(C2195=0,0,ROUNDDOWN(I2195*C2195,1))</f>
        <v>0</v>
      </c>
      <c r="K2195" s="78">
        <f>일위대가목록표!H725</f>
        <v>0</v>
      </c>
      <c r="L2195" s="80">
        <f>IF(C2195=0,0,ROUNDDOWN(K2195*C2195,1))</f>
        <v>0</v>
      </c>
      <c r="M2195" s="22" t="s">
        <v>7794</v>
      </c>
      <c r="N2195" s="17" t="s">
        <v>7792</v>
      </c>
      <c r="O2195" s="7" t="s">
        <v>7793</v>
      </c>
      <c r="P2195" s="7" t="s">
        <v>6406</v>
      </c>
      <c r="Z2195" s="3" t="str">
        <f ca="1">HYPERLINK("#"&amp;일위대가목록표!J2&amp;"!A"&amp;ROW(일위대가목록표!A725),"대가722 →")</f>
        <v>대가722 →</v>
      </c>
    </row>
    <row r="2196" spans="1:26" ht="28.7" customHeight="1" x14ac:dyDescent="0.3">
      <c r="A2196" s="22" t="s">
        <v>6</v>
      </c>
      <c r="B2196" s="74"/>
      <c r="C2196" s="74"/>
      <c r="D2196" s="74"/>
      <c r="E2196" s="74"/>
      <c r="F2196" s="48">
        <f>J2196+H2196+L2196</f>
        <v>17341</v>
      </c>
      <c r="G2196" s="74"/>
      <c r="H2196" s="48">
        <f>ROUNDDOWN(SUMIF(P2195:P2195,O2196,H2195:H2195),0)</f>
        <v>17341</v>
      </c>
      <c r="I2196" s="74"/>
      <c r="J2196" s="48">
        <f>ROUNDDOWN(SUMIF(P2195:P2195,O2196,J2195:J2195),0)</f>
        <v>0</v>
      </c>
      <c r="K2196" s="74"/>
      <c r="L2196" s="48">
        <f>ROUNDDOWN(SUMIF(P2195:P2195,O2196,L2195:L2195),0)</f>
        <v>0</v>
      </c>
      <c r="M2196" s="74"/>
      <c r="O2196" s="7" t="s">
        <v>6406</v>
      </c>
    </row>
    <row r="2197" spans="1:26" ht="28.7" customHeight="1" x14ac:dyDescent="0.3">
      <c r="A2197" s="73"/>
      <c r="B2197" s="73"/>
      <c r="C2197" s="73"/>
      <c r="D2197" s="73"/>
      <c r="E2197" s="73"/>
      <c r="F2197" s="73"/>
      <c r="G2197" s="73"/>
      <c r="H2197" s="73"/>
      <c r="I2197" s="73"/>
      <c r="J2197" s="73"/>
      <c r="K2197" s="73"/>
      <c r="L2197" s="73"/>
      <c r="M2197" s="73"/>
    </row>
    <row r="2198" spans="1:26" ht="28.7" customHeight="1" x14ac:dyDescent="0.3">
      <c r="A2198" s="136" t="s">
        <v>1256</v>
      </c>
      <c r="B2198" s="127"/>
      <c r="C2198" s="127"/>
      <c r="D2198" s="127"/>
      <c r="E2198" s="127"/>
      <c r="F2198" s="127"/>
      <c r="G2198" s="127"/>
      <c r="H2198" s="127"/>
      <c r="I2198" s="127"/>
      <c r="J2198" s="127"/>
      <c r="K2198" s="127"/>
      <c r="L2198" s="144"/>
      <c r="M2198" s="22" t="s">
        <v>7978</v>
      </c>
      <c r="N2198" s="84" t="str">
        <f>HYPERLINK("#N"&amp;ROW(N2199),"_x0005_`BDCOD|B05429_x0007_`POSS|"&amp;ROW(N2199)&amp;"_x0007_`POSE|"&amp;ROW(N2199)&amp;"_x0007_`")</f>
        <v>_x0005_`BDCOD|B05429_x0007_`POSS|2199_x0007_`POSE|2199_x0007_`</v>
      </c>
      <c r="O2198" s="7" t="s">
        <v>7979</v>
      </c>
    </row>
    <row r="2199" spans="1:26" ht="28.7" customHeight="1" x14ac:dyDescent="0.3">
      <c r="A2199" s="10" t="s">
        <v>1842</v>
      </c>
      <c r="B2199" s="10" t="s">
        <v>1839</v>
      </c>
      <c r="C2199" s="75">
        <v>1</v>
      </c>
      <c r="D2199" s="31" t="s">
        <v>1010</v>
      </c>
      <c r="E2199" s="55">
        <f>I2199+G2199+K2199</f>
        <v>29649</v>
      </c>
      <c r="F2199" s="76">
        <f>J2199+H2199+L2199</f>
        <v>29649</v>
      </c>
      <c r="G2199" s="78">
        <f>일위대가목록표!F713</f>
        <v>28786</v>
      </c>
      <c r="H2199" s="80">
        <f>IF(C2199=0,0,ROUNDDOWN(G2199*C2199,1))</f>
        <v>28786</v>
      </c>
      <c r="I2199" s="78">
        <f>일위대가목록표!G713</f>
        <v>0</v>
      </c>
      <c r="J2199" s="80">
        <f>IF(C2199=0,0,ROUNDDOWN(I2199*C2199,1))</f>
        <v>0</v>
      </c>
      <c r="K2199" s="78">
        <f>일위대가목록표!H713</f>
        <v>863</v>
      </c>
      <c r="L2199" s="80">
        <f>IF(C2199=0,0,ROUNDDOWN(K2199*C2199,1))</f>
        <v>863</v>
      </c>
      <c r="M2199" s="22" t="s">
        <v>7713</v>
      </c>
      <c r="N2199" s="17" t="s">
        <v>7711</v>
      </c>
      <c r="O2199" s="7" t="s">
        <v>7712</v>
      </c>
      <c r="P2199" s="7" t="s">
        <v>6406</v>
      </c>
      <c r="Z2199" s="3" t="str">
        <f ca="1">HYPERLINK("#"&amp;일위대가목록표!J2&amp;"!A"&amp;ROW(일위대가목록표!A713),"대가710 →")</f>
        <v>대가710 →</v>
      </c>
    </row>
    <row r="2200" spans="1:26" ht="28.7" customHeight="1" x14ac:dyDescent="0.3">
      <c r="A2200" s="22" t="s">
        <v>6</v>
      </c>
      <c r="B2200" s="74"/>
      <c r="C2200" s="74"/>
      <c r="D2200" s="74"/>
      <c r="E2200" s="74"/>
      <c r="F2200" s="48">
        <f>J2200+H2200+L2200</f>
        <v>29649</v>
      </c>
      <c r="G2200" s="74"/>
      <c r="H2200" s="48">
        <f>ROUNDDOWN(SUMIF(P2199:P2199,O2200,H2199:H2199),0)</f>
        <v>28786</v>
      </c>
      <c r="I2200" s="74"/>
      <c r="J2200" s="48">
        <f>ROUNDDOWN(SUMIF(P2199:P2199,O2200,J2199:J2199),0)</f>
        <v>0</v>
      </c>
      <c r="K2200" s="74"/>
      <c r="L2200" s="48">
        <f>ROUNDDOWN(SUMIF(P2199:P2199,O2200,L2199:L2199),0)</f>
        <v>863</v>
      </c>
      <c r="M2200" s="74"/>
      <c r="O2200" s="7" t="s">
        <v>6406</v>
      </c>
    </row>
    <row r="2201" spans="1:26" ht="28.7" customHeight="1" x14ac:dyDescent="0.3">
      <c r="A2201" s="73"/>
      <c r="B2201" s="73"/>
      <c r="C2201" s="73"/>
      <c r="D2201" s="73"/>
      <c r="E2201" s="73"/>
      <c r="F2201" s="73"/>
      <c r="G2201" s="73"/>
      <c r="H2201" s="73"/>
      <c r="I2201" s="73"/>
      <c r="J2201" s="73"/>
      <c r="K2201" s="73"/>
      <c r="L2201" s="73"/>
      <c r="M2201" s="73"/>
    </row>
    <row r="2202" spans="1:26" ht="28.7" customHeight="1" x14ac:dyDescent="0.3">
      <c r="A2202" s="136" t="s">
        <v>1258</v>
      </c>
      <c r="B2202" s="127"/>
      <c r="C2202" s="127"/>
      <c r="D2202" s="127"/>
      <c r="E2202" s="127"/>
      <c r="F2202" s="127"/>
      <c r="G2202" s="127"/>
      <c r="H2202" s="127"/>
      <c r="I2202" s="127"/>
      <c r="J2202" s="127"/>
      <c r="K2202" s="127"/>
      <c r="L2202" s="144"/>
      <c r="M2202" s="22" t="s">
        <v>7980</v>
      </c>
      <c r="N2202" s="84" t="str">
        <f>HYPERLINK("#N"&amp;ROW(N2203),"_x0005_`BDCOD|B05430_x0007_`POSS|"&amp;ROW(N2203)&amp;"_x0007_`POSE|"&amp;ROW(N2203)&amp;"_x0007_`")</f>
        <v>_x0005_`BDCOD|B05430_x0007_`POSS|2203_x0007_`POSE|2203_x0007_`</v>
      </c>
      <c r="O2202" s="7" t="s">
        <v>7981</v>
      </c>
    </row>
    <row r="2203" spans="1:26" ht="28.7" customHeight="1" x14ac:dyDescent="0.3">
      <c r="A2203" s="10" t="s">
        <v>1842</v>
      </c>
      <c r="B2203" s="10" t="s">
        <v>1848</v>
      </c>
      <c r="C2203" s="75">
        <v>1</v>
      </c>
      <c r="D2203" s="31" t="s">
        <v>1010</v>
      </c>
      <c r="E2203" s="55">
        <f>I2203+G2203+K2203</f>
        <v>41619</v>
      </c>
      <c r="F2203" s="76">
        <f>J2203+H2203+L2203</f>
        <v>41619</v>
      </c>
      <c r="G2203" s="78">
        <f>일위대가목록표!F716</f>
        <v>41619</v>
      </c>
      <c r="H2203" s="80">
        <f>IF(C2203=0,0,ROUNDDOWN(G2203*C2203,1))</f>
        <v>41619</v>
      </c>
      <c r="I2203" s="78">
        <f>일위대가목록표!G716</f>
        <v>0</v>
      </c>
      <c r="J2203" s="80">
        <f>IF(C2203=0,0,ROUNDDOWN(I2203*C2203,1))</f>
        <v>0</v>
      </c>
      <c r="K2203" s="78">
        <f>일위대가목록표!H716</f>
        <v>0</v>
      </c>
      <c r="L2203" s="80">
        <f>IF(C2203=0,0,ROUNDDOWN(K2203*C2203,1))</f>
        <v>0</v>
      </c>
      <c r="M2203" s="22" t="s">
        <v>7718</v>
      </c>
      <c r="N2203" s="17" t="s">
        <v>7716</v>
      </c>
      <c r="O2203" s="7" t="s">
        <v>7717</v>
      </c>
      <c r="P2203" s="7" t="s">
        <v>6406</v>
      </c>
      <c r="Z2203" s="3" t="str">
        <f ca="1">HYPERLINK("#"&amp;일위대가목록표!J2&amp;"!A"&amp;ROW(일위대가목록표!A716),"대가713 →")</f>
        <v>대가713 →</v>
      </c>
    </row>
    <row r="2204" spans="1:26" ht="28.7" customHeight="1" x14ac:dyDescent="0.3">
      <c r="A2204" s="22" t="s">
        <v>6</v>
      </c>
      <c r="B2204" s="74"/>
      <c r="C2204" s="74"/>
      <c r="D2204" s="74"/>
      <c r="E2204" s="74"/>
      <c r="F2204" s="48">
        <f>J2204+H2204+L2204</f>
        <v>41619</v>
      </c>
      <c r="G2204" s="74"/>
      <c r="H2204" s="48">
        <f>ROUNDDOWN(SUMIF(P2203:P2203,O2204,H2203:H2203),0)</f>
        <v>41619</v>
      </c>
      <c r="I2204" s="74"/>
      <c r="J2204" s="48">
        <f>ROUNDDOWN(SUMIF(P2203:P2203,O2204,J2203:J2203),0)</f>
        <v>0</v>
      </c>
      <c r="K2204" s="74"/>
      <c r="L2204" s="48">
        <f>ROUNDDOWN(SUMIF(P2203:P2203,O2204,L2203:L2203),0)</f>
        <v>0</v>
      </c>
      <c r="M2204" s="74"/>
      <c r="O2204" s="7" t="s">
        <v>6406</v>
      </c>
    </row>
    <row r="2205" spans="1:26" ht="28.7" customHeight="1" x14ac:dyDescent="0.3">
      <c r="A2205" s="73"/>
      <c r="B2205" s="73"/>
      <c r="C2205" s="73"/>
      <c r="D2205" s="73"/>
      <c r="E2205" s="73"/>
      <c r="F2205" s="73"/>
      <c r="G2205" s="73"/>
      <c r="H2205" s="73"/>
      <c r="I2205" s="73"/>
      <c r="J2205" s="73"/>
      <c r="K2205" s="73"/>
      <c r="L2205" s="73"/>
      <c r="M2205" s="73"/>
    </row>
    <row r="2206" spans="1:26" ht="28.7" customHeight="1" x14ac:dyDescent="0.3">
      <c r="A2206" s="136" t="s">
        <v>1260</v>
      </c>
      <c r="B2206" s="127"/>
      <c r="C2206" s="127"/>
      <c r="D2206" s="127"/>
      <c r="E2206" s="127"/>
      <c r="F2206" s="127"/>
      <c r="G2206" s="127"/>
      <c r="H2206" s="127"/>
      <c r="I2206" s="127"/>
      <c r="J2206" s="127"/>
      <c r="K2206" s="127"/>
      <c r="L2206" s="144"/>
      <c r="M2206" s="22" t="s">
        <v>7982</v>
      </c>
      <c r="N2206" s="84" t="str">
        <f>HYPERLINK("#N"&amp;ROW(N2207),"_x0005_`BDCOD|B05431_x0007_`POSS|"&amp;ROW(N2207)&amp;"_x0007_`POSE|"&amp;ROW(N2207)&amp;"_x0007_`")</f>
        <v>_x0005_`BDCOD|B05431_x0007_`POSS|2207_x0007_`POSE|2207_x0007_`</v>
      </c>
      <c r="O2206" s="7" t="s">
        <v>7983</v>
      </c>
    </row>
    <row r="2207" spans="1:26" ht="28.7" customHeight="1" x14ac:dyDescent="0.3">
      <c r="A2207" s="10" t="s">
        <v>1842</v>
      </c>
      <c r="B2207" s="10" t="s">
        <v>1855</v>
      </c>
      <c r="C2207" s="75">
        <v>1</v>
      </c>
      <c r="D2207" s="31" t="s">
        <v>1010</v>
      </c>
      <c r="E2207" s="55">
        <f>I2207+G2207+K2207</f>
        <v>54234</v>
      </c>
      <c r="F2207" s="76">
        <f>J2207+H2207+L2207</f>
        <v>54234</v>
      </c>
      <c r="G2207" s="78">
        <f>일위대가목록표!F719</f>
        <v>54234</v>
      </c>
      <c r="H2207" s="80">
        <f>IF(C2207=0,0,ROUNDDOWN(G2207*C2207,1))</f>
        <v>54234</v>
      </c>
      <c r="I2207" s="78">
        <f>일위대가목록표!G719</f>
        <v>0</v>
      </c>
      <c r="J2207" s="80">
        <f>IF(C2207=0,0,ROUNDDOWN(I2207*C2207,1))</f>
        <v>0</v>
      </c>
      <c r="K2207" s="78">
        <f>일위대가목록표!H719</f>
        <v>0</v>
      </c>
      <c r="L2207" s="80">
        <f>IF(C2207=0,0,ROUNDDOWN(K2207*C2207,1))</f>
        <v>0</v>
      </c>
      <c r="M2207" s="22" t="s">
        <v>7723</v>
      </c>
      <c r="N2207" s="17" t="s">
        <v>7721</v>
      </c>
      <c r="O2207" s="7" t="s">
        <v>7722</v>
      </c>
      <c r="P2207" s="7" t="s">
        <v>6406</v>
      </c>
      <c r="Z2207" s="3" t="str">
        <f ca="1">HYPERLINK("#"&amp;일위대가목록표!J2&amp;"!A"&amp;ROW(일위대가목록표!A719),"대가716 →")</f>
        <v>대가716 →</v>
      </c>
    </row>
    <row r="2208" spans="1:26" ht="28.7" customHeight="1" x14ac:dyDescent="0.3">
      <c r="A2208" s="22" t="s">
        <v>6</v>
      </c>
      <c r="B2208" s="74"/>
      <c r="C2208" s="74"/>
      <c r="D2208" s="74"/>
      <c r="E2208" s="74"/>
      <c r="F2208" s="48">
        <f>J2208+H2208+L2208</f>
        <v>54234</v>
      </c>
      <c r="G2208" s="74"/>
      <c r="H2208" s="48">
        <f>ROUNDDOWN(SUMIF(P2207:P2207,O2208,H2207:H2207),0)</f>
        <v>54234</v>
      </c>
      <c r="I2208" s="74"/>
      <c r="J2208" s="48">
        <f>ROUNDDOWN(SUMIF(P2207:P2207,O2208,J2207:J2207),0)</f>
        <v>0</v>
      </c>
      <c r="K2208" s="74"/>
      <c r="L2208" s="48">
        <f>ROUNDDOWN(SUMIF(P2207:P2207,O2208,L2207:L2207),0)</f>
        <v>0</v>
      </c>
      <c r="M2208" s="74"/>
      <c r="O2208" s="7" t="s">
        <v>6406</v>
      </c>
    </row>
    <row r="2209" spans="1:26" ht="28.7" customHeight="1" x14ac:dyDescent="0.3">
      <c r="A2209" s="73"/>
      <c r="B2209" s="73"/>
      <c r="C2209" s="73"/>
      <c r="D2209" s="73"/>
      <c r="E2209" s="73"/>
      <c r="F2209" s="73"/>
      <c r="G2209" s="73"/>
      <c r="H2209" s="73"/>
      <c r="I2209" s="73"/>
      <c r="J2209" s="73"/>
      <c r="K2209" s="73"/>
      <c r="L2209" s="73"/>
      <c r="M2209" s="73"/>
    </row>
    <row r="2210" spans="1:26" ht="28.7" customHeight="1" x14ac:dyDescent="0.3">
      <c r="A2210" s="136" t="s">
        <v>1262</v>
      </c>
      <c r="B2210" s="127"/>
      <c r="C2210" s="127"/>
      <c r="D2210" s="127"/>
      <c r="E2210" s="127"/>
      <c r="F2210" s="127"/>
      <c r="G2210" s="127"/>
      <c r="H2210" s="127"/>
      <c r="I2210" s="127"/>
      <c r="J2210" s="127"/>
      <c r="K2210" s="127"/>
      <c r="L2210" s="144"/>
      <c r="M2210" s="22" t="s">
        <v>7984</v>
      </c>
      <c r="N2210" s="84" t="str">
        <f>HYPERLINK("#N"&amp;ROW(N2211),"_x0005_`BDCOD|B05432_x0007_`POSS|"&amp;ROW(N2211)&amp;"_x0007_`POSE|"&amp;ROW(N2211)&amp;"_x0007_`")</f>
        <v>_x0005_`BDCOD|B05432_x0007_`POSS|2211_x0007_`POSE|2211_x0007_`</v>
      </c>
      <c r="O2210" s="7" t="s">
        <v>7985</v>
      </c>
    </row>
    <row r="2211" spans="1:26" ht="28.7" customHeight="1" x14ac:dyDescent="0.3">
      <c r="A2211" s="10" t="s">
        <v>1842</v>
      </c>
      <c r="B2211" s="10" t="s">
        <v>1862</v>
      </c>
      <c r="C2211" s="75">
        <v>1</v>
      </c>
      <c r="D2211" s="31" t="s">
        <v>1010</v>
      </c>
      <c r="E2211" s="55">
        <f>I2211+G2211+K2211</f>
        <v>70535</v>
      </c>
      <c r="F2211" s="76">
        <f>J2211+H2211+L2211</f>
        <v>70535</v>
      </c>
      <c r="G2211" s="78">
        <f>일위대가목록표!F722</f>
        <v>70535</v>
      </c>
      <c r="H2211" s="80">
        <f>IF(C2211=0,0,ROUNDDOWN(G2211*C2211,1))</f>
        <v>70535</v>
      </c>
      <c r="I2211" s="78">
        <f>일위대가목록표!G722</f>
        <v>0</v>
      </c>
      <c r="J2211" s="80">
        <f>IF(C2211=0,0,ROUNDDOWN(I2211*C2211,1))</f>
        <v>0</v>
      </c>
      <c r="K2211" s="78">
        <f>일위대가목록표!H722</f>
        <v>0</v>
      </c>
      <c r="L2211" s="80">
        <f>IF(C2211=0,0,ROUNDDOWN(K2211*C2211,1))</f>
        <v>0</v>
      </c>
      <c r="M2211" s="22" t="s">
        <v>7728</v>
      </c>
      <c r="N2211" s="17" t="s">
        <v>7726</v>
      </c>
      <c r="O2211" s="7" t="s">
        <v>7727</v>
      </c>
      <c r="P2211" s="7" t="s">
        <v>6406</v>
      </c>
      <c r="Z2211" s="3" t="str">
        <f ca="1">HYPERLINK("#"&amp;일위대가목록표!J2&amp;"!A"&amp;ROW(일위대가목록표!A722),"대가719 →")</f>
        <v>대가719 →</v>
      </c>
    </row>
    <row r="2212" spans="1:26" ht="28.7" customHeight="1" x14ac:dyDescent="0.3">
      <c r="A2212" s="22" t="s">
        <v>6</v>
      </c>
      <c r="B2212" s="74"/>
      <c r="C2212" s="74"/>
      <c r="D2212" s="74"/>
      <c r="E2212" s="74"/>
      <c r="F2212" s="48">
        <f>J2212+H2212+L2212</f>
        <v>70535</v>
      </c>
      <c r="G2212" s="74"/>
      <c r="H2212" s="48">
        <f>ROUNDDOWN(SUMIF(P2211:P2211,O2212,H2211:H2211),0)</f>
        <v>70535</v>
      </c>
      <c r="I2212" s="74"/>
      <c r="J2212" s="48">
        <f>ROUNDDOWN(SUMIF(P2211:P2211,O2212,J2211:J2211),0)</f>
        <v>0</v>
      </c>
      <c r="K2212" s="74"/>
      <c r="L2212" s="48">
        <f>ROUNDDOWN(SUMIF(P2211:P2211,O2212,L2211:L2211),0)</f>
        <v>0</v>
      </c>
      <c r="M2212" s="74"/>
      <c r="O2212" s="7" t="s">
        <v>6406</v>
      </c>
    </row>
    <row r="2213" spans="1:26" ht="28.7" customHeight="1" x14ac:dyDescent="0.3">
      <c r="A2213" s="73"/>
      <c r="B2213" s="73"/>
      <c r="C2213" s="73"/>
      <c r="D2213" s="73"/>
      <c r="E2213" s="73"/>
      <c r="F2213" s="73"/>
      <c r="G2213" s="73"/>
      <c r="H2213" s="73"/>
      <c r="I2213" s="73"/>
      <c r="J2213" s="73"/>
      <c r="K2213" s="73"/>
      <c r="L2213" s="73"/>
      <c r="M2213" s="73"/>
    </row>
    <row r="2214" spans="1:26" ht="28.7" customHeight="1" x14ac:dyDescent="0.3">
      <c r="A2214" s="136" t="s">
        <v>1264</v>
      </c>
      <c r="B2214" s="127"/>
      <c r="C2214" s="127"/>
      <c r="D2214" s="127"/>
      <c r="E2214" s="127"/>
      <c r="F2214" s="127"/>
      <c r="G2214" s="127"/>
      <c r="H2214" s="127"/>
      <c r="I2214" s="127"/>
      <c r="J2214" s="127"/>
      <c r="K2214" s="127"/>
      <c r="L2214" s="144"/>
      <c r="M2214" s="22" t="s">
        <v>7986</v>
      </c>
      <c r="N2214" s="84" t="str">
        <f>HYPERLINK("#N"&amp;ROW(N2215),"_x0005_`BDCOD|B05433_x0007_`POSS|"&amp;ROW(N2215)&amp;"_x0007_`POSE|"&amp;ROW(N2215)&amp;"_x0007_`")</f>
        <v>_x0005_`BDCOD|B05433_x0007_`POSS|2215_x0007_`POSE|2215_x0007_`</v>
      </c>
      <c r="O2214" s="7" t="s">
        <v>7987</v>
      </c>
    </row>
    <row r="2215" spans="1:26" ht="28.7" customHeight="1" x14ac:dyDescent="0.3">
      <c r="A2215" s="10" t="s">
        <v>1842</v>
      </c>
      <c r="B2215" s="10" t="s">
        <v>1876</v>
      </c>
      <c r="C2215" s="75">
        <v>1</v>
      </c>
      <c r="D2215" s="31" t="s">
        <v>1010</v>
      </c>
      <c r="E2215" s="55">
        <f>I2215+G2215+K2215</f>
        <v>70535</v>
      </c>
      <c r="F2215" s="76">
        <f>J2215+H2215+L2215</f>
        <v>70535</v>
      </c>
      <c r="G2215" s="78">
        <f>일위대가목록표!F727</f>
        <v>70535</v>
      </c>
      <c r="H2215" s="80">
        <f>IF(C2215=0,0,ROUNDDOWN(G2215*C2215,1))</f>
        <v>70535</v>
      </c>
      <c r="I2215" s="78">
        <f>일위대가목록표!G727</f>
        <v>0</v>
      </c>
      <c r="J2215" s="80">
        <f>IF(C2215=0,0,ROUNDDOWN(I2215*C2215,1))</f>
        <v>0</v>
      </c>
      <c r="K2215" s="78">
        <f>일위대가목록표!H727</f>
        <v>0</v>
      </c>
      <c r="L2215" s="80">
        <f>IF(C2215=0,0,ROUNDDOWN(K2215*C2215,1))</f>
        <v>0</v>
      </c>
      <c r="M2215" s="22" t="s">
        <v>7757</v>
      </c>
      <c r="N2215" s="17" t="s">
        <v>7755</v>
      </c>
      <c r="O2215" s="7" t="s">
        <v>7756</v>
      </c>
      <c r="P2215" s="7" t="s">
        <v>6406</v>
      </c>
      <c r="Z2215" s="3" t="str">
        <f ca="1">HYPERLINK("#"&amp;일위대가목록표!J2&amp;"!A"&amp;ROW(일위대가목록표!A727),"대가724 →")</f>
        <v>대가724 →</v>
      </c>
    </row>
    <row r="2216" spans="1:26" ht="28.7" customHeight="1" x14ac:dyDescent="0.3">
      <c r="A2216" s="22" t="s">
        <v>6</v>
      </c>
      <c r="B2216" s="74"/>
      <c r="C2216" s="74"/>
      <c r="D2216" s="74"/>
      <c r="E2216" s="74"/>
      <c r="F2216" s="48">
        <f>J2216+H2216+L2216</f>
        <v>70535</v>
      </c>
      <c r="G2216" s="74"/>
      <c r="H2216" s="48">
        <f>ROUNDDOWN(SUMIF(P2215:P2215,O2216,H2215:H2215),0)</f>
        <v>70535</v>
      </c>
      <c r="I2216" s="74"/>
      <c r="J2216" s="48">
        <f>ROUNDDOWN(SUMIF(P2215:P2215,O2216,J2215:J2215),0)</f>
        <v>0</v>
      </c>
      <c r="K2216" s="74"/>
      <c r="L2216" s="48">
        <f>ROUNDDOWN(SUMIF(P2215:P2215,O2216,L2215:L2215),0)</f>
        <v>0</v>
      </c>
      <c r="M2216" s="74"/>
      <c r="O2216" s="7" t="s">
        <v>6406</v>
      </c>
    </row>
    <row r="2217" spans="1:26" ht="28.7" customHeight="1" x14ac:dyDescent="0.3">
      <c r="A2217" s="73"/>
      <c r="B2217" s="73"/>
      <c r="C2217" s="73"/>
      <c r="D2217" s="73"/>
      <c r="E2217" s="73"/>
      <c r="F2217" s="73"/>
      <c r="G2217" s="73"/>
      <c r="H2217" s="73"/>
      <c r="I2217" s="73"/>
      <c r="J2217" s="73"/>
      <c r="K2217" s="73"/>
      <c r="L2217" s="73"/>
      <c r="M2217" s="73"/>
    </row>
    <row r="2218" spans="1:26" ht="28.7" customHeight="1" x14ac:dyDescent="0.3">
      <c r="A2218" s="136" t="s">
        <v>1266</v>
      </c>
      <c r="B2218" s="127"/>
      <c r="C2218" s="127"/>
      <c r="D2218" s="127"/>
      <c r="E2218" s="127"/>
      <c r="F2218" s="127"/>
      <c r="G2218" s="127"/>
      <c r="H2218" s="127"/>
      <c r="I2218" s="127"/>
      <c r="J2218" s="127"/>
      <c r="K2218" s="127"/>
      <c r="L2218" s="144"/>
      <c r="M2218" s="22" t="s">
        <v>7988</v>
      </c>
      <c r="N2218" s="84" t="str">
        <f>HYPERLINK("#N"&amp;ROW(N2220),"_x0005_`BDCOD|B05032_x0007_`POSS|"&amp;ROW(N2219)&amp;"_x0007_`POSE|"&amp;ROW(N2220)&amp;"_x0007_`")</f>
        <v>_x0005_`BDCOD|B05032_x0007_`POSS|2219_x0007_`POSE|2220_x0007_`</v>
      </c>
      <c r="O2218" s="7" t="s">
        <v>7989</v>
      </c>
    </row>
    <row r="2219" spans="1:26" ht="28.7" customHeight="1" x14ac:dyDescent="0.3">
      <c r="A2219" s="10" t="s">
        <v>1838</v>
      </c>
      <c r="B2219" s="10" t="s">
        <v>1869</v>
      </c>
      <c r="C2219" s="75">
        <v>1</v>
      </c>
      <c r="D2219" s="31" t="s">
        <v>1010</v>
      </c>
      <c r="E2219" s="55">
        <f>I2219+G2219+K2219</f>
        <v>60695</v>
      </c>
      <c r="F2219" s="76">
        <f>J2219+H2219+L2219</f>
        <v>60695</v>
      </c>
      <c r="G2219" s="78">
        <f>일위대가목록표!F724</f>
        <v>60695</v>
      </c>
      <c r="H2219" s="80">
        <f>IF(C2219=0,0,ROUNDDOWN(G2219*C2219,1))</f>
        <v>60695</v>
      </c>
      <c r="I2219" s="78">
        <f>일위대가목록표!G724</f>
        <v>0</v>
      </c>
      <c r="J2219" s="80">
        <f>IF(C2219=0,0,ROUNDDOWN(I2219*C2219,1))</f>
        <v>0</v>
      </c>
      <c r="K2219" s="78">
        <f>일위대가목록표!H724</f>
        <v>0</v>
      </c>
      <c r="L2219" s="80">
        <f>IF(C2219=0,0,ROUNDDOWN(K2219*C2219,1))</f>
        <v>0</v>
      </c>
      <c r="M2219" s="22" t="s">
        <v>7733</v>
      </c>
      <c r="N2219" s="17" t="s">
        <v>7731</v>
      </c>
      <c r="O2219" s="7" t="s">
        <v>7732</v>
      </c>
      <c r="P2219" s="7" t="s">
        <v>6406</v>
      </c>
      <c r="Z2219" s="3" t="str">
        <f ca="1">HYPERLINK("#"&amp;일위대가목록표!J2&amp;"!A"&amp;ROW(일위대가목록표!A724),"대가721 →")</f>
        <v>대가721 →</v>
      </c>
    </row>
    <row r="2220" spans="1:26" ht="28.7" customHeight="1" x14ac:dyDescent="0.3">
      <c r="A2220" s="10" t="s">
        <v>2359</v>
      </c>
      <c r="B2220" s="10" t="s">
        <v>2369</v>
      </c>
      <c r="C2220" s="75">
        <v>1</v>
      </c>
      <c r="D2220" s="31" t="s">
        <v>1010</v>
      </c>
      <c r="E2220" s="55">
        <f>I2220+G2220+K2220</f>
        <v>114700</v>
      </c>
      <c r="F2220" s="77">
        <f>J2220+H2220+L2220</f>
        <v>114700</v>
      </c>
      <c r="G2220" s="51">
        <v>0</v>
      </c>
      <c r="H2220" s="76">
        <f>IF(C2220=0,0,ROUNDDOWN(G2220*C2220,1))</f>
        <v>0</v>
      </c>
      <c r="I2220" s="78">
        <f>재료비목록표!E113</f>
        <v>114700</v>
      </c>
      <c r="J2220" s="81">
        <f>IF(C2220=0,0,ROUNDDOWN(I2220*C2220,1))</f>
        <v>114700</v>
      </c>
      <c r="K2220" s="51">
        <v>0</v>
      </c>
      <c r="L2220" s="76">
        <f>IF(C2220=0,0,ROUNDDOWN(K2220*C2220,1))</f>
        <v>0</v>
      </c>
      <c r="M2220" s="22" t="s">
        <v>7991</v>
      </c>
      <c r="N2220" s="17" t="s">
        <v>7990</v>
      </c>
      <c r="O2220" s="7" t="s">
        <v>5910</v>
      </c>
      <c r="P2220" s="7" t="s">
        <v>6406</v>
      </c>
      <c r="Z2220" s="3" t="str">
        <f ca="1">HYPERLINK("#"&amp;재료비목록표!G2&amp;"!A"&amp;ROW(재료비목록표!A113),"자재110 →")</f>
        <v>자재110 →</v>
      </c>
    </row>
    <row r="2221" spans="1:26" ht="28.7" customHeight="1" x14ac:dyDescent="0.3">
      <c r="A2221" s="22" t="s">
        <v>6</v>
      </c>
      <c r="B2221" s="74"/>
      <c r="C2221" s="74"/>
      <c r="D2221" s="74"/>
      <c r="E2221" s="74"/>
      <c r="F2221" s="48">
        <f>J2221+H2221+L2221</f>
        <v>175395</v>
      </c>
      <c r="G2221" s="74"/>
      <c r="H2221" s="48">
        <f>ROUNDDOWN(SUMIF(P2219:P2220,O2221,H2219:H2220),0)</f>
        <v>60695</v>
      </c>
      <c r="I2221" s="74"/>
      <c r="J2221" s="48">
        <f>ROUNDDOWN(SUMIF(P2219:P2220,O2221,J2219:J2220),0)</f>
        <v>114700</v>
      </c>
      <c r="K2221" s="74"/>
      <c r="L2221" s="48">
        <f>ROUNDDOWN(SUMIF(P2219:P2220,O2221,L2219:L2220),0)</f>
        <v>0</v>
      </c>
      <c r="M2221" s="74"/>
      <c r="O2221" s="7" t="s">
        <v>6406</v>
      </c>
    </row>
    <row r="2222" spans="1:26" ht="28.7" customHeight="1" x14ac:dyDescent="0.3">
      <c r="A2222" s="73"/>
      <c r="B2222" s="73"/>
      <c r="C2222" s="73"/>
      <c r="D2222" s="73"/>
      <c r="E2222" s="73"/>
      <c r="F2222" s="73"/>
      <c r="G2222" s="73"/>
      <c r="H2222" s="73"/>
      <c r="I2222" s="73"/>
      <c r="J2222" s="73"/>
      <c r="K2222" s="73"/>
      <c r="L2222" s="73"/>
      <c r="M2222" s="73"/>
    </row>
    <row r="2223" spans="1:26" ht="28.7" customHeight="1" x14ac:dyDescent="0.3">
      <c r="A2223" s="136" t="s">
        <v>1270</v>
      </c>
      <c r="B2223" s="127"/>
      <c r="C2223" s="127"/>
      <c r="D2223" s="127"/>
      <c r="E2223" s="127"/>
      <c r="F2223" s="127"/>
      <c r="G2223" s="127"/>
      <c r="H2223" s="127"/>
      <c r="I2223" s="127"/>
      <c r="J2223" s="127"/>
      <c r="K2223" s="127"/>
      <c r="L2223" s="144"/>
      <c r="M2223" s="22" t="s">
        <v>7992</v>
      </c>
      <c r="N2223" s="84" t="str">
        <f>HYPERLINK("#N"&amp;ROW(N2225),"_x0005_`BDCOD|B05033_x0007_`POSS|"&amp;ROW(N2224)&amp;"_x0007_`POSE|"&amp;ROW(N2225)&amp;"_x0007_`")</f>
        <v>_x0005_`BDCOD|B05033_x0007_`POSS|2224_x0007_`POSE|2225_x0007_`</v>
      </c>
      <c r="O2223" s="7" t="s">
        <v>7993</v>
      </c>
    </row>
    <row r="2224" spans="1:26" ht="28.7" customHeight="1" x14ac:dyDescent="0.3">
      <c r="A2224" s="10" t="s">
        <v>1838</v>
      </c>
      <c r="B2224" s="10" t="s">
        <v>1839</v>
      </c>
      <c r="C2224" s="75">
        <v>1</v>
      </c>
      <c r="D2224" s="31" t="s">
        <v>1010</v>
      </c>
      <c r="E2224" s="55">
        <f>I2224+G2224+K2224</f>
        <v>103775</v>
      </c>
      <c r="F2224" s="76">
        <f>J2224+H2224+L2224</f>
        <v>103775</v>
      </c>
      <c r="G2224" s="78">
        <f>일위대가목록표!F712</f>
        <v>100753</v>
      </c>
      <c r="H2224" s="80">
        <f>IF(C2224=0,0,ROUNDDOWN(G2224*C2224,1))</f>
        <v>100753</v>
      </c>
      <c r="I2224" s="78">
        <f>일위대가목록표!G712</f>
        <v>0</v>
      </c>
      <c r="J2224" s="80">
        <f>IF(C2224=0,0,ROUNDDOWN(I2224*C2224,1))</f>
        <v>0</v>
      </c>
      <c r="K2224" s="78">
        <f>일위대가목록표!H712</f>
        <v>3022</v>
      </c>
      <c r="L2224" s="80">
        <f>IF(C2224=0,0,ROUNDDOWN(K2224*C2224,1))</f>
        <v>3022</v>
      </c>
      <c r="M2224" s="22" t="s">
        <v>7657</v>
      </c>
      <c r="N2224" s="17" t="s">
        <v>7655</v>
      </c>
      <c r="O2224" s="7" t="s">
        <v>7656</v>
      </c>
      <c r="P2224" s="7" t="s">
        <v>6406</v>
      </c>
      <c r="Z2224" s="3" t="str">
        <f ca="1">HYPERLINK("#"&amp;일위대가목록표!J2&amp;"!A"&amp;ROW(일위대가목록표!A712),"대가709 →")</f>
        <v>대가709 →</v>
      </c>
    </row>
    <row r="2225" spans="1:26" ht="28.7" customHeight="1" x14ac:dyDescent="0.3">
      <c r="A2225" s="10" t="s">
        <v>2359</v>
      </c>
      <c r="B2225" s="10" t="s">
        <v>2372</v>
      </c>
      <c r="C2225" s="75">
        <v>1</v>
      </c>
      <c r="D2225" s="31" t="s">
        <v>1010</v>
      </c>
      <c r="E2225" s="55">
        <f>I2225+G2225+K2225</f>
        <v>148900</v>
      </c>
      <c r="F2225" s="77">
        <f>J2225+H2225+L2225</f>
        <v>148900</v>
      </c>
      <c r="G2225" s="51">
        <v>0</v>
      </c>
      <c r="H2225" s="76">
        <f>IF(C2225=0,0,ROUNDDOWN(G2225*C2225,1))</f>
        <v>0</v>
      </c>
      <c r="I2225" s="78">
        <f>재료비목록표!E114</f>
        <v>148900</v>
      </c>
      <c r="J2225" s="81">
        <f>IF(C2225=0,0,ROUNDDOWN(I2225*C2225,1))</f>
        <v>148900</v>
      </c>
      <c r="K2225" s="51">
        <v>0</v>
      </c>
      <c r="L2225" s="76">
        <f>IF(C2225=0,0,ROUNDDOWN(K2225*C2225,1))</f>
        <v>0</v>
      </c>
      <c r="M2225" s="22" t="s">
        <v>7995</v>
      </c>
      <c r="N2225" s="17" t="s">
        <v>7994</v>
      </c>
      <c r="O2225" s="7" t="s">
        <v>5913</v>
      </c>
      <c r="P2225" s="7" t="s">
        <v>6406</v>
      </c>
      <c r="Z2225" s="3" t="str">
        <f ca="1">HYPERLINK("#"&amp;재료비목록표!G2&amp;"!A"&amp;ROW(재료비목록표!A114),"자재111 →")</f>
        <v>자재111 →</v>
      </c>
    </row>
    <row r="2226" spans="1:26" ht="28.7" customHeight="1" x14ac:dyDescent="0.3">
      <c r="A2226" s="22" t="s">
        <v>6</v>
      </c>
      <c r="B2226" s="74"/>
      <c r="C2226" s="74"/>
      <c r="D2226" s="74"/>
      <c r="E2226" s="74"/>
      <c r="F2226" s="48">
        <f>J2226+H2226+L2226</f>
        <v>252675</v>
      </c>
      <c r="G2226" s="74"/>
      <c r="H2226" s="48">
        <f>ROUNDDOWN(SUMIF(P2224:P2225,O2226,H2224:H2225),0)</f>
        <v>100753</v>
      </c>
      <c r="I2226" s="74"/>
      <c r="J2226" s="48">
        <f>ROUNDDOWN(SUMIF(P2224:P2225,O2226,J2224:J2225),0)</f>
        <v>148900</v>
      </c>
      <c r="K2226" s="74"/>
      <c r="L2226" s="48">
        <f>ROUNDDOWN(SUMIF(P2224:P2225,O2226,L2224:L2225),0)</f>
        <v>3022</v>
      </c>
      <c r="M2226" s="74"/>
      <c r="O2226" s="7" t="s">
        <v>6406</v>
      </c>
    </row>
    <row r="2227" spans="1:26" ht="28.7" customHeight="1" x14ac:dyDescent="0.3">
      <c r="A2227" s="73"/>
      <c r="B2227" s="73"/>
      <c r="C2227" s="73"/>
      <c r="D2227" s="73"/>
      <c r="E2227" s="73"/>
      <c r="F2227" s="73"/>
      <c r="G2227" s="73"/>
      <c r="H2227" s="73"/>
      <c r="I2227" s="73"/>
      <c r="J2227" s="73"/>
      <c r="K2227" s="73"/>
      <c r="L2227" s="73"/>
      <c r="M2227" s="73"/>
    </row>
    <row r="2228" spans="1:26" ht="28.7" customHeight="1" x14ac:dyDescent="0.3">
      <c r="A2228" s="136" t="s">
        <v>1273</v>
      </c>
      <c r="B2228" s="127"/>
      <c r="C2228" s="127"/>
      <c r="D2228" s="127"/>
      <c r="E2228" s="127"/>
      <c r="F2228" s="127"/>
      <c r="G2228" s="127"/>
      <c r="H2228" s="127"/>
      <c r="I2228" s="127"/>
      <c r="J2228" s="127"/>
      <c r="K2228" s="127"/>
      <c r="L2228" s="144"/>
      <c r="M2228" s="22" t="s">
        <v>7996</v>
      </c>
      <c r="N2228" s="84" t="str">
        <f>HYPERLINK("#N"&amp;ROW(N2230),"_x0005_`BDCOD|B05034_x0007_`POSS|"&amp;ROW(N2229)&amp;"_x0007_`POSE|"&amp;ROW(N2230)&amp;"_x0007_`")</f>
        <v>_x0005_`BDCOD|B05034_x0007_`POSS|2229_x0007_`POSE|2230_x0007_`</v>
      </c>
      <c r="O2228" s="7" t="s">
        <v>7997</v>
      </c>
    </row>
    <row r="2229" spans="1:26" ht="28.7" customHeight="1" x14ac:dyDescent="0.3">
      <c r="A2229" s="10" t="s">
        <v>1838</v>
      </c>
      <c r="B2229" s="10" t="s">
        <v>1848</v>
      </c>
      <c r="C2229" s="75">
        <v>1</v>
      </c>
      <c r="D2229" s="31" t="s">
        <v>1010</v>
      </c>
      <c r="E2229" s="55">
        <f>I2229+G2229+K2229</f>
        <v>145668</v>
      </c>
      <c r="F2229" s="76">
        <f>J2229+H2229+L2229</f>
        <v>145668</v>
      </c>
      <c r="G2229" s="78">
        <f>일위대가목록표!F715</f>
        <v>145668</v>
      </c>
      <c r="H2229" s="80">
        <f>IF(C2229=0,0,ROUNDDOWN(G2229*C2229,1))</f>
        <v>145668</v>
      </c>
      <c r="I2229" s="78">
        <f>일위대가목록표!G715</f>
        <v>0</v>
      </c>
      <c r="J2229" s="80">
        <f>IF(C2229=0,0,ROUNDDOWN(I2229*C2229,1))</f>
        <v>0</v>
      </c>
      <c r="K2229" s="78">
        <f>일위대가목록표!H715</f>
        <v>0</v>
      </c>
      <c r="L2229" s="80">
        <f>IF(C2229=0,0,ROUNDDOWN(K2229*C2229,1))</f>
        <v>0</v>
      </c>
      <c r="M2229" s="22" t="s">
        <v>7664</v>
      </c>
      <c r="N2229" s="17" t="s">
        <v>7662</v>
      </c>
      <c r="O2229" s="7" t="s">
        <v>7663</v>
      </c>
      <c r="P2229" s="7" t="s">
        <v>6406</v>
      </c>
      <c r="Z2229" s="3" t="str">
        <f ca="1">HYPERLINK("#"&amp;일위대가목록표!J2&amp;"!A"&amp;ROW(일위대가목록표!A715),"대가712 →")</f>
        <v>대가712 →</v>
      </c>
    </row>
    <row r="2230" spans="1:26" ht="28.7" customHeight="1" x14ac:dyDescent="0.3">
      <c r="A2230" s="10" t="s">
        <v>2359</v>
      </c>
      <c r="B2230" s="10" t="s">
        <v>2360</v>
      </c>
      <c r="C2230" s="75">
        <v>1</v>
      </c>
      <c r="D2230" s="31" t="s">
        <v>1010</v>
      </c>
      <c r="E2230" s="55">
        <f>I2230+G2230+K2230</f>
        <v>254500</v>
      </c>
      <c r="F2230" s="77">
        <f>J2230+H2230+L2230</f>
        <v>254500</v>
      </c>
      <c r="G2230" s="51">
        <v>0</v>
      </c>
      <c r="H2230" s="76">
        <f>IF(C2230=0,0,ROUNDDOWN(G2230*C2230,1))</f>
        <v>0</v>
      </c>
      <c r="I2230" s="78">
        <f>재료비목록표!E110</f>
        <v>254500</v>
      </c>
      <c r="J2230" s="81">
        <f>IF(C2230=0,0,ROUNDDOWN(I2230*C2230,1))</f>
        <v>254500</v>
      </c>
      <c r="K2230" s="51">
        <v>0</v>
      </c>
      <c r="L2230" s="76">
        <f>IF(C2230=0,0,ROUNDDOWN(K2230*C2230,1))</f>
        <v>0</v>
      </c>
      <c r="M2230" s="22" t="s">
        <v>7999</v>
      </c>
      <c r="N2230" s="17" t="s">
        <v>7998</v>
      </c>
      <c r="O2230" s="7" t="s">
        <v>5916</v>
      </c>
      <c r="P2230" s="7" t="s">
        <v>6406</v>
      </c>
      <c r="Z2230" s="3" t="str">
        <f ca="1">HYPERLINK("#"&amp;재료비목록표!G2&amp;"!A"&amp;ROW(재료비목록표!A110),"자재107 →")</f>
        <v>자재107 →</v>
      </c>
    </row>
    <row r="2231" spans="1:26" ht="28.7" customHeight="1" x14ac:dyDescent="0.3">
      <c r="A2231" s="22" t="s">
        <v>6</v>
      </c>
      <c r="B2231" s="74"/>
      <c r="C2231" s="74"/>
      <c r="D2231" s="74"/>
      <c r="E2231" s="74"/>
      <c r="F2231" s="48">
        <f>J2231+H2231+L2231</f>
        <v>400168</v>
      </c>
      <c r="G2231" s="74"/>
      <c r="H2231" s="48">
        <f>ROUNDDOWN(SUMIF(P2229:P2230,O2231,H2229:H2230),0)</f>
        <v>145668</v>
      </c>
      <c r="I2231" s="74"/>
      <c r="J2231" s="48">
        <f>ROUNDDOWN(SUMIF(P2229:P2230,O2231,J2229:J2230),0)</f>
        <v>254500</v>
      </c>
      <c r="K2231" s="74"/>
      <c r="L2231" s="48">
        <f>ROUNDDOWN(SUMIF(P2229:P2230,O2231,L2229:L2230),0)</f>
        <v>0</v>
      </c>
      <c r="M2231" s="74"/>
      <c r="O2231" s="7" t="s">
        <v>6406</v>
      </c>
    </row>
    <row r="2232" spans="1:26" ht="28.7" customHeight="1" x14ac:dyDescent="0.3">
      <c r="A2232" s="73"/>
      <c r="B2232" s="73"/>
      <c r="C2232" s="73"/>
      <c r="D2232" s="73"/>
      <c r="E2232" s="73"/>
      <c r="F2232" s="73"/>
      <c r="G2232" s="73"/>
      <c r="H2232" s="73"/>
      <c r="I2232" s="73"/>
      <c r="J2232" s="73"/>
      <c r="K2232" s="73"/>
      <c r="L2232" s="73"/>
      <c r="M2232" s="73"/>
    </row>
    <row r="2233" spans="1:26" ht="28.7" customHeight="1" x14ac:dyDescent="0.3">
      <c r="A2233" s="136" t="s">
        <v>1276</v>
      </c>
      <c r="B2233" s="127"/>
      <c r="C2233" s="127"/>
      <c r="D2233" s="127"/>
      <c r="E2233" s="127"/>
      <c r="F2233" s="127"/>
      <c r="G2233" s="127"/>
      <c r="H2233" s="127"/>
      <c r="I2233" s="127"/>
      <c r="J2233" s="127"/>
      <c r="K2233" s="127"/>
      <c r="L2233" s="144"/>
      <c r="M2233" s="22" t="s">
        <v>8000</v>
      </c>
      <c r="N2233" s="84" t="str">
        <f>HYPERLINK("#N"&amp;ROW(N2235),"_x0005_`BDCOD|B05035_x0007_`POSS|"&amp;ROW(N2234)&amp;"_x0007_`POSE|"&amp;ROW(N2235)&amp;"_x0007_`")</f>
        <v>_x0005_`BDCOD|B05035_x0007_`POSS|2234_x0007_`POSE|2235_x0007_`</v>
      </c>
      <c r="O2233" s="7" t="s">
        <v>8001</v>
      </c>
    </row>
    <row r="2234" spans="1:26" ht="28.7" customHeight="1" x14ac:dyDescent="0.3">
      <c r="A2234" s="10" t="s">
        <v>1838</v>
      </c>
      <c r="B2234" s="10" t="s">
        <v>1855</v>
      </c>
      <c r="C2234" s="75">
        <v>1</v>
      </c>
      <c r="D2234" s="31" t="s">
        <v>1010</v>
      </c>
      <c r="E2234" s="55">
        <f>I2234+G2234+K2234</f>
        <v>189819</v>
      </c>
      <c r="F2234" s="76">
        <f>J2234+H2234+L2234</f>
        <v>189819</v>
      </c>
      <c r="G2234" s="78">
        <f>일위대가목록표!F718</f>
        <v>189819</v>
      </c>
      <c r="H2234" s="80">
        <f>IF(C2234=0,0,ROUNDDOWN(G2234*C2234,1))</f>
        <v>189819</v>
      </c>
      <c r="I2234" s="78">
        <f>일위대가목록표!G718</f>
        <v>0</v>
      </c>
      <c r="J2234" s="80">
        <f>IF(C2234=0,0,ROUNDDOWN(I2234*C2234,1))</f>
        <v>0</v>
      </c>
      <c r="K2234" s="78">
        <f>일위대가목록표!H718</f>
        <v>0</v>
      </c>
      <c r="L2234" s="80">
        <f>IF(C2234=0,0,ROUNDDOWN(K2234*C2234,1))</f>
        <v>0</v>
      </c>
      <c r="M2234" s="22" t="s">
        <v>7671</v>
      </c>
      <c r="N2234" s="17" t="s">
        <v>7669</v>
      </c>
      <c r="O2234" s="7" t="s">
        <v>7670</v>
      </c>
      <c r="P2234" s="7" t="s">
        <v>6406</v>
      </c>
      <c r="Z2234" s="3" t="str">
        <f ca="1">HYPERLINK("#"&amp;일위대가목록표!J2&amp;"!A"&amp;ROW(일위대가목록표!A718),"대가715 →")</f>
        <v>대가715 →</v>
      </c>
    </row>
    <row r="2235" spans="1:26" ht="28.7" customHeight="1" x14ac:dyDescent="0.3">
      <c r="A2235" s="10" t="s">
        <v>2359</v>
      </c>
      <c r="B2235" s="10" t="s">
        <v>2363</v>
      </c>
      <c r="C2235" s="75">
        <v>1</v>
      </c>
      <c r="D2235" s="31" t="s">
        <v>1010</v>
      </c>
      <c r="E2235" s="55">
        <f>I2235+G2235+K2235</f>
        <v>418900</v>
      </c>
      <c r="F2235" s="77">
        <f>J2235+H2235+L2235</f>
        <v>418900</v>
      </c>
      <c r="G2235" s="51">
        <v>0</v>
      </c>
      <c r="H2235" s="76">
        <f>IF(C2235=0,0,ROUNDDOWN(G2235*C2235,1))</f>
        <v>0</v>
      </c>
      <c r="I2235" s="78">
        <f>재료비목록표!E111</f>
        <v>418900</v>
      </c>
      <c r="J2235" s="81">
        <f>IF(C2235=0,0,ROUNDDOWN(I2235*C2235,1))</f>
        <v>418900</v>
      </c>
      <c r="K2235" s="51">
        <v>0</v>
      </c>
      <c r="L2235" s="76">
        <f>IF(C2235=0,0,ROUNDDOWN(K2235*C2235,1))</f>
        <v>0</v>
      </c>
      <c r="M2235" s="22" t="s">
        <v>8003</v>
      </c>
      <c r="N2235" s="17" t="s">
        <v>8002</v>
      </c>
      <c r="O2235" s="7" t="s">
        <v>5919</v>
      </c>
      <c r="P2235" s="7" t="s">
        <v>6406</v>
      </c>
      <c r="Z2235" s="3" t="str">
        <f ca="1">HYPERLINK("#"&amp;재료비목록표!G2&amp;"!A"&amp;ROW(재료비목록표!A111),"자재108 →")</f>
        <v>자재108 →</v>
      </c>
    </row>
    <row r="2236" spans="1:26" ht="28.7" customHeight="1" x14ac:dyDescent="0.3">
      <c r="A2236" s="22" t="s">
        <v>6</v>
      </c>
      <c r="B2236" s="74"/>
      <c r="C2236" s="74"/>
      <c r="D2236" s="74"/>
      <c r="E2236" s="74"/>
      <c r="F2236" s="48">
        <f>J2236+H2236+L2236</f>
        <v>608719</v>
      </c>
      <c r="G2236" s="74"/>
      <c r="H2236" s="48">
        <f>ROUNDDOWN(SUMIF(P2234:P2235,O2236,H2234:H2235),0)</f>
        <v>189819</v>
      </c>
      <c r="I2236" s="74"/>
      <c r="J2236" s="48">
        <f>ROUNDDOWN(SUMIF(P2234:P2235,O2236,J2234:J2235),0)</f>
        <v>418900</v>
      </c>
      <c r="K2236" s="74"/>
      <c r="L2236" s="48">
        <f>ROUNDDOWN(SUMIF(P2234:P2235,O2236,L2234:L2235),0)</f>
        <v>0</v>
      </c>
      <c r="M2236" s="74"/>
      <c r="O2236" s="7" t="s">
        <v>6406</v>
      </c>
    </row>
    <row r="2237" spans="1:26" ht="28.7" customHeight="1" x14ac:dyDescent="0.3">
      <c r="A2237" s="73"/>
      <c r="B2237" s="73"/>
      <c r="C2237" s="73"/>
      <c r="D2237" s="73"/>
      <c r="E2237" s="73"/>
      <c r="F2237" s="73"/>
      <c r="G2237" s="73"/>
      <c r="H2237" s="73"/>
      <c r="I2237" s="73"/>
      <c r="J2237" s="73"/>
      <c r="K2237" s="73"/>
      <c r="L2237" s="73"/>
      <c r="M2237" s="73"/>
    </row>
    <row r="2238" spans="1:26" ht="28.7" customHeight="1" x14ac:dyDescent="0.3">
      <c r="A2238" s="136" t="s">
        <v>1279</v>
      </c>
      <c r="B2238" s="127"/>
      <c r="C2238" s="127"/>
      <c r="D2238" s="127"/>
      <c r="E2238" s="127"/>
      <c r="F2238" s="127"/>
      <c r="G2238" s="127"/>
      <c r="H2238" s="127"/>
      <c r="I2238" s="127"/>
      <c r="J2238" s="127"/>
      <c r="K2238" s="127"/>
      <c r="L2238" s="144"/>
      <c r="M2238" s="22" t="s">
        <v>8004</v>
      </c>
      <c r="N2238" s="84" t="str">
        <f>HYPERLINK("#N"&amp;ROW(N2240),"_x0005_`BDCOD|B05036_x0007_`POSS|"&amp;ROW(N2239)&amp;"_x0007_`POSE|"&amp;ROW(N2240)&amp;"_x0007_`")</f>
        <v>_x0005_`BDCOD|B05036_x0007_`POSS|2239_x0007_`POSE|2240_x0007_`</v>
      </c>
      <c r="O2238" s="7" t="s">
        <v>8005</v>
      </c>
    </row>
    <row r="2239" spans="1:26" ht="28.7" customHeight="1" x14ac:dyDescent="0.3">
      <c r="A2239" s="10" t="s">
        <v>1838</v>
      </c>
      <c r="B2239" s="10" t="s">
        <v>1862</v>
      </c>
      <c r="C2239" s="75">
        <v>1</v>
      </c>
      <c r="D2239" s="31" t="s">
        <v>1010</v>
      </c>
      <c r="E2239" s="55">
        <f>I2239+G2239+K2239</f>
        <v>246873</v>
      </c>
      <c r="F2239" s="76">
        <f>J2239+H2239+L2239</f>
        <v>246873</v>
      </c>
      <c r="G2239" s="78">
        <f>일위대가목록표!F721</f>
        <v>246873</v>
      </c>
      <c r="H2239" s="80">
        <f>IF(C2239=0,0,ROUNDDOWN(G2239*C2239,1))</f>
        <v>246873</v>
      </c>
      <c r="I2239" s="78">
        <f>일위대가목록표!G721</f>
        <v>0</v>
      </c>
      <c r="J2239" s="80">
        <f>IF(C2239=0,0,ROUNDDOWN(I2239*C2239,1))</f>
        <v>0</v>
      </c>
      <c r="K2239" s="78">
        <f>일위대가목록표!H721</f>
        <v>0</v>
      </c>
      <c r="L2239" s="80">
        <f>IF(C2239=0,0,ROUNDDOWN(K2239*C2239,1))</f>
        <v>0</v>
      </c>
      <c r="M2239" s="22" t="s">
        <v>7678</v>
      </c>
      <c r="N2239" s="17" t="s">
        <v>7676</v>
      </c>
      <c r="O2239" s="7" t="s">
        <v>7677</v>
      </c>
      <c r="P2239" s="7" t="s">
        <v>6406</v>
      </c>
      <c r="Z2239" s="3" t="str">
        <f ca="1">HYPERLINK("#"&amp;일위대가목록표!J2&amp;"!A"&amp;ROW(일위대가목록표!A721),"대가718 →")</f>
        <v>대가718 →</v>
      </c>
    </row>
    <row r="2240" spans="1:26" ht="28.7" customHeight="1" x14ac:dyDescent="0.3">
      <c r="A2240" s="10" t="s">
        <v>2359</v>
      </c>
      <c r="B2240" s="10" t="s">
        <v>2366</v>
      </c>
      <c r="C2240" s="75">
        <v>1</v>
      </c>
      <c r="D2240" s="31" t="s">
        <v>1010</v>
      </c>
      <c r="E2240" s="55">
        <f>I2240+G2240+K2240</f>
        <v>650300</v>
      </c>
      <c r="F2240" s="77">
        <f>J2240+H2240+L2240</f>
        <v>650300</v>
      </c>
      <c r="G2240" s="51">
        <v>0</v>
      </c>
      <c r="H2240" s="76">
        <f>IF(C2240=0,0,ROUNDDOWN(G2240*C2240,1))</f>
        <v>0</v>
      </c>
      <c r="I2240" s="78">
        <f>재료비목록표!E112</f>
        <v>650300</v>
      </c>
      <c r="J2240" s="81">
        <f>IF(C2240=0,0,ROUNDDOWN(I2240*C2240,1))</f>
        <v>650300</v>
      </c>
      <c r="K2240" s="51">
        <v>0</v>
      </c>
      <c r="L2240" s="76">
        <f>IF(C2240=0,0,ROUNDDOWN(K2240*C2240,1))</f>
        <v>0</v>
      </c>
      <c r="M2240" s="22" t="s">
        <v>8007</v>
      </c>
      <c r="N2240" s="17" t="s">
        <v>8006</v>
      </c>
      <c r="O2240" s="7" t="s">
        <v>5922</v>
      </c>
      <c r="P2240" s="7" t="s">
        <v>6406</v>
      </c>
      <c r="Z2240" s="3" t="str">
        <f ca="1">HYPERLINK("#"&amp;재료비목록표!G2&amp;"!A"&amp;ROW(재료비목록표!A112),"자재109 →")</f>
        <v>자재109 →</v>
      </c>
    </row>
    <row r="2241" spans="1:26" ht="28.7" customHeight="1" x14ac:dyDescent="0.3">
      <c r="A2241" s="22" t="s">
        <v>6</v>
      </c>
      <c r="B2241" s="74"/>
      <c r="C2241" s="74"/>
      <c r="D2241" s="74"/>
      <c r="E2241" s="74"/>
      <c r="F2241" s="48">
        <f>J2241+H2241+L2241</f>
        <v>897173</v>
      </c>
      <c r="G2241" s="74"/>
      <c r="H2241" s="48">
        <f>ROUNDDOWN(SUMIF(P2239:P2240,O2241,H2239:H2240),0)</f>
        <v>246873</v>
      </c>
      <c r="I2241" s="74"/>
      <c r="J2241" s="48">
        <f>ROUNDDOWN(SUMIF(P2239:P2240,O2241,J2239:J2240),0)</f>
        <v>650300</v>
      </c>
      <c r="K2241" s="74"/>
      <c r="L2241" s="48">
        <f>ROUNDDOWN(SUMIF(P2239:P2240,O2241,L2239:L2240),0)</f>
        <v>0</v>
      </c>
      <c r="M2241" s="74"/>
      <c r="O2241" s="7" t="s">
        <v>6406</v>
      </c>
    </row>
    <row r="2242" spans="1:26" ht="28.7" customHeight="1" x14ac:dyDescent="0.3">
      <c r="A2242" s="73"/>
      <c r="B2242" s="73"/>
      <c r="C2242" s="73"/>
      <c r="D2242" s="73"/>
      <c r="E2242" s="73"/>
      <c r="F2242" s="73"/>
      <c r="G2242" s="73"/>
      <c r="H2242" s="73"/>
      <c r="I2242" s="73"/>
      <c r="J2242" s="73"/>
      <c r="K2242" s="73"/>
      <c r="L2242" s="73"/>
      <c r="M2242" s="73"/>
    </row>
    <row r="2243" spans="1:26" ht="28.7" customHeight="1" x14ac:dyDescent="0.3">
      <c r="A2243" s="136" t="s">
        <v>1282</v>
      </c>
      <c r="B2243" s="127"/>
      <c r="C2243" s="127"/>
      <c r="D2243" s="127"/>
      <c r="E2243" s="127"/>
      <c r="F2243" s="127"/>
      <c r="G2243" s="127"/>
      <c r="H2243" s="127"/>
      <c r="I2243" s="127"/>
      <c r="J2243" s="127"/>
      <c r="K2243" s="127"/>
      <c r="L2243" s="144"/>
      <c r="M2243" s="22" t="s">
        <v>8008</v>
      </c>
      <c r="N2243" s="84" t="str">
        <f>HYPERLINK("#N"&amp;ROW(N2244),"_x0005_`BDCOD|B05434_x0007_`POSS|"&amp;ROW(N2244)&amp;"_x0007_`POSE|"&amp;ROW(N2244)&amp;"_x0007_`")</f>
        <v>_x0005_`BDCOD|B05434_x0007_`POSS|2244_x0007_`POSE|2244_x0007_`</v>
      </c>
      <c r="O2243" s="7" t="s">
        <v>8009</v>
      </c>
    </row>
    <row r="2244" spans="1:26" ht="28.7" customHeight="1" x14ac:dyDescent="0.3">
      <c r="A2244" s="10" t="s">
        <v>1838</v>
      </c>
      <c r="B2244" s="10" t="s">
        <v>1869</v>
      </c>
      <c r="C2244" s="75">
        <v>1</v>
      </c>
      <c r="D2244" s="31" t="s">
        <v>1010</v>
      </c>
      <c r="E2244" s="55">
        <f>I2244+G2244+K2244</f>
        <v>60695</v>
      </c>
      <c r="F2244" s="76">
        <f>J2244+H2244+L2244</f>
        <v>60695</v>
      </c>
      <c r="G2244" s="78">
        <f>일위대가목록표!F724</f>
        <v>60695</v>
      </c>
      <c r="H2244" s="80">
        <f>IF(C2244=0,0,ROUNDDOWN(G2244*C2244,1))</f>
        <v>60695</v>
      </c>
      <c r="I2244" s="78">
        <f>일위대가목록표!G724</f>
        <v>0</v>
      </c>
      <c r="J2244" s="80">
        <f>IF(C2244=0,0,ROUNDDOWN(I2244*C2244,1))</f>
        <v>0</v>
      </c>
      <c r="K2244" s="78">
        <f>일위대가목록표!H724</f>
        <v>0</v>
      </c>
      <c r="L2244" s="80">
        <f>IF(C2244=0,0,ROUNDDOWN(K2244*C2244,1))</f>
        <v>0</v>
      </c>
      <c r="M2244" s="22" t="s">
        <v>7733</v>
      </c>
      <c r="N2244" s="17" t="s">
        <v>7731</v>
      </c>
      <c r="O2244" s="7" t="s">
        <v>7732</v>
      </c>
      <c r="P2244" s="7" t="s">
        <v>6406</v>
      </c>
      <c r="Z2244" s="3" t="str">
        <f ca="1">HYPERLINK("#"&amp;일위대가목록표!J2&amp;"!A"&amp;ROW(일위대가목록표!A724),"대가721 →")</f>
        <v>대가721 →</v>
      </c>
    </row>
    <row r="2245" spans="1:26" ht="28.7" customHeight="1" x14ac:dyDescent="0.3">
      <c r="A2245" s="22" t="s">
        <v>6</v>
      </c>
      <c r="B2245" s="74"/>
      <c r="C2245" s="74"/>
      <c r="D2245" s="74"/>
      <c r="E2245" s="74"/>
      <c r="F2245" s="48">
        <f>J2245+H2245+L2245</f>
        <v>60695</v>
      </c>
      <c r="G2245" s="74"/>
      <c r="H2245" s="48">
        <f>ROUNDDOWN(SUMIF(P2244:P2244,O2245,H2244:H2244),0)</f>
        <v>60695</v>
      </c>
      <c r="I2245" s="74"/>
      <c r="J2245" s="48">
        <f>ROUNDDOWN(SUMIF(P2244:P2244,O2245,J2244:J2244),0)</f>
        <v>0</v>
      </c>
      <c r="K2245" s="74"/>
      <c r="L2245" s="48">
        <f>ROUNDDOWN(SUMIF(P2244:P2244,O2245,L2244:L2244),0)</f>
        <v>0</v>
      </c>
      <c r="M2245" s="74"/>
      <c r="O2245" s="7" t="s">
        <v>6406</v>
      </c>
    </row>
    <row r="2246" spans="1:26" ht="28.7" customHeight="1" x14ac:dyDescent="0.3">
      <c r="A2246" s="73"/>
      <c r="B2246" s="73"/>
      <c r="C2246" s="73"/>
      <c r="D2246" s="73"/>
      <c r="E2246" s="73"/>
      <c r="F2246" s="73"/>
      <c r="G2246" s="73"/>
      <c r="H2246" s="73"/>
      <c r="I2246" s="73"/>
      <c r="J2246" s="73"/>
      <c r="K2246" s="73"/>
      <c r="L2246" s="73"/>
      <c r="M2246" s="73"/>
    </row>
    <row r="2247" spans="1:26" ht="28.7" customHeight="1" x14ac:dyDescent="0.3">
      <c r="A2247" s="136" t="s">
        <v>1285</v>
      </c>
      <c r="B2247" s="127"/>
      <c r="C2247" s="127"/>
      <c r="D2247" s="127"/>
      <c r="E2247" s="127"/>
      <c r="F2247" s="127"/>
      <c r="G2247" s="127"/>
      <c r="H2247" s="127"/>
      <c r="I2247" s="127"/>
      <c r="J2247" s="127"/>
      <c r="K2247" s="127"/>
      <c r="L2247" s="144"/>
      <c r="M2247" s="22" t="s">
        <v>8010</v>
      </c>
      <c r="N2247" s="84" t="str">
        <f>HYPERLINK("#N"&amp;ROW(N2248),"_x0005_`BDCOD|B05435_x0007_`POSS|"&amp;ROW(N2248)&amp;"_x0007_`POSE|"&amp;ROW(N2248)&amp;"_x0007_`")</f>
        <v>_x0005_`BDCOD|B05435_x0007_`POSS|2248_x0007_`POSE|2248_x0007_`</v>
      </c>
      <c r="O2247" s="7" t="s">
        <v>8011</v>
      </c>
    </row>
    <row r="2248" spans="1:26" ht="28.7" customHeight="1" x14ac:dyDescent="0.3">
      <c r="A2248" s="10" t="s">
        <v>1838</v>
      </c>
      <c r="B2248" s="10" t="s">
        <v>1839</v>
      </c>
      <c r="C2248" s="75">
        <v>1</v>
      </c>
      <c r="D2248" s="31" t="s">
        <v>1010</v>
      </c>
      <c r="E2248" s="55">
        <f>I2248+G2248+K2248</f>
        <v>103775</v>
      </c>
      <c r="F2248" s="76">
        <f>J2248+H2248+L2248</f>
        <v>103775</v>
      </c>
      <c r="G2248" s="78">
        <f>일위대가목록표!F712</f>
        <v>100753</v>
      </c>
      <c r="H2248" s="80">
        <f>IF(C2248=0,0,ROUNDDOWN(G2248*C2248,1))</f>
        <v>100753</v>
      </c>
      <c r="I2248" s="78">
        <f>일위대가목록표!G712</f>
        <v>0</v>
      </c>
      <c r="J2248" s="80">
        <f>IF(C2248=0,0,ROUNDDOWN(I2248*C2248,1))</f>
        <v>0</v>
      </c>
      <c r="K2248" s="78">
        <f>일위대가목록표!H712</f>
        <v>3022</v>
      </c>
      <c r="L2248" s="80">
        <f>IF(C2248=0,0,ROUNDDOWN(K2248*C2248,1))</f>
        <v>3022</v>
      </c>
      <c r="M2248" s="22" t="s">
        <v>7657</v>
      </c>
      <c r="N2248" s="17" t="s">
        <v>7655</v>
      </c>
      <c r="O2248" s="7" t="s">
        <v>7656</v>
      </c>
      <c r="P2248" s="7" t="s">
        <v>6406</v>
      </c>
      <c r="Z2248" s="3" t="str">
        <f ca="1">HYPERLINK("#"&amp;일위대가목록표!J2&amp;"!A"&amp;ROW(일위대가목록표!A712),"대가709 →")</f>
        <v>대가709 →</v>
      </c>
    </row>
    <row r="2249" spans="1:26" ht="28.7" customHeight="1" x14ac:dyDescent="0.3">
      <c r="A2249" s="22" t="s">
        <v>6</v>
      </c>
      <c r="B2249" s="74"/>
      <c r="C2249" s="74"/>
      <c r="D2249" s="74"/>
      <c r="E2249" s="74"/>
      <c r="F2249" s="48">
        <f>J2249+H2249+L2249</f>
        <v>103775</v>
      </c>
      <c r="G2249" s="74"/>
      <c r="H2249" s="48">
        <f>ROUNDDOWN(SUMIF(P2248:P2248,O2249,H2248:H2248),0)</f>
        <v>100753</v>
      </c>
      <c r="I2249" s="74"/>
      <c r="J2249" s="48">
        <f>ROUNDDOWN(SUMIF(P2248:P2248,O2249,J2248:J2248),0)</f>
        <v>0</v>
      </c>
      <c r="K2249" s="74"/>
      <c r="L2249" s="48">
        <f>ROUNDDOWN(SUMIF(P2248:P2248,O2249,L2248:L2248),0)</f>
        <v>3022</v>
      </c>
      <c r="M2249" s="74"/>
      <c r="O2249" s="7" t="s">
        <v>6406</v>
      </c>
    </row>
    <row r="2250" spans="1:26" ht="28.7" customHeight="1" x14ac:dyDescent="0.3">
      <c r="A2250" s="73"/>
      <c r="B2250" s="73"/>
      <c r="C2250" s="73"/>
      <c r="D2250" s="73"/>
      <c r="E2250" s="73"/>
      <c r="F2250" s="73"/>
      <c r="G2250" s="73"/>
      <c r="H2250" s="73"/>
      <c r="I2250" s="73"/>
      <c r="J2250" s="73"/>
      <c r="K2250" s="73"/>
      <c r="L2250" s="73"/>
      <c r="M2250" s="73"/>
    </row>
    <row r="2251" spans="1:26" ht="28.7" customHeight="1" x14ac:dyDescent="0.3">
      <c r="A2251" s="136" t="s">
        <v>1287</v>
      </c>
      <c r="B2251" s="127"/>
      <c r="C2251" s="127"/>
      <c r="D2251" s="127"/>
      <c r="E2251" s="127"/>
      <c r="F2251" s="127"/>
      <c r="G2251" s="127"/>
      <c r="H2251" s="127"/>
      <c r="I2251" s="127"/>
      <c r="J2251" s="127"/>
      <c r="K2251" s="127"/>
      <c r="L2251" s="144"/>
      <c r="M2251" s="22" t="s">
        <v>8012</v>
      </c>
      <c r="N2251" s="84" t="str">
        <f>HYPERLINK("#N"&amp;ROW(N2252),"_x0005_`BDCOD|B05436_x0007_`POSS|"&amp;ROW(N2252)&amp;"_x0007_`POSE|"&amp;ROW(N2252)&amp;"_x0007_`")</f>
        <v>_x0005_`BDCOD|B05436_x0007_`POSS|2252_x0007_`POSE|2252_x0007_`</v>
      </c>
      <c r="O2251" s="7" t="s">
        <v>8013</v>
      </c>
    </row>
    <row r="2252" spans="1:26" ht="28.7" customHeight="1" x14ac:dyDescent="0.3">
      <c r="A2252" s="10" t="s">
        <v>1838</v>
      </c>
      <c r="B2252" s="10" t="s">
        <v>1848</v>
      </c>
      <c r="C2252" s="75">
        <v>1</v>
      </c>
      <c r="D2252" s="31" t="s">
        <v>1010</v>
      </c>
      <c r="E2252" s="55">
        <f>I2252+G2252+K2252</f>
        <v>145668</v>
      </c>
      <c r="F2252" s="76">
        <f>J2252+H2252+L2252</f>
        <v>145668</v>
      </c>
      <c r="G2252" s="78">
        <f>일위대가목록표!F715</f>
        <v>145668</v>
      </c>
      <c r="H2252" s="80">
        <f>IF(C2252=0,0,ROUNDDOWN(G2252*C2252,1))</f>
        <v>145668</v>
      </c>
      <c r="I2252" s="78">
        <f>일위대가목록표!G715</f>
        <v>0</v>
      </c>
      <c r="J2252" s="80">
        <f>IF(C2252=0,0,ROUNDDOWN(I2252*C2252,1))</f>
        <v>0</v>
      </c>
      <c r="K2252" s="78">
        <f>일위대가목록표!H715</f>
        <v>0</v>
      </c>
      <c r="L2252" s="80">
        <f>IF(C2252=0,0,ROUNDDOWN(K2252*C2252,1))</f>
        <v>0</v>
      </c>
      <c r="M2252" s="22" t="s">
        <v>7664</v>
      </c>
      <c r="N2252" s="17" t="s">
        <v>7662</v>
      </c>
      <c r="O2252" s="7" t="s">
        <v>7663</v>
      </c>
      <c r="P2252" s="7" t="s">
        <v>6406</v>
      </c>
      <c r="Z2252" s="3" t="str">
        <f ca="1">HYPERLINK("#"&amp;일위대가목록표!J2&amp;"!A"&amp;ROW(일위대가목록표!A715),"대가712 →")</f>
        <v>대가712 →</v>
      </c>
    </row>
    <row r="2253" spans="1:26" ht="28.7" customHeight="1" x14ac:dyDescent="0.3">
      <c r="A2253" s="22" t="s">
        <v>6</v>
      </c>
      <c r="B2253" s="74"/>
      <c r="C2253" s="74"/>
      <c r="D2253" s="74"/>
      <c r="E2253" s="74"/>
      <c r="F2253" s="48">
        <f>J2253+H2253+L2253</f>
        <v>145668</v>
      </c>
      <c r="G2253" s="74"/>
      <c r="H2253" s="48">
        <f>ROUNDDOWN(SUMIF(P2252:P2252,O2253,H2252:H2252),0)</f>
        <v>145668</v>
      </c>
      <c r="I2253" s="74"/>
      <c r="J2253" s="48">
        <f>ROUNDDOWN(SUMIF(P2252:P2252,O2253,J2252:J2252),0)</f>
        <v>0</v>
      </c>
      <c r="K2253" s="74"/>
      <c r="L2253" s="48">
        <f>ROUNDDOWN(SUMIF(P2252:P2252,O2253,L2252:L2252),0)</f>
        <v>0</v>
      </c>
      <c r="M2253" s="74"/>
      <c r="O2253" s="7" t="s">
        <v>6406</v>
      </c>
    </row>
    <row r="2254" spans="1:26" ht="28.7" customHeight="1" x14ac:dyDescent="0.3">
      <c r="A2254" s="73"/>
      <c r="B2254" s="73"/>
      <c r="C2254" s="73"/>
      <c r="D2254" s="73"/>
      <c r="E2254" s="73"/>
      <c r="F2254" s="73"/>
      <c r="G2254" s="73"/>
      <c r="H2254" s="73"/>
      <c r="I2254" s="73"/>
      <c r="J2254" s="73"/>
      <c r="K2254" s="73"/>
      <c r="L2254" s="73"/>
      <c r="M2254" s="73"/>
    </row>
    <row r="2255" spans="1:26" ht="28.7" customHeight="1" x14ac:dyDescent="0.3">
      <c r="A2255" s="136" t="s">
        <v>1289</v>
      </c>
      <c r="B2255" s="127"/>
      <c r="C2255" s="127"/>
      <c r="D2255" s="127"/>
      <c r="E2255" s="127"/>
      <c r="F2255" s="127"/>
      <c r="G2255" s="127"/>
      <c r="H2255" s="127"/>
      <c r="I2255" s="127"/>
      <c r="J2255" s="127"/>
      <c r="K2255" s="127"/>
      <c r="L2255" s="144"/>
      <c r="M2255" s="22" t="s">
        <v>8014</v>
      </c>
      <c r="N2255" s="84" t="str">
        <f>HYPERLINK("#N"&amp;ROW(N2256),"_x0005_`BDCOD|B05437_x0007_`POSS|"&amp;ROW(N2256)&amp;"_x0007_`POSE|"&amp;ROW(N2256)&amp;"_x0007_`")</f>
        <v>_x0005_`BDCOD|B05437_x0007_`POSS|2256_x0007_`POSE|2256_x0007_`</v>
      </c>
      <c r="O2255" s="7" t="s">
        <v>8015</v>
      </c>
    </row>
    <row r="2256" spans="1:26" ht="28.7" customHeight="1" x14ac:dyDescent="0.3">
      <c r="A2256" s="10" t="s">
        <v>1838</v>
      </c>
      <c r="B2256" s="10" t="s">
        <v>1855</v>
      </c>
      <c r="C2256" s="75">
        <v>1</v>
      </c>
      <c r="D2256" s="31" t="s">
        <v>1010</v>
      </c>
      <c r="E2256" s="55">
        <f>I2256+G2256+K2256</f>
        <v>189819</v>
      </c>
      <c r="F2256" s="76">
        <f>J2256+H2256+L2256</f>
        <v>189819</v>
      </c>
      <c r="G2256" s="78">
        <f>일위대가목록표!F718</f>
        <v>189819</v>
      </c>
      <c r="H2256" s="80">
        <f>IF(C2256=0,0,ROUNDDOWN(G2256*C2256,1))</f>
        <v>189819</v>
      </c>
      <c r="I2256" s="78">
        <f>일위대가목록표!G718</f>
        <v>0</v>
      </c>
      <c r="J2256" s="80">
        <f>IF(C2256=0,0,ROUNDDOWN(I2256*C2256,1))</f>
        <v>0</v>
      </c>
      <c r="K2256" s="78">
        <f>일위대가목록표!H718</f>
        <v>0</v>
      </c>
      <c r="L2256" s="80">
        <f>IF(C2256=0,0,ROUNDDOWN(K2256*C2256,1))</f>
        <v>0</v>
      </c>
      <c r="M2256" s="22" t="s">
        <v>7671</v>
      </c>
      <c r="N2256" s="17" t="s">
        <v>7669</v>
      </c>
      <c r="O2256" s="7" t="s">
        <v>7670</v>
      </c>
      <c r="P2256" s="7" t="s">
        <v>6406</v>
      </c>
      <c r="Z2256" s="3" t="str">
        <f ca="1">HYPERLINK("#"&amp;일위대가목록표!J2&amp;"!A"&amp;ROW(일위대가목록표!A718),"대가715 →")</f>
        <v>대가715 →</v>
      </c>
    </row>
    <row r="2257" spans="1:26" ht="28.7" customHeight="1" x14ac:dyDescent="0.3">
      <c r="A2257" s="22" t="s">
        <v>6</v>
      </c>
      <c r="B2257" s="74"/>
      <c r="C2257" s="74"/>
      <c r="D2257" s="74"/>
      <c r="E2257" s="74"/>
      <c r="F2257" s="48">
        <f>J2257+H2257+L2257</f>
        <v>189819</v>
      </c>
      <c r="G2257" s="74"/>
      <c r="H2257" s="48">
        <f>ROUNDDOWN(SUMIF(P2256:P2256,O2257,H2256:H2256),0)</f>
        <v>189819</v>
      </c>
      <c r="I2257" s="74"/>
      <c r="J2257" s="48">
        <f>ROUNDDOWN(SUMIF(P2256:P2256,O2257,J2256:J2256),0)</f>
        <v>0</v>
      </c>
      <c r="K2257" s="74"/>
      <c r="L2257" s="48">
        <f>ROUNDDOWN(SUMIF(P2256:P2256,O2257,L2256:L2256),0)</f>
        <v>0</v>
      </c>
      <c r="M2257" s="74"/>
      <c r="O2257" s="7" t="s">
        <v>6406</v>
      </c>
    </row>
    <row r="2258" spans="1:26" ht="28.7" customHeight="1" x14ac:dyDescent="0.3">
      <c r="A2258" s="73"/>
      <c r="B2258" s="73"/>
      <c r="C2258" s="73"/>
      <c r="D2258" s="73"/>
      <c r="E2258" s="73"/>
      <c r="F2258" s="73"/>
      <c r="G2258" s="73"/>
      <c r="H2258" s="73"/>
      <c r="I2258" s="73"/>
      <c r="J2258" s="73"/>
      <c r="K2258" s="73"/>
      <c r="L2258" s="73"/>
      <c r="M2258" s="73"/>
    </row>
    <row r="2259" spans="1:26" ht="28.7" customHeight="1" x14ac:dyDescent="0.3">
      <c r="A2259" s="136" t="s">
        <v>1291</v>
      </c>
      <c r="B2259" s="127"/>
      <c r="C2259" s="127"/>
      <c r="D2259" s="127"/>
      <c r="E2259" s="127"/>
      <c r="F2259" s="127"/>
      <c r="G2259" s="127"/>
      <c r="H2259" s="127"/>
      <c r="I2259" s="127"/>
      <c r="J2259" s="127"/>
      <c r="K2259" s="127"/>
      <c r="L2259" s="144"/>
      <c r="M2259" s="22" t="s">
        <v>8016</v>
      </c>
      <c r="N2259" s="84" t="str">
        <f>HYPERLINK("#N"&amp;ROW(N2260),"_x0005_`BDCOD|B05438_x0007_`POSS|"&amp;ROW(N2260)&amp;"_x0007_`POSE|"&amp;ROW(N2260)&amp;"_x0007_`")</f>
        <v>_x0005_`BDCOD|B05438_x0007_`POSS|2260_x0007_`POSE|2260_x0007_`</v>
      </c>
      <c r="O2259" s="7" t="s">
        <v>8017</v>
      </c>
    </row>
    <row r="2260" spans="1:26" ht="28.7" customHeight="1" x14ac:dyDescent="0.3">
      <c r="A2260" s="10" t="s">
        <v>1838</v>
      </c>
      <c r="B2260" s="10" t="s">
        <v>1862</v>
      </c>
      <c r="C2260" s="75">
        <v>1</v>
      </c>
      <c r="D2260" s="31" t="s">
        <v>1010</v>
      </c>
      <c r="E2260" s="55">
        <f>I2260+G2260+K2260</f>
        <v>246873</v>
      </c>
      <c r="F2260" s="76">
        <f>J2260+H2260+L2260</f>
        <v>246873</v>
      </c>
      <c r="G2260" s="78">
        <f>일위대가목록표!F721</f>
        <v>246873</v>
      </c>
      <c r="H2260" s="80">
        <f>IF(C2260=0,0,ROUNDDOWN(G2260*C2260,1))</f>
        <v>246873</v>
      </c>
      <c r="I2260" s="78">
        <f>일위대가목록표!G721</f>
        <v>0</v>
      </c>
      <c r="J2260" s="80">
        <f>IF(C2260=0,0,ROUNDDOWN(I2260*C2260,1))</f>
        <v>0</v>
      </c>
      <c r="K2260" s="78">
        <f>일위대가목록표!H721</f>
        <v>0</v>
      </c>
      <c r="L2260" s="80">
        <f>IF(C2260=0,0,ROUNDDOWN(K2260*C2260,1))</f>
        <v>0</v>
      </c>
      <c r="M2260" s="22" t="s">
        <v>7678</v>
      </c>
      <c r="N2260" s="17" t="s">
        <v>7676</v>
      </c>
      <c r="O2260" s="7" t="s">
        <v>7677</v>
      </c>
      <c r="P2260" s="7" t="s">
        <v>6406</v>
      </c>
      <c r="Z2260" s="3" t="str">
        <f ca="1">HYPERLINK("#"&amp;일위대가목록표!J2&amp;"!A"&amp;ROW(일위대가목록표!A721),"대가718 →")</f>
        <v>대가718 →</v>
      </c>
    </row>
    <row r="2261" spans="1:26" ht="28.7" customHeight="1" x14ac:dyDescent="0.3">
      <c r="A2261" s="22" t="s">
        <v>6</v>
      </c>
      <c r="B2261" s="74"/>
      <c r="C2261" s="74"/>
      <c r="D2261" s="74"/>
      <c r="E2261" s="74"/>
      <c r="F2261" s="48">
        <f>J2261+H2261+L2261</f>
        <v>246873</v>
      </c>
      <c r="G2261" s="74"/>
      <c r="H2261" s="48">
        <f>ROUNDDOWN(SUMIF(P2260:P2260,O2261,H2260:H2260),0)</f>
        <v>246873</v>
      </c>
      <c r="I2261" s="74"/>
      <c r="J2261" s="48">
        <f>ROUNDDOWN(SUMIF(P2260:P2260,O2261,J2260:J2260),0)</f>
        <v>0</v>
      </c>
      <c r="K2261" s="74"/>
      <c r="L2261" s="48">
        <f>ROUNDDOWN(SUMIF(P2260:P2260,O2261,L2260:L2260),0)</f>
        <v>0</v>
      </c>
      <c r="M2261" s="74"/>
      <c r="O2261" s="7" t="s">
        <v>6406</v>
      </c>
    </row>
    <row r="2262" spans="1:26" ht="28.7" customHeight="1" x14ac:dyDescent="0.3">
      <c r="A2262" s="73"/>
      <c r="B2262" s="73"/>
      <c r="C2262" s="73"/>
      <c r="D2262" s="73"/>
      <c r="E2262" s="73"/>
      <c r="F2262" s="73"/>
      <c r="G2262" s="73"/>
      <c r="H2262" s="73"/>
      <c r="I2262" s="73"/>
      <c r="J2262" s="73"/>
      <c r="K2262" s="73"/>
      <c r="L2262" s="73"/>
      <c r="M2262" s="73"/>
    </row>
    <row r="2263" spans="1:26" ht="28.7" customHeight="1" x14ac:dyDescent="0.3">
      <c r="A2263" s="136" t="s">
        <v>1293</v>
      </c>
      <c r="B2263" s="127"/>
      <c r="C2263" s="127"/>
      <c r="D2263" s="127"/>
      <c r="E2263" s="127"/>
      <c r="F2263" s="127"/>
      <c r="G2263" s="127"/>
      <c r="H2263" s="127"/>
      <c r="I2263" s="127"/>
      <c r="J2263" s="127"/>
      <c r="K2263" s="127"/>
      <c r="L2263" s="144"/>
      <c r="M2263" s="22" t="s">
        <v>8018</v>
      </c>
      <c r="N2263" s="84" t="str">
        <f>HYPERLINK("#N"&amp;ROW(N2264),"_x0005_`BDCOD|B05439_x0007_`POSS|"&amp;ROW(N2264)&amp;"_x0007_`POSE|"&amp;ROW(N2264)&amp;"_x0007_`")</f>
        <v>_x0005_`BDCOD|B05439_x0007_`POSS|2264_x0007_`POSE|2264_x0007_`</v>
      </c>
      <c r="O2263" s="7" t="s">
        <v>8019</v>
      </c>
    </row>
    <row r="2264" spans="1:26" ht="28.7" customHeight="1" x14ac:dyDescent="0.3">
      <c r="A2264" s="10" t="s">
        <v>1845</v>
      </c>
      <c r="B2264" s="10" t="s">
        <v>1562</v>
      </c>
      <c r="C2264" s="75">
        <v>1</v>
      </c>
      <c r="D2264" s="31" t="s">
        <v>1010</v>
      </c>
      <c r="E2264" s="55">
        <f>I2264+G2264+K2264</f>
        <v>43354</v>
      </c>
      <c r="F2264" s="76">
        <f>J2264+H2264+L2264</f>
        <v>43354</v>
      </c>
      <c r="G2264" s="78">
        <f>일위대가목록표!F726</f>
        <v>43354</v>
      </c>
      <c r="H2264" s="80">
        <f>IF(C2264=0,0,ROUNDDOWN(G2264*C2264,1))</f>
        <v>43354</v>
      </c>
      <c r="I2264" s="78">
        <f>일위대가목록표!G726</f>
        <v>0</v>
      </c>
      <c r="J2264" s="80">
        <f>IF(C2264=0,0,ROUNDDOWN(I2264*C2264,1))</f>
        <v>0</v>
      </c>
      <c r="K2264" s="78">
        <f>일위대가목록표!H726</f>
        <v>0</v>
      </c>
      <c r="L2264" s="80">
        <f>IF(C2264=0,0,ROUNDDOWN(K2264*C2264,1))</f>
        <v>0</v>
      </c>
      <c r="M2264" s="22" t="s">
        <v>7776</v>
      </c>
      <c r="N2264" s="17" t="s">
        <v>7774</v>
      </c>
      <c r="O2264" s="7" t="s">
        <v>7775</v>
      </c>
      <c r="P2264" s="7" t="s">
        <v>6406</v>
      </c>
      <c r="Z2264" s="3" t="str">
        <f ca="1">HYPERLINK("#"&amp;일위대가목록표!J2&amp;"!A"&amp;ROW(일위대가목록표!A726),"대가723 →")</f>
        <v>대가723 →</v>
      </c>
    </row>
    <row r="2265" spans="1:26" ht="28.7" customHeight="1" x14ac:dyDescent="0.3">
      <c r="A2265" s="22" t="s">
        <v>6</v>
      </c>
      <c r="B2265" s="74"/>
      <c r="C2265" s="74"/>
      <c r="D2265" s="74"/>
      <c r="E2265" s="74"/>
      <c r="F2265" s="48">
        <f>J2265+H2265+L2265</f>
        <v>43354</v>
      </c>
      <c r="G2265" s="74"/>
      <c r="H2265" s="48">
        <f>ROUNDDOWN(SUMIF(P2264:P2264,O2265,H2264:H2264),0)</f>
        <v>43354</v>
      </c>
      <c r="I2265" s="74"/>
      <c r="J2265" s="48">
        <f>ROUNDDOWN(SUMIF(P2264:P2264,O2265,J2264:J2264),0)</f>
        <v>0</v>
      </c>
      <c r="K2265" s="74"/>
      <c r="L2265" s="48">
        <f>ROUNDDOWN(SUMIF(P2264:P2264,O2265,L2264:L2264),0)</f>
        <v>0</v>
      </c>
      <c r="M2265" s="74"/>
      <c r="O2265" s="7" t="s">
        <v>6406</v>
      </c>
    </row>
    <row r="2266" spans="1:26" ht="28.7" customHeight="1" x14ac:dyDescent="0.3">
      <c r="A2266" s="73"/>
      <c r="B2266" s="73"/>
      <c r="C2266" s="73"/>
      <c r="D2266" s="73"/>
      <c r="E2266" s="73"/>
      <c r="F2266" s="73"/>
      <c r="G2266" s="73"/>
      <c r="H2266" s="73"/>
      <c r="I2266" s="73"/>
      <c r="J2266" s="73"/>
      <c r="K2266" s="73"/>
      <c r="L2266" s="73"/>
      <c r="M2266" s="73"/>
    </row>
    <row r="2267" spans="1:26" ht="28.7" customHeight="1" x14ac:dyDescent="0.3">
      <c r="A2267" s="136" t="s">
        <v>1296</v>
      </c>
      <c r="B2267" s="127"/>
      <c r="C2267" s="127"/>
      <c r="D2267" s="127"/>
      <c r="E2267" s="127"/>
      <c r="F2267" s="127"/>
      <c r="G2267" s="127"/>
      <c r="H2267" s="127"/>
      <c r="I2267" s="127"/>
      <c r="J2267" s="127"/>
      <c r="K2267" s="127"/>
      <c r="L2267" s="144"/>
      <c r="M2267" s="22" t="s">
        <v>8020</v>
      </c>
      <c r="N2267" s="84" t="str">
        <f>HYPERLINK("#N"&amp;ROW(N2268),"_x0005_`BDCOD|B05440_x0007_`POSS|"&amp;ROW(N2268)&amp;"_x0007_`POSE|"&amp;ROW(N2268)&amp;"_x0007_`")</f>
        <v>_x0005_`BDCOD|B05440_x0007_`POSS|2268_x0007_`POSE|2268_x0007_`</v>
      </c>
      <c r="O2267" s="7" t="s">
        <v>8021</v>
      </c>
    </row>
    <row r="2268" spans="1:26" ht="28.7" customHeight="1" x14ac:dyDescent="0.3">
      <c r="A2268" s="10" t="s">
        <v>1845</v>
      </c>
      <c r="B2268" s="10" t="s">
        <v>1543</v>
      </c>
      <c r="C2268" s="75">
        <v>1</v>
      </c>
      <c r="D2268" s="31" t="s">
        <v>1010</v>
      </c>
      <c r="E2268" s="55">
        <f>I2268+G2268+K2268</f>
        <v>74126</v>
      </c>
      <c r="F2268" s="76">
        <f>J2268+H2268+L2268</f>
        <v>74126</v>
      </c>
      <c r="G2268" s="78">
        <f>일위대가목록표!F714</f>
        <v>71967</v>
      </c>
      <c r="H2268" s="80">
        <f>IF(C2268=0,0,ROUNDDOWN(G2268*C2268,1))</f>
        <v>71967</v>
      </c>
      <c r="I2268" s="78">
        <f>일위대가목록표!G714</f>
        <v>0</v>
      </c>
      <c r="J2268" s="80">
        <f>IF(C2268=0,0,ROUNDDOWN(I2268*C2268,1))</f>
        <v>0</v>
      </c>
      <c r="K2268" s="78">
        <f>일위대가목록표!H714</f>
        <v>2159</v>
      </c>
      <c r="L2268" s="80">
        <f>IF(C2268=0,0,ROUNDDOWN(K2268*C2268,1))</f>
        <v>2159</v>
      </c>
      <c r="M2268" s="22" t="s">
        <v>7693</v>
      </c>
      <c r="N2268" s="17" t="s">
        <v>7691</v>
      </c>
      <c r="O2268" s="7" t="s">
        <v>7692</v>
      </c>
      <c r="P2268" s="7" t="s">
        <v>6406</v>
      </c>
      <c r="Z2268" s="3" t="str">
        <f ca="1">HYPERLINK("#"&amp;일위대가목록표!J2&amp;"!A"&amp;ROW(일위대가목록표!A714),"대가711 →")</f>
        <v>대가711 →</v>
      </c>
    </row>
    <row r="2269" spans="1:26" ht="28.7" customHeight="1" x14ac:dyDescent="0.3">
      <c r="A2269" s="22" t="s">
        <v>6</v>
      </c>
      <c r="B2269" s="74"/>
      <c r="C2269" s="74"/>
      <c r="D2269" s="74"/>
      <c r="E2269" s="74"/>
      <c r="F2269" s="48">
        <f>J2269+H2269+L2269</f>
        <v>74126</v>
      </c>
      <c r="G2269" s="74"/>
      <c r="H2269" s="48">
        <f>ROUNDDOWN(SUMIF(P2268:P2268,O2269,H2268:H2268),0)</f>
        <v>71967</v>
      </c>
      <c r="I2269" s="74"/>
      <c r="J2269" s="48">
        <f>ROUNDDOWN(SUMIF(P2268:P2268,O2269,J2268:J2268),0)</f>
        <v>0</v>
      </c>
      <c r="K2269" s="74"/>
      <c r="L2269" s="48">
        <f>ROUNDDOWN(SUMIF(P2268:P2268,O2269,L2268:L2268),0)</f>
        <v>2159</v>
      </c>
      <c r="M2269" s="74"/>
      <c r="O2269" s="7" t="s">
        <v>6406</v>
      </c>
    </row>
    <row r="2270" spans="1:26" ht="28.7" customHeight="1" x14ac:dyDescent="0.3">
      <c r="A2270" s="73"/>
      <c r="B2270" s="73"/>
      <c r="C2270" s="73"/>
      <c r="D2270" s="73"/>
      <c r="E2270" s="73"/>
      <c r="F2270" s="73"/>
      <c r="G2270" s="73"/>
      <c r="H2270" s="73"/>
      <c r="I2270" s="73"/>
      <c r="J2270" s="73"/>
      <c r="K2270" s="73"/>
      <c r="L2270" s="73"/>
      <c r="M2270" s="73"/>
    </row>
    <row r="2271" spans="1:26" ht="28.7" customHeight="1" x14ac:dyDescent="0.3">
      <c r="A2271" s="136" t="s">
        <v>1298</v>
      </c>
      <c r="B2271" s="127"/>
      <c r="C2271" s="127"/>
      <c r="D2271" s="127"/>
      <c r="E2271" s="127"/>
      <c r="F2271" s="127"/>
      <c r="G2271" s="127"/>
      <c r="H2271" s="127"/>
      <c r="I2271" s="127"/>
      <c r="J2271" s="127"/>
      <c r="K2271" s="127"/>
      <c r="L2271" s="144"/>
      <c r="M2271" s="22" t="s">
        <v>8022</v>
      </c>
      <c r="N2271" s="84" t="str">
        <f>HYPERLINK("#N"&amp;ROW(N2272),"_x0005_`BDCOD|B05441_x0007_`POSS|"&amp;ROW(N2272)&amp;"_x0007_`POSE|"&amp;ROW(N2272)&amp;"_x0007_`")</f>
        <v>_x0005_`BDCOD|B05441_x0007_`POSS|2272_x0007_`POSE|2272_x0007_`</v>
      </c>
      <c r="O2271" s="7" t="s">
        <v>8023</v>
      </c>
    </row>
    <row r="2272" spans="1:26" ht="28.7" customHeight="1" x14ac:dyDescent="0.3">
      <c r="A2272" s="10" t="s">
        <v>1845</v>
      </c>
      <c r="B2272" s="10" t="s">
        <v>1546</v>
      </c>
      <c r="C2272" s="75">
        <v>1</v>
      </c>
      <c r="D2272" s="31" t="s">
        <v>1010</v>
      </c>
      <c r="E2272" s="55">
        <f>I2272+G2272+K2272</f>
        <v>104049</v>
      </c>
      <c r="F2272" s="76">
        <f>J2272+H2272+L2272</f>
        <v>104049</v>
      </c>
      <c r="G2272" s="78">
        <f>일위대가목록표!F717</f>
        <v>104049</v>
      </c>
      <c r="H2272" s="80">
        <f>IF(C2272=0,0,ROUNDDOWN(G2272*C2272,1))</f>
        <v>104049</v>
      </c>
      <c r="I2272" s="78">
        <f>일위대가목록표!G717</f>
        <v>0</v>
      </c>
      <c r="J2272" s="80">
        <f>IF(C2272=0,0,ROUNDDOWN(I2272*C2272,1))</f>
        <v>0</v>
      </c>
      <c r="K2272" s="78">
        <f>일위대가목록표!H717</f>
        <v>0</v>
      </c>
      <c r="L2272" s="80">
        <f>IF(C2272=0,0,ROUNDDOWN(K2272*C2272,1))</f>
        <v>0</v>
      </c>
      <c r="M2272" s="22" t="s">
        <v>7698</v>
      </c>
      <c r="N2272" s="17" t="s">
        <v>7696</v>
      </c>
      <c r="O2272" s="7" t="s">
        <v>7697</v>
      </c>
      <c r="P2272" s="7" t="s">
        <v>6406</v>
      </c>
      <c r="Z2272" s="3" t="str">
        <f ca="1">HYPERLINK("#"&amp;일위대가목록표!J2&amp;"!A"&amp;ROW(일위대가목록표!A717),"대가714 →")</f>
        <v>대가714 →</v>
      </c>
    </row>
    <row r="2273" spans="1:26" ht="28.7" customHeight="1" x14ac:dyDescent="0.3">
      <c r="A2273" s="22" t="s">
        <v>6</v>
      </c>
      <c r="B2273" s="74"/>
      <c r="C2273" s="74"/>
      <c r="D2273" s="74"/>
      <c r="E2273" s="74"/>
      <c r="F2273" s="48">
        <f>J2273+H2273+L2273</f>
        <v>104049</v>
      </c>
      <c r="G2273" s="74"/>
      <c r="H2273" s="48">
        <f>ROUNDDOWN(SUMIF(P2272:P2272,O2273,H2272:H2272),0)</f>
        <v>104049</v>
      </c>
      <c r="I2273" s="74"/>
      <c r="J2273" s="48">
        <f>ROUNDDOWN(SUMIF(P2272:P2272,O2273,J2272:J2272),0)</f>
        <v>0</v>
      </c>
      <c r="K2273" s="74"/>
      <c r="L2273" s="48">
        <f>ROUNDDOWN(SUMIF(P2272:P2272,O2273,L2272:L2272),0)</f>
        <v>0</v>
      </c>
      <c r="M2273" s="74"/>
      <c r="O2273" s="7" t="s">
        <v>6406</v>
      </c>
    </row>
    <row r="2274" spans="1:26" ht="28.7" customHeight="1" x14ac:dyDescent="0.3">
      <c r="A2274" s="73"/>
      <c r="B2274" s="73"/>
      <c r="C2274" s="73"/>
      <c r="D2274" s="73"/>
      <c r="E2274" s="73"/>
      <c r="F2274" s="73"/>
      <c r="G2274" s="73"/>
      <c r="H2274" s="73"/>
      <c r="I2274" s="73"/>
      <c r="J2274" s="73"/>
      <c r="K2274" s="73"/>
      <c r="L2274" s="73"/>
      <c r="M2274" s="73"/>
    </row>
    <row r="2275" spans="1:26" ht="28.7" customHeight="1" x14ac:dyDescent="0.3">
      <c r="A2275" s="136" t="s">
        <v>1300</v>
      </c>
      <c r="B2275" s="127"/>
      <c r="C2275" s="127"/>
      <c r="D2275" s="127"/>
      <c r="E2275" s="127"/>
      <c r="F2275" s="127"/>
      <c r="G2275" s="127"/>
      <c r="H2275" s="127"/>
      <c r="I2275" s="127"/>
      <c r="J2275" s="127"/>
      <c r="K2275" s="127"/>
      <c r="L2275" s="144"/>
      <c r="M2275" s="22" t="s">
        <v>8024</v>
      </c>
      <c r="N2275" s="84" t="str">
        <f>HYPERLINK("#N"&amp;ROW(N2276),"_x0005_`BDCOD|B05442_x0007_`POSS|"&amp;ROW(N2276)&amp;"_x0007_`POSE|"&amp;ROW(N2276)&amp;"_x0007_`")</f>
        <v>_x0005_`BDCOD|B05442_x0007_`POSS|2276_x0007_`POSE|2276_x0007_`</v>
      </c>
      <c r="O2275" s="7" t="s">
        <v>8025</v>
      </c>
    </row>
    <row r="2276" spans="1:26" ht="28.7" customHeight="1" x14ac:dyDescent="0.3">
      <c r="A2276" s="10" t="s">
        <v>1845</v>
      </c>
      <c r="B2276" s="10" t="s">
        <v>1569</v>
      </c>
      <c r="C2276" s="75">
        <v>1</v>
      </c>
      <c r="D2276" s="31" t="s">
        <v>1010</v>
      </c>
      <c r="E2276" s="55">
        <f>I2276+G2276+K2276</f>
        <v>135585</v>
      </c>
      <c r="F2276" s="76">
        <f>J2276+H2276+L2276</f>
        <v>135585</v>
      </c>
      <c r="G2276" s="78">
        <f>일위대가목록표!F720</f>
        <v>135585</v>
      </c>
      <c r="H2276" s="80">
        <f>IF(C2276=0,0,ROUNDDOWN(G2276*C2276,1))</f>
        <v>135585</v>
      </c>
      <c r="I2276" s="78">
        <f>일위대가목록표!G720</f>
        <v>0</v>
      </c>
      <c r="J2276" s="80">
        <f>IF(C2276=0,0,ROUNDDOWN(I2276*C2276,1))</f>
        <v>0</v>
      </c>
      <c r="K2276" s="78">
        <f>일위대가목록표!H720</f>
        <v>0</v>
      </c>
      <c r="L2276" s="80">
        <f>IF(C2276=0,0,ROUNDDOWN(K2276*C2276,1))</f>
        <v>0</v>
      </c>
      <c r="M2276" s="22" t="s">
        <v>7703</v>
      </c>
      <c r="N2276" s="17" t="s">
        <v>7701</v>
      </c>
      <c r="O2276" s="7" t="s">
        <v>7702</v>
      </c>
      <c r="P2276" s="7" t="s">
        <v>6406</v>
      </c>
      <c r="Z2276" s="3" t="str">
        <f ca="1">HYPERLINK("#"&amp;일위대가목록표!J2&amp;"!A"&amp;ROW(일위대가목록표!A720),"대가717 →")</f>
        <v>대가717 →</v>
      </c>
    </row>
    <row r="2277" spans="1:26" ht="28.7" customHeight="1" x14ac:dyDescent="0.3">
      <c r="A2277" s="22" t="s">
        <v>6</v>
      </c>
      <c r="B2277" s="74"/>
      <c r="C2277" s="74"/>
      <c r="D2277" s="74"/>
      <c r="E2277" s="74"/>
      <c r="F2277" s="48">
        <f>J2277+H2277+L2277</f>
        <v>135585</v>
      </c>
      <c r="G2277" s="74"/>
      <c r="H2277" s="48">
        <f>ROUNDDOWN(SUMIF(P2276:P2276,O2277,H2276:H2276),0)</f>
        <v>135585</v>
      </c>
      <c r="I2277" s="74"/>
      <c r="J2277" s="48">
        <f>ROUNDDOWN(SUMIF(P2276:P2276,O2277,J2276:J2276),0)</f>
        <v>0</v>
      </c>
      <c r="K2277" s="74"/>
      <c r="L2277" s="48">
        <f>ROUNDDOWN(SUMIF(P2276:P2276,O2277,L2276:L2276),0)</f>
        <v>0</v>
      </c>
      <c r="M2277" s="74"/>
      <c r="O2277" s="7" t="s">
        <v>6406</v>
      </c>
    </row>
    <row r="2278" spans="1:26" ht="28.7" customHeight="1" x14ac:dyDescent="0.3">
      <c r="A2278" s="73"/>
      <c r="B2278" s="73"/>
      <c r="C2278" s="73"/>
      <c r="D2278" s="73"/>
      <c r="E2278" s="73"/>
      <c r="F2278" s="73"/>
      <c r="G2278" s="73"/>
      <c r="H2278" s="73"/>
      <c r="I2278" s="73"/>
      <c r="J2278" s="73"/>
      <c r="K2278" s="73"/>
      <c r="L2278" s="73"/>
      <c r="M2278" s="73"/>
    </row>
    <row r="2279" spans="1:26" ht="28.7" customHeight="1" x14ac:dyDescent="0.3">
      <c r="A2279" s="136" t="s">
        <v>1302</v>
      </c>
      <c r="B2279" s="127"/>
      <c r="C2279" s="127"/>
      <c r="D2279" s="127"/>
      <c r="E2279" s="127"/>
      <c r="F2279" s="127"/>
      <c r="G2279" s="127"/>
      <c r="H2279" s="127"/>
      <c r="I2279" s="127"/>
      <c r="J2279" s="127"/>
      <c r="K2279" s="127"/>
      <c r="L2279" s="144"/>
      <c r="M2279" s="22" t="s">
        <v>8026</v>
      </c>
      <c r="N2279" s="84" t="str">
        <f>HYPERLINK("#N"&amp;ROW(N2280),"_x0005_`BDCOD|B05443_x0007_`POSS|"&amp;ROW(N2280)&amp;"_x0007_`POSE|"&amp;ROW(N2280)&amp;"_x0007_`")</f>
        <v>_x0005_`BDCOD|B05443_x0007_`POSS|2280_x0007_`POSE|2280_x0007_`</v>
      </c>
      <c r="O2279" s="7" t="s">
        <v>8027</v>
      </c>
    </row>
    <row r="2280" spans="1:26" ht="28.7" customHeight="1" x14ac:dyDescent="0.3">
      <c r="A2280" s="10" t="s">
        <v>1845</v>
      </c>
      <c r="B2280" s="10" t="s">
        <v>1572</v>
      </c>
      <c r="C2280" s="75">
        <v>1</v>
      </c>
      <c r="D2280" s="31" t="s">
        <v>1010</v>
      </c>
      <c r="E2280" s="55">
        <f>I2280+G2280+K2280</f>
        <v>176338</v>
      </c>
      <c r="F2280" s="76">
        <f>J2280+H2280+L2280</f>
        <v>176338</v>
      </c>
      <c r="G2280" s="78">
        <f>일위대가목록표!F723</f>
        <v>176338</v>
      </c>
      <c r="H2280" s="80">
        <f>IF(C2280=0,0,ROUNDDOWN(G2280*C2280,1))</f>
        <v>176338</v>
      </c>
      <c r="I2280" s="78">
        <f>일위대가목록표!G723</f>
        <v>0</v>
      </c>
      <c r="J2280" s="80">
        <f>IF(C2280=0,0,ROUNDDOWN(I2280*C2280,1))</f>
        <v>0</v>
      </c>
      <c r="K2280" s="78">
        <f>일위대가목록표!H723</f>
        <v>0</v>
      </c>
      <c r="L2280" s="80">
        <f>IF(C2280=0,0,ROUNDDOWN(K2280*C2280,1))</f>
        <v>0</v>
      </c>
      <c r="M2280" s="22" t="s">
        <v>7708</v>
      </c>
      <c r="N2280" s="17" t="s">
        <v>7706</v>
      </c>
      <c r="O2280" s="7" t="s">
        <v>7707</v>
      </c>
      <c r="P2280" s="7" t="s">
        <v>6406</v>
      </c>
      <c r="Z2280" s="3" t="str">
        <f ca="1">HYPERLINK("#"&amp;일위대가목록표!J2&amp;"!A"&amp;ROW(일위대가목록표!A723),"대가720 →")</f>
        <v>대가720 →</v>
      </c>
    </row>
    <row r="2281" spans="1:26" ht="28.7" customHeight="1" x14ac:dyDescent="0.3">
      <c r="A2281" s="22" t="s">
        <v>6</v>
      </c>
      <c r="B2281" s="74"/>
      <c r="C2281" s="74"/>
      <c r="D2281" s="74"/>
      <c r="E2281" s="74"/>
      <c r="F2281" s="48">
        <f>J2281+H2281+L2281</f>
        <v>176338</v>
      </c>
      <c r="G2281" s="74"/>
      <c r="H2281" s="48">
        <f>ROUNDDOWN(SUMIF(P2280:P2280,O2281,H2280:H2280),0)</f>
        <v>176338</v>
      </c>
      <c r="I2281" s="74"/>
      <c r="J2281" s="48">
        <f>ROUNDDOWN(SUMIF(P2280:P2280,O2281,J2280:J2280),0)</f>
        <v>0</v>
      </c>
      <c r="K2281" s="74"/>
      <c r="L2281" s="48">
        <f>ROUNDDOWN(SUMIF(P2280:P2280,O2281,L2280:L2280),0)</f>
        <v>0</v>
      </c>
      <c r="M2281" s="74"/>
      <c r="O2281" s="7" t="s">
        <v>6406</v>
      </c>
    </row>
    <row r="2282" spans="1:26" ht="28.7" customHeight="1" x14ac:dyDescent="0.3">
      <c r="A2282" s="73"/>
      <c r="B2282" s="73"/>
      <c r="C2282" s="73"/>
      <c r="D2282" s="73"/>
      <c r="E2282" s="73"/>
      <c r="F2282" s="73"/>
      <c r="G2282" s="73"/>
      <c r="H2282" s="73"/>
      <c r="I2282" s="73"/>
      <c r="J2282" s="73"/>
      <c r="K2282" s="73"/>
      <c r="L2282" s="73"/>
      <c r="M2282" s="73"/>
    </row>
    <row r="2283" spans="1:26" ht="28.7" customHeight="1" x14ac:dyDescent="0.3">
      <c r="A2283" s="136" t="s">
        <v>1304</v>
      </c>
      <c r="B2283" s="127"/>
      <c r="C2283" s="127"/>
      <c r="D2283" s="127"/>
      <c r="E2283" s="127"/>
      <c r="F2283" s="127"/>
      <c r="G2283" s="127"/>
      <c r="H2283" s="127"/>
      <c r="I2283" s="127"/>
      <c r="J2283" s="127"/>
      <c r="K2283" s="127"/>
      <c r="L2283" s="144"/>
      <c r="M2283" s="22" t="s">
        <v>8028</v>
      </c>
      <c r="N2283" s="84" t="str">
        <f>HYPERLINK("#N"&amp;ROW(N2284),"_x0005_`BDCOD|B05444_x0007_`POSS|"&amp;ROW(N2284)&amp;"_x0007_`POSE|"&amp;ROW(N2284)&amp;"_x0007_`")</f>
        <v>_x0005_`BDCOD|B05444_x0007_`POSS|2284_x0007_`POSE|2284_x0007_`</v>
      </c>
      <c r="O2283" s="7" t="s">
        <v>8029</v>
      </c>
    </row>
    <row r="2284" spans="1:26" ht="28.7" customHeight="1" x14ac:dyDescent="0.3">
      <c r="A2284" s="10" t="s">
        <v>1842</v>
      </c>
      <c r="B2284" s="10" t="s">
        <v>1869</v>
      </c>
      <c r="C2284" s="75">
        <v>1</v>
      </c>
      <c r="D2284" s="31" t="s">
        <v>1010</v>
      </c>
      <c r="E2284" s="55">
        <f>I2284+G2284+K2284</f>
        <v>17341</v>
      </c>
      <c r="F2284" s="76">
        <f>J2284+H2284+L2284</f>
        <v>17341</v>
      </c>
      <c r="G2284" s="78">
        <f>일위대가목록표!F725</f>
        <v>17341</v>
      </c>
      <c r="H2284" s="80">
        <f>IF(C2284=0,0,ROUNDDOWN(G2284*C2284,1))</f>
        <v>17341</v>
      </c>
      <c r="I2284" s="78">
        <f>일위대가목록표!G725</f>
        <v>0</v>
      </c>
      <c r="J2284" s="80">
        <f>IF(C2284=0,0,ROUNDDOWN(I2284*C2284,1))</f>
        <v>0</v>
      </c>
      <c r="K2284" s="78">
        <f>일위대가목록표!H725</f>
        <v>0</v>
      </c>
      <c r="L2284" s="80">
        <f>IF(C2284=0,0,ROUNDDOWN(K2284*C2284,1))</f>
        <v>0</v>
      </c>
      <c r="M2284" s="22" t="s">
        <v>7794</v>
      </c>
      <c r="N2284" s="17" t="s">
        <v>7792</v>
      </c>
      <c r="O2284" s="7" t="s">
        <v>7793</v>
      </c>
      <c r="P2284" s="7" t="s">
        <v>6406</v>
      </c>
      <c r="Z2284" s="3" t="str">
        <f ca="1">HYPERLINK("#"&amp;일위대가목록표!J2&amp;"!A"&amp;ROW(일위대가목록표!A725),"대가722 →")</f>
        <v>대가722 →</v>
      </c>
    </row>
    <row r="2285" spans="1:26" ht="28.7" customHeight="1" x14ac:dyDescent="0.3">
      <c r="A2285" s="22" t="s">
        <v>6</v>
      </c>
      <c r="B2285" s="74"/>
      <c r="C2285" s="74"/>
      <c r="D2285" s="74"/>
      <c r="E2285" s="74"/>
      <c r="F2285" s="48">
        <f>J2285+H2285+L2285</f>
        <v>17341</v>
      </c>
      <c r="G2285" s="74"/>
      <c r="H2285" s="48">
        <f>ROUNDDOWN(SUMIF(P2284:P2284,O2285,H2284:H2284),0)</f>
        <v>17341</v>
      </c>
      <c r="I2285" s="74"/>
      <c r="J2285" s="48">
        <f>ROUNDDOWN(SUMIF(P2284:P2284,O2285,J2284:J2284),0)</f>
        <v>0</v>
      </c>
      <c r="K2285" s="74"/>
      <c r="L2285" s="48">
        <f>ROUNDDOWN(SUMIF(P2284:P2284,O2285,L2284:L2284),0)</f>
        <v>0</v>
      </c>
      <c r="M2285" s="74"/>
      <c r="O2285" s="7" t="s">
        <v>6406</v>
      </c>
    </row>
    <row r="2286" spans="1:26" ht="28.7" customHeight="1" x14ac:dyDescent="0.3">
      <c r="A2286" s="73"/>
      <c r="B2286" s="73"/>
      <c r="C2286" s="73"/>
      <c r="D2286" s="73"/>
      <c r="E2286" s="73"/>
      <c r="F2286" s="73"/>
      <c r="G2286" s="73"/>
      <c r="H2286" s="73"/>
      <c r="I2286" s="73"/>
      <c r="J2286" s="73"/>
      <c r="K2286" s="73"/>
      <c r="L2286" s="73"/>
      <c r="M2286" s="73"/>
    </row>
    <row r="2287" spans="1:26" ht="28.7" customHeight="1" x14ac:dyDescent="0.3">
      <c r="A2287" s="136" t="s">
        <v>1307</v>
      </c>
      <c r="B2287" s="127"/>
      <c r="C2287" s="127"/>
      <c r="D2287" s="127"/>
      <c r="E2287" s="127"/>
      <c r="F2287" s="127"/>
      <c r="G2287" s="127"/>
      <c r="H2287" s="127"/>
      <c r="I2287" s="127"/>
      <c r="J2287" s="127"/>
      <c r="K2287" s="127"/>
      <c r="L2287" s="144"/>
      <c r="M2287" s="22" t="s">
        <v>8030</v>
      </c>
      <c r="N2287" s="84" t="str">
        <f>HYPERLINK("#N"&amp;ROW(N2288),"_x0005_`BDCOD|B05445_x0007_`POSS|"&amp;ROW(N2288)&amp;"_x0007_`POSE|"&amp;ROW(N2288)&amp;"_x0007_`")</f>
        <v>_x0005_`BDCOD|B05445_x0007_`POSS|2288_x0007_`POSE|2288_x0007_`</v>
      </c>
      <c r="O2287" s="7" t="s">
        <v>8031</v>
      </c>
    </row>
    <row r="2288" spans="1:26" ht="28.7" customHeight="1" x14ac:dyDescent="0.3">
      <c r="A2288" s="10" t="s">
        <v>1842</v>
      </c>
      <c r="B2288" s="10" t="s">
        <v>1839</v>
      </c>
      <c r="C2288" s="75">
        <v>1</v>
      </c>
      <c r="D2288" s="31" t="s">
        <v>1010</v>
      </c>
      <c r="E2288" s="55">
        <f>I2288+G2288+K2288</f>
        <v>29649</v>
      </c>
      <c r="F2288" s="76">
        <f>J2288+H2288+L2288</f>
        <v>29649</v>
      </c>
      <c r="G2288" s="78">
        <f>일위대가목록표!F713</f>
        <v>28786</v>
      </c>
      <c r="H2288" s="80">
        <f>IF(C2288=0,0,ROUNDDOWN(G2288*C2288,1))</f>
        <v>28786</v>
      </c>
      <c r="I2288" s="78">
        <f>일위대가목록표!G713</f>
        <v>0</v>
      </c>
      <c r="J2288" s="80">
        <f>IF(C2288=0,0,ROUNDDOWN(I2288*C2288,1))</f>
        <v>0</v>
      </c>
      <c r="K2288" s="78">
        <f>일위대가목록표!H713</f>
        <v>863</v>
      </c>
      <c r="L2288" s="80">
        <f>IF(C2288=0,0,ROUNDDOWN(K2288*C2288,1))</f>
        <v>863</v>
      </c>
      <c r="M2288" s="22" t="s">
        <v>7713</v>
      </c>
      <c r="N2288" s="17" t="s">
        <v>7711</v>
      </c>
      <c r="O2288" s="7" t="s">
        <v>7712</v>
      </c>
      <c r="P2288" s="7" t="s">
        <v>6406</v>
      </c>
      <c r="Z2288" s="3" t="str">
        <f ca="1">HYPERLINK("#"&amp;일위대가목록표!J2&amp;"!A"&amp;ROW(일위대가목록표!A713),"대가710 →")</f>
        <v>대가710 →</v>
      </c>
    </row>
    <row r="2289" spans="1:26" ht="28.7" customHeight="1" x14ac:dyDescent="0.3">
      <c r="A2289" s="22" t="s">
        <v>6</v>
      </c>
      <c r="B2289" s="74"/>
      <c r="C2289" s="74"/>
      <c r="D2289" s="74"/>
      <c r="E2289" s="74"/>
      <c r="F2289" s="48">
        <f>J2289+H2289+L2289</f>
        <v>29649</v>
      </c>
      <c r="G2289" s="74"/>
      <c r="H2289" s="48">
        <f>ROUNDDOWN(SUMIF(P2288:P2288,O2289,H2288:H2288),0)</f>
        <v>28786</v>
      </c>
      <c r="I2289" s="74"/>
      <c r="J2289" s="48">
        <f>ROUNDDOWN(SUMIF(P2288:P2288,O2289,J2288:J2288),0)</f>
        <v>0</v>
      </c>
      <c r="K2289" s="74"/>
      <c r="L2289" s="48">
        <f>ROUNDDOWN(SUMIF(P2288:P2288,O2289,L2288:L2288),0)</f>
        <v>863</v>
      </c>
      <c r="M2289" s="74"/>
      <c r="O2289" s="7" t="s">
        <v>6406</v>
      </c>
    </row>
    <row r="2290" spans="1:26" ht="28.7" customHeight="1" x14ac:dyDescent="0.3">
      <c r="A2290" s="73"/>
      <c r="B2290" s="73"/>
      <c r="C2290" s="73"/>
      <c r="D2290" s="73"/>
      <c r="E2290" s="73"/>
      <c r="F2290" s="73"/>
      <c r="G2290" s="73"/>
      <c r="H2290" s="73"/>
      <c r="I2290" s="73"/>
      <c r="J2290" s="73"/>
      <c r="K2290" s="73"/>
      <c r="L2290" s="73"/>
      <c r="M2290" s="73"/>
    </row>
    <row r="2291" spans="1:26" ht="28.7" customHeight="1" x14ac:dyDescent="0.3">
      <c r="A2291" s="136" t="s">
        <v>1309</v>
      </c>
      <c r="B2291" s="127"/>
      <c r="C2291" s="127"/>
      <c r="D2291" s="127"/>
      <c r="E2291" s="127"/>
      <c r="F2291" s="127"/>
      <c r="G2291" s="127"/>
      <c r="H2291" s="127"/>
      <c r="I2291" s="127"/>
      <c r="J2291" s="127"/>
      <c r="K2291" s="127"/>
      <c r="L2291" s="144"/>
      <c r="M2291" s="22" t="s">
        <v>8032</v>
      </c>
      <c r="N2291" s="84" t="str">
        <f>HYPERLINK("#N"&amp;ROW(N2292),"_x0005_`BDCOD|B05446_x0007_`POSS|"&amp;ROW(N2292)&amp;"_x0007_`POSE|"&amp;ROW(N2292)&amp;"_x0007_`")</f>
        <v>_x0005_`BDCOD|B05446_x0007_`POSS|2292_x0007_`POSE|2292_x0007_`</v>
      </c>
      <c r="O2291" s="7" t="s">
        <v>8033</v>
      </c>
    </row>
    <row r="2292" spans="1:26" ht="28.7" customHeight="1" x14ac:dyDescent="0.3">
      <c r="A2292" s="10" t="s">
        <v>1842</v>
      </c>
      <c r="B2292" s="10" t="s">
        <v>1848</v>
      </c>
      <c r="C2292" s="75">
        <v>1</v>
      </c>
      <c r="D2292" s="31" t="s">
        <v>1010</v>
      </c>
      <c r="E2292" s="55">
        <f>I2292+G2292+K2292</f>
        <v>41619</v>
      </c>
      <c r="F2292" s="76">
        <f>J2292+H2292+L2292</f>
        <v>41619</v>
      </c>
      <c r="G2292" s="78">
        <f>일위대가목록표!F716</f>
        <v>41619</v>
      </c>
      <c r="H2292" s="80">
        <f>IF(C2292=0,0,ROUNDDOWN(G2292*C2292,1))</f>
        <v>41619</v>
      </c>
      <c r="I2292" s="78">
        <f>일위대가목록표!G716</f>
        <v>0</v>
      </c>
      <c r="J2292" s="80">
        <f>IF(C2292=0,0,ROUNDDOWN(I2292*C2292,1))</f>
        <v>0</v>
      </c>
      <c r="K2292" s="78">
        <f>일위대가목록표!H716</f>
        <v>0</v>
      </c>
      <c r="L2292" s="80">
        <f>IF(C2292=0,0,ROUNDDOWN(K2292*C2292,1))</f>
        <v>0</v>
      </c>
      <c r="M2292" s="22" t="s">
        <v>7718</v>
      </c>
      <c r="N2292" s="17" t="s">
        <v>7716</v>
      </c>
      <c r="O2292" s="7" t="s">
        <v>7717</v>
      </c>
      <c r="P2292" s="7" t="s">
        <v>6406</v>
      </c>
      <c r="Z2292" s="3" t="str">
        <f ca="1">HYPERLINK("#"&amp;일위대가목록표!J2&amp;"!A"&amp;ROW(일위대가목록표!A716),"대가713 →")</f>
        <v>대가713 →</v>
      </c>
    </row>
    <row r="2293" spans="1:26" ht="28.7" customHeight="1" x14ac:dyDescent="0.3">
      <c r="A2293" s="22" t="s">
        <v>6</v>
      </c>
      <c r="B2293" s="74"/>
      <c r="C2293" s="74"/>
      <c r="D2293" s="74"/>
      <c r="E2293" s="74"/>
      <c r="F2293" s="48">
        <f>J2293+H2293+L2293</f>
        <v>41619</v>
      </c>
      <c r="G2293" s="74"/>
      <c r="H2293" s="48">
        <f>ROUNDDOWN(SUMIF(P2292:P2292,O2293,H2292:H2292),0)</f>
        <v>41619</v>
      </c>
      <c r="I2293" s="74"/>
      <c r="J2293" s="48">
        <f>ROUNDDOWN(SUMIF(P2292:P2292,O2293,J2292:J2292),0)</f>
        <v>0</v>
      </c>
      <c r="K2293" s="74"/>
      <c r="L2293" s="48">
        <f>ROUNDDOWN(SUMIF(P2292:P2292,O2293,L2292:L2292),0)</f>
        <v>0</v>
      </c>
      <c r="M2293" s="74"/>
      <c r="O2293" s="7" t="s">
        <v>6406</v>
      </c>
    </row>
    <row r="2294" spans="1:26" ht="28.7" customHeight="1" x14ac:dyDescent="0.3">
      <c r="A2294" s="73"/>
      <c r="B2294" s="73"/>
      <c r="C2294" s="73"/>
      <c r="D2294" s="73"/>
      <c r="E2294" s="73"/>
      <c r="F2294" s="73"/>
      <c r="G2294" s="73"/>
      <c r="H2294" s="73"/>
      <c r="I2294" s="73"/>
      <c r="J2294" s="73"/>
      <c r="K2294" s="73"/>
      <c r="L2294" s="73"/>
      <c r="M2294" s="73"/>
    </row>
    <row r="2295" spans="1:26" ht="28.7" customHeight="1" x14ac:dyDescent="0.3">
      <c r="A2295" s="136" t="s">
        <v>1311</v>
      </c>
      <c r="B2295" s="127"/>
      <c r="C2295" s="127"/>
      <c r="D2295" s="127"/>
      <c r="E2295" s="127"/>
      <c r="F2295" s="127"/>
      <c r="G2295" s="127"/>
      <c r="H2295" s="127"/>
      <c r="I2295" s="127"/>
      <c r="J2295" s="127"/>
      <c r="K2295" s="127"/>
      <c r="L2295" s="144"/>
      <c r="M2295" s="22" t="s">
        <v>8034</v>
      </c>
      <c r="N2295" s="84" t="str">
        <f>HYPERLINK("#N"&amp;ROW(N2296),"_x0005_`BDCOD|B05447_x0007_`POSS|"&amp;ROW(N2296)&amp;"_x0007_`POSE|"&amp;ROW(N2296)&amp;"_x0007_`")</f>
        <v>_x0005_`BDCOD|B05447_x0007_`POSS|2296_x0007_`POSE|2296_x0007_`</v>
      </c>
      <c r="O2295" s="7" t="s">
        <v>8035</v>
      </c>
    </row>
    <row r="2296" spans="1:26" ht="28.7" customHeight="1" x14ac:dyDescent="0.3">
      <c r="A2296" s="10" t="s">
        <v>1842</v>
      </c>
      <c r="B2296" s="10" t="s">
        <v>1855</v>
      </c>
      <c r="C2296" s="75">
        <v>1</v>
      </c>
      <c r="D2296" s="31" t="s">
        <v>1010</v>
      </c>
      <c r="E2296" s="55">
        <f>I2296+G2296+K2296</f>
        <v>54234</v>
      </c>
      <c r="F2296" s="76">
        <f>J2296+H2296+L2296</f>
        <v>54234</v>
      </c>
      <c r="G2296" s="78">
        <f>일위대가목록표!F719</f>
        <v>54234</v>
      </c>
      <c r="H2296" s="80">
        <f>IF(C2296=0,0,ROUNDDOWN(G2296*C2296,1))</f>
        <v>54234</v>
      </c>
      <c r="I2296" s="78">
        <f>일위대가목록표!G719</f>
        <v>0</v>
      </c>
      <c r="J2296" s="80">
        <f>IF(C2296=0,0,ROUNDDOWN(I2296*C2296,1))</f>
        <v>0</v>
      </c>
      <c r="K2296" s="78">
        <f>일위대가목록표!H719</f>
        <v>0</v>
      </c>
      <c r="L2296" s="80">
        <f>IF(C2296=0,0,ROUNDDOWN(K2296*C2296,1))</f>
        <v>0</v>
      </c>
      <c r="M2296" s="22" t="s">
        <v>7723</v>
      </c>
      <c r="N2296" s="17" t="s">
        <v>7721</v>
      </c>
      <c r="O2296" s="7" t="s">
        <v>7722</v>
      </c>
      <c r="P2296" s="7" t="s">
        <v>6406</v>
      </c>
      <c r="Z2296" s="3" t="str">
        <f ca="1">HYPERLINK("#"&amp;일위대가목록표!J2&amp;"!A"&amp;ROW(일위대가목록표!A719),"대가716 →")</f>
        <v>대가716 →</v>
      </c>
    </row>
    <row r="2297" spans="1:26" ht="28.7" customHeight="1" x14ac:dyDescent="0.3">
      <c r="A2297" s="22" t="s">
        <v>6</v>
      </c>
      <c r="B2297" s="74"/>
      <c r="C2297" s="74"/>
      <c r="D2297" s="74"/>
      <c r="E2297" s="74"/>
      <c r="F2297" s="48">
        <f>J2297+H2297+L2297</f>
        <v>54234</v>
      </c>
      <c r="G2297" s="74"/>
      <c r="H2297" s="48">
        <f>ROUNDDOWN(SUMIF(P2296:P2296,O2297,H2296:H2296),0)</f>
        <v>54234</v>
      </c>
      <c r="I2297" s="74"/>
      <c r="J2297" s="48">
        <f>ROUNDDOWN(SUMIF(P2296:P2296,O2297,J2296:J2296),0)</f>
        <v>0</v>
      </c>
      <c r="K2297" s="74"/>
      <c r="L2297" s="48">
        <f>ROUNDDOWN(SUMIF(P2296:P2296,O2297,L2296:L2296),0)</f>
        <v>0</v>
      </c>
      <c r="M2297" s="74"/>
      <c r="O2297" s="7" t="s">
        <v>6406</v>
      </c>
    </row>
    <row r="2298" spans="1:26" ht="28.7" customHeight="1" x14ac:dyDescent="0.3">
      <c r="A2298" s="73"/>
      <c r="B2298" s="73"/>
      <c r="C2298" s="73"/>
      <c r="D2298" s="73"/>
      <c r="E2298" s="73"/>
      <c r="F2298" s="73"/>
      <c r="G2298" s="73"/>
      <c r="H2298" s="73"/>
      <c r="I2298" s="73"/>
      <c r="J2298" s="73"/>
      <c r="K2298" s="73"/>
      <c r="L2298" s="73"/>
      <c r="M2298" s="73"/>
    </row>
    <row r="2299" spans="1:26" ht="28.7" customHeight="1" x14ac:dyDescent="0.3">
      <c r="A2299" s="136" t="s">
        <v>1313</v>
      </c>
      <c r="B2299" s="127"/>
      <c r="C2299" s="127"/>
      <c r="D2299" s="127"/>
      <c r="E2299" s="127"/>
      <c r="F2299" s="127"/>
      <c r="G2299" s="127"/>
      <c r="H2299" s="127"/>
      <c r="I2299" s="127"/>
      <c r="J2299" s="127"/>
      <c r="K2299" s="127"/>
      <c r="L2299" s="144"/>
      <c r="M2299" s="22" t="s">
        <v>8036</v>
      </c>
      <c r="N2299" s="84" t="str">
        <f>HYPERLINK("#N"&amp;ROW(N2300),"_x0005_`BDCOD|B05448_x0007_`POSS|"&amp;ROW(N2300)&amp;"_x0007_`POSE|"&amp;ROW(N2300)&amp;"_x0007_`")</f>
        <v>_x0005_`BDCOD|B05448_x0007_`POSS|2300_x0007_`POSE|2300_x0007_`</v>
      </c>
      <c r="O2299" s="7" t="s">
        <v>8037</v>
      </c>
    </row>
    <row r="2300" spans="1:26" ht="28.7" customHeight="1" x14ac:dyDescent="0.3">
      <c r="A2300" s="10" t="s">
        <v>1842</v>
      </c>
      <c r="B2300" s="10" t="s">
        <v>1862</v>
      </c>
      <c r="C2300" s="75">
        <v>1</v>
      </c>
      <c r="D2300" s="31" t="s">
        <v>1010</v>
      </c>
      <c r="E2300" s="55">
        <f>I2300+G2300+K2300</f>
        <v>70535</v>
      </c>
      <c r="F2300" s="76">
        <f>J2300+H2300+L2300</f>
        <v>70535</v>
      </c>
      <c r="G2300" s="78">
        <f>일위대가목록표!F722</f>
        <v>70535</v>
      </c>
      <c r="H2300" s="80">
        <f>IF(C2300=0,0,ROUNDDOWN(G2300*C2300,1))</f>
        <v>70535</v>
      </c>
      <c r="I2300" s="78">
        <f>일위대가목록표!G722</f>
        <v>0</v>
      </c>
      <c r="J2300" s="80">
        <f>IF(C2300=0,0,ROUNDDOWN(I2300*C2300,1))</f>
        <v>0</v>
      </c>
      <c r="K2300" s="78">
        <f>일위대가목록표!H722</f>
        <v>0</v>
      </c>
      <c r="L2300" s="80">
        <f>IF(C2300=0,0,ROUNDDOWN(K2300*C2300,1))</f>
        <v>0</v>
      </c>
      <c r="M2300" s="22" t="s">
        <v>7728</v>
      </c>
      <c r="N2300" s="17" t="s">
        <v>7726</v>
      </c>
      <c r="O2300" s="7" t="s">
        <v>7727</v>
      </c>
      <c r="P2300" s="7" t="s">
        <v>6406</v>
      </c>
      <c r="Z2300" s="3" t="str">
        <f ca="1">HYPERLINK("#"&amp;일위대가목록표!J2&amp;"!A"&amp;ROW(일위대가목록표!A722),"대가719 →")</f>
        <v>대가719 →</v>
      </c>
    </row>
    <row r="2301" spans="1:26" ht="28.7" customHeight="1" x14ac:dyDescent="0.3">
      <c r="A2301" s="22" t="s">
        <v>6</v>
      </c>
      <c r="B2301" s="74"/>
      <c r="C2301" s="74"/>
      <c r="D2301" s="74"/>
      <c r="E2301" s="74"/>
      <c r="F2301" s="48">
        <f>J2301+H2301+L2301</f>
        <v>70535</v>
      </c>
      <c r="G2301" s="74"/>
      <c r="H2301" s="48">
        <f>ROUNDDOWN(SUMIF(P2300:P2300,O2301,H2300:H2300),0)</f>
        <v>70535</v>
      </c>
      <c r="I2301" s="74"/>
      <c r="J2301" s="48">
        <f>ROUNDDOWN(SUMIF(P2300:P2300,O2301,J2300:J2300),0)</f>
        <v>0</v>
      </c>
      <c r="K2301" s="74"/>
      <c r="L2301" s="48">
        <f>ROUNDDOWN(SUMIF(P2300:P2300,O2301,L2300:L2300),0)</f>
        <v>0</v>
      </c>
      <c r="M2301" s="74"/>
      <c r="O2301" s="7" t="s">
        <v>6406</v>
      </c>
    </row>
    <row r="2302" spans="1:26" ht="28.7" customHeight="1" x14ac:dyDescent="0.3">
      <c r="A2302" s="73"/>
      <c r="B2302" s="73"/>
      <c r="C2302" s="73"/>
      <c r="D2302" s="73"/>
      <c r="E2302" s="73"/>
      <c r="F2302" s="73"/>
      <c r="G2302" s="73"/>
      <c r="H2302" s="73"/>
      <c r="I2302" s="73"/>
      <c r="J2302" s="73"/>
      <c r="K2302" s="73"/>
      <c r="L2302" s="73"/>
      <c r="M2302" s="73"/>
    </row>
    <row r="2303" spans="1:26" ht="28.7" customHeight="1" x14ac:dyDescent="0.3">
      <c r="A2303" s="136" t="s">
        <v>1315</v>
      </c>
      <c r="B2303" s="127"/>
      <c r="C2303" s="127"/>
      <c r="D2303" s="127"/>
      <c r="E2303" s="127"/>
      <c r="F2303" s="127"/>
      <c r="G2303" s="127"/>
      <c r="H2303" s="127"/>
      <c r="I2303" s="127"/>
      <c r="J2303" s="127"/>
      <c r="K2303" s="127"/>
      <c r="L2303" s="144"/>
      <c r="M2303" s="22" t="s">
        <v>8038</v>
      </c>
      <c r="N2303" s="84" t="str">
        <f>HYPERLINK("#N"&amp;ROW(N2305),"_x0005_`BDCOD|B05037_x0007_`POSS|"&amp;ROW(N2304)&amp;"_x0007_`POSE|"&amp;ROW(N2305)&amp;"_x0007_`")</f>
        <v>_x0005_`BDCOD|B05037_x0007_`POSS|2304_x0007_`POSE|2305_x0007_`</v>
      </c>
      <c r="O2303" s="7" t="s">
        <v>8039</v>
      </c>
    </row>
    <row r="2304" spans="1:26" ht="28.7" customHeight="1" x14ac:dyDescent="0.3">
      <c r="A2304" s="10" t="s">
        <v>1887</v>
      </c>
      <c r="B2304" s="10" t="s">
        <v>1888</v>
      </c>
      <c r="C2304" s="75">
        <v>1</v>
      </c>
      <c r="D2304" s="31" t="s">
        <v>1010</v>
      </c>
      <c r="E2304" s="55">
        <f>I2304+G2304+K2304</f>
        <v>42735</v>
      </c>
      <c r="F2304" s="76">
        <f>J2304+H2304+L2304</f>
        <v>42735</v>
      </c>
      <c r="G2304" s="78">
        <f>일위대가목록표!F731</f>
        <v>42735</v>
      </c>
      <c r="H2304" s="80">
        <f>IF(C2304=0,0,ROUNDDOWN(G2304*C2304,1))</f>
        <v>42735</v>
      </c>
      <c r="I2304" s="78">
        <f>일위대가목록표!G731</f>
        <v>0</v>
      </c>
      <c r="J2304" s="80">
        <f>IF(C2304=0,0,ROUNDDOWN(I2304*C2304,1))</f>
        <v>0</v>
      </c>
      <c r="K2304" s="78">
        <f>일위대가목록표!H731</f>
        <v>0</v>
      </c>
      <c r="L2304" s="80">
        <f>IF(C2304=0,0,ROUNDDOWN(K2304*C2304,1))</f>
        <v>0</v>
      </c>
      <c r="M2304" s="22" t="s">
        <v>8042</v>
      </c>
      <c r="N2304" s="17" t="s">
        <v>8040</v>
      </c>
      <c r="O2304" s="7" t="s">
        <v>8041</v>
      </c>
      <c r="P2304" s="7" t="s">
        <v>6406</v>
      </c>
      <c r="Z2304" s="3" t="str">
        <f ca="1">HYPERLINK("#"&amp;일위대가목록표!J2&amp;"!A"&amp;ROW(일위대가목록표!A731),"대가728 →")</f>
        <v>대가728 →</v>
      </c>
    </row>
    <row r="2305" spans="1:26" ht="28.7" customHeight="1" x14ac:dyDescent="0.3">
      <c r="A2305" s="10" t="s">
        <v>3053</v>
      </c>
      <c r="B2305" s="10" t="s">
        <v>3060</v>
      </c>
      <c r="C2305" s="75">
        <v>1</v>
      </c>
      <c r="D2305" s="31" t="s">
        <v>1010</v>
      </c>
      <c r="E2305" s="55">
        <f>I2305+G2305+K2305</f>
        <v>75000</v>
      </c>
      <c r="F2305" s="77">
        <f>J2305+H2305+L2305</f>
        <v>75000</v>
      </c>
      <c r="G2305" s="51">
        <v>0</v>
      </c>
      <c r="H2305" s="76">
        <f>IF(C2305=0,0,ROUNDDOWN(G2305*C2305,1))</f>
        <v>0</v>
      </c>
      <c r="I2305" s="78">
        <f>재료비목록표!E367</f>
        <v>75000</v>
      </c>
      <c r="J2305" s="81">
        <f>IF(C2305=0,0,ROUNDDOWN(I2305*C2305,1))</f>
        <v>75000</v>
      </c>
      <c r="K2305" s="51">
        <v>0</v>
      </c>
      <c r="L2305" s="76">
        <f>IF(C2305=0,0,ROUNDDOWN(K2305*C2305,1))</f>
        <v>0</v>
      </c>
      <c r="M2305" s="22" t="s">
        <v>8044</v>
      </c>
      <c r="N2305" s="17" t="s">
        <v>8043</v>
      </c>
      <c r="O2305" s="7" t="s">
        <v>5925</v>
      </c>
      <c r="P2305" s="7" t="s">
        <v>6406</v>
      </c>
      <c r="Z2305" s="3" t="str">
        <f ca="1">HYPERLINK("#"&amp;재료비목록표!G2&amp;"!A"&amp;ROW(재료비목록표!A367),"자재364 →")</f>
        <v>자재364 →</v>
      </c>
    </row>
    <row r="2306" spans="1:26" ht="28.7" customHeight="1" x14ac:dyDescent="0.3">
      <c r="A2306" s="22" t="s">
        <v>6</v>
      </c>
      <c r="B2306" s="74"/>
      <c r="C2306" s="74"/>
      <c r="D2306" s="74"/>
      <c r="E2306" s="74"/>
      <c r="F2306" s="48">
        <f>J2306+H2306+L2306</f>
        <v>117735</v>
      </c>
      <c r="G2306" s="74"/>
      <c r="H2306" s="48">
        <f>ROUNDDOWN(SUMIF(P2304:P2305,O2306,H2304:H2305),0)</f>
        <v>42735</v>
      </c>
      <c r="I2306" s="74"/>
      <c r="J2306" s="48">
        <f>ROUNDDOWN(SUMIF(P2304:P2305,O2306,J2304:J2305),0)</f>
        <v>75000</v>
      </c>
      <c r="K2306" s="74"/>
      <c r="L2306" s="48">
        <f>ROUNDDOWN(SUMIF(P2304:P2305,O2306,L2304:L2305),0)</f>
        <v>0</v>
      </c>
      <c r="M2306" s="74"/>
      <c r="O2306" s="7" t="s">
        <v>6406</v>
      </c>
    </row>
    <row r="2307" spans="1:26" ht="28.7" customHeight="1" x14ac:dyDescent="0.3">
      <c r="A2307" s="73"/>
      <c r="B2307" s="73"/>
      <c r="C2307" s="73"/>
      <c r="D2307" s="73"/>
      <c r="E2307" s="73"/>
      <c r="F2307" s="73"/>
      <c r="G2307" s="73"/>
      <c r="H2307" s="73"/>
      <c r="I2307" s="73"/>
      <c r="J2307" s="73"/>
      <c r="K2307" s="73"/>
      <c r="L2307" s="73"/>
      <c r="M2307" s="73"/>
    </row>
    <row r="2308" spans="1:26" ht="28.7" customHeight="1" x14ac:dyDescent="0.3">
      <c r="A2308" s="136" t="s">
        <v>1319</v>
      </c>
      <c r="B2308" s="127"/>
      <c r="C2308" s="127"/>
      <c r="D2308" s="127"/>
      <c r="E2308" s="127"/>
      <c r="F2308" s="127"/>
      <c r="G2308" s="127"/>
      <c r="H2308" s="127"/>
      <c r="I2308" s="127"/>
      <c r="J2308" s="127"/>
      <c r="K2308" s="127"/>
      <c r="L2308" s="144"/>
      <c r="M2308" s="22" t="s">
        <v>8045</v>
      </c>
      <c r="N2308" s="84" t="str">
        <f>HYPERLINK("#N"&amp;ROW(N2310),"_x0005_`BDCOD|B05045_x0007_`POSS|"&amp;ROW(N2309)&amp;"_x0007_`POSE|"&amp;ROW(N2310)&amp;"_x0007_`")</f>
        <v>_x0005_`BDCOD|B05045_x0007_`POSS|2309_x0007_`POSE|2310_x0007_`</v>
      </c>
      <c r="O2308" s="7" t="s">
        <v>8046</v>
      </c>
    </row>
    <row r="2309" spans="1:26" ht="28.7" customHeight="1" x14ac:dyDescent="0.3">
      <c r="A2309" s="10" t="s">
        <v>1887</v>
      </c>
      <c r="B2309" s="10" t="s">
        <v>1898</v>
      </c>
      <c r="C2309" s="75">
        <v>1</v>
      </c>
      <c r="D2309" s="31" t="s">
        <v>1010</v>
      </c>
      <c r="E2309" s="55">
        <f>I2309+G2309+K2309</f>
        <v>126102</v>
      </c>
      <c r="F2309" s="76">
        <f>J2309+H2309+L2309</f>
        <v>126102</v>
      </c>
      <c r="G2309" s="78">
        <f>일위대가목록표!F734</f>
        <v>126102</v>
      </c>
      <c r="H2309" s="80">
        <f>IF(C2309=0,0,ROUNDDOWN(G2309*C2309,1))</f>
        <v>126102</v>
      </c>
      <c r="I2309" s="78">
        <f>일위대가목록표!G734</f>
        <v>0</v>
      </c>
      <c r="J2309" s="80">
        <f>IF(C2309=0,0,ROUNDDOWN(I2309*C2309,1))</f>
        <v>0</v>
      </c>
      <c r="K2309" s="78">
        <f>일위대가목록표!H734</f>
        <v>0</v>
      </c>
      <c r="L2309" s="80">
        <f>IF(C2309=0,0,ROUNDDOWN(K2309*C2309,1))</f>
        <v>0</v>
      </c>
      <c r="M2309" s="22" t="s">
        <v>8049</v>
      </c>
      <c r="N2309" s="17" t="s">
        <v>8047</v>
      </c>
      <c r="O2309" s="7" t="s">
        <v>8048</v>
      </c>
      <c r="P2309" s="7" t="s">
        <v>6406</v>
      </c>
      <c r="Z2309" s="3" t="str">
        <f ca="1">HYPERLINK("#"&amp;일위대가목록표!J2&amp;"!A"&amp;ROW(일위대가목록표!A734),"대가731 →")</f>
        <v>대가731 →</v>
      </c>
    </row>
    <row r="2310" spans="1:26" ht="28.7" customHeight="1" x14ac:dyDescent="0.3">
      <c r="A2310" s="10" t="s">
        <v>3053</v>
      </c>
      <c r="B2310" s="10" t="s">
        <v>3063</v>
      </c>
      <c r="C2310" s="75">
        <v>1</v>
      </c>
      <c r="D2310" s="31" t="s">
        <v>1010</v>
      </c>
      <c r="E2310" s="55">
        <f>I2310+G2310+K2310</f>
        <v>120000</v>
      </c>
      <c r="F2310" s="77">
        <f>J2310+H2310+L2310</f>
        <v>120000</v>
      </c>
      <c r="G2310" s="51">
        <v>0</v>
      </c>
      <c r="H2310" s="76">
        <f>IF(C2310=0,0,ROUNDDOWN(G2310*C2310,1))</f>
        <v>0</v>
      </c>
      <c r="I2310" s="78">
        <f>재료비목록표!E368</f>
        <v>120000</v>
      </c>
      <c r="J2310" s="81">
        <f>IF(C2310=0,0,ROUNDDOWN(I2310*C2310,1))</f>
        <v>120000</v>
      </c>
      <c r="K2310" s="51">
        <v>0</v>
      </c>
      <c r="L2310" s="76">
        <f>IF(C2310=0,0,ROUNDDOWN(K2310*C2310,1))</f>
        <v>0</v>
      </c>
      <c r="M2310" s="22" t="s">
        <v>8051</v>
      </c>
      <c r="N2310" s="17" t="s">
        <v>8050</v>
      </c>
      <c r="O2310" s="7" t="s">
        <v>5928</v>
      </c>
      <c r="P2310" s="7" t="s">
        <v>6406</v>
      </c>
      <c r="Z2310" s="3" t="str">
        <f ca="1">HYPERLINK("#"&amp;재료비목록표!G2&amp;"!A"&amp;ROW(재료비목록표!A368),"자재365 →")</f>
        <v>자재365 →</v>
      </c>
    </row>
    <row r="2311" spans="1:26" ht="28.7" customHeight="1" x14ac:dyDescent="0.3">
      <c r="A2311" s="22" t="s">
        <v>6</v>
      </c>
      <c r="B2311" s="74"/>
      <c r="C2311" s="74"/>
      <c r="D2311" s="74"/>
      <c r="E2311" s="74"/>
      <c r="F2311" s="48">
        <f>J2311+H2311+L2311</f>
        <v>246102</v>
      </c>
      <c r="G2311" s="74"/>
      <c r="H2311" s="48">
        <f>ROUNDDOWN(SUMIF(P2309:P2310,O2311,H2309:H2310),0)</f>
        <v>126102</v>
      </c>
      <c r="I2311" s="74"/>
      <c r="J2311" s="48">
        <f>ROUNDDOWN(SUMIF(P2309:P2310,O2311,J2309:J2310),0)</f>
        <v>120000</v>
      </c>
      <c r="K2311" s="74"/>
      <c r="L2311" s="48">
        <f>ROUNDDOWN(SUMIF(P2309:P2310,O2311,L2309:L2310),0)</f>
        <v>0</v>
      </c>
      <c r="M2311" s="74"/>
      <c r="O2311" s="7" t="s">
        <v>6406</v>
      </c>
    </row>
    <row r="2312" spans="1:26" ht="28.7" customHeight="1" x14ac:dyDescent="0.3">
      <c r="A2312" s="73"/>
      <c r="B2312" s="73"/>
      <c r="C2312" s="73"/>
      <c r="D2312" s="73"/>
      <c r="E2312" s="73"/>
      <c r="F2312" s="73"/>
      <c r="G2312" s="73"/>
      <c r="H2312" s="73"/>
      <c r="I2312" s="73"/>
      <c r="J2312" s="73"/>
      <c r="K2312" s="73"/>
      <c r="L2312" s="73"/>
      <c r="M2312" s="73"/>
    </row>
    <row r="2313" spans="1:26" ht="28.7" customHeight="1" x14ac:dyDescent="0.3">
      <c r="A2313" s="136" t="s">
        <v>1322</v>
      </c>
      <c r="B2313" s="127"/>
      <c r="C2313" s="127"/>
      <c r="D2313" s="127"/>
      <c r="E2313" s="127"/>
      <c r="F2313" s="127"/>
      <c r="G2313" s="127"/>
      <c r="H2313" s="127"/>
      <c r="I2313" s="127"/>
      <c r="J2313" s="127"/>
      <c r="K2313" s="127"/>
      <c r="L2313" s="144"/>
      <c r="M2313" s="22" t="s">
        <v>8052</v>
      </c>
      <c r="N2313" s="84" t="str">
        <f>HYPERLINK("#N"&amp;ROW(N2315),"_x0005_`BDCOD|B05046_x0007_`POSS|"&amp;ROW(N2314)&amp;"_x0007_`POSE|"&amp;ROW(N2315)&amp;"_x0007_`")</f>
        <v>_x0005_`BDCOD|B05046_x0007_`POSS|2314_x0007_`POSE|2315_x0007_`</v>
      </c>
      <c r="O2313" s="7" t="s">
        <v>8053</v>
      </c>
    </row>
    <row r="2314" spans="1:26" ht="28.7" customHeight="1" x14ac:dyDescent="0.3">
      <c r="A2314" s="10" t="s">
        <v>1887</v>
      </c>
      <c r="B2314" s="10" t="s">
        <v>1906</v>
      </c>
      <c r="C2314" s="75">
        <v>1</v>
      </c>
      <c r="D2314" s="31" t="s">
        <v>1010</v>
      </c>
      <c r="E2314" s="55">
        <f>I2314+G2314+K2314</f>
        <v>187711</v>
      </c>
      <c r="F2314" s="76">
        <f>J2314+H2314+L2314</f>
        <v>187711</v>
      </c>
      <c r="G2314" s="78">
        <f>일위대가목록표!F737</f>
        <v>187711</v>
      </c>
      <c r="H2314" s="80">
        <f>IF(C2314=0,0,ROUNDDOWN(G2314*C2314,1))</f>
        <v>187711</v>
      </c>
      <c r="I2314" s="78">
        <f>일위대가목록표!G737</f>
        <v>0</v>
      </c>
      <c r="J2314" s="80">
        <f>IF(C2314=0,0,ROUNDDOWN(I2314*C2314,1))</f>
        <v>0</v>
      </c>
      <c r="K2314" s="78">
        <f>일위대가목록표!H737</f>
        <v>0</v>
      </c>
      <c r="L2314" s="80">
        <f>IF(C2314=0,0,ROUNDDOWN(K2314*C2314,1))</f>
        <v>0</v>
      </c>
      <c r="M2314" s="22" t="s">
        <v>8056</v>
      </c>
      <c r="N2314" s="17" t="s">
        <v>8054</v>
      </c>
      <c r="O2314" s="7" t="s">
        <v>8055</v>
      </c>
      <c r="P2314" s="7" t="s">
        <v>6406</v>
      </c>
      <c r="Z2314" s="3" t="str">
        <f ca="1">HYPERLINK("#"&amp;일위대가목록표!J2&amp;"!A"&amp;ROW(일위대가목록표!A737),"대가734 →")</f>
        <v>대가734 →</v>
      </c>
    </row>
    <row r="2315" spans="1:26" ht="28.7" customHeight="1" x14ac:dyDescent="0.3">
      <c r="A2315" s="10" t="s">
        <v>3043</v>
      </c>
      <c r="B2315" s="10" t="s">
        <v>3044</v>
      </c>
      <c r="C2315" s="75">
        <v>1</v>
      </c>
      <c r="D2315" s="31" t="s">
        <v>1010</v>
      </c>
      <c r="E2315" s="55">
        <f>I2315+G2315+K2315</f>
        <v>140000</v>
      </c>
      <c r="F2315" s="77">
        <f>J2315+H2315+L2315</f>
        <v>140000</v>
      </c>
      <c r="G2315" s="51">
        <v>0</v>
      </c>
      <c r="H2315" s="76">
        <f>IF(C2315=0,0,ROUNDDOWN(G2315*C2315,1))</f>
        <v>0</v>
      </c>
      <c r="I2315" s="78">
        <f>재료비목록표!E362</f>
        <v>140000</v>
      </c>
      <c r="J2315" s="81">
        <f>IF(C2315=0,0,ROUNDDOWN(I2315*C2315,1))</f>
        <v>140000</v>
      </c>
      <c r="K2315" s="51">
        <v>0</v>
      </c>
      <c r="L2315" s="76">
        <f>IF(C2315=0,0,ROUNDDOWN(K2315*C2315,1))</f>
        <v>0</v>
      </c>
      <c r="M2315" s="22" t="s">
        <v>8058</v>
      </c>
      <c r="N2315" s="17" t="s">
        <v>8057</v>
      </c>
      <c r="O2315" s="7" t="s">
        <v>5931</v>
      </c>
      <c r="P2315" s="7" t="s">
        <v>6406</v>
      </c>
      <c r="Z2315" s="3" t="str">
        <f ca="1">HYPERLINK("#"&amp;재료비목록표!G2&amp;"!A"&amp;ROW(재료비목록표!A362),"자재359 →")</f>
        <v>자재359 →</v>
      </c>
    </row>
    <row r="2316" spans="1:26" ht="28.7" customHeight="1" x14ac:dyDescent="0.3">
      <c r="A2316" s="22" t="s">
        <v>6</v>
      </c>
      <c r="B2316" s="74"/>
      <c r="C2316" s="74"/>
      <c r="D2316" s="74"/>
      <c r="E2316" s="74"/>
      <c r="F2316" s="48">
        <f>J2316+H2316+L2316</f>
        <v>327711</v>
      </c>
      <c r="G2316" s="74"/>
      <c r="H2316" s="48">
        <f>ROUNDDOWN(SUMIF(P2314:P2315,O2316,H2314:H2315),0)</f>
        <v>187711</v>
      </c>
      <c r="I2316" s="74"/>
      <c r="J2316" s="48">
        <f>ROUNDDOWN(SUMIF(P2314:P2315,O2316,J2314:J2315),0)</f>
        <v>140000</v>
      </c>
      <c r="K2316" s="74"/>
      <c r="L2316" s="48">
        <f>ROUNDDOWN(SUMIF(P2314:P2315,O2316,L2314:L2315),0)</f>
        <v>0</v>
      </c>
      <c r="M2316" s="74"/>
      <c r="O2316" s="7" t="s">
        <v>6406</v>
      </c>
    </row>
    <row r="2317" spans="1:26" ht="28.7" customHeight="1" x14ac:dyDescent="0.3">
      <c r="A2317" s="73"/>
      <c r="B2317" s="73"/>
      <c r="C2317" s="73"/>
      <c r="D2317" s="73"/>
      <c r="E2317" s="73"/>
      <c r="F2317" s="73"/>
      <c r="G2317" s="73"/>
      <c r="H2317" s="73"/>
      <c r="I2317" s="73"/>
      <c r="J2317" s="73"/>
      <c r="K2317" s="73"/>
      <c r="L2317" s="73"/>
      <c r="M2317" s="73"/>
    </row>
    <row r="2318" spans="1:26" ht="28.7" customHeight="1" x14ac:dyDescent="0.3">
      <c r="A2318" s="136" t="s">
        <v>1325</v>
      </c>
      <c r="B2318" s="127"/>
      <c r="C2318" s="127"/>
      <c r="D2318" s="127"/>
      <c r="E2318" s="127"/>
      <c r="F2318" s="127"/>
      <c r="G2318" s="127"/>
      <c r="H2318" s="127"/>
      <c r="I2318" s="127"/>
      <c r="J2318" s="127"/>
      <c r="K2318" s="127"/>
      <c r="L2318" s="144"/>
      <c r="M2318" s="22" t="s">
        <v>8059</v>
      </c>
      <c r="N2318" s="84" t="str">
        <f>HYPERLINK("#N"&amp;ROW(N2320),"_x0005_`BDCOD|B05047_x0007_`POSS|"&amp;ROW(N2319)&amp;"_x0007_`POSE|"&amp;ROW(N2320)&amp;"_x0007_`")</f>
        <v>_x0005_`BDCOD|B05047_x0007_`POSS|2319_x0007_`POSE|2320_x0007_`</v>
      </c>
      <c r="O2318" s="7" t="s">
        <v>8060</v>
      </c>
    </row>
    <row r="2319" spans="1:26" ht="28.7" customHeight="1" x14ac:dyDescent="0.3">
      <c r="A2319" s="10" t="s">
        <v>1887</v>
      </c>
      <c r="B2319" s="10" t="s">
        <v>1914</v>
      </c>
      <c r="C2319" s="75">
        <v>1</v>
      </c>
      <c r="D2319" s="31" t="s">
        <v>1010</v>
      </c>
      <c r="E2319" s="55">
        <f>I2319+G2319+K2319</f>
        <v>319974</v>
      </c>
      <c r="F2319" s="76">
        <f>J2319+H2319+L2319</f>
        <v>319974</v>
      </c>
      <c r="G2319" s="78">
        <f>일위대가목록표!F740</f>
        <v>319974</v>
      </c>
      <c r="H2319" s="80">
        <f>IF(C2319=0,0,ROUNDDOWN(G2319*C2319,1))</f>
        <v>319974</v>
      </c>
      <c r="I2319" s="78">
        <f>일위대가목록표!G740</f>
        <v>0</v>
      </c>
      <c r="J2319" s="80">
        <f>IF(C2319=0,0,ROUNDDOWN(I2319*C2319,1))</f>
        <v>0</v>
      </c>
      <c r="K2319" s="78">
        <f>일위대가목록표!H740</f>
        <v>0</v>
      </c>
      <c r="L2319" s="80">
        <f>IF(C2319=0,0,ROUNDDOWN(K2319*C2319,1))</f>
        <v>0</v>
      </c>
      <c r="M2319" s="22" t="s">
        <v>8063</v>
      </c>
      <c r="N2319" s="17" t="s">
        <v>8061</v>
      </c>
      <c r="O2319" s="7" t="s">
        <v>8062</v>
      </c>
      <c r="P2319" s="7" t="s">
        <v>6406</v>
      </c>
      <c r="Z2319" s="3" t="str">
        <f ca="1">HYPERLINK("#"&amp;일위대가목록표!J2&amp;"!A"&amp;ROW(일위대가목록표!A740),"대가737 →")</f>
        <v>대가737 →</v>
      </c>
    </row>
    <row r="2320" spans="1:26" ht="28.7" customHeight="1" x14ac:dyDescent="0.3">
      <c r="A2320" s="10" t="s">
        <v>3043</v>
      </c>
      <c r="B2320" s="10" t="s">
        <v>3050</v>
      </c>
      <c r="C2320" s="75">
        <v>1</v>
      </c>
      <c r="D2320" s="31" t="s">
        <v>1010</v>
      </c>
      <c r="E2320" s="55">
        <f>I2320+G2320+K2320</f>
        <v>250000</v>
      </c>
      <c r="F2320" s="77">
        <f>J2320+H2320+L2320</f>
        <v>250000</v>
      </c>
      <c r="G2320" s="51">
        <v>0</v>
      </c>
      <c r="H2320" s="76">
        <f>IF(C2320=0,0,ROUNDDOWN(G2320*C2320,1))</f>
        <v>0</v>
      </c>
      <c r="I2320" s="78">
        <f>재료비목록표!E364</f>
        <v>250000</v>
      </c>
      <c r="J2320" s="81">
        <f>IF(C2320=0,0,ROUNDDOWN(I2320*C2320,1))</f>
        <v>250000</v>
      </c>
      <c r="K2320" s="51">
        <v>0</v>
      </c>
      <c r="L2320" s="76">
        <f>IF(C2320=0,0,ROUNDDOWN(K2320*C2320,1))</f>
        <v>0</v>
      </c>
      <c r="M2320" s="22" t="s">
        <v>8066</v>
      </c>
      <c r="N2320" s="17" t="s">
        <v>8064</v>
      </c>
      <c r="O2320" s="7" t="s">
        <v>8065</v>
      </c>
      <c r="P2320" s="7" t="s">
        <v>6406</v>
      </c>
      <c r="Z2320" s="3" t="str">
        <f ca="1">HYPERLINK("#"&amp;재료비목록표!G2&amp;"!A"&amp;ROW(재료비목록표!A364),"자재361 →")</f>
        <v>자재361 →</v>
      </c>
    </row>
    <row r="2321" spans="1:26" ht="28.7" customHeight="1" x14ac:dyDescent="0.3">
      <c r="A2321" s="22" t="s">
        <v>6</v>
      </c>
      <c r="B2321" s="74"/>
      <c r="C2321" s="74"/>
      <c r="D2321" s="74"/>
      <c r="E2321" s="74"/>
      <c r="F2321" s="48">
        <f>J2321+H2321+L2321</f>
        <v>569974</v>
      </c>
      <c r="G2321" s="74"/>
      <c r="H2321" s="48">
        <f>ROUNDDOWN(SUMIF(P2319:P2320,O2321,H2319:H2320),0)</f>
        <v>319974</v>
      </c>
      <c r="I2321" s="74"/>
      <c r="J2321" s="48">
        <f>ROUNDDOWN(SUMIF(P2319:P2320,O2321,J2319:J2320),0)</f>
        <v>250000</v>
      </c>
      <c r="K2321" s="74"/>
      <c r="L2321" s="48">
        <f>ROUNDDOWN(SUMIF(P2319:P2320,O2321,L2319:L2320),0)</f>
        <v>0</v>
      </c>
      <c r="M2321" s="74"/>
      <c r="O2321" s="7" t="s">
        <v>6406</v>
      </c>
    </row>
    <row r="2322" spans="1:26" ht="28.7" customHeight="1" x14ac:dyDescent="0.3">
      <c r="A2322" s="73"/>
      <c r="B2322" s="73"/>
      <c r="C2322" s="73"/>
      <c r="D2322" s="73"/>
      <c r="E2322" s="73"/>
      <c r="F2322" s="73"/>
      <c r="G2322" s="73"/>
      <c r="H2322" s="73"/>
      <c r="I2322" s="73"/>
      <c r="J2322" s="73"/>
      <c r="K2322" s="73"/>
      <c r="L2322" s="73"/>
      <c r="M2322" s="73"/>
    </row>
    <row r="2323" spans="1:26" ht="28.7" customHeight="1" x14ac:dyDescent="0.3">
      <c r="A2323" s="136" t="s">
        <v>1328</v>
      </c>
      <c r="B2323" s="127"/>
      <c r="C2323" s="127"/>
      <c r="D2323" s="127"/>
      <c r="E2323" s="127"/>
      <c r="F2323" s="127"/>
      <c r="G2323" s="127"/>
      <c r="H2323" s="127"/>
      <c r="I2323" s="127"/>
      <c r="J2323" s="127"/>
      <c r="K2323" s="127"/>
      <c r="L2323" s="144"/>
      <c r="M2323" s="22" t="s">
        <v>8067</v>
      </c>
      <c r="N2323" s="84" t="str">
        <f>HYPERLINK("#N"&amp;ROW(N2325),"_x0005_`BDCOD|B05048_x0007_`POSS|"&amp;ROW(N2324)&amp;"_x0007_`POSE|"&amp;ROW(N2325)&amp;"_x0007_`")</f>
        <v>_x0005_`BDCOD|B05048_x0007_`POSS|2324_x0007_`POSE|2325_x0007_`</v>
      </c>
      <c r="O2323" s="7" t="s">
        <v>8068</v>
      </c>
    </row>
    <row r="2324" spans="1:26" ht="28.7" customHeight="1" x14ac:dyDescent="0.3">
      <c r="A2324" s="10" t="s">
        <v>1887</v>
      </c>
      <c r="B2324" s="10" t="s">
        <v>1922</v>
      </c>
      <c r="C2324" s="75">
        <v>1</v>
      </c>
      <c r="D2324" s="31" t="s">
        <v>1010</v>
      </c>
      <c r="E2324" s="55">
        <f>I2324+G2324+K2324</f>
        <v>441247</v>
      </c>
      <c r="F2324" s="76">
        <f>J2324+H2324+L2324</f>
        <v>441247</v>
      </c>
      <c r="G2324" s="78">
        <f>일위대가목록표!F743</f>
        <v>441247</v>
      </c>
      <c r="H2324" s="80">
        <f>IF(C2324=0,0,ROUNDDOWN(G2324*C2324,1))</f>
        <v>441247</v>
      </c>
      <c r="I2324" s="78">
        <f>일위대가목록표!G743</f>
        <v>0</v>
      </c>
      <c r="J2324" s="80">
        <f>IF(C2324=0,0,ROUNDDOWN(I2324*C2324,1))</f>
        <v>0</v>
      </c>
      <c r="K2324" s="78">
        <f>일위대가목록표!H743</f>
        <v>0</v>
      </c>
      <c r="L2324" s="80">
        <f>IF(C2324=0,0,ROUNDDOWN(K2324*C2324,1))</f>
        <v>0</v>
      </c>
      <c r="M2324" s="22" t="s">
        <v>8071</v>
      </c>
      <c r="N2324" s="17" t="s">
        <v>8069</v>
      </c>
      <c r="O2324" s="7" t="s">
        <v>8070</v>
      </c>
      <c r="P2324" s="7" t="s">
        <v>6406</v>
      </c>
      <c r="Z2324" s="3" t="str">
        <f ca="1">HYPERLINK("#"&amp;일위대가목록표!J2&amp;"!A"&amp;ROW(일위대가목록표!A743),"대가740 →")</f>
        <v>대가740 →</v>
      </c>
    </row>
    <row r="2325" spans="1:26" ht="28.7" customHeight="1" x14ac:dyDescent="0.3">
      <c r="A2325" s="10" t="s">
        <v>3053</v>
      </c>
      <c r="B2325" s="10" t="s">
        <v>3054</v>
      </c>
      <c r="C2325" s="75">
        <v>1</v>
      </c>
      <c r="D2325" s="31" t="s">
        <v>1010</v>
      </c>
      <c r="E2325" s="55">
        <f>I2325+G2325+K2325</f>
        <v>291000</v>
      </c>
      <c r="F2325" s="77">
        <f>J2325+H2325+L2325</f>
        <v>291000</v>
      </c>
      <c r="G2325" s="51">
        <v>0</v>
      </c>
      <c r="H2325" s="76">
        <f>IF(C2325=0,0,ROUNDDOWN(G2325*C2325,1))</f>
        <v>0</v>
      </c>
      <c r="I2325" s="78">
        <f>재료비목록표!E365</f>
        <v>291000</v>
      </c>
      <c r="J2325" s="81">
        <f>IF(C2325=0,0,ROUNDDOWN(I2325*C2325,1))</f>
        <v>291000</v>
      </c>
      <c r="K2325" s="51">
        <v>0</v>
      </c>
      <c r="L2325" s="76">
        <f>IF(C2325=0,0,ROUNDDOWN(K2325*C2325,1))</f>
        <v>0</v>
      </c>
      <c r="M2325" s="22" t="s">
        <v>8073</v>
      </c>
      <c r="N2325" s="17" t="s">
        <v>8072</v>
      </c>
      <c r="O2325" s="7" t="s">
        <v>5937</v>
      </c>
      <c r="P2325" s="7" t="s">
        <v>6406</v>
      </c>
      <c r="Z2325" s="3" t="str">
        <f ca="1">HYPERLINK("#"&amp;재료비목록표!G2&amp;"!A"&amp;ROW(재료비목록표!A365),"자재362 →")</f>
        <v>자재362 →</v>
      </c>
    </row>
    <row r="2326" spans="1:26" ht="28.7" customHeight="1" x14ac:dyDescent="0.3">
      <c r="A2326" s="22" t="s">
        <v>6</v>
      </c>
      <c r="B2326" s="74"/>
      <c r="C2326" s="74"/>
      <c r="D2326" s="74"/>
      <c r="E2326" s="74"/>
      <c r="F2326" s="48">
        <f>J2326+H2326+L2326</f>
        <v>732247</v>
      </c>
      <c r="G2326" s="74"/>
      <c r="H2326" s="48">
        <f>ROUNDDOWN(SUMIF(P2324:P2325,O2326,H2324:H2325),0)</f>
        <v>441247</v>
      </c>
      <c r="I2326" s="74"/>
      <c r="J2326" s="48">
        <f>ROUNDDOWN(SUMIF(P2324:P2325,O2326,J2324:J2325),0)</f>
        <v>291000</v>
      </c>
      <c r="K2326" s="74"/>
      <c r="L2326" s="48">
        <f>ROUNDDOWN(SUMIF(P2324:P2325,O2326,L2324:L2325),0)</f>
        <v>0</v>
      </c>
      <c r="M2326" s="74"/>
      <c r="O2326" s="7" t="s">
        <v>6406</v>
      </c>
    </row>
    <row r="2327" spans="1:26" ht="28.7" customHeight="1" x14ac:dyDescent="0.3">
      <c r="A2327" s="73"/>
      <c r="B2327" s="73"/>
      <c r="C2327" s="73"/>
      <c r="D2327" s="73"/>
      <c r="E2327" s="73"/>
      <c r="F2327" s="73"/>
      <c r="G2327" s="73"/>
      <c r="H2327" s="73"/>
      <c r="I2327" s="73"/>
      <c r="J2327" s="73"/>
      <c r="K2327" s="73"/>
      <c r="L2327" s="73"/>
      <c r="M2327" s="73"/>
    </row>
    <row r="2328" spans="1:26" ht="28.7" customHeight="1" x14ac:dyDescent="0.3">
      <c r="A2328" s="136" t="s">
        <v>1331</v>
      </c>
      <c r="B2328" s="127"/>
      <c r="C2328" s="127"/>
      <c r="D2328" s="127"/>
      <c r="E2328" s="127"/>
      <c r="F2328" s="127"/>
      <c r="G2328" s="127"/>
      <c r="H2328" s="127"/>
      <c r="I2328" s="127"/>
      <c r="J2328" s="127"/>
      <c r="K2328" s="127"/>
      <c r="L2328" s="144"/>
      <c r="M2328" s="22" t="s">
        <v>8074</v>
      </c>
      <c r="N2328" s="84" t="str">
        <f>HYPERLINK("#N"&amp;ROW(N2330),"_x0005_`BDCOD|B05049_x0007_`POSS|"&amp;ROW(N2329)&amp;"_x0007_`POSE|"&amp;ROW(N2330)&amp;"_x0007_`")</f>
        <v>_x0005_`BDCOD|B05049_x0007_`POSS|2329_x0007_`POSE|2330_x0007_`</v>
      </c>
      <c r="O2328" s="7" t="s">
        <v>8075</v>
      </c>
    </row>
    <row r="2329" spans="1:26" ht="28.7" customHeight="1" x14ac:dyDescent="0.3">
      <c r="A2329" s="10" t="s">
        <v>1887</v>
      </c>
      <c r="B2329" s="10" t="s">
        <v>1930</v>
      </c>
      <c r="C2329" s="75">
        <v>1</v>
      </c>
      <c r="D2329" s="31" t="s">
        <v>1010</v>
      </c>
      <c r="E2329" s="55">
        <f>I2329+G2329+K2329</f>
        <v>566239</v>
      </c>
      <c r="F2329" s="76">
        <f>J2329+H2329+L2329</f>
        <v>566239</v>
      </c>
      <c r="G2329" s="78">
        <f>일위대가목록표!F746</f>
        <v>566239</v>
      </c>
      <c r="H2329" s="80">
        <f>IF(C2329=0,0,ROUNDDOWN(G2329*C2329,1))</f>
        <v>566239</v>
      </c>
      <c r="I2329" s="78">
        <f>일위대가목록표!G746</f>
        <v>0</v>
      </c>
      <c r="J2329" s="80">
        <f>IF(C2329=0,0,ROUNDDOWN(I2329*C2329,1))</f>
        <v>0</v>
      </c>
      <c r="K2329" s="78">
        <f>일위대가목록표!H746</f>
        <v>0</v>
      </c>
      <c r="L2329" s="80">
        <f>IF(C2329=0,0,ROUNDDOWN(K2329*C2329,1))</f>
        <v>0</v>
      </c>
      <c r="M2329" s="22" t="s">
        <v>8078</v>
      </c>
      <c r="N2329" s="17" t="s">
        <v>8076</v>
      </c>
      <c r="O2329" s="7" t="s">
        <v>8077</v>
      </c>
      <c r="P2329" s="7" t="s">
        <v>6406</v>
      </c>
      <c r="Z2329" s="3" t="str">
        <f ca="1">HYPERLINK("#"&amp;일위대가목록표!J2&amp;"!A"&amp;ROW(일위대가목록표!A746),"대가743 →")</f>
        <v>대가743 →</v>
      </c>
    </row>
    <row r="2330" spans="1:26" ht="28.7" customHeight="1" x14ac:dyDescent="0.3">
      <c r="A2330" s="10" t="s">
        <v>3053</v>
      </c>
      <c r="B2330" s="10" t="s">
        <v>3057</v>
      </c>
      <c r="C2330" s="75">
        <v>1</v>
      </c>
      <c r="D2330" s="31" t="s">
        <v>1010</v>
      </c>
      <c r="E2330" s="55">
        <f>I2330+G2330+K2330</f>
        <v>555000</v>
      </c>
      <c r="F2330" s="77">
        <f>J2330+H2330+L2330</f>
        <v>555000</v>
      </c>
      <c r="G2330" s="51">
        <v>0</v>
      </c>
      <c r="H2330" s="76">
        <f>IF(C2330=0,0,ROUNDDOWN(G2330*C2330,1))</f>
        <v>0</v>
      </c>
      <c r="I2330" s="78">
        <f>재료비목록표!E366</f>
        <v>555000</v>
      </c>
      <c r="J2330" s="81">
        <f>IF(C2330=0,0,ROUNDDOWN(I2330*C2330,1))</f>
        <v>555000</v>
      </c>
      <c r="K2330" s="51">
        <v>0</v>
      </c>
      <c r="L2330" s="76">
        <f>IF(C2330=0,0,ROUNDDOWN(K2330*C2330,1))</f>
        <v>0</v>
      </c>
      <c r="M2330" s="22" t="s">
        <v>8080</v>
      </c>
      <c r="N2330" s="17" t="s">
        <v>8079</v>
      </c>
      <c r="O2330" s="7" t="s">
        <v>5940</v>
      </c>
      <c r="P2330" s="7" t="s">
        <v>6406</v>
      </c>
      <c r="Z2330" s="3" t="str">
        <f ca="1">HYPERLINK("#"&amp;재료비목록표!G2&amp;"!A"&amp;ROW(재료비목록표!A366),"자재363 →")</f>
        <v>자재363 →</v>
      </c>
    </row>
    <row r="2331" spans="1:26" ht="28.7" customHeight="1" x14ac:dyDescent="0.3">
      <c r="A2331" s="22" t="s">
        <v>6</v>
      </c>
      <c r="B2331" s="74"/>
      <c r="C2331" s="74"/>
      <c r="D2331" s="74"/>
      <c r="E2331" s="74"/>
      <c r="F2331" s="48">
        <f>J2331+H2331+L2331</f>
        <v>1121239</v>
      </c>
      <c r="G2331" s="74"/>
      <c r="H2331" s="48">
        <f>ROUNDDOWN(SUMIF(P2329:P2330,O2331,H2329:H2330),0)</f>
        <v>566239</v>
      </c>
      <c r="I2331" s="74"/>
      <c r="J2331" s="48">
        <f>ROUNDDOWN(SUMIF(P2329:P2330,O2331,J2329:J2330),0)</f>
        <v>555000</v>
      </c>
      <c r="K2331" s="74"/>
      <c r="L2331" s="48">
        <f>ROUNDDOWN(SUMIF(P2329:P2330,O2331,L2329:L2330),0)</f>
        <v>0</v>
      </c>
      <c r="M2331" s="74"/>
      <c r="O2331" s="7" t="s">
        <v>6406</v>
      </c>
    </row>
    <row r="2332" spans="1:26" ht="28.7" customHeight="1" x14ac:dyDescent="0.3">
      <c r="A2332" s="73"/>
      <c r="B2332" s="73"/>
      <c r="C2332" s="73"/>
      <c r="D2332" s="73"/>
      <c r="E2332" s="73"/>
      <c r="F2332" s="73"/>
      <c r="G2332" s="73"/>
      <c r="H2332" s="73"/>
      <c r="I2332" s="73"/>
      <c r="J2332" s="73"/>
      <c r="K2332" s="73"/>
      <c r="L2332" s="73"/>
      <c r="M2332" s="73"/>
    </row>
    <row r="2333" spans="1:26" ht="28.7" customHeight="1" x14ac:dyDescent="0.3">
      <c r="A2333" s="136" t="s">
        <v>1334</v>
      </c>
      <c r="B2333" s="127"/>
      <c r="C2333" s="127"/>
      <c r="D2333" s="127"/>
      <c r="E2333" s="127"/>
      <c r="F2333" s="127"/>
      <c r="G2333" s="127"/>
      <c r="H2333" s="127"/>
      <c r="I2333" s="127"/>
      <c r="J2333" s="127"/>
      <c r="K2333" s="127"/>
      <c r="L2333" s="144"/>
      <c r="M2333" s="22" t="s">
        <v>8081</v>
      </c>
      <c r="N2333" s="84" t="str">
        <f>HYPERLINK("#N"&amp;ROW(N2334),"_x0005_`BDCOD|B05449_x0007_`POSS|"&amp;ROW(N2334)&amp;"_x0007_`POSE|"&amp;ROW(N2334)&amp;"_x0007_`")</f>
        <v>_x0005_`BDCOD|B05449_x0007_`POSS|2334_x0007_`POSE|2334_x0007_`</v>
      </c>
      <c r="O2333" s="7" t="s">
        <v>8082</v>
      </c>
    </row>
    <row r="2334" spans="1:26" ht="28.7" customHeight="1" x14ac:dyDescent="0.3">
      <c r="A2334" s="10" t="s">
        <v>1887</v>
      </c>
      <c r="B2334" s="10" t="s">
        <v>1888</v>
      </c>
      <c r="C2334" s="75">
        <v>1</v>
      </c>
      <c r="D2334" s="31" t="s">
        <v>1010</v>
      </c>
      <c r="E2334" s="55">
        <f>I2334+G2334+K2334</f>
        <v>42735</v>
      </c>
      <c r="F2334" s="76">
        <f>J2334+H2334+L2334</f>
        <v>42735</v>
      </c>
      <c r="G2334" s="78">
        <f>일위대가목록표!F731</f>
        <v>42735</v>
      </c>
      <c r="H2334" s="80">
        <f>IF(C2334=0,0,ROUNDDOWN(G2334*C2334,1))</f>
        <v>42735</v>
      </c>
      <c r="I2334" s="78">
        <f>일위대가목록표!G731</f>
        <v>0</v>
      </c>
      <c r="J2334" s="80">
        <f>IF(C2334=0,0,ROUNDDOWN(I2334*C2334,1))</f>
        <v>0</v>
      </c>
      <c r="K2334" s="78">
        <f>일위대가목록표!H731</f>
        <v>0</v>
      </c>
      <c r="L2334" s="80">
        <f>IF(C2334=0,0,ROUNDDOWN(K2334*C2334,1))</f>
        <v>0</v>
      </c>
      <c r="M2334" s="22" t="s">
        <v>8042</v>
      </c>
      <c r="N2334" s="17" t="s">
        <v>8040</v>
      </c>
      <c r="O2334" s="7" t="s">
        <v>8041</v>
      </c>
      <c r="P2334" s="7" t="s">
        <v>6406</v>
      </c>
      <c r="Z2334" s="3" t="str">
        <f ca="1">HYPERLINK("#"&amp;일위대가목록표!J2&amp;"!A"&amp;ROW(일위대가목록표!A731),"대가728 →")</f>
        <v>대가728 →</v>
      </c>
    </row>
    <row r="2335" spans="1:26" ht="28.7" customHeight="1" x14ac:dyDescent="0.3">
      <c r="A2335" s="22" t="s">
        <v>6</v>
      </c>
      <c r="B2335" s="74"/>
      <c r="C2335" s="74"/>
      <c r="D2335" s="74"/>
      <c r="E2335" s="74"/>
      <c r="F2335" s="48">
        <f>J2335+H2335+L2335</f>
        <v>42735</v>
      </c>
      <c r="G2335" s="74"/>
      <c r="H2335" s="48">
        <f>ROUNDDOWN(SUMIF(P2334:P2334,O2335,H2334:H2334),0)</f>
        <v>42735</v>
      </c>
      <c r="I2335" s="74"/>
      <c r="J2335" s="48">
        <f>ROUNDDOWN(SUMIF(P2334:P2334,O2335,J2334:J2334),0)</f>
        <v>0</v>
      </c>
      <c r="K2335" s="74"/>
      <c r="L2335" s="48">
        <f>ROUNDDOWN(SUMIF(P2334:P2334,O2335,L2334:L2334),0)</f>
        <v>0</v>
      </c>
      <c r="M2335" s="74"/>
      <c r="O2335" s="7" t="s">
        <v>6406</v>
      </c>
    </row>
    <row r="2336" spans="1:26" ht="28.7" customHeight="1" x14ac:dyDescent="0.3">
      <c r="A2336" s="73"/>
      <c r="B2336" s="73"/>
      <c r="C2336" s="73"/>
      <c r="D2336" s="73"/>
      <c r="E2336" s="73"/>
      <c r="F2336" s="73"/>
      <c r="G2336" s="73"/>
      <c r="H2336" s="73"/>
      <c r="I2336" s="73"/>
      <c r="J2336" s="73"/>
      <c r="K2336" s="73"/>
      <c r="L2336" s="73"/>
      <c r="M2336" s="73"/>
    </row>
    <row r="2337" spans="1:26" ht="28.7" customHeight="1" x14ac:dyDescent="0.3">
      <c r="A2337" s="136" t="s">
        <v>1337</v>
      </c>
      <c r="B2337" s="127"/>
      <c r="C2337" s="127"/>
      <c r="D2337" s="127"/>
      <c r="E2337" s="127"/>
      <c r="F2337" s="127"/>
      <c r="G2337" s="127"/>
      <c r="H2337" s="127"/>
      <c r="I2337" s="127"/>
      <c r="J2337" s="127"/>
      <c r="K2337" s="127"/>
      <c r="L2337" s="144"/>
      <c r="M2337" s="22" t="s">
        <v>8083</v>
      </c>
      <c r="N2337" s="84" t="str">
        <f>HYPERLINK("#N"&amp;ROW(N2338),"_x0005_`BDCOD|B05450_x0007_`POSS|"&amp;ROW(N2338)&amp;"_x0007_`POSE|"&amp;ROW(N2338)&amp;"_x0007_`")</f>
        <v>_x0005_`BDCOD|B05450_x0007_`POSS|2338_x0007_`POSE|2338_x0007_`</v>
      </c>
      <c r="O2337" s="7" t="s">
        <v>8084</v>
      </c>
    </row>
    <row r="2338" spans="1:26" ht="28.7" customHeight="1" x14ac:dyDescent="0.3">
      <c r="A2338" s="10" t="s">
        <v>1887</v>
      </c>
      <c r="B2338" s="10" t="s">
        <v>1898</v>
      </c>
      <c r="C2338" s="75">
        <v>1</v>
      </c>
      <c r="D2338" s="31" t="s">
        <v>1010</v>
      </c>
      <c r="E2338" s="55">
        <f>I2338+G2338+K2338</f>
        <v>126102</v>
      </c>
      <c r="F2338" s="76">
        <f>J2338+H2338+L2338</f>
        <v>126102</v>
      </c>
      <c r="G2338" s="78">
        <f>일위대가목록표!F734</f>
        <v>126102</v>
      </c>
      <c r="H2338" s="80">
        <f>IF(C2338=0,0,ROUNDDOWN(G2338*C2338,1))</f>
        <v>126102</v>
      </c>
      <c r="I2338" s="78">
        <f>일위대가목록표!G734</f>
        <v>0</v>
      </c>
      <c r="J2338" s="80">
        <f>IF(C2338=0,0,ROUNDDOWN(I2338*C2338,1))</f>
        <v>0</v>
      </c>
      <c r="K2338" s="78">
        <f>일위대가목록표!H734</f>
        <v>0</v>
      </c>
      <c r="L2338" s="80">
        <f>IF(C2338=0,0,ROUNDDOWN(K2338*C2338,1))</f>
        <v>0</v>
      </c>
      <c r="M2338" s="22" t="s">
        <v>8049</v>
      </c>
      <c r="N2338" s="17" t="s">
        <v>8047</v>
      </c>
      <c r="O2338" s="7" t="s">
        <v>8048</v>
      </c>
      <c r="P2338" s="7" t="s">
        <v>6406</v>
      </c>
      <c r="Z2338" s="3" t="str">
        <f ca="1">HYPERLINK("#"&amp;일위대가목록표!J2&amp;"!A"&amp;ROW(일위대가목록표!A734),"대가731 →")</f>
        <v>대가731 →</v>
      </c>
    </row>
    <row r="2339" spans="1:26" ht="28.7" customHeight="1" x14ac:dyDescent="0.3">
      <c r="A2339" s="22" t="s">
        <v>6</v>
      </c>
      <c r="B2339" s="74"/>
      <c r="C2339" s="74"/>
      <c r="D2339" s="74"/>
      <c r="E2339" s="74"/>
      <c r="F2339" s="48">
        <f>J2339+H2339+L2339</f>
        <v>126102</v>
      </c>
      <c r="G2339" s="74"/>
      <c r="H2339" s="48">
        <f>ROUNDDOWN(SUMIF(P2338:P2338,O2339,H2338:H2338),0)</f>
        <v>126102</v>
      </c>
      <c r="I2339" s="74"/>
      <c r="J2339" s="48">
        <f>ROUNDDOWN(SUMIF(P2338:P2338,O2339,J2338:J2338),0)</f>
        <v>0</v>
      </c>
      <c r="K2339" s="74"/>
      <c r="L2339" s="48">
        <f>ROUNDDOWN(SUMIF(P2338:P2338,O2339,L2338:L2338),0)</f>
        <v>0</v>
      </c>
      <c r="M2339" s="74"/>
      <c r="O2339" s="7" t="s">
        <v>6406</v>
      </c>
    </row>
    <row r="2340" spans="1:26" ht="28.7" customHeight="1" x14ac:dyDescent="0.3">
      <c r="A2340" s="73"/>
      <c r="B2340" s="73"/>
      <c r="C2340" s="73"/>
      <c r="D2340" s="73"/>
      <c r="E2340" s="73"/>
      <c r="F2340" s="73"/>
      <c r="G2340" s="73"/>
      <c r="H2340" s="73"/>
      <c r="I2340" s="73"/>
      <c r="J2340" s="73"/>
      <c r="K2340" s="73"/>
      <c r="L2340" s="73"/>
      <c r="M2340" s="73"/>
    </row>
    <row r="2341" spans="1:26" ht="28.7" customHeight="1" x14ac:dyDescent="0.3">
      <c r="A2341" s="136" t="s">
        <v>1339</v>
      </c>
      <c r="B2341" s="127"/>
      <c r="C2341" s="127"/>
      <c r="D2341" s="127"/>
      <c r="E2341" s="127"/>
      <c r="F2341" s="127"/>
      <c r="G2341" s="127"/>
      <c r="H2341" s="127"/>
      <c r="I2341" s="127"/>
      <c r="J2341" s="127"/>
      <c r="K2341" s="127"/>
      <c r="L2341" s="144"/>
      <c r="M2341" s="22" t="s">
        <v>8085</v>
      </c>
      <c r="N2341" s="84" t="str">
        <f>HYPERLINK("#N"&amp;ROW(N2342),"_x0005_`BDCOD|B05451_x0007_`POSS|"&amp;ROW(N2342)&amp;"_x0007_`POSE|"&amp;ROW(N2342)&amp;"_x0007_`")</f>
        <v>_x0005_`BDCOD|B05451_x0007_`POSS|2342_x0007_`POSE|2342_x0007_`</v>
      </c>
      <c r="O2341" s="7" t="s">
        <v>8086</v>
      </c>
    </row>
    <row r="2342" spans="1:26" ht="28.7" customHeight="1" x14ac:dyDescent="0.3">
      <c r="A2342" s="10" t="s">
        <v>1887</v>
      </c>
      <c r="B2342" s="10" t="s">
        <v>1906</v>
      </c>
      <c r="C2342" s="75">
        <v>1</v>
      </c>
      <c r="D2342" s="31" t="s">
        <v>1010</v>
      </c>
      <c r="E2342" s="55">
        <f>I2342+G2342+K2342</f>
        <v>187711</v>
      </c>
      <c r="F2342" s="76">
        <f>J2342+H2342+L2342</f>
        <v>187711</v>
      </c>
      <c r="G2342" s="78">
        <f>일위대가목록표!F737</f>
        <v>187711</v>
      </c>
      <c r="H2342" s="80">
        <f>IF(C2342=0,0,ROUNDDOWN(G2342*C2342,1))</f>
        <v>187711</v>
      </c>
      <c r="I2342" s="78">
        <f>일위대가목록표!G737</f>
        <v>0</v>
      </c>
      <c r="J2342" s="80">
        <f>IF(C2342=0,0,ROUNDDOWN(I2342*C2342,1))</f>
        <v>0</v>
      </c>
      <c r="K2342" s="78">
        <f>일위대가목록표!H737</f>
        <v>0</v>
      </c>
      <c r="L2342" s="80">
        <f>IF(C2342=0,0,ROUNDDOWN(K2342*C2342,1))</f>
        <v>0</v>
      </c>
      <c r="M2342" s="22" t="s">
        <v>8056</v>
      </c>
      <c r="N2342" s="17" t="s">
        <v>8054</v>
      </c>
      <c r="O2342" s="7" t="s">
        <v>8055</v>
      </c>
      <c r="P2342" s="7" t="s">
        <v>6406</v>
      </c>
      <c r="Z2342" s="3" t="str">
        <f ca="1">HYPERLINK("#"&amp;일위대가목록표!J2&amp;"!A"&amp;ROW(일위대가목록표!A737),"대가734 →")</f>
        <v>대가734 →</v>
      </c>
    </row>
    <row r="2343" spans="1:26" ht="28.7" customHeight="1" x14ac:dyDescent="0.3">
      <c r="A2343" s="22" t="s">
        <v>6</v>
      </c>
      <c r="B2343" s="74"/>
      <c r="C2343" s="74"/>
      <c r="D2343" s="74"/>
      <c r="E2343" s="74"/>
      <c r="F2343" s="48">
        <f>J2343+H2343+L2343</f>
        <v>187711</v>
      </c>
      <c r="G2343" s="74"/>
      <c r="H2343" s="48">
        <f>ROUNDDOWN(SUMIF(P2342:P2342,O2343,H2342:H2342),0)</f>
        <v>187711</v>
      </c>
      <c r="I2343" s="74"/>
      <c r="J2343" s="48">
        <f>ROUNDDOWN(SUMIF(P2342:P2342,O2343,J2342:J2342),0)</f>
        <v>0</v>
      </c>
      <c r="K2343" s="74"/>
      <c r="L2343" s="48">
        <f>ROUNDDOWN(SUMIF(P2342:P2342,O2343,L2342:L2342),0)</f>
        <v>0</v>
      </c>
      <c r="M2343" s="74"/>
      <c r="O2343" s="7" t="s">
        <v>6406</v>
      </c>
    </row>
    <row r="2344" spans="1:26" ht="28.7" customHeight="1" x14ac:dyDescent="0.3">
      <c r="A2344" s="73"/>
      <c r="B2344" s="73"/>
      <c r="C2344" s="73"/>
      <c r="D2344" s="73"/>
      <c r="E2344" s="73"/>
      <c r="F2344" s="73"/>
      <c r="G2344" s="73"/>
      <c r="H2344" s="73"/>
      <c r="I2344" s="73"/>
      <c r="J2344" s="73"/>
      <c r="K2344" s="73"/>
      <c r="L2344" s="73"/>
      <c r="M2344" s="73"/>
    </row>
    <row r="2345" spans="1:26" ht="28.7" customHeight="1" x14ac:dyDescent="0.3">
      <c r="A2345" s="136" t="s">
        <v>1341</v>
      </c>
      <c r="B2345" s="127"/>
      <c r="C2345" s="127"/>
      <c r="D2345" s="127"/>
      <c r="E2345" s="127"/>
      <c r="F2345" s="127"/>
      <c r="G2345" s="127"/>
      <c r="H2345" s="127"/>
      <c r="I2345" s="127"/>
      <c r="J2345" s="127"/>
      <c r="K2345" s="127"/>
      <c r="L2345" s="144"/>
      <c r="M2345" s="22" t="s">
        <v>8087</v>
      </c>
      <c r="N2345" s="84" t="str">
        <f>HYPERLINK("#N"&amp;ROW(N2346),"_x0005_`BDCOD|B05452_x0007_`POSS|"&amp;ROW(N2346)&amp;"_x0007_`POSE|"&amp;ROW(N2346)&amp;"_x0007_`")</f>
        <v>_x0005_`BDCOD|B05452_x0007_`POSS|2346_x0007_`POSE|2346_x0007_`</v>
      </c>
      <c r="O2345" s="7" t="s">
        <v>8088</v>
      </c>
    </row>
    <row r="2346" spans="1:26" ht="28.7" customHeight="1" x14ac:dyDescent="0.3">
      <c r="A2346" s="10" t="s">
        <v>1887</v>
      </c>
      <c r="B2346" s="10" t="s">
        <v>1914</v>
      </c>
      <c r="C2346" s="75">
        <v>1</v>
      </c>
      <c r="D2346" s="31" t="s">
        <v>1010</v>
      </c>
      <c r="E2346" s="55">
        <f>I2346+G2346+K2346</f>
        <v>319974</v>
      </c>
      <c r="F2346" s="76">
        <f>J2346+H2346+L2346</f>
        <v>319974</v>
      </c>
      <c r="G2346" s="78">
        <f>일위대가목록표!F740</f>
        <v>319974</v>
      </c>
      <c r="H2346" s="80">
        <f>IF(C2346=0,0,ROUNDDOWN(G2346*C2346,1))</f>
        <v>319974</v>
      </c>
      <c r="I2346" s="78">
        <f>일위대가목록표!G740</f>
        <v>0</v>
      </c>
      <c r="J2346" s="80">
        <f>IF(C2346=0,0,ROUNDDOWN(I2346*C2346,1))</f>
        <v>0</v>
      </c>
      <c r="K2346" s="78">
        <f>일위대가목록표!H740</f>
        <v>0</v>
      </c>
      <c r="L2346" s="80">
        <f>IF(C2346=0,0,ROUNDDOWN(K2346*C2346,1))</f>
        <v>0</v>
      </c>
      <c r="M2346" s="22" t="s">
        <v>8063</v>
      </c>
      <c r="N2346" s="17" t="s">
        <v>8061</v>
      </c>
      <c r="O2346" s="7" t="s">
        <v>8062</v>
      </c>
      <c r="P2346" s="7" t="s">
        <v>6406</v>
      </c>
      <c r="Z2346" s="3" t="str">
        <f ca="1">HYPERLINK("#"&amp;일위대가목록표!J2&amp;"!A"&amp;ROW(일위대가목록표!A740),"대가737 →")</f>
        <v>대가737 →</v>
      </c>
    </row>
    <row r="2347" spans="1:26" ht="28.7" customHeight="1" x14ac:dyDescent="0.3">
      <c r="A2347" s="22" t="s">
        <v>6</v>
      </c>
      <c r="B2347" s="74"/>
      <c r="C2347" s="74"/>
      <c r="D2347" s="74"/>
      <c r="E2347" s="74"/>
      <c r="F2347" s="48">
        <f>J2347+H2347+L2347</f>
        <v>319974</v>
      </c>
      <c r="G2347" s="74"/>
      <c r="H2347" s="48">
        <f>ROUNDDOWN(SUMIF(P2346:P2346,O2347,H2346:H2346),0)</f>
        <v>319974</v>
      </c>
      <c r="I2347" s="74"/>
      <c r="J2347" s="48">
        <f>ROUNDDOWN(SUMIF(P2346:P2346,O2347,J2346:J2346),0)</f>
        <v>0</v>
      </c>
      <c r="K2347" s="74"/>
      <c r="L2347" s="48">
        <f>ROUNDDOWN(SUMIF(P2346:P2346,O2347,L2346:L2346),0)</f>
        <v>0</v>
      </c>
      <c r="M2347" s="74"/>
      <c r="O2347" s="7" t="s">
        <v>6406</v>
      </c>
    </row>
    <row r="2348" spans="1:26" ht="28.7" customHeight="1" x14ac:dyDescent="0.3">
      <c r="A2348" s="73"/>
      <c r="B2348" s="73"/>
      <c r="C2348" s="73"/>
      <c r="D2348" s="73"/>
      <c r="E2348" s="73"/>
      <c r="F2348" s="73"/>
      <c r="G2348" s="73"/>
      <c r="H2348" s="73"/>
      <c r="I2348" s="73"/>
      <c r="J2348" s="73"/>
      <c r="K2348" s="73"/>
      <c r="L2348" s="73"/>
      <c r="M2348" s="73"/>
    </row>
    <row r="2349" spans="1:26" ht="28.7" customHeight="1" x14ac:dyDescent="0.3">
      <c r="A2349" s="136" t="s">
        <v>1343</v>
      </c>
      <c r="B2349" s="127"/>
      <c r="C2349" s="127"/>
      <c r="D2349" s="127"/>
      <c r="E2349" s="127"/>
      <c r="F2349" s="127"/>
      <c r="G2349" s="127"/>
      <c r="H2349" s="127"/>
      <c r="I2349" s="127"/>
      <c r="J2349" s="127"/>
      <c r="K2349" s="127"/>
      <c r="L2349" s="144"/>
      <c r="M2349" s="22" t="s">
        <v>8089</v>
      </c>
      <c r="N2349" s="84" t="str">
        <f>HYPERLINK("#N"&amp;ROW(N2350),"_x0005_`BDCOD|B05453_x0007_`POSS|"&amp;ROW(N2350)&amp;"_x0007_`POSE|"&amp;ROW(N2350)&amp;"_x0007_`")</f>
        <v>_x0005_`BDCOD|B05453_x0007_`POSS|2350_x0007_`POSE|2350_x0007_`</v>
      </c>
      <c r="O2349" s="7" t="s">
        <v>8090</v>
      </c>
    </row>
    <row r="2350" spans="1:26" ht="28.7" customHeight="1" x14ac:dyDescent="0.3">
      <c r="A2350" s="10" t="s">
        <v>1887</v>
      </c>
      <c r="B2350" s="10" t="s">
        <v>1922</v>
      </c>
      <c r="C2350" s="75">
        <v>1</v>
      </c>
      <c r="D2350" s="31" t="s">
        <v>1010</v>
      </c>
      <c r="E2350" s="55">
        <f>I2350+G2350+K2350</f>
        <v>441247</v>
      </c>
      <c r="F2350" s="76">
        <f>J2350+H2350+L2350</f>
        <v>441247</v>
      </c>
      <c r="G2350" s="78">
        <f>일위대가목록표!F743</f>
        <v>441247</v>
      </c>
      <c r="H2350" s="80">
        <f>IF(C2350=0,0,ROUNDDOWN(G2350*C2350,1))</f>
        <v>441247</v>
      </c>
      <c r="I2350" s="78">
        <f>일위대가목록표!G743</f>
        <v>0</v>
      </c>
      <c r="J2350" s="80">
        <f>IF(C2350=0,0,ROUNDDOWN(I2350*C2350,1))</f>
        <v>0</v>
      </c>
      <c r="K2350" s="78">
        <f>일위대가목록표!H743</f>
        <v>0</v>
      </c>
      <c r="L2350" s="80">
        <f>IF(C2350=0,0,ROUNDDOWN(K2350*C2350,1))</f>
        <v>0</v>
      </c>
      <c r="M2350" s="22" t="s">
        <v>8071</v>
      </c>
      <c r="N2350" s="17" t="s">
        <v>8069</v>
      </c>
      <c r="O2350" s="7" t="s">
        <v>8070</v>
      </c>
      <c r="P2350" s="7" t="s">
        <v>6406</v>
      </c>
      <c r="Z2350" s="3" t="str">
        <f ca="1">HYPERLINK("#"&amp;일위대가목록표!J2&amp;"!A"&amp;ROW(일위대가목록표!A743),"대가740 →")</f>
        <v>대가740 →</v>
      </c>
    </row>
    <row r="2351" spans="1:26" ht="28.7" customHeight="1" x14ac:dyDescent="0.3">
      <c r="A2351" s="22" t="s">
        <v>6</v>
      </c>
      <c r="B2351" s="74"/>
      <c r="C2351" s="74"/>
      <c r="D2351" s="74"/>
      <c r="E2351" s="74"/>
      <c r="F2351" s="48">
        <f>J2351+H2351+L2351</f>
        <v>441247</v>
      </c>
      <c r="G2351" s="74"/>
      <c r="H2351" s="48">
        <f>ROUNDDOWN(SUMIF(P2350:P2350,O2351,H2350:H2350),0)</f>
        <v>441247</v>
      </c>
      <c r="I2351" s="74"/>
      <c r="J2351" s="48">
        <f>ROUNDDOWN(SUMIF(P2350:P2350,O2351,J2350:J2350),0)</f>
        <v>0</v>
      </c>
      <c r="K2351" s="74"/>
      <c r="L2351" s="48">
        <f>ROUNDDOWN(SUMIF(P2350:P2350,O2351,L2350:L2350),0)</f>
        <v>0</v>
      </c>
      <c r="M2351" s="74"/>
      <c r="O2351" s="7" t="s">
        <v>6406</v>
      </c>
    </row>
    <row r="2352" spans="1:26" ht="28.7" customHeight="1" x14ac:dyDescent="0.3">
      <c r="A2352" s="73"/>
      <c r="B2352" s="73"/>
      <c r="C2352" s="73"/>
      <c r="D2352" s="73"/>
      <c r="E2352" s="73"/>
      <c r="F2352" s="73"/>
      <c r="G2352" s="73"/>
      <c r="H2352" s="73"/>
      <c r="I2352" s="73"/>
      <c r="J2352" s="73"/>
      <c r="K2352" s="73"/>
      <c r="L2352" s="73"/>
      <c r="M2352" s="73"/>
    </row>
    <row r="2353" spans="1:26" ht="28.7" customHeight="1" x14ac:dyDescent="0.3">
      <c r="A2353" s="136" t="s">
        <v>1345</v>
      </c>
      <c r="B2353" s="127"/>
      <c r="C2353" s="127"/>
      <c r="D2353" s="127"/>
      <c r="E2353" s="127"/>
      <c r="F2353" s="127"/>
      <c r="G2353" s="127"/>
      <c r="H2353" s="127"/>
      <c r="I2353" s="127"/>
      <c r="J2353" s="127"/>
      <c r="K2353" s="127"/>
      <c r="L2353" s="144"/>
      <c r="M2353" s="22" t="s">
        <v>8091</v>
      </c>
      <c r="N2353" s="84" t="str">
        <f>HYPERLINK("#N"&amp;ROW(N2354),"_x0005_`BDCOD|B05454_x0007_`POSS|"&amp;ROW(N2354)&amp;"_x0007_`POSE|"&amp;ROW(N2354)&amp;"_x0007_`")</f>
        <v>_x0005_`BDCOD|B05454_x0007_`POSS|2354_x0007_`POSE|2354_x0007_`</v>
      </c>
      <c r="O2353" s="7" t="s">
        <v>8092</v>
      </c>
    </row>
    <row r="2354" spans="1:26" ht="28.7" customHeight="1" x14ac:dyDescent="0.3">
      <c r="A2354" s="10" t="s">
        <v>1887</v>
      </c>
      <c r="B2354" s="10" t="s">
        <v>1930</v>
      </c>
      <c r="C2354" s="75">
        <v>1</v>
      </c>
      <c r="D2354" s="31" t="s">
        <v>1010</v>
      </c>
      <c r="E2354" s="55">
        <f>I2354+G2354+K2354</f>
        <v>566239</v>
      </c>
      <c r="F2354" s="76">
        <f>J2354+H2354+L2354</f>
        <v>566239</v>
      </c>
      <c r="G2354" s="78">
        <f>일위대가목록표!F746</f>
        <v>566239</v>
      </c>
      <c r="H2354" s="80">
        <f>IF(C2354=0,0,ROUNDDOWN(G2354*C2354,1))</f>
        <v>566239</v>
      </c>
      <c r="I2354" s="78">
        <f>일위대가목록표!G746</f>
        <v>0</v>
      </c>
      <c r="J2354" s="80">
        <f>IF(C2354=0,0,ROUNDDOWN(I2354*C2354,1))</f>
        <v>0</v>
      </c>
      <c r="K2354" s="78">
        <f>일위대가목록표!H746</f>
        <v>0</v>
      </c>
      <c r="L2354" s="80">
        <f>IF(C2354=0,0,ROUNDDOWN(K2354*C2354,1))</f>
        <v>0</v>
      </c>
      <c r="M2354" s="22" t="s">
        <v>8078</v>
      </c>
      <c r="N2354" s="17" t="s">
        <v>8076</v>
      </c>
      <c r="O2354" s="7" t="s">
        <v>8077</v>
      </c>
      <c r="P2354" s="7" t="s">
        <v>6406</v>
      </c>
      <c r="Z2354" s="3" t="str">
        <f ca="1">HYPERLINK("#"&amp;일위대가목록표!J2&amp;"!A"&amp;ROW(일위대가목록표!A746),"대가743 →")</f>
        <v>대가743 →</v>
      </c>
    </row>
    <row r="2355" spans="1:26" ht="28.7" customHeight="1" x14ac:dyDescent="0.3">
      <c r="A2355" s="22" t="s">
        <v>6</v>
      </c>
      <c r="B2355" s="74"/>
      <c r="C2355" s="74"/>
      <c r="D2355" s="74"/>
      <c r="E2355" s="74"/>
      <c r="F2355" s="48">
        <f>J2355+H2355+L2355</f>
        <v>566239</v>
      </c>
      <c r="G2355" s="74"/>
      <c r="H2355" s="48">
        <f>ROUNDDOWN(SUMIF(P2354:P2354,O2355,H2354:H2354),0)</f>
        <v>566239</v>
      </c>
      <c r="I2355" s="74"/>
      <c r="J2355" s="48">
        <f>ROUNDDOWN(SUMIF(P2354:P2354,O2355,J2354:J2354),0)</f>
        <v>0</v>
      </c>
      <c r="K2355" s="74"/>
      <c r="L2355" s="48">
        <f>ROUNDDOWN(SUMIF(P2354:P2354,O2355,L2354:L2354),0)</f>
        <v>0</v>
      </c>
      <c r="M2355" s="74"/>
      <c r="O2355" s="7" t="s">
        <v>6406</v>
      </c>
    </row>
    <row r="2356" spans="1:26" ht="28.7" customHeight="1" x14ac:dyDescent="0.3">
      <c r="A2356" s="73"/>
      <c r="B2356" s="73"/>
      <c r="C2356" s="73"/>
      <c r="D2356" s="73"/>
      <c r="E2356" s="73"/>
      <c r="F2356" s="73"/>
      <c r="G2356" s="73"/>
      <c r="H2356" s="73"/>
      <c r="I2356" s="73"/>
      <c r="J2356" s="73"/>
      <c r="K2356" s="73"/>
      <c r="L2356" s="73"/>
      <c r="M2356" s="73"/>
    </row>
    <row r="2357" spans="1:26" ht="28.7" customHeight="1" x14ac:dyDescent="0.3">
      <c r="A2357" s="136" t="s">
        <v>1347</v>
      </c>
      <c r="B2357" s="127"/>
      <c r="C2357" s="127"/>
      <c r="D2357" s="127"/>
      <c r="E2357" s="127"/>
      <c r="F2357" s="127"/>
      <c r="G2357" s="127"/>
      <c r="H2357" s="127"/>
      <c r="I2357" s="127"/>
      <c r="J2357" s="127"/>
      <c r="K2357" s="127"/>
      <c r="L2357" s="144"/>
      <c r="M2357" s="22" t="s">
        <v>8093</v>
      </c>
      <c r="N2357" s="84" t="str">
        <f>HYPERLINK("#N"&amp;ROW(N2358),"_x0005_`BDCOD|B05455_x0007_`POSS|"&amp;ROW(N2358)&amp;"_x0007_`POSE|"&amp;ROW(N2358)&amp;"_x0007_`")</f>
        <v>_x0005_`BDCOD|B05455_x0007_`POSS|2358_x0007_`POSE|2358_x0007_`</v>
      </c>
      <c r="O2357" s="7" t="s">
        <v>8094</v>
      </c>
    </row>
    <row r="2358" spans="1:26" ht="28.7" customHeight="1" x14ac:dyDescent="0.3">
      <c r="A2358" s="10" t="s">
        <v>1894</v>
      </c>
      <c r="B2358" s="10" t="s">
        <v>1895</v>
      </c>
      <c r="C2358" s="75">
        <v>1</v>
      </c>
      <c r="D2358" s="31" t="s">
        <v>1010</v>
      </c>
      <c r="E2358" s="55">
        <f>I2358+G2358+K2358</f>
        <v>28490</v>
      </c>
      <c r="F2358" s="76">
        <f>J2358+H2358+L2358</f>
        <v>28490</v>
      </c>
      <c r="G2358" s="78">
        <f>일위대가목록표!F733</f>
        <v>28490</v>
      </c>
      <c r="H2358" s="80">
        <f>IF(C2358=0,0,ROUNDDOWN(G2358*C2358,1))</f>
        <v>28490</v>
      </c>
      <c r="I2358" s="78">
        <f>일위대가목록표!G733</f>
        <v>0</v>
      </c>
      <c r="J2358" s="80">
        <f>IF(C2358=0,0,ROUNDDOWN(I2358*C2358,1))</f>
        <v>0</v>
      </c>
      <c r="K2358" s="78">
        <f>일위대가목록표!H733</f>
        <v>0</v>
      </c>
      <c r="L2358" s="80">
        <f>IF(C2358=0,0,ROUNDDOWN(K2358*C2358,1))</f>
        <v>0</v>
      </c>
      <c r="M2358" s="22" t="s">
        <v>8097</v>
      </c>
      <c r="N2358" s="17" t="s">
        <v>8095</v>
      </c>
      <c r="O2358" s="7" t="s">
        <v>8096</v>
      </c>
      <c r="P2358" s="7" t="s">
        <v>6406</v>
      </c>
      <c r="Z2358" s="3" t="str">
        <f ca="1">HYPERLINK("#"&amp;일위대가목록표!J2&amp;"!A"&amp;ROW(일위대가목록표!A733),"대가730 →")</f>
        <v>대가730 →</v>
      </c>
    </row>
    <row r="2359" spans="1:26" ht="28.7" customHeight="1" x14ac:dyDescent="0.3">
      <c r="A2359" s="22" t="s">
        <v>6</v>
      </c>
      <c r="B2359" s="74"/>
      <c r="C2359" s="74"/>
      <c r="D2359" s="74"/>
      <c r="E2359" s="74"/>
      <c r="F2359" s="48">
        <f>J2359+H2359+L2359</f>
        <v>28490</v>
      </c>
      <c r="G2359" s="74"/>
      <c r="H2359" s="48">
        <f>ROUNDDOWN(SUMIF(P2358:P2358,O2359,H2358:H2358),0)</f>
        <v>28490</v>
      </c>
      <c r="I2359" s="74"/>
      <c r="J2359" s="48">
        <f>ROUNDDOWN(SUMIF(P2358:P2358,O2359,J2358:J2358),0)</f>
        <v>0</v>
      </c>
      <c r="K2359" s="74"/>
      <c r="L2359" s="48">
        <f>ROUNDDOWN(SUMIF(P2358:P2358,O2359,L2358:L2358),0)</f>
        <v>0</v>
      </c>
      <c r="M2359" s="74"/>
      <c r="O2359" s="7" t="s">
        <v>6406</v>
      </c>
    </row>
    <row r="2360" spans="1:26" ht="28.7" customHeight="1" x14ac:dyDescent="0.3">
      <c r="A2360" s="73"/>
      <c r="B2360" s="73"/>
      <c r="C2360" s="73"/>
      <c r="D2360" s="73"/>
      <c r="E2360" s="73"/>
      <c r="F2360" s="73"/>
      <c r="G2360" s="73"/>
      <c r="H2360" s="73"/>
      <c r="I2360" s="73"/>
      <c r="J2360" s="73"/>
      <c r="K2360" s="73"/>
      <c r="L2360" s="73"/>
      <c r="M2360" s="73"/>
    </row>
    <row r="2361" spans="1:26" ht="28.7" customHeight="1" x14ac:dyDescent="0.3">
      <c r="A2361" s="136" t="s">
        <v>1350</v>
      </c>
      <c r="B2361" s="127"/>
      <c r="C2361" s="127"/>
      <c r="D2361" s="127"/>
      <c r="E2361" s="127"/>
      <c r="F2361" s="127"/>
      <c r="G2361" s="127"/>
      <c r="H2361" s="127"/>
      <c r="I2361" s="127"/>
      <c r="J2361" s="127"/>
      <c r="K2361" s="127"/>
      <c r="L2361" s="144"/>
      <c r="M2361" s="22" t="s">
        <v>8098</v>
      </c>
      <c r="N2361" s="84" t="str">
        <f>HYPERLINK("#N"&amp;ROW(N2362),"_x0005_`BDCOD|B05456_x0007_`POSS|"&amp;ROW(N2362)&amp;"_x0007_`POSE|"&amp;ROW(N2362)&amp;"_x0007_`")</f>
        <v>_x0005_`BDCOD|B05456_x0007_`POSS|2362_x0007_`POSE|2362_x0007_`</v>
      </c>
      <c r="O2361" s="7" t="s">
        <v>8099</v>
      </c>
    </row>
    <row r="2362" spans="1:26" ht="28.7" customHeight="1" x14ac:dyDescent="0.3">
      <c r="A2362" s="10" t="s">
        <v>1894</v>
      </c>
      <c r="B2362" s="10" t="s">
        <v>1903</v>
      </c>
      <c r="C2362" s="75">
        <v>1</v>
      </c>
      <c r="D2362" s="31" t="s">
        <v>1010</v>
      </c>
      <c r="E2362" s="55">
        <f>I2362+G2362+K2362</f>
        <v>84068</v>
      </c>
      <c r="F2362" s="76">
        <f>J2362+H2362+L2362</f>
        <v>84068</v>
      </c>
      <c r="G2362" s="78">
        <f>일위대가목록표!F736</f>
        <v>84068</v>
      </c>
      <c r="H2362" s="80">
        <f>IF(C2362=0,0,ROUNDDOWN(G2362*C2362,1))</f>
        <v>84068</v>
      </c>
      <c r="I2362" s="78">
        <f>일위대가목록표!G736</f>
        <v>0</v>
      </c>
      <c r="J2362" s="80">
        <f>IF(C2362=0,0,ROUNDDOWN(I2362*C2362,1))</f>
        <v>0</v>
      </c>
      <c r="K2362" s="78">
        <f>일위대가목록표!H736</f>
        <v>0</v>
      </c>
      <c r="L2362" s="80">
        <f>IF(C2362=0,0,ROUNDDOWN(K2362*C2362,1))</f>
        <v>0</v>
      </c>
      <c r="M2362" s="22" t="s">
        <v>8102</v>
      </c>
      <c r="N2362" s="17" t="s">
        <v>8100</v>
      </c>
      <c r="O2362" s="7" t="s">
        <v>8101</v>
      </c>
      <c r="P2362" s="7" t="s">
        <v>6406</v>
      </c>
      <c r="Z2362" s="3" t="str">
        <f ca="1">HYPERLINK("#"&amp;일위대가목록표!J2&amp;"!A"&amp;ROW(일위대가목록표!A736),"대가733 →")</f>
        <v>대가733 →</v>
      </c>
    </row>
    <row r="2363" spans="1:26" ht="28.7" customHeight="1" x14ac:dyDescent="0.3">
      <c r="A2363" s="22" t="s">
        <v>6</v>
      </c>
      <c r="B2363" s="74"/>
      <c r="C2363" s="74"/>
      <c r="D2363" s="74"/>
      <c r="E2363" s="74"/>
      <c r="F2363" s="48">
        <f>J2363+H2363+L2363</f>
        <v>84068</v>
      </c>
      <c r="G2363" s="74"/>
      <c r="H2363" s="48">
        <f>ROUNDDOWN(SUMIF(P2362:P2362,O2363,H2362:H2362),0)</f>
        <v>84068</v>
      </c>
      <c r="I2363" s="74"/>
      <c r="J2363" s="48">
        <f>ROUNDDOWN(SUMIF(P2362:P2362,O2363,J2362:J2362),0)</f>
        <v>0</v>
      </c>
      <c r="K2363" s="74"/>
      <c r="L2363" s="48">
        <f>ROUNDDOWN(SUMIF(P2362:P2362,O2363,L2362:L2362),0)</f>
        <v>0</v>
      </c>
      <c r="M2363" s="74"/>
      <c r="O2363" s="7" t="s">
        <v>6406</v>
      </c>
    </row>
    <row r="2364" spans="1:26" ht="28.7" customHeight="1" x14ac:dyDescent="0.3">
      <c r="A2364" s="73"/>
      <c r="B2364" s="73"/>
      <c r="C2364" s="73"/>
      <c r="D2364" s="73"/>
      <c r="E2364" s="73"/>
      <c r="F2364" s="73"/>
      <c r="G2364" s="73"/>
      <c r="H2364" s="73"/>
      <c r="I2364" s="73"/>
      <c r="J2364" s="73"/>
      <c r="K2364" s="73"/>
      <c r="L2364" s="73"/>
      <c r="M2364" s="73"/>
    </row>
    <row r="2365" spans="1:26" ht="28.7" customHeight="1" x14ac:dyDescent="0.3">
      <c r="A2365" s="136" t="s">
        <v>1352</v>
      </c>
      <c r="B2365" s="127"/>
      <c r="C2365" s="127"/>
      <c r="D2365" s="127"/>
      <c r="E2365" s="127"/>
      <c r="F2365" s="127"/>
      <c r="G2365" s="127"/>
      <c r="H2365" s="127"/>
      <c r="I2365" s="127"/>
      <c r="J2365" s="127"/>
      <c r="K2365" s="127"/>
      <c r="L2365" s="144"/>
      <c r="M2365" s="22" t="s">
        <v>8103</v>
      </c>
      <c r="N2365" s="84" t="str">
        <f>HYPERLINK("#N"&amp;ROW(N2366),"_x0005_`BDCOD|B05457_x0007_`POSS|"&amp;ROW(N2366)&amp;"_x0007_`POSE|"&amp;ROW(N2366)&amp;"_x0007_`")</f>
        <v>_x0005_`BDCOD|B05457_x0007_`POSS|2366_x0007_`POSE|2366_x0007_`</v>
      </c>
      <c r="O2365" s="7" t="s">
        <v>8104</v>
      </c>
    </row>
    <row r="2366" spans="1:26" ht="28.7" customHeight="1" x14ac:dyDescent="0.3">
      <c r="A2366" s="10" t="s">
        <v>1894</v>
      </c>
      <c r="B2366" s="10" t="s">
        <v>1911</v>
      </c>
      <c r="C2366" s="75">
        <v>1</v>
      </c>
      <c r="D2366" s="31" t="s">
        <v>1010</v>
      </c>
      <c r="E2366" s="55">
        <f>I2366+G2366+K2366</f>
        <v>125141</v>
      </c>
      <c r="F2366" s="76">
        <f>J2366+H2366+L2366</f>
        <v>125141</v>
      </c>
      <c r="G2366" s="78">
        <f>일위대가목록표!F739</f>
        <v>125141</v>
      </c>
      <c r="H2366" s="80">
        <f>IF(C2366=0,0,ROUNDDOWN(G2366*C2366,1))</f>
        <v>125141</v>
      </c>
      <c r="I2366" s="78">
        <f>일위대가목록표!G739</f>
        <v>0</v>
      </c>
      <c r="J2366" s="80">
        <f>IF(C2366=0,0,ROUNDDOWN(I2366*C2366,1))</f>
        <v>0</v>
      </c>
      <c r="K2366" s="78">
        <f>일위대가목록표!H739</f>
        <v>0</v>
      </c>
      <c r="L2366" s="80">
        <f>IF(C2366=0,0,ROUNDDOWN(K2366*C2366,1))</f>
        <v>0</v>
      </c>
      <c r="M2366" s="22" t="s">
        <v>8107</v>
      </c>
      <c r="N2366" s="17" t="s">
        <v>8105</v>
      </c>
      <c r="O2366" s="7" t="s">
        <v>8106</v>
      </c>
      <c r="P2366" s="7" t="s">
        <v>6406</v>
      </c>
      <c r="Z2366" s="3" t="str">
        <f ca="1">HYPERLINK("#"&amp;일위대가목록표!J2&amp;"!A"&amp;ROW(일위대가목록표!A739),"대가736 →")</f>
        <v>대가736 →</v>
      </c>
    </row>
    <row r="2367" spans="1:26" ht="28.7" customHeight="1" x14ac:dyDescent="0.3">
      <c r="A2367" s="22" t="s">
        <v>6</v>
      </c>
      <c r="B2367" s="74"/>
      <c r="C2367" s="74"/>
      <c r="D2367" s="74"/>
      <c r="E2367" s="74"/>
      <c r="F2367" s="48">
        <f>J2367+H2367+L2367</f>
        <v>125141</v>
      </c>
      <c r="G2367" s="74"/>
      <c r="H2367" s="48">
        <f>ROUNDDOWN(SUMIF(P2366:P2366,O2367,H2366:H2366),0)</f>
        <v>125141</v>
      </c>
      <c r="I2367" s="74"/>
      <c r="J2367" s="48">
        <f>ROUNDDOWN(SUMIF(P2366:P2366,O2367,J2366:J2366),0)</f>
        <v>0</v>
      </c>
      <c r="K2367" s="74"/>
      <c r="L2367" s="48">
        <f>ROUNDDOWN(SUMIF(P2366:P2366,O2367,L2366:L2366),0)</f>
        <v>0</v>
      </c>
      <c r="M2367" s="74"/>
      <c r="O2367" s="7" t="s">
        <v>6406</v>
      </c>
    </row>
    <row r="2368" spans="1:26" ht="28.7" customHeight="1" x14ac:dyDescent="0.3">
      <c r="A2368" s="73"/>
      <c r="B2368" s="73"/>
      <c r="C2368" s="73"/>
      <c r="D2368" s="73"/>
      <c r="E2368" s="73"/>
      <c r="F2368" s="73"/>
      <c r="G2368" s="73"/>
      <c r="H2368" s="73"/>
      <c r="I2368" s="73"/>
      <c r="J2368" s="73"/>
      <c r="K2368" s="73"/>
      <c r="L2368" s="73"/>
      <c r="M2368" s="73"/>
    </row>
    <row r="2369" spans="1:26" ht="28.7" customHeight="1" x14ac:dyDescent="0.3">
      <c r="A2369" s="136" t="s">
        <v>1354</v>
      </c>
      <c r="B2369" s="127"/>
      <c r="C2369" s="127"/>
      <c r="D2369" s="127"/>
      <c r="E2369" s="127"/>
      <c r="F2369" s="127"/>
      <c r="G2369" s="127"/>
      <c r="H2369" s="127"/>
      <c r="I2369" s="127"/>
      <c r="J2369" s="127"/>
      <c r="K2369" s="127"/>
      <c r="L2369" s="144"/>
      <c r="M2369" s="22" t="s">
        <v>8108</v>
      </c>
      <c r="N2369" s="84" t="str">
        <f>HYPERLINK("#N"&amp;ROW(N2370),"_x0005_`BDCOD|B05458_x0007_`POSS|"&amp;ROW(N2370)&amp;"_x0007_`POSE|"&amp;ROW(N2370)&amp;"_x0007_`")</f>
        <v>_x0005_`BDCOD|B05458_x0007_`POSS|2370_x0007_`POSE|2370_x0007_`</v>
      </c>
      <c r="O2369" s="7" t="s">
        <v>8109</v>
      </c>
    </row>
    <row r="2370" spans="1:26" ht="28.7" customHeight="1" x14ac:dyDescent="0.3">
      <c r="A2370" s="10" t="s">
        <v>1894</v>
      </c>
      <c r="B2370" s="10" t="s">
        <v>1919</v>
      </c>
      <c r="C2370" s="75">
        <v>1</v>
      </c>
      <c r="D2370" s="31" t="s">
        <v>1010</v>
      </c>
      <c r="E2370" s="55">
        <f>I2370+G2370+K2370</f>
        <v>213316</v>
      </c>
      <c r="F2370" s="76">
        <f>J2370+H2370+L2370</f>
        <v>213316</v>
      </c>
      <c r="G2370" s="78">
        <f>일위대가목록표!F742</f>
        <v>213316</v>
      </c>
      <c r="H2370" s="80">
        <f>IF(C2370=0,0,ROUNDDOWN(G2370*C2370,1))</f>
        <v>213316</v>
      </c>
      <c r="I2370" s="78">
        <f>일위대가목록표!G742</f>
        <v>0</v>
      </c>
      <c r="J2370" s="80">
        <f>IF(C2370=0,0,ROUNDDOWN(I2370*C2370,1))</f>
        <v>0</v>
      </c>
      <c r="K2370" s="78">
        <f>일위대가목록표!H742</f>
        <v>0</v>
      </c>
      <c r="L2370" s="80">
        <f>IF(C2370=0,0,ROUNDDOWN(K2370*C2370,1))</f>
        <v>0</v>
      </c>
      <c r="M2370" s="22" t="s">
        <v>8112</v>
      </c>
      <c r="N2370" s="17" t="s">
        <v>8110</v>
      </c>
      <c r="O2370" s="7" t="s">
        <v>8111</v>
      </c>
      <c r="P2370" s="7" t="s">
        <v>6406</v>
      </c>
      <c r="Z2370" s="3" t="str">
        <f ca="1">HYPERLINK("#"&amp;일위대가목록표!J2&amp;"!A"&amp;ROW(일위대가목록표!A742),"대가739 →")</f>
        <v>대가739 →</v>
      </c>
    </row>
    <row r="2371" spans="1:26" ht="28.7" customHeight="1" x14ac:dyDescent="0.3">
      <c r="A2371" s="22" t="s">
        <v>6</v>
      </c>
      <c r="B2371" s="74"/>
      <c r="C2371" s="74"/>
      <c r="D2371" s="74"/>
      <c r="E2371" s="74"/>
      <c r="F2371" s="48">
        <f>J2371+H2371+L2371</f>
        <v>213316</v>
      </c>
      <c r="G2371" s="74"/>
      <c r="H2371" s="48">
        <f>ROUNDDOWN(SUMIF(P2370:P2370,O2371,H2370:H2370),0)</f>
        <v>213316</v>
      </c>
      <c r="I2371" s="74"/>
      <c r="J2371" s="48">
        <f>ROUNDDOWN(SUMIF(P2370:P2370,O2371,J2370:J2370),0)</f>
        <v>0</v>
      </c>
      <c r="K2371" s="74"/>
      <c r="L2371" s="48">
        <f>ROUNDDOWN(SUMIF(P2370:P2370,O2371,L2370:L2370),0)</f>
        <v>0</v>
      </c>
      <c r="M2371" s="74"/>
      <c r="O2371" s="7" t="s">
        <v>6406</v>
      </c>
    </row>
    <row r="2372" spans="1:26" ht="28.7" customHeight="1" x14ac:dyDescent="0.3">
      <c r="A2372" s="73"/>
      <c r="B2372" s="73"/>
      <c r="C2372" s="73"/>
      <c r="D2372" s="73"/>
      <c r="E2372" s="73"/>
      <c r="F2372" s="73"/>
      <c r="G2372" s="73"/>
      <c r="H2372" s="73"/>
      <c r="I2372" s="73"/>
      <c r="J2372" s="73"/>
      <c r="K2372" s="73"/>
      <c r="L2372" s="73"/>
      <c r="M2372" s="73"/>
    </row>
    <row r="2373" spans="1:26" ht="28.7" customHeight="1" x14ac:dyDescent="0.3">
      <c r="A2373" s="136" t="s">
        <v>1356</v>
      </c>
      <c r="B2373" s="127"/>
      <c r="C2373" s="127"/>
      <c r="D2373" s="127"/>
      <c r="E2373" s="127"/>
      <c r="F2373" s="127"/>
      <c r="G2373" s="127"/>
      <c r="H2373" s="127"/>
      <c r="I2373" s="127"/>
      <c r="J2373" s="127"/>
      <c r="K2373" s="127"/>
      <c r="L2373" s="144"/>
      <c r="M2373" s="22" t="s">
        <v>8113</v>
      </c>
      <c r="N2373" s="84" t="str">
        <f>HYPERLINK("#N"&amp;ROW(N2374),"_x0005_`BDCOD|B05459_x0007_`POSS|"&amp;ROW(N2374)&amp;"_x0007_`POSE|"&amp;ROW(N2374)&amp;"_x0007_`")</f>
        <v>_x0005_`BDCOD|B05459_x0007_`POSS|2374_x0007_`POSE|2374_x0007_`</v>
      </c>
      <c r="O2373" s="7" t="s">
        <v>8114</v>
      </c>
    </row>
    <row r="2374" spans="1:26" ht="28.7" customHeight="1" x14ac:dyDescent="0.3">
      <c r="A2374" s="10" t="s">
        <v>1894</v>
      </c>
      <c r="B2374" s="10" t="s">
        <v>1927</v>
      </c>
      <c r="C2374" s="75">
        <v>1</v>
      </c>
      <c r="D2374" s="31" t="s">
        <v>1010</v>
      </c>
      <c r="E2374" s="55">
        <f>I2374+G2374+K2374</f>
        <v>294165</v>
      </c>
      <c r="F2374" s="76">
        <f>J2374+H2374+L2374</f>
        <v>294165</v>
      </c>
      <c r="G2374" s="78">
        <f>일위대가목록표!F745</f>
        <v>294165</v>
      </c>
      <c r="H2374" s="80">
        <f>IF(C2374=0,0,ROUNDDOWN(G2374*C2374,1))</f>
        <v>294165</v>
      </c>
      <c r="I2374" s="78">
        <f>일위대가목록표!G745</f>
        <v>0</v>
      </c>
      <c r="J2374" s="80">
        <f>IF(C2374=0,0,ROUNDDOWN(I2374*C2374,1))</f>
        <v>0</v>
      </c>
      <c r="K2374" s="78">
        <f>일위대가목록표!H745</f>
        <v>0</v>
      </c>
      <c r="L2374" s="80">
        <f>IF(C2374=0,0,ROUNDDOWN(K2374*C2374,1))</f>
        <v>0</v>
      </c>
      <c r="M2374" s="22" t="s">
        <v>8117</v>
      </c>
      <c r="N2374" s="17" t="s">
        <v>8115</v>
      </c>
      <c r="O2374" s="7" t="s">
        <v>8116</v>
      </c>
      <c r="P2374" s="7" t="s">
        <v>6406</v>
      </c>
      <c r="Z2374" s="3" t="str">
        <f ca="1">HYPERLINK("#"&amp;일위대가목록표!J2&amp;"!A"&amp;ROW(일위대가목록표!A745),"대가742 →")</f>
        <v>대가742 →</v>
      </c>
    </row>
    <row r="2375" spans="1:26" ht="28.7" customHeight="1" x14ac:dyDescent="0.3">
      <c r="A2375" s="22" t="s">
        <v>6</v>
      </c>
      <c r="B2375" s="74"/>
      <c r="C2375" s="74"/>
      <c r="D2375" s="74"/>
      <c r="E2375" s="74"/>
      <c r="F2375" s="48">
        <f>J2375+H2375+L2375</f>
        <v>294165</v>
      </c>
      <c r="G2375" s="74"/>
      <c r="H2375" s="48">
        <f>ROUNDDOWN(SUMIF(P2374:P2374,O2375,H2374:H2374),0)</f>
        <v>294165</v>
      </c>
      <c r="I2375" s="74"/>
      <c r="J2375" s="48">
        <f>ROUNDDOWN(SUMIF(P2374:P2374,O2375,J2374:J2374),0)</f>
        <v>0</v>
      </c>
      <c r="K2375" s="74"/>
      <c r="L2375" s="48">
        <f>ROUNDDOWN(SUMIF(P2374:P2374,O2375,L2374:L2374),0)</f>
        <v>0</v>
      </c>
      <c r="M2375" s="74"/>
      <c r="O2375" s="7" t="s">
        <v>6406</v>
      </c>
    </row>
    <row r="2376" spans="1:26" ht="28.7" customHeight="1" x14ac:dyDescent="0.3">
      <c r="A2376" s="73"/>
      <c r="B2376" s="73"/>
      <c r="C2376" s="73"/>
      <c r="D2376" s="73"/>
      <c r="E2376" s="73"/>
      <c r="F2376" s="73"/>
      <c r="G2376" s="73"/>
      <c r="H2376" s="73"/>
      <c r="I2376" s="73"/>
      <c r="J2376" s="73"/>
      <c r="K2376" s="73"/>
      <c r="L2376" s="73"/>
      <c r="M2376" s="73"/>
    </row>
    <row r="2377" spans="1:26" ht="28.7" customHeight="1" x14ac:dyDescent="0.3">
      <c r="A2377" s="136" t="s">
        <v>1358</v>
      </c>
      <c r="B2377" s="127"/>
      <c r="C2377" s="127"/>
      <c r="D2377" s="127"/>
      <c r="E2377" s="127"/>
      <c r="F2377" s="127"/>
      <c r="G2377" s="127"/>
      <c r="H2377" s="127"/>
      <c r="I2377" s="127"/>
      <c r="J2377" s="127"/>
      <c r="K2377" s="127"/>
      <c r="L2377" s="144"/>
      <c r="M2377" s="22" t="s">
        <v>8118</v>
      </c>
      <c r="N2377" s="84" t="str">
        <f>HYPERLINK("#N"&amp;ROW(N2378),"_x0005_`BDCOD|B05460_x0007_`POSS|"&amp;ROW(N2378)&amp;"_x0007_`POSE|"&amp;ROW(N2378)&amp;"_x0007_`")</f>
        <v>_x0005_`BDCOD|B05460_x0007_`POSS|2378_x0007_`POSE|2378_x0007_`</v>
      </c>
      <c r="O2377" s="7" t="s">
        <v>8119</v>
      </c>
    </row>
    <row r="2378" spans="1:26" ht="28.7" customHeight="1" x14ac:dyDescent="0.3">
      <c r="A2378" s="10" t="s">
        <v>1894</v>
      </c>
      <c r="B2378" s="10" t="s">
        <v>1935</v>
      </c>
      <c r="C2378" s="75">
        <v>1</v>
      </c>
      <c r="D2378" s="31" t="s">
        <v>1010</v>
      </c>
      <c r="E2378" s="55">
        <f>I2378+G2378+K2378</f>
        <v>377493</v>
      </c>
      <c r="F2378" s="76">
        <f>J2378+H2378+L2378</f>
        <v>377493</v>
      </c>
      <c r="G2378" s="78">
        <f>일위대가목록표!F748</f>
        <v>377493</v>
      </c>
      <c r="H2378" s="80">
        <f>IF(C2378=0,0,ROUNDDOWN(G2378*C2378,1))</f>
        <v>377493</v>
      </c>
      <c r="I2378" s="78">
        <f>일위대가목록표!G748</f>
        <v>0</v>
      </c>
      <c r="J2378" s="80">
        <f>IF(C2378=0,0,ROUNDDOWN(I2378*C2378,1))</f>
        <v>0</v>
      </c>
      <c r="K2378" s="78">
        <f>일위대가목록표!H748</f>
        <v>0</v>
      </c>
      <c r="L2378" s="80">
        <f>IF(C2378=0,0,ROUNDDOWN(K2378*C2378,1))</f>
        <v>0</v>
      </c>
      <c r="M2378" s="22" t="s">
        <v>8122</v>
      </c>
      <c r="N2378" s="17" t="s">
        <v>8120</v>
      </c>
      <c r="O2378" s="7" t="s">
        <v>8121</v>
      </c>
      <c r="P2378" s="7" t="s">
        <v>6406</v>
      </c>
      <c r="Z2378" s="3" t="str">
        <f ca="1">HYPERLINK("#"&amp;일위대가목록표!J2&amp;"!A"&amp;ROW(일위대가목록표!A748),"대가745 →")</f>
        <v>대가745 →</v>
      </c>
    </row>
    <row r="2379" spans="1:26" ht="28.7" customHeight="1" x14ac:dyDescent="0.3">
      <c r="A2379" s="22" t="s">
        <v>6</v>
      </c>
      <c r="B2379" s="74"/>
      <c r="C2379" s="74"/>
      <c r="D2379" s="74"/>
      <c r="E2379" s="74"/>
      <c r="F2379" s="48">
        <f>J2379+H2379+L2379</f>
        <v>377493</v>
      </c>
      <c r="G2379" s="74"/>
      <c r="H2379" s="48">
        <f>ROUNDDOWN(SUMIF(P2378:P2378,O2379,H2378:H2378),0)</f>
        <v>377493</v>
      </c>
      <c r="I2379" s="74"/>
      <c r="J2379" s="48">
        <f>ROUNDDOWN(SUMIF(P2378:P2378,O2379,J2378:J2378),0)</f>
        <v>0</v>
      </c>
      <c r="K2379" s="74"/>
      <c r="L2379" s="48">
        <f>ROUNDDOWN(SUMIF(P2378:P2378,O2379,L2378:L2378),0)</f>
        <v>0</v>
      </c>
      <c r="M2379" s="74"/>
      <c r="O2379" s="7" t="s">
        <v>6406</v>
      </c>
    </row>
    <row r="2380" spans="1:26" ht="28.7" customHeight="1" x14ac:dyDescent="0.3">
      <c r="A2380" s="73"/>
      <c r="B2380" s="73"/>
      <c r="C2380" s="73"/>
      <c r="D2380" s="73"/>
      <c r="E2380" s="73"/>
      <c r="F2380" s="73"/>
      <c r="G2380" s="73"/>
      <c r="H2380" s="73"/>
      <c r="I2380" s="73"/>
      <c r="J2380" s="73"/>
      <c r="K2380" s="73"/>
      <c r="L2380" s="73"/>
      <c r="M2380" s="73"/>
    </row>
    <row r="2381" spans="1:26" ht="28.7" customHeight="1" x14ac:dyDescent="0.3">
      <c r="A2381" s="136" t="s">
        <v>1360</v>
      </c>
      <c r="B2381" s="127"/>
      <c r="C2381" s="127"/>
      <c r="D2381" s="127"/>
      <c r="E2381" s="127"/>
      <c r="F2381" s="127"/>
      <c r="G2381" s="127"/>
      <c r="H2381" s="127"/>
      <c r="I2381" s="127"/>
      <c r="J2381" s="127"/>
      <c r="K2381" s="127"/>
      <c r="L2381" s="144"/>
      <c r="M2381" s="22" t="s">
        <v>8123</v>
      </c>
      <c r="N2381" s="84" t="str">
        <f>HYPERLINK("#N"&amp;ROW(N2382),"_x0005_`BDCOD|B05461_x0007_`POSS|"&amp;ROW(N2382)&amp;"_x0007_`POSE|"&amp;ROW(N2382)&amp;"_x0007_`")</f>
        <v>_x0005_`BDCOD|B05461_x0007_`POSS|2382_x0007_`POSE|2382_x0007_`</v>
      </c>
      <c r="O2381" s="7" t="s">
        <v>8124</v>
      </c>
    </row>
    <row r="2382" spans="1:26" ht="28.7" customHeight="1" x14ac:dyDescent="0.3">
      <c r="A2382" s="10" t="s">
        <v>1891</v>
      </c>
      <c r="B2382" s="10" t="s">
        <v>1888</v>
      </c>
      <c r="C2382" s="75">
        <v>1</v>
      </c>
      <c r="D2382" s="31" t="s">
        <v>1010</v>
      </c>
      <c r="E2382" s="55">
        <f>I2382+G2382+K2382</f>
        <v>14245</v>
      </c>
      <c r="F2382" s="76">
        <f>J2382+H2382+L2382</f>
        <v>14245</v>
      </c>
      <c r="G2382" s="78">
        <f>일위대가목록표!F732</f>
        <v>14245</v>
      </c>
      <c r="H2382" s="80">
        <f>IF(C2382=0,0,ROUNDDOWN(G2382*C2382,1))</f>
        <v>14245</v>
      </c>
      <c r="I2382" s="78">
        <f>일위대가목록표!G732</f>
        <v>0</v>
      </c>
      <c r="J2382" s="80">
        <f>IF(C2382=0,0,ROUNDDOWN(I2382*C2382,1))</f>
        <v>0</v>
      </c>
      <c r="K2382" s="78">
        <f>일위대가목록표!H732</f>
        <v>0</v>
      </c>
      <c r="L2382" s="80">
        <f>IF(C2382=0,0,ROUNDDOWN(K2382*C2382,1))</f>
        <v>0</v>
      </c>
      <c r="M2382" s="22" t="s">
        <v>8127</v>
      </c>
      <c r="N2382" s="17" t="s">
        <v>8125</v>
      </c>
      <c r="O2382" s="7" t="s">
        <v>8126</v>
      </c>
      <c r="P2382" s="7" t="s">
        <v>6406</v>
      </c>
      <c r="Z2382" s="3" t="str">
        <f ca="1">HYPERLINK("#"&amp;일위대가목록표!J2&amp;"!A"&amp;ROW(일위대가목록표!A732),"대가729 →")</f>
        <v>대가729 →</v>
      </c>
    </row>
    <row r="2383" spans="1:26" ht="28.7" customHeight="1" x14ac:dyDescent="0.3">
      <c r="A2383" s="22" t="s">
        <v>6</v>
      </c>
      <c r="B2383" s="74"/>
      <c r="C2383" s="74"/>
      <c r="D2383" s="74"/>
      <c r="E2383" s="74"/>
      <c r="F2383" s="48">
        <f>J2383+H2383+L2383</f>
        <v>14245</v>
      </c>
      <c r="G2383" s="74"/>
      <c r="H2383" s="48">
        <f>ROUNDDOWN(SUMIF(P2382:P2382,O2383,H2382:H2382),0)</f>
        <v>14245</v>
      </c>
      <c r="I2383" s="74"/>
      <c r="J2383" s="48">
        <f>ROUNDDOWN(SUMIF(P2382:P2382,O2383,J2382:J2382),0)</f>
        <v>0</v>
      </c>
      <c r="K2383" s="74"/>
      <c r="L2383" s="48">
        <f>ROUNDDOWN(SUMIF(P2382:P2382,O2383,L2382:L2382),0)</f>
        <v>0</v>
      </c>
      <c r="M2383" s="74"/>
      <c r="O2383" s="7" t="s">
        <v>6406</v>
      </c>
    </row>
    <row r="2384" spans="1:26" ht="28.7" customHeight="1" x14ac:dyDescent="0.3">
      <c r="A2384" s="73"/>
      <c r="B2384" s="73"/>
      <c r="C2384" s="73"/>
      <c r="D2384" s="73"/>
      <c r="E2384" s="73"/>
      <c r="F2384" s="73"/>
      <c r="G2384" s="73"/>
      <c r="H2384" s="73"/>
      <c r="I2384" s="73"/>
      <c r="J2384" s="73"/>
      <c r="K2384" s="73"/>
      <c r="L2384" s="73"/>
      <c r="M2384" s="73"/>
    </row>
    <row r="2385" spans="1:26" ht="28.7" customHeight="1" x14ac:dyDescent="0.3">
      <c r="A2385" s="136" t="s">
        <v>1363</v>
      </c>
      <c r="B2385" s="127"/>
      <c r="C2385" s="127"/>
      <c r="D2385" s="127"/>
      <c r="E2385" s="127"/>
      <c r="F2385" s="127"/>
      <c r="G2385" s="127"/>
      <c r="H2385" s="127"/>
      <c r="I2385" s="127"/>
      <c r="J2385" s="127"/>
      <c r="K2385" s="127"/>
      <c r="L2385" s="144"/>
      <c r="M2385" s="22" t="s">
        <v>8128</v>
      </c>
      <c r="N2385" s="84" t="str">
        <f>HYPERLINK("#N"&amp;ROW(N2386),"_x0005_`BDCOD|B05462_x0007_`POSS|"&amp;ROW(N2386)&amp;"_x0007_`POSE|"&amp;ROW(N2386)&amp;"_x0007_`")</f>
        <v>_x0005_`BDCOD|B05462_x0007_`POSS|2386_x0007_`POSE|2386_x0007_`</v>
      </c>
      <c r="O2385" s="7" t="s">
        <v>8129</v>
      </c>
    </row>
    <row r="2386" spans="1:26" ht="28.7" customHeight="1" x14ac:dyDescent="0.3">
      <c r="A2386" s="10" t="s">
        <v>1891</v>
      </c>
      <c r="B2386" s="10" t="s">
        <v>1898</v>
      </c>
      <c r="C2386" s="75">
        <v>1</v>
      </c>
      <c r="D2386" s="31" t="s">
        <v>1010</v>
      </c>
      <c r="E2386" s="55">
        <f>I2386+G2386+K2386</f>
        <v>42034</v>
      </c>
      <c r="F2386" s="76">
        <f>J2386+H2386+L2386</f>
        <v>42034</v>
      </c>
      <c r="G2386" s="78">
        <f>일위대가목록표!F735</f>
        <v>42034</v>
      </c>
      <c r="H2386" s="80">
        <f>IF(C2386=0,0,ROUNDDOWN(G2386*C2386,1))</f>
        <v>42034</v>
      </c>
      <c r="I2386" s="78">
        <f>일위대가목록표!G735</f>
        <v>0</v>
      </c>
      <c r="J2386" s="80">
        <f>IF(C2386=0,0,ROUNDDOWN(I2386*C2386,1))</f>
        <v>0</v>
      </c>
      <c r="K2386" s="78">
        <f>일위대가목록표!H735</f>
        <v>0</v>
      </c>
      <c r="L2386" s="80">
        <f>IF(C2386=0,0,ROUNDDOWN(K2386*C2386,1))</f>
        <v>0</v>
      </c>
      <c r="M2386" s="22" t="s">
        <v>8132</v>
      </c>
      <c r="N2386" s="17" t="s">
        <v>8130</v>
      </c>
      <c r="O2386" s="7" t="s">
        <v>8131</v>
      </c>
      <c r="P2386" s="7" t="s">
        <v>6406</v>
      </c>
      <c r="Z2386" s="3" t="str">
        <f ca="1">HYPERLINK("#"&amp;일위대가목록표!J2&amp;"!A"&amp;ROW(일위대가목록표!A735),"대가732 →")</f>
        <v>대가732 →</v>
      </c>
    </row>
    <row r="2387" spans="1:26" ht="28.7" customHeight="1" x14ac:dyDescent="0.3">
      <c r="A2387" s="22" t="s">
        <v>6</v>
      </c>
      <c r="B2387" s="74"/>
      <c r="C2387" s="74"/>
      <c r="D2387" s="74"/>
      <c r="E2387" s="74"/>
      <c r="F2387" s="48">
        <f>J2387+H2387+L2387</f>
        <v>42034</v>
      </c>
      <c r="G2387" s="74"/>
      <c r="H2387" s="48">
        <f>ROUNDDOWN(SUMIF(P2386:P2386,O2387,H2386:H2386),0)</f>
        <v>42034</v>
      </c>
      <c r="I2387" s="74"/>
      <c r="J2387" s="48">
        <f>ROUNDDOWN(SUMIF(P2386:P2386,O2387,J2386:J2386),0)</f>
        <v>0</v>
      </c>
      <c r="K2387" s="74"/>
      <c r="L2387" s="48">
        <f>ROUNDDOWN(SUMIF(P2386:P2386,O2387,L2386:L2386),0)</f>
        <v>0</v>
      </c>
      <c r="M2387" s="74"/>
      <c r="O2387" s="7" t="s">
        <v>6406</v>
      </c>
    </row>
    <row r="2388" spans="1:26" ht="28.7" customHeight="1" x14ac:dyDescent="0.3">
      <c r="A2388" s="73"/>
      <c r="B2388" s="73"/>
      <c r="C2388" s="73"/>
      <c r="D2388" s="73"/>
      <c r="E2388" s="73"/>
      <c r="F2388" s="73"/>
      <c r="G2388" s="73"/>
      <c r="H2388" s="73"/>
      <c r="I2388" s="73"/>
      <c r="J2388" s="73"/>
      <c r="K2388" s="73"/>
      <c r="L2388" s="73"/>
      <c r="M2388" s="73"/>
    </row>
    <row r="2389" spans="1:26" ht="28.7" customHeight="1" x14ac:dyDescent="0.3">
      <c r="A2389" s="136" t="s">
        <v>1365</v>
      </c>
      <c r="B2389" s="127"/>
      <c r="C2389" s="127"/>
      <c r="D2389" s="127"/>
      <c r="E2389" s="127"/>
      <c r="F2389" s="127"/>
      <c r="G2389" s="127"/>
      <c r="H2389" s="127"/>
      <c r="I2389" s="127"/>
      <c r="J2389" s="127"/>
      <c r="K2389" s="127"/>
      <c r="L2389" s="144"/>
      <c r="M2389" s="22" t="s">
        <v>8133</v>
      </c>
      <c r="N2389" s="84" t="str">
        <f>HYPERLINK("#N"&amp;ROW(N2390),"_x0005_`BDCOD|B05463_x0007_`POSS|"&amp;ROW(N2390)&amp;"_x0007_`POSE|"&amp;ROW(N2390)&amp;"_x0007_`")</f>
        <v>_x0005_`BDCOD|B05463_x0007_`POSS|2390_x0007_`POSE|2390_x0007_`</v>
      </c>
      <c r="O2389" s="7" t="s">
        <v>8134</v>
      </c>
    </row>
    <row r="2390" spans="1:26" ht="28.7" customHeight="1" x14ac:dyDescent="0.3">
      <c r="A2390" s="10" t="s">
        <v>1891</v>
      </c>
      <c r="B2390" s="10" t="s">
        <v>1906</v>
      </c>
      <c r="C2390" s="75">
        <v>1</v>
      </c>
      <c r="D2390" s="31" t="s">
        <v>1010</v>
      </c>
      <c r="E2390" s="55">
        <f>I2390+G2390+K2390</f>
        <v>62570</v>
      </c>
      <c r="F2390" s="76">
        <f>J2390+H2390+L2390</f>
        <v>62570</v>
      </c>
      <c r="G2390" s="78">
        <f>일위대가목록표!F738</f>
        <v>62570</v>
      </c>
      <c r="H2390" s="80">
        <f>IF(C2390=0,0,ROUNDDOWN(G2390*C2390,1))</f>
        <v>62570</v>
      </c>
      <c r="I2390" s="78">
        <f>일위대가목록표!G738</f>
        <v>0</v>
      </c>
      <c r="J2390" s="80">
        <f>IF(C2390=0,0,ROUNDDOWN(I2390*C2390,1))</f>
        <v>0</v>
      </c>
      <c r="K2390" s="78">
        <f>일위대가목록표!H738</f>
        <v>0</v>
      </c>
      <c r="L2390" s="80">
        <f>IF(C2390=0,0,ROUNDDOWN(K2390*C2390,1))</f>
        <v>0</v>
      </c>
      <c r="M2390" s="22" t="s">
        <v>8137</v>
      </c>
      <c r="N2390" s="17" t="s">
        <v>8135</v>
      </c>
      <c r="O2390" s="7" t="s">
        <v>8136</v>
      </c>
      <c r="P2390" s="7" t="s">
        <v>6406</v>
      </c>
      <c r="Z2390" s="3" t="str">
        <f ca="1">HYPERLINK("#"&amp;일위대가목록표!J2&amp;"!A"&amp;ROW(일위대가목록표!A738),"대가735 →")</f>
        <v>대가735 →</v>
      </c>
    </row>
    <row r="2391" spans="1:26" ht="28.7" customHeight="1" x14ac:dyDescent="0.3">
      <c r="A2391" s="22" t="s">
        <v>6</v>
      </c>
      <c r="B2391" s="74"/>
      <c r="C2391" s="74"/>
      <c r="D2391" s="74"/>
      <c r="E2391" s="74"/>
      <c r="F2391" s="48">
        <f>J2391+H2391+L2391</f>
        <v>62570</v>
      </c>
      <c r="G2391" s="74"/>
      <c r="H2391" s="48">
        <f>ROUNDDOWN(SUMIF(P2390:P2390,O2391,H2390:H2390),0)</f>
        <v>62570</v>
      </c>
      <c r="I2391" s="74"/>
      <c r="J2391" s="48">
        <f>ROUNDDOWN(SUMIF(P2390:P2390,O2391,J2390:J2390),0)</f>
        <v>0</v>
      </c>
      <c r="K2391" s="74"/>
      <c r="L2391" s="48">
        <f>ROUNDDOWN(SUMIF(P2390:P2390,O2391,L2390:L2390),0)</f>
        <v>0</v>
      </c>
      <c r="M2391" s="74"/>
      <c r="O2391" s="7" t="s">
        <v>6406</v>
      </c>
    </row>
    <row r="2392" spans="1:26" ht="28.7" customHeight="1" x14ac:dyDescent="0.3">
      <c r="A2392" s="73"/>
      <c r="B2392" s="73"/>
      <c r="C2392" s="73"/>
      <c r="D2392" s="73"/>
      <c r="E2392" s="73"/>
      <c r="F2392" s="73"/>
      <c r="G2392" s="73"/>
      <c r="H2392" s="73"/>
      <c r="I2392" s="73"/>
      <c r="J2392" s="73"/>
      <c r="K2392" s="73"/>
      <c r="L2392" s="73"/>
      <c r="M2392" s="73"/>
    </row>
    <row r="2393" spans="1:26" ht="28.7" customHeight="1" x14ac:dyDescent="0.3">
      <c r="A2393" s="136" t="s">
        <v>1367</v>
      </c>
      <c r="B2393" s="127"/>
      <c r="C2393" s="127"/>
      <c r="D2393" s="127"/>
      <c r="E2393" s="127"/>
      <c r="F2393" s="127"/>
      <c r="G2393" s="127"/>
      <c r="H2393" s="127"/>
      <c r="I2393" s="127"/>
      <c r="J2393" s="127"/>
      <c r="K2393" s="127"/>
      <c r="L2393" s="144"/>
      <c r="M2393" s="22" t="s">
        <v>8138</v>
      </c>
      <c r="N2393" s="84" t="str">
        <f>HYPERLINK("#N"&amp;ROW(N2394),"_x0005_`BDCOD|B05464_x0007_`POSS|"&amp;ROW(N2394)&amp;"_x0007_`POSE|"&amp;ROW(N2394)&amp;"_x0007_`")</f>
        <v>_x0005_`BDCOD|B05464_x0007_`POSS|2394_x0007_`POSE|2394_x0007_`</v>
      </c>
      <c r="O2393" s="7" t="s">
        <v>8139</v>
      </c>
    </row>
    <row r="2394" spans="1:26" ht="28.7" customHeight="1" x14ac:dyDescent="0.3">
      <c r="A2394" s="10" t="s">
        <v>1891</v>
      </c>
      <c r="B2394" s="10" t="s">
        <v>1914</v>
      </c>
      <c r="C2394" s="75">
        <v>1</v>
      </c>
      <c r="D2394" s="31" t="s">
        <v>1010</v>
      </c>
      <c r="E2394" s="55">
        <f>I2394+G2394+K2394</f>
        <v>106658</v>
      </c>
      <c r="F2394" s="76">
        <f>J2394+H2394+L2394</f>
        <v>106658</v>
      </c>
      <c r="G2394" s="78">
        <f>일위대가목록표!F741</f>
        <v>106658</v>
      </c>
      <c r="H2394" s="80">
        <f>IF(C2394=0,0,ROUNDDOWN(G2394*C2394,1))</f>
        <v>106658</v>
      </c>
      <c r="I2394" s="78">
        <f>일위대가목록표!G741</f>
        <v>0</v>
      </c>
      <c r="J2394" s="80">
        <f>IF(C2394=0,0,ROUNDDOWN(I2394*C2394,1))</f>
        <v>0</v>
      </c>
      <c r="K2394" s="78">
        <f>일위대가목록표!H741</f>
        <v>0</v>
      </c>
      <c r="L2394" s="80">
        <f>IF(C2394=0,0,ROUNDDOWN(K2394*C2394,1))</f>
        <v>0</v>
      </c>
      <c r="M2394" s="22" t="s">
        <v>8142</v>
      </c>
      <c r="N2394" s="17" t="s">
        <v>8140</v>
      </c>
      <c r="O2394" s="7" t="s">
        <v>8141</v>
      </c>
      <c r="P2394" s="7" t="s">
        <v>6406</v>
      </c>
      <c r="Z2394" s="3" t="str">
        <f ca="1">HYPERLINK("#"&amp;일위대가목록표!J2&amp;"!A"&amp;ROW(일위대가목록표!A741),"대가738 →")</f>
        <v>대가738 →</v>
      </c>
    </row>
    <row r="2395" spans="1:26" ht="28.7" customHeight="1" x14ac:dyDescent="0.3">
      <c r="A2395" s="22" t="s">
        <v>6</v>
      </c>
      <c r="B2395" s="74"/>
      <c r="C2395" s="74"/>
      <c r="D2395" s="74"/>
      <c r="E2395" s="74"/>
      <c r="F2395" s="48">
        <f>J2395+H2395+L2395</f>
        <v>106658</v>
      </c>
      <c r="G2395" s="74"/>
      <c r="H2395" s="48">
        <f>ROUNDDOWN(SUMIF(P2394:P2394,O2395,H2394:H2394),0)</f>
        <v>106658</v>
      </c>
      <c r="I2395" s="74"/>
      <c r="J2395" s="48">
        <f>ROUNDDOWN(SUMIF(P2394:P2394,O2395,J2394:J2394),0)</f>
        <v>0</v>
      </c>
      <c r="K2395" s="74"/>
      <c r="L2395" s="48">
        <f>ROUNDDOWN(SUMIF(P2394:P2394,O2395,L2394:L2394),0)</f>
        <v>0</v>
      </c>
      <c r="M2395" s="74"/>
      <c r="O2395" s="7" t="s">
        <v>6406</v>
      </c>
    </row>
    <row r="2396" spans="1:26" ht="28.7" customHeight="1" x14ac:dyDescent="0.3">
      <c r="A2396" s="73"/>
      <c r="B2396" s="73"/>
      <c r="C2396" s="73"/>
      <c r="D2396" s="73"/>
      <c r="E2396" s="73"/>
      <c r="F2396" s="73"/>
      <c r="G2396" s="73"/>
      <c r="H2396" s="73"/>
      <c r="I2396" s="73"/>
      <c r="J2396" s="73"/>
      <c r="K2396" s="73"/>
      <c r="L2396" s="73"/>
      <c r="M2396" s="73"/>
    </row>
    <row r="2397" spans="1:26" ht="28.7" customHeight="1" x14ac:dyDescent="0.3">
      <c r="A2397" s="136" t="s">
        <v>1369</v>
      </c>
      <c r="B2397" s="127"/>
      <c r="C2397" s="127"/>
      <c r="D2397" s="127"/>
      <c r="E2397" s="127"/>
      <c r="F2397" s="127"/>
      <c r="G2397" s="127"/>
      <c r="H2397" s="127"/>
      <c r="I2397" s="127"/>
      <c r="J2397" s="127"/>
      <c r="K2397" s="127"/>
      <c r="L2397" s="144"/>
      <c r="M2397" s="22" t="s">
        <v>8143</v>
      </c>
      <c r="N2397" s="84" t="str">
        <f>HYPERLINK("#N"&amp;ROW(N2398),"_x0005_`BDCOD|B05465_x0007_`POSS|"&amp;ROW(N2398)&amp;"_x0007_`POSE|"&amp;ROW(N2398)&amp;"_x0007_`")</f>
        <v>_x0005_`BDCOD|B05465_x0007_`POSS|2398_x0007_`POSE|2398_x0007_`</v>
      </c>
      <c r="O2397" s="7" t="s">
        <v>8144</v>
      </c>
    </row>
    <row r="2398" spans="1:26" ht="28.7" customHeight="1" x14ac:dyDescent="0.3">
      <c r="A2398" s="10" t="s">
        <v>1891</v>
      </c>
      <c r="B2398" s="10" t="s">
        <v>1922</v>
      </c>
      <c r="C2398" s="75">
        <v>1</v>
      </c>
      <c r="D2398" s="31" t="s">
        <v>1010</v>
      </c>
      <c r="E2398" s="55">
        <f>I2398+G2398+K2398</f>
        <v>147082</v>
      </c>
      <c r="F2398" s="76">
        <f>J2398+H2398+L2398</f>
        <v>147082</v>
      </c>
      <c r="G2398" s="78">
        <f>일위대가목록표!F744</f>
        <v>147082</v>
      </c>
      <c r="H2398" s="80">
        <f>IF(C2398=0,0,ROUNDDOWN(G2398*C2398,1))</f>
        <v>147082</v>
      </c>
      <c r="I2398" s="78">
        <f>일위대가목록표!G744</f>
        <v>0</v>
      </c>
      <c r="J2398" s="80">
        <f>IF(C2398=0,0,ROUNDDOWN(I2398*C2398,1))</f>
        <v>0</v>
      </c>
      <c r="K2398" s="78">
        <f>일위대가목록표!H744</f>
        <v>0</v>
      </c>
      <c r="L2398" s="80">
        <f>IF(C2398=0,0,ROUNDDOWN(K2398*C2398,1))</f>
        <v>0</v>
      </c>
      <c r="M2398" s="22" t="s">
        <v>8147</v>
      </c>
      <c r="N2398" s="17" t="s">
        <v>8145</v>
      </c>
      <c r="O2398" s="7" t="s">
        <v>8146</v>
      </c>
      <c r="P2398" s="7" t="s">
        <v>6406</v>
      </c>
      <c r="Z2398" s="3" t="str">
        <f ca="1">HYPERLINK("#"&amp;일위대가목록표!J2&amp;"!A"&amp;ROW(일위대가목록표!A744),"대가741 →")</f>
        <v>대가741 →</v>
      </c>
    </row>
    <row r="2399" spans="1:26" ht="28.7" customHeight="1" x14ac:dyDescent="0.3">
      <c r="A2399" s="22" t="s">
        <v>6</v>
      </c>
      <c r="B2399" s="74"/>
      <c r="C2399" s="74"/>
      <c r="D2399" s="74"/>
      <c r="E2399" s="74"/>
      <c r="F2399" s="48">
        <f>J2399+H2399+L2399</f>
        <v>147082</v>
      </c>
      <c r="G2399" s="74"/>
      <c r="H2399" s="48">
        <f>ROUNDDOWN(SUMIF(P2398:P2398,O2399,H2398:H2398),0)</f>
        <v>147082</v>
      </c>
      <c r="I2399" s="74"/>
      <c r="J2399" s="48">
        <f>ROUNDDOWN(SUMIF(P2398:P2398,O2399,J2398:J2398),0)</f>
        <v>0</v>
      </c>
      <c r="K2399" s="74"/>
      <c r="L2399" s="48">
        <f>ROUNDDOWN(SUMIF(P2398:P2398,O2399,L2398:L2398),0)</f>
        <v>0</v>
      </c>
      <c r="M2399" s="74"/>
      <c r="O2399" s="7" t="s">
        <v>6406</v>
      </c>
    </row>
    <row r="2400" spans="1:26" ht="28.7" customHeight="1" x14ac:dyDescent="0.3">
      <c r="A2400" s="73"/>
      <c r="B2400" s="73"/>
      <c r="C2400" s="73"/>
      <c r="D2400" s="73"/>
      <c r="E2400" s="73"/>
      <c r="F2400" s="73"/>
      <c r="G2400" s="73"/>
      <c r="H2400" s="73"/>
      <c r="I2400" s="73"/>
      <c r="J2400" s="73"/>
      <c r="K2400" s="73"/>
      <c r="L2400" s="73"/>
      <c r="M2400" s="73"/>
    </row>
    <row r="2401" spans="1:26" ht="28.7" customHeight="1" x14ac:dyDescent="0.3">
      <c r="A2401" s="136" t="s">
        <v>1371</v>
      </c>
      <c r="B2401" s="127"/>
      <c r="C2401" s="127"/>
      <c r="D2401" s="127"/>
      <c r="E2401" s="127"/>
      <c r="F2401" s="127"/>
      <c r="G2401" s="127"/>
      <c r="H2401" s="127"/>
      <c r="I2401" s="127"/>
      <c r="J2401" s="127"/>
      <c r="K2401" s="127"/>
      <c r="L2401" s="144"/>
      <c r="M2401" s="22" t="s">
        <v>8148</v>
      </c>
      <c r="N2401" s="84" t="str">
        <f>HYPERLINK("#N"&amp;ROW(N2402),"_x0005_`BDCOD|B05466_x0007_`POSS|"&amp;ROW(N2402)&amp;"_x0007_`POSE|"&amp;ROW(N2402)&amp;"_x0007_`")</f>
        <v>_x0005_`BDCOD|B05466_x0007_`POSS|2402_x0007_`POSE|2402_x0007_`</v>
      </c>
      <c r="O2401" s="7" t="s">
        <v>8149</v>
      </c>
    </row>
    <row r="2402" spans="1:26" ht="28.7" customHeight="1" x14ac:dyDescent="0.3">
      <c r="A2402" s="10" t="s">
        <v>1891</v>
      </c>
      <c r="B2402" s="10" t="s">
        <v>1930</v>
      </c>
      <c r="C2402" s="75">
        <v>1</v>
      </c>
      <c r="D2402" s="31" t="s">
        <v>1010</v>
      </c>
      <c r="E2402" s="55">
        <f>I2402+G2402+K2402</f>
        <v>188746</v>
      </c>
      <c r="F2402" s="76">
        <f>J2402+H2402+L2402</f>
        <v>188746</v>
      </c>
      <c r="G2402" s="78">
        <f>일위대가목록표!F747</f>
        <v>188746</v>
      </c>
      <c r="H2402" s="80">
        <f>IF(C2402=0,0,ROUNDDOWN(G2402*C2402,1))</f>
        <v>188746</v>
      </c>
      <c r="I2402" s="78">
        <f>일위대가목록표!G747</f>
        <v>0</v>
      </c>
      <c r="J2402" s="80">
        <f>IF(C2402=0,0,ROUNDDOWN(I2402*C2402,1))</f>
        <v>0</v>
      </c>
      <c r="K2402" s="78">
        <f>일위대가목록표!H747</f>
        <v>0</v>
      </c>
      <c r="L2402" s="80">
        <f>IF(C2402=0,0,ROUNDDOWN(K2402*C2402,1))</f>
        <v>0</v>
      </c>
      <c r="M2402" s="22" t="s">
        <v>8152</v>
      </c>
      <c r="N2402" s="17" t="s">
        <v>8150</v>
      </c>
      <c r="O2402" s="7" t="s">
        <v>8151</v>
      </c>
      <c r="P2402" s="7" t="s">
        <v>6406</v>
      </c>
      <c r="Z2402" s="3" t="str">
        <f ca="1">HYPERLINK("#"&amp;일위대가목록표!J2&amp;"!A"&amp;ROW(일위대가목록표!A747),"대가744 →")</f>
        <v>대가744 →</v>
      </c>
    </row>
    <row r="2403" spans="1:26" ht="28.7" customHeight="1" x14ac:dyDescent="0.3">
      <c r="A2403" s="22" t="s">
        <v>6</v>
      </c>
      <c r="B2403" s="74"/>
      <c r="C2403" s="74"/>
      <c r="D2403" s="74"/>
      <c r="E2403" s="74"/>
      <c r="F2403" s="48">
        <f>J2403+H2403+L2403</f>
        <v>188746</v>
      </c>
      <c r="G2403" s="74"/>
      <c r="H2403" s="48">
        <f>ROUNDDOWN(SUMIF(P2402:P2402,O2403,H2402:H2402),0)</f>
        <v>188746</v>
      </c>
      <c r="I2403" s="74"/>
      <c r="J2403" s="48">
        <f>ROUNDDOWN(SUMIF(P2402:P2402,O2403,J2402:J2402),0)</f>
        <v>0</v>
      </c>
      <c r="K2403" s="74"/>
      <c r="L2403" s="48">
        <f>ROUNDDOWN(SUMIF(P2402:P2402,O2403,L2402:L2402),0)</f>
        <v>0</v>
      </c>
      <c r="M2403" s="74"/>
      <c r="O2403" s="7" t="s">
        <v>6406</v>
      </c>
    </row>
    <row r="2404" spans="1:26" ht="28.7" customHeight="1" x14ac:dyDescent="0.3">
      <c r="A2404" s="73"/>
      <c r="B2404" s="73"/>
      <c r="C2404" s="73"/>
      <c r="D2404" s="73"/>
      <c r="E2404" s="73"/>
      <c r="F2404" s="73"/>
      <c r="G2404" s="73"/>
      <c r="H2404" s="73"/>
      <c r="I2404" s="73"/>
      <c r="J2404" s="73"/>
      <c r="K2404" s="73"/>
      <c r="L2404" s="73"/>
      <c r="M2404" s="73"/>
    </row>
    <row r="2405" spans="1:26" ht="28.7" customHeight="1" x14ac:dyDescent="0.3">
      <c r="A2405" s="136" t="s">
        <v>1373</v>
      </c>
      <c r="B2405" s="127"/>
      <c r="C2405" s="127"/>
      <c r="D2405" s="127"/>
      <c r="E2405" s="127"/>
      <c r="F2405" s="127"/>
      <c r="G2405" s="127"/>
      <c r="H2405" s="127"/>
      <c r="I2405" s="127"/>
      <c r="J2405" s="127"/>
      <c r="K2405" s="127"/>
      <c r="L2405" s="144"/>
      <c r="M2405" s="22" t="s">
        <v>8153</v>
      </c>
      <c r="N2405" s="84" t="str">
        <f>HYPERLINK("#N"&amp;ROW(N2407),"_x0005_`BDCOD|B05051_x0007_`POSS|"&amp;ROW(N2406)&amp;"_x0007_`POSE|"&amp;ROW(N2407)&amp;"_x0007_`")</f>
        <v>_x0005_`BDCOD|B05051_x0007_`POSS|2406_x0007_`POSE|2407_x0007_`</v>
      </c>
      <c r="O2405" s="7" t="s">
        <v>8154</v>
      </c>
    </row>
    <row r="2406" spans="1:26" ht="28.7" customHeight="1" x14ac:dyDescent="0.3">
      <c r="A2406" s="10" t="s">
        <v>1838</v>
      </c>
      <c r="B2406" s="10" t="s">
        <v>1839</v>
      </c>
      <c r="C2406" s="75">
        <v>1</v>
      </c>
      <c r="D2406" s="31" t="s">
        <v>1010</v>
      </c>
      <c r="E2406" s="55">
        <f>I2406+G2406+K2406</f>
        <v>103775</v>
      </c>
      <c r="F2406" s="76">
        <f>J2406+H2406+L2406</f>
        <v>103775</v>
      </c>
      <c r="G2406" s="78">
        <f>일위대가목록표!F712</f>
        <v>100753</v>
      </c>
      <c r="H2406" s="80">
        <f>IF(C2406=0,0,ROUNDDOWN(G2406*C2406,1))</f>
        <v>100753</v>
      </c>
      <c r="I2406" s="78">
        <f>일위대가목록표!G712</f>
        <v>0</v>
      </c>
      <c r="J2406" s="80">
        <f>IF(C2406=0,0,ROUNDDOWN(I2406*C2406,1))</f>
        <v>0</v>
      </c>
      <c r="K2406" s="78">
        <f>일위대가목록표!H712</f>
        <v>3022</v>
      </c>
      <c r="L2406" s="80">
        <f>IF(C2406=0,0,ROUNDDOWN(K2406*C2406,1))</f>
        <v>3022</v>
      </c>
      <c r="M2406" s="22" t="s">
        <v>7657</v>
      </c>
      <c r="N2406" s="17" t="s">
        <v>7655</v>
      </c>
      <c r="O2406" s="7" t="s">
        <v>7656</v>
      </c>
      <c r="P2406" s="7" t="s">
        <v>6406</v>
      </c>
      <c r="Z2406" s="3" t="str">
        <f ca="1">HYPERLINK("#"&amp;일위대가목록표!J2&amp;"!A"&amp;ROW(일위대가목록표!A712),"대가709 →")</f>
        <v>대가709 →</v>
      </c>
    </row>
    <row r="2407" spans="1:26" ht="28.7" customHeight="1" x14ac:dyDescent="0.3">
      <c r="A2407" s="10" t="s">
        <v>1375</v>
      </c>
      <c r="B2407" s="10" t="s">
        <v>2905</v>
      </c>
      <c r="C2407" s="75">
        <v>1</v>
      </c>
      <c r="D2407" s="31" t="s">
        <v>1010</v>
      </c>
      <c r="E2407" s="55">
        <f>I2407+G2407+K2407</f>
        <v>98000</v>
      </c>
      <c r="F2407" s="77">
        <f>J2407+H2407+L2407</f>
        <v>98000</v>
      </c>
      <c r="G2407" s="51">
        <v>0</v>
      </c>
      <c r="H2407" s="76">
        <f>IF(C2407=0,0,ROUNDDOWN(G2407*C2407,1))</f>
        <v>0</v>
      </c>
      <c r="I2407" s="78">
        <f>재료비목록표!E316</f>
        <v>98000</v>
      </c>
      <c r="J2407" s="81">
        <f>IF(C2407=0,0,ROUNDDOWN(I2407*C2407,1))</f>
        <v>98000</v>
      </c>
      <c r="K2407" s="51">
        <v>0</v>
      </c>
      <c r="L2407" s="76">
        <f>IF(C2407=0,0,ROUNDDOWN(K2407*C2407,1))</f>
        <v>0</v>
      </c>
      <c r="M2407" s="22" t="s">
        <v>8157</v>
      </c>
      <c r="N2407" s="17" t="s">
        <v>8155</v>
      </c>
      <c r="O2407" s="7" t="s">
        <v>8156</v>
      </c>
      <c r="P2407" s="7" t="s">
        <v>6406</v>
      </c>
      <c r="Z2407" s="3" t="str">
        <f ca="1">HYPERLINK("#"&amp;재료비목록표!G2&amp;"!A"&amp;ROW(재료비목록표!A316),"자재313 →")</f>
        <v>자재313 →</v>
      </c>
    </row>
    <row r="2408" spans="1:26" ht="28.7" customHeight="1" x14ac:dyDescent="0.3">
      <c r="A2408" s="22" t="s">
        <v>6</v>
      </c>
      <c r="B2408" s="74"/>
      <c r="C2408" s="74"/>
      <c r="D2408" s="74"/>
      <c r="E2408" s="74"/>
      <c r="F2408" s="48">
        <f>J2408+H2408+L2408</f>
        <v>201775</v>
      </c>
      <c r="G2408" s="74"/>
      <c r="H2408" s="48">
        <f>ROUNDDOWN(SUMIF(P2406:P2407,O2408,H2406:H2407),0)</f>
        <v>100753</v>
      </c>
      <c r="I2408" s="74"/>
      <c r="J2408" s="48">
        <f>ROUNDDOWN(SUMIF(P2406:P2407,O2408,J2406:J2407),0)</f>
        <v>98000</v>
      </c>
      <c r="K2408" s="74"/>
      <c r="L2408" s="48">
        <f>ROUNDDOWN(SUMIF(P2406:P2407,O2408,L2406:L2407),0)</f>
        <v>3022</v>
      </c>
      <c r="M2408" s="74"/>
      <c r="O2408" s="7" t="s">
        <v>6406</v>
      </c>
    </row>
    <row r="2409" spans="1:26" ht="28.7" customHeight="1" x14ac:dyDescent="0.3">
      <c r="A2409" s="73"/>
      <c r="B2409" s="73"/>
      <c r="C2409" s="73"/>
      <c r="D2409" s="73"/>
      <c r="E2409" s="73"/>
      <c r="F2409" s="73"/>
      <c r="G2409" s="73"/>
      <c r="H2409" s="73"/>
      <c r="I2409" s="73"/>
      <c r="J2409" s="73"/>
      <c r="K2409" s="73"/>
      <c r="L2409" s="73"/>
      <c r="M2409" s="73"/>
    </row>
    <row r="2410" spans="1:26" ht="28.7" customHeight="1" x14ac:dyDescent="0.3">
      <c r="A2410" s="136" t="s">
        <v>1377</v>
      </c>
      <c r="B2410" s="127"/>
      <c r="C2410" s="127"/>
      <c r="D2410" s="127"/>
      <c r="E2410" s="127"/>
      <c r="F2410" s="127"/>
      <c r="G2410" s="127"/>
      <c r="H2410" s="127"/>
      <c r="I2410" s="127"/>
      <c r="J2410" s="127"/>
      <c r="K2410" s="127"/>
      <c r="L2410" s="144"/>
      <c r="M2410" s="22" t="s">
        <v>8158</v>
      </c>
      <c r="N2410" s="84" t="str">
        <f>HYPERLINK("#N"&amp;ROW(N2412),"_x0005_`BDCOD|B05052_x0007_`POSS|"&amp;ROW(N2411)&amp;"_x0007_`POSE|"&amp;ROW(N2412)&amp;"_x0007_`")</f>
        <v>_x0005_`BDCOD|B05052_x0007_`POSS|2411_x0007_`POSE|2412_x0007_`</v>
      </c>
      <c r="O2410" s="7" t="s">
        <v>8159</v>
      </c>
    </row>
    <row r="2411" spans="1:26" ht="28.7" customHeight="1" x14ac:dyDescent="0.3">
      <c r="A2411" s="10" t="s">
        <v>1838</v>
      </c>
      <c r="B2411" s="10" t="s">
        <v>1848</v>
      </c>
      <c r="C2411" s="75">
        <v>1</v>
      </c>
      <c r="D2411" s="31" t="s">
        <v>1010</v>
      </c>
      <c r="E2411" s="55">
        <f>I2411+G2411+K2411</f>
        <v>145668</v>
      </c>
      <c r="F2411" s="76">
        <f>J2411+H2411+L2411</f>
        <v>145668</v>
      </c>
      <c r="G2411" s="78">
        <f>일위대가목록표!F715</f>
        <v>145668</v>
      </c>
      <c r="H2411" s="80">
        <f>IF(C2411=0,0,ROUNDDOWN(G2411*C2411,1))</f>
        <v>145668</v>
      </c>
      <c r="I2411" s="78">
        <f>일위대가목록표!G715</f>
        <v>0</v>
      </c>
      <c r="J2411" s="80">
        <f>IF(C2411=0,0,ROUNDDOWN(I2411*C2411,1))</f>
        <v>0</v>
      </c>
      <c r="K2411" s="78">
        <f>일위대가목록표!H715</f>
        <v>0</v>
      </c>
      <c r="L2411" s="80">
        <f>IF(C2411=0,0,ROUNDDOWN(K2411*C2411,1))</f>
        <v>0</v>
      </c>
      <c r="M2411" s="22" t="s">
        <v>7664</v>
      </c>
      <c r="N2411" s="17" t="s">
        <v>7662</v>
      </c>
      <c r="O2411" s="7" t="s">
        <v>7663</v>
      </c>
      <c r="P2411" s="7" t="s">
        <v>6406</v>
      </c>
      <c r="Z2411" s="3" t="str">
        <f ca="1">HYPERLINK("#"&amp;일위대가목록표!J2&amp;"!A"&amp;ROW(일위대가목록표!A715),"대가712 →")</f>
        <v>대가712 →</v>
      </c>
    </row>
    <row r="2412" spans="1:26" ht="28.7" customHeight="1" x14ac:dyDescent="0.3">
      <c r="A2412" s="10" t="s">
        <v>1375</v>
      </c>
      <c r="B2412" s="10" t="s">
        <v>2896</v>
      </c>
      <c r="C2412" s="75">
        <v>1</v>
      </c>
      <c r="D2412" s="31" t="s">
        <v>1010</v>
      </c>
      <c r="E2412" s="55">
        <f>I2412+G2412+K2412</f>
        <v>101300</v>
      </c>
      <c r="F2412" s="77">
        <f>J2412+H2412+L2412</f>
        <v>101300</v>
      </c>
      <c r="G2412" s="51">
        <v>0</v>
      </c>
      <c r="H2412" s="76">
        <f>IF(C2412=0,0,ROUNDDOWN(G2412*C2412,1))</f>
        <v>0</v>
      </c>
      <c r="I2412" s="78">
        <f>재료비목록표!E313</f>
        <v>101300</v>
      </c>
      <c r="J2412" s="81">
        <f>IF(C2412=0,0,ROUNDDOWN(I2412*C2412,1))</f>
        <v>101300</v>
      </c>
      <c r="K2412" s="51">
        <v>0</v>
      </c>
      <c r="L2412" s="76">
        <f>IF(C2412=0,0,ROUNDDOWN(K2412*C2412,1))</f>
        <v>0</v>
      </c>
      <c r="M2412" s="22" t="s">
        <v>8162</v>
      </c>
      <c r="N2412" s="17" t="s">
        <v>8160</v>
      </c>
      <c r="O2412" s="7" t="s">
        <v>8161</v>
      </c>
      <c r="P2412" s="7" t="s">
        <v>6406</v>
      </c>
      <c r="Z2412" s="3" t="str">
        <f ca="1">HYPERLINK("#"&amp;재료비목록표!G2&amp;"!A"&amp;ROW(재료비목록표!A313),"자재310 →")</f>
        <v>자재310 →</v>
      </c>
    </row>
    <row r="2413" spans="1:26" ht="28.7" customHeight="1" x14ac:dyDescent="0.3">
      <c r="A2413" s="22" t="s">
        <v>6</v>
      </c>
      <c r="B2413" s="74"/>
      <c r="C2413" s="74"/>
      <c r="D2413" s="74"/>
      <c r="E2413" s="74"/>
      <c r="F2413" s="48">
        <f>J2413+H2413+L2413</f>
        <v>246968</v>
      </c>
      <c r="G2413" s="74"/>
      <c r="H2413" s="48">
        <f>ROUNDDOWN(SUMIF(P2411:P2412,O2413,H2411:H2412),0)</f>
        <v>145668</v>
      </c>
      <c r="I2413" s="74"/>
      <c r="J2413" s="48">
        <f>ROUNDDOWN(SUMIF(P2411:P2412,O2413,J2411:J2412),0)</f>
        <v>101300</v>
      </c>
      <c r="K2413" s="74"/>
      <c r="L2413" s="48">
        <f>ROUNDDOWN(SUMIF(P2411:P2412,O2413,L2411:L2412),0)</f>
        <v>0</v>
      </c>
      <c r="M2413" s="74"/>
      <c r="O2413" s="7" t="s">
        <v>6406</v>
      </c>
    </row>
    <row r="2414" spans="1:26" ht="28.7" customHeight="1" x14ac:dyDescent="0.3">
      <c r="A2414" s="73"/>
      <c r="B2414" s="73"/>
      <c r="C2414" s="73"/>
      <c r="D2414" s="73"/>
      <c r="E2414" s="73"/>
      <c r="F2414" s="73"/>
      <c r="G2414" s="73"/>
      <c r="H2414" s="73"/>
      <c r="I2414" s="73"/>
      <c r="J2414" s="73"/>
      <c r="K2414" s="73"/>
      <c r="L2414" s="73"/>
      <c r="M2414" s="73"/>
    </row>
    <row r="2415" spans="1:26" ht="28.7" customHeight="1" x14ac:dyDescent="0.3">
      <c r="A2415" s="136" t="s">
        <v>1380</v>
      </c>
      <c r="B2415" s="127"/>
      <c r="C2415" s="127"/>
      <c r="D2415" s="127"/>
      <c r="E2415" s="127"/>
      <c r="F2415" s="127"/>
      <c r="G2415" s="127"/>
      <c r="H2415" s="127"/>
      <c r="I2415" s="127"/>
      <c r="J2415" s="127"/>
      <c r="K2415" s="127"/>
      <c r="L2415" s="144"/>
      <c r="M2415" s="22" t="s">
        <v>8163</v>
      </c>
      <c r="N2415" s="84" t="str">
        <f>HYPERLINK("#N"&amp;ROW(N2417),"_x0005_`BDCOD|B05053_x0007_`POSS|"&amp;ROW(N2416)&amp;"_x0007_`POSE|"&amp;ROW(N2417)&amp;"_x0007_`")</f>
        <v>_x0005_`BDCOD|B05053_x0007_`POSS|2416_x0007_`POSE|2417_x0007_`</v>
      </c>
      <c r="O2415" s="7" t="s">
        <v>8164</v>
      </c>
    </row>
    <row r="2416" spans="1:26" ht="28.7" customHeight="1" x14ac:dyDescent="0.3">
      <c r="A2416" s="10" t="s">
        <v>1838</v>
      </c>
      <c r="B2416" s="10" t="s">
        <v>1855</v>
      </c>
      <c r="C2416" s="75">
        <v>1</v>
      </c>
      <c r="D2416" s="31" t="s">
        <v>1010</v>
      </c>
      <c r="E2416" s="55">
        <f>I2416+G2416+K2416</f>
        <v>189819</v>
      </c>
      <c r="F2416" s="76">
        <f>J2416+H2416+L2416</f>
        <v>189819</v>
      </c>
      <c r="G2416" s="78">
        <f>일위대가목록표!F718</f>
        <v>189819</v>
      </c>
      <c r="H2416" s="80">
        <f>IF(C2416=0,0,ROUNDDOWN(G2416*C2416,1))</f>
        <v>189819</v>
      </c>
      <c r="I2416" s="78">
        <f>일위대가목록표!G718</f>
        <v>0</v>
      </c>
      <c r="J2416" s="80">
        <f>IF(C2416=0,0,ROUNDDOWN(I2416*C2416,1))</f>
        <v>0</v>
      </c>
      <c r="K2416" s="78">
        <f>일위대가목록표!H718</f>
        <v>0</v>
      </c>
      <c r="L2416" s="80">
        <f>IF(C2416=0,0,ROUNDDOWN(K2416*C2416,1))</f>
        <v>0</v>
      </c>
      <c r="M2416" s="22" t="s">
        <v>7671</v>
      </c>
      <c r="N2416" s="17" t="s">
        <v>7669</v>
      </c>
      <c r="O2416" s="7" t="s">
        <v>7670</v>
      </c>
      <c r="P2416" s="7" t="s">
        <v>6406</v>
      </c>
      <c r="Z2416" s="3" t="str">
        <f ca="1">HYPERLINK("#"&amp;일위대가목록표!J2&amp;"!A"&amp;ROW(일위대가목록표!A718),"대가715 →")</f>
        <v>대가715 →</v>
      </c>
    </row>
    <row r="2417" spans="1:26" ht="28.7" customHeight="1" x14ac:dyDescent="0.3">
      <c r="A2417" s="10" t="s">
        <v>1375</v>
      </c>
      <c r="B2417" s="10" t="s">
        <v>2899</v>
      </c>
      <c r="C2417" s="75">
        <v>1</v>
      </c>
      <c r="D2417" s="31" t="s">
        <v>1010</v>
      </c>
      <c r="E2417" s="55">
        <f>I2417+G2417+K2417</f>
        <v>158000</v>
      </c>
      <c r="F2417" s="77">
        <f>J2417+H2417+L2417</f>
        <v>158000</v>
      </c>
      <c r="G2417" s="51">
        <v>0</v>
      </c>
      <c r="H2417" s="76">
        <f>IF(C2417=0,0,ROUNDDOWN(G2417*C2417,1))</f>
        <v>0</v>
      </c>
      <c r="I2417" s="78">
        <f>재료비목록표!E314</f>
        <v>158000</v>
      </c>
      <c r="J2417" s="81">
        <f>IF(C2417=0,0,ROUNDDOWN(I2417*C2417,1))</f>
        <v>158000</v>
      </c>
      <c r="K2417" s="51">
        <v>0</v>
      </c>
      <c r="L2417" s="76">
        <f>IF(C2417=0,0,ROUNDDOWN(K2417*C2417,1))</f>
        <v>0</v>
      </c>
      <c r="M2417" s="22" t="s">
        <v>8167</v>
      </c>
      <c r="N2417" s="17" t="s">
        <v>8165</v>
      </c>
      <c r="O2417" s="7" t="s">
        <v>8166</v>
      </c>
      <c r="P2417" s="7" t="s">
        <v>6406</v>
      </c>
      <c r="Z2417" s="3" t="str">
        <f ca="1">HYPERLINK("#"&amp;재료비목록표!G2&amp;"!A"&amp;ROW(재료비목록표!A314),"자재311 →")</f>
        <v>자재311 →</v>
      </c>
    </row>
    <row r="2418" spans="1:26" ht="28.7" customHeight="1" x14ac:dyDescent="0.3">
      <c r="A2418" s="22" t="s">
        <v>6</v>
      </c>
      <c r="B2418" s="74"/>
      <c r="C2418" s="74"/>
      <c r="D2418" s="74"/>
      <c r="E2418" s="74"/>
      <c r="F2418" s="48">
        <f>J2418+H2418+L2418</f>
        <v>347819</v>
      </c>
      <c r="G2418" s="74"/>
      <c r="H2418" s="48">
        <f>ROUNDDOWN(SUMIF(P2416:P2417,O2418,H2416:H2417),0)</f>
        <v>189819</v>
      </c>
      <c r="I2418" s="74"/>
      <c r="J2418" s="48">
        <f>ROUNDDOWN(SUMIF(P2416:P2417,O2418,J2416:J2417),0)</f>
        <v>158000</v>
      </c>
      <c r="K2418" s="74"/>
      <c r="L2418" s="48">
        <f>ROUNDDOWN(SUMIF(P2416:P2417,O2418,L2416:L2417),0)</f>
        <v>0</v>
      </c>
      <c r="M2418" s="74"/>
      <c r="O2418" s="7" t="s">
        <v>6406</v>
      </c>
    </row>
    <row r="2419" spans="1:26" ht="28.7" customHeight="1" x14ac:dyDescent="0.3">
      <c r="A2419" s="73"/>
      <c r="B2419" s="73"/>
      <c r="C2419" s="73"/>
      <c r="D2419" s="73"/>
      <c r="E2419" s="73"/>
      <c r="F2419" s="73"/>
      <c r="G2419" s="73"/>
      <c r="H2419" s="73"/>
      <c r="I2419" s="73"/>
      <c r="J2419" s="73"/>
      <c r="K2419" s="73"/>
      <c r="L2419" s="73"/>
      <c r="M2419" s="73"/>
    </row>
    <row r="2420" spans="1:26" ht="28.7" customHeight="1" x14ac:dyDescent="0.3">
      <c r="A2420" s="136" t="s">
        <v>1383</v>
      </c>
      <c r="B2420" s="127"/>
      <c r="C2420" s="127"/>
      <c r="D2420" s="127"/>
      <c r="E2420" s="127"/>
      <c r="F2420" s="127"/>
      <c r="G2420" s="127"/>
      <c r="H2420" s="127"/>
      <c r="I2420" s="127"/>
      <c r="J2420" s="127"/>
      <c r="K2420" s="127"/>
      <c r="L2420" s="144"/>
      <c r="M2420" s="22" t="s">
        <v>8168</v>
      </c>
      <c r="N2420" s="84" t="str">
        <f>HYPERLINK("#N"&amp;ROW(N2422),"_x0005_`BDCOD|B05054_x0007_`POSS|"&amp;ROW(N2421)&amp;"_x0007_`POSE|"&amp;ROW(N2422)&amp;"_x0007_`")</f>
        <v>_x0005_`BDCOD|B05054_x0007_`POSS|2421_x0007_`POSE|2422_x0007_`</v>
      </c>
      <c r="O2420" s="7" t="s">
        <v>8169</v>
      </c>
    </row>
    <row r="2421" spans="1:26" ht="28.7" customHeight="1" x14ac:dyDescent="0.3">
      <c r="A2421" s="10" t="s">
        <v>1838</v>
      </c>
      <c r="B2421" s="10" t="s">
        <v>1862</v>
      </c>
      <c r="C2421" s="75">
        <v>1</v>
      </c>
      <c r="D2421" s="31" t="s">
        <v>1010</v>
      </c>
      <c r="E2421" s="55">
        <f>I2421+G2421+K2421</f>
        <v>246873</v>
      </c>
      <c r="F2421" s="76">
        <f>J2421+H2421+L2421</f>
        <v>246873</v>
      </c>
      <c r="G2421" s="78">
        <f>일위대가목록표!F721</f>
        <v>246873</v>
      </c>
      <c r="H2421" s="80">
        <f>IF(C2421=0,0,ROUNDDOWN(G2421*C2421,1))</f>
        <v>246873</v>
      </c>
      <c r="I2421" s="78">
        <f>일위대가목록표!G721</f>
        <v>0</v>
      </c>
      <c r="J2421" s="80">
        <f>IF(C2421=0,0,ROUNDDOWN(I2421*C2421,1))</f>
        <v>0</v>
      </c>
      <c r="K2421" s="78">
        <f>일위대가목록표!H721</f>
        <v>0</v>
      </c>
      <c r="L2421" s="80">
        <f>IF(C2421=0,0,ROUNDDOWN(K2421*C2421,1))</f>
        <v>0</v>
      </c>
      <c r="M2421" s="22" t="s">
        <v>7678</v>
      </c>
      <c r="N2421" s="17" t="s">
        <v>7676</v>
      </c>
      <c r="O2421" s="7" t="s">
        <v>7677</v>
      </c>
      <c r="P2421" s="7" t="s">
        <v>6406</v>
      </c>
      <c r="Z2421" s="3" t="str">
        <f ca="1">HYPERLINK("#"&amp;일위대가목록표!J2&amp;"!A"&amp;ROW(일위대가목록표!A721),"대가718 →")</f>
        <v>대가718 →</v>
      </c>
    </row>
    <row r="2422" spans="1:26" ht="28.7" customHeight="1" x14ac:dyDescent="0.3">
      <c r="A2422" s="10" t="s">
        <v>1375</v>
      </c>
      <c r="B2422" s="10" t="s">
        <v>2902</v>
      </c>
      <c r="C2422" s="75">
        <v>1</v>
      </c>
      <c r="D2422" s="31" t="s">
        <v>1010</v>
      </c>
      <c r="E2422" s="55">
        <f>I2422+G2422+K2422</f>
        <v>258800</v>
      </c>
      <c r="F2422" s="77">
        <f>J2422+H2422+L2422</f>
        <v>258800</v>
      </c>
      <c r="G2422" s="51">
        <v>0</v>
      </c>
      <c r="H2422" s="76">
        <f>IF(C2422=0,0,ROUNDDOWN(G2422*C2422,1))</f>
        <v>0</v>
      </c>
      <c r="I2422" s="78">
        <f>재료비목록표!E315</f>
        <v>258800</v>
      </c>
      <c r="J2422" s="81">
        <f>IF(C2422=0,0,ROUNDDOWN(I2422*C2422,1))</f>
        <v>258800</v>
      </c>
      <c r="K2422" s="51">
        <v>0</v>
      </c>
      <c r="L2422" s="76">
        <f>IF(C2422=0,0,ROUNDDOWN(K2422*C2422,1))</f>
        <v>0</v>
      </c>
      <c r="M2422" s="22" t="s">
        <v>8172</v>
      </c>
      <c r="N2422" s="17" t="s">
        <v>8170</v>
      </c>
      <c r="O2422" s="7" t="s">
        <v>8171</v>
      </c>
      <c r="P2422" s="7" t="s">
        <v>6406</v>
      </c>
      <c r="Z2422" s="3" t="str">
        <f ca="1">HYPERLINK("#"&amp;재료비목록표!G2&amp;"!A"&amp;ROW(재료비목록표!A315),"자재312 →")</f>
        <v>자재312 →</v>
      </c>
    </row>
    <row r="2423" spans="1:26" ht="28.7" customHeight="1" x14ac:dyDescent="0.3">
      <c r="A2423" s="22" t="s">
        <v>6</v>
      </c>
      <c r="B2423" s="74"/>
      <c r="C2423" s="74"/>
      <c r="D2423" s="74"/>
      <c r="E2423" s="74"/>
      <c r="F2423" s="48">
        <f>J2423+H2423+L2423</f>
        <v>505673</v>
      </c>
      <c r="G2423" s="74"/>
      <c r="H2423" s="48">
        <f>ROUNDDOWN(SUMIF(P2421:P2422,O2423,H2421:H2422),0)</f>
        <v>246873</v>
      </c>
      <c r="I2423" s="74"/>
      <c r="J2423" s="48">
        <f>ROUNDDOWN(SUMIF(P2421:P2422,O2423,J2421:J2422),0)</f>
        <v>258800</v>
      </c>
      <c r="K2423" s="74"/>
      <c r="L2423" s="48">
        <f>ROUNDDOWN(SUMIF(P2421:P2422,O2423,L2421:L2422),0)</f>
        <v>0</v>
      </c>
      <c r="M2423" s="74"/>
      <c r="O2423" s="7" t="s">
        <v>6406</v>
      </c>
    </row>
    <row r="2424" spans="1:26" ht="28.7" customHeight="1" x14ac:dyDescent="0.3">
      <c r="A2424" s="73"/>
      <c r="B2424" s="73"/>
      <c r="C2424" s="73"/>
      <c r="D2424" s="73"/>
      <c r="E2424" s="73"/>
      <c r="F2424" s="73"/>
      <c r="G2424" s="73"/>
      <c r="H2424" s="73"/>
      <c r="I2424" s="73"/>
      <c r="J2424" s="73"/>
      <c r="K2424" s="73"/>
      <c r="L2424" s="73"/>
      <c r="M2424" s="73"/>
    </row>
    <row r="2425" spans="1:26" ht="28.7" customHeight="1" x14ac:dyDescent="0.3">
      <c r="A2425" s="136" t="s">
        <v>1386</v>
      </c>
      <c r="B2425" s="127"/>
      <c r="C2425" s="127"/>
      <c r="D2425" s="127"/>
      <c r="E2425" s="127"/>
      <c r="F2425" s="127"/>
      <c r="G2425" s="127"/>
      <c r="H2425" s="127"/>
      <c r="I2425" s="127"/>
      <c r="J2425" s="127"/>
      <c r="K2425" s="127"/>
      <c r="L2425" s="144"/>
      <c r="M2425" s="22" t="s">
        <v>8173</v>
      </c>
      <c r="N2425" s="84" t="str">
        <f>HYPERLINK("#N"&amp;ROW(N2426),"_x0005_`BDCOD|B05467_x0007_`POSS|"&amp;ROW(N2426)&amp;"_x0007_`POSE|"&amp;ROW(N2426)&amp;"_x0007_`")</f>
        <v>_x0005_`BDCOD|B05467_x0007_`POSS|2426_x0007_`POSE|2426_x0007_`</v>
      </c>
      <c r="O2425" s="7" t="s">
        <v>8174</v>
      </c>
    </row>
    <row r="2426" spans="1:26" ht="28.7" customHeight="1" x14ac:dyDescent="0.3">
      <c r="A2426" s="10" t="s">
        <v>1838</v>
      </c>
      <c r="B2426" s="10" t="s">
        <v>1839</v>
      </c>
      <c r="C2426" s="75">
        <v>1</v>
      </c>
      <c r="D2426" s="31" t="s">
        <v>1010</v>
      </c>
      <c r="E2426" s="55">
        <f>I2426+G2426+K2426</f>
        <v>103775</v>
      </c>
      <c r="F2426" s="76">
        <f>J2426+H2426+L2426</f>
        <v>103775</v>
      </c>
      <c r="G2426" s="78">
        <f>일위대가목록표!F712</f>
        <v>100753</v>
      </c>
      <c r="H2426" s="80">
        <f>IF(C2426=0,0,ROUNDDOWN(G2426*C2426,1))</f>
        <v>100753</v>
      </c>
      <c r="I2426" s="78">
        <f>일위대가목록표!G712</f>
        <v>0</v>
      </c>
      <c r="J2426" s="80">
        <f>IF(C2426=0,0,ROUNDDOWN(I2426*C2426,1))</f>
        <v>0</v>
      </c>
      <c r="K2426" s="78">
        <f>일위대가목록표!H712</f>
        <v>3022</v>
      </c>
      <c r="L2426" s="80">
        <f>IF(C2426=0,0,ROUNDDOWN(K2426*C2426,1))</f>
        <v>3022</v>
      </c>
      <c r="M2426" s="22" t="s">
        <v>7657</v>
      </c>
      <c r="N2426" s="17" t="s">
        <v>7655</v>
      </c>
      <c r="O2426" s="7" t="s">
        <v>7656</v>
      </c>
      <c r="P2426" s="7" t="s">
        <v>6406</v>
      </c>
      <c r="Z2426" s="3" t="str">
        <f ca="1">HYPERLINK("#"&amp;일위대가목록표!J2&amp;"!A"&amp;ROW(일위대가목록표!A712),"대가709 →")</f>
        <v>대가709 →</v>
      </c>
    </row>
    <row r="2427" spans="1:26" ht="28.7" customHeight="1" x14ac:dyDescent="0.3">
      <c r="A2427" s="22" t="s">
        <v>6</v>
      </c>
      <c r="B2427" s="74"/>
      <c r="C2427" s="74"/>
      <c r="D2427" s="74"/>
      <c r="E2427" s="74"/>
      <c r="F2427" s="48">
        <f>J2427+H2427+L2427</f>
        <v>103775</v>
      </c>
      <c r="G2427" s="74"/>
      <c r="H2427" s="48">
        <f>ROUNDDOWN(SUMIF(P2426:P2426,O2427,H2426:H2426),0)</f>
        <v>100753</v>
      </c>
      <c r="I2427" s="74"/>
      <c r="J2427" s="48">
        <f>ROUNDDOWN(SUMIF(P2426:P2426,O2427,J2426:J2426),0)</f>
        <v>0</v>
      </c>
      <c r="K2427" s="74"/>
      <c r="L2427" s="48">
        <f>ROUNDDOWN(SUMIF(P2426:P2426,O2427,L2426:L2426),0)</f>
        <v>3022</v>
      </c>
      <c r="M2427" s="74"/>
      <c r="O2427" s="7" t="s">
        <v>6406</v>
      </c>
    </row>
    <row r="2428" spans="1:26" ht="28.7" customHeight="1" x14ac:dyDescent="0.3">
      <c r="A2428" s="73"/>
      <c r="B2428" s="73"/>
      <c r="C2428" s="73"/>
      <c r="D2428" s="73"/>
      <c r="E2428" s="73"/>
      <c r="F2428" s="73"/>
      <c r="G2428" s="73"/>
      <c r="H2428" s="73"/>
      <c r="I2428" s="73"/>
      <c r="J2428" s="73"/>
      <c r="K2428" s="73"/>
      <c r="L2428" s="73"/>
      <c r="M2428" s="73"/>
    </row>
    <row r="2429" spans="1:26" ht="28.7" customHeight="1" x14ac:dyDescent="0.3">
      <c r="A2429" s="136" t="s">
        <v>1389</v>
      </c>
      <c r="B2429" s="127"/>
      <c r="C2429" s="127"/>
      <c r="D2429" s="127"/>
      <c r="E2429" s="127"/>
      <c r="F2429" s="127"/>
      <c r="G2429" s="127"/>
      <c r="H2429" s="127"/>
      <c r="I2429" s="127"/>
      <c r="J2429" s="127"/>
      <c r="K2429" s="127"/>
      <c r="L2429" s="144"/>
      <c r="M2429" s="22" t="s">
        <v>8175</v>
      </c>
      <c r="N2429" s="84" t="str">
        <f>HYPERLINK("#N"&amp;ROW(N2430),"_x0005_`BDCOD|B05468_x0007_`POSS|"&amp;ROW(N2430)&amp;"_x0007_`POSE|"&amp;ROW(N2430)&amp;"_x0007_`")</f>
        <v>_x0005_`BDCOD|B05468_x0007_`POSS|2430_x0007_`POSE|2430_x0007_`</v>
      </c>
      <c r="O2429" s="7" t="s">
        <v>8176</v>
      </c>
    </row>
    <row r="2430" spans="1:26" ht="28.7" customHeight="1" x14ac:dyDescent="0.3">
      <c r="A2430" s="10" t="s">
        <v>1838</v>
      </c>
      <c r="B2430" s="10" t="s">
        <v>1848</v>
      </c>
      <c r="C2430" s="75">
        <v>1</v>
      </c>
      <c r="D2430" s="31" t="s">
        <v>1010</v>
      </c>
      <c r="E2430" s="55">
        <f>I2430+G2430+K2430</f>
        <v>145668</v>
      </c>
      <c r="F2430" s="76">
        <f>J2430+H2430+L2430</f>
        <v>145668</v>
      </c>
      <c r="G2430" s="78">
        <f>일위대가목록표!F715</f>
        <v>145668</v>
      </c>
      <c r="H2430" s="80">
        <f>IF(C2430=0,0,ROUNDDOWN(G2430*C2430,1))</f>
        <v>145668</v>
      </c>
      <c r="I2430" s="78">
        <f>일위대가목록표!G715</f>
        <v>0</v>
      </c>
      <c r="J2430" s="80">
        <f>IF(C2430=0,0,ROUNDDOWN(I2430*C2430,1))</f>
        <v>0</v>
      </c>
      <c r="K2430" s="78">
        <f>일위대가목록표!H715</f>
        <v>0</v>
      </c>
      <c r="L2430" s="80">
        <f>IF(C2430=0,0,ROUNDDOWN(K2430*C2430,1))</f>
        <v>0</v>
      </c>
      <c r="M2430" s="22" t="s">
        <v>7664</v>
      </c>
      <c r="N2430" s="17" t="s">
        <v>7662</v>
      </c>
      <c r="O2430" s="7" t="s">
        <v>7663</v>
      </c>
      <c r="P2430" s="7" t="s">
        <v>6406</v>
      </c>
      <c r="Z2430" s="3" t="str">
        <f ca="1">HYPERLINK("#"&amp;일위대가목록표!J2&amp;"!A"&amp;ROW(일위대가목록표!A715),"대가712 →")</f>
        <v>대가712 →</v>
      </c>
    </row>
    <row r="2431" spans="1:26" ht="28.7" customHeight="1" x14ac:dyDescent="0.3">
      <c r="A2431" s="22" t="s">
        <v>6</v>
      </c>
      <c r="B2431" s="74"/>
      <c r="C2431" s="74"/>
      <c r="D2431" s="74"/>
      <c r="E2431" s="74"/>
      <c r="F2431" s="48">
        <f>J2431+H2431+L2431</f>
        <v>145668</v>
      </c>
      <c r="G2431" s="74"/>
      <c r="H2431" s="48">
        <f>ROUNDDOWN(SUMIF(P2430:P2430,O2431,H2430:H2430),0)</f>
        <v>145668</v>
      </c>
      <c r="I2431" s="74"/>
      <c r="J2431" s="48">
        <f>ROUNDDOWN(SUMIF(P2430:P2430,O2431,J2430:J2430),0)</f>
        <v>0</v>
      </c>
      <c r="K2431" s="74"/>
      <c r="L2431" s="48">
        <f>ROUNDDOWN(SUMIF(P2430:P2430,O2431,L2430:L2430),0)</f>
        <v>0</v>
      </c>
      <c r="M2431" s="74"/>
      <c r="O2431" s="7" t="s">
        <v>6406</v>
      </c>
    </row>
    <row r="2432" spans="1:26" ht="28.7" customHeight="1" x14ac:dyDescent="0.3">
      <c r="A2432" s="73"/>
      <c r="B2432" s="73"/>
      <c r="C2432" s="73"/>
      <c r="D2432" s="73"/>
      <c r="E2432" s="73"/>
      <c r="F2432" s="73"/>
      <c r="G2432" s="73"/>
      <c r="H2432" s="73"/>
      <c r="I2432" s="73"/>
      <c r="J2432" s="73"/>
      <c r="K2432" s="73"/>
      <c r="L2432" s="73"/>
      <c r="M2432" s="73"/>
    </row>
    <row r="2433" spans="1:26" ht="28.7" customHeight="1" x14ac:dyDescent="0.3">
      <c r="A2433" s="136" t="s">
        <v>1391</v>
      </c>
      <c r="B2433" s="127"/>
      <c r="C2433" s="127"/>
      <c r="D2433" s="127"/>
      <c r="E2433" s="127"/>
      <c r="F2433" s="127"/>
      <c r="G2433" s="127"/>
      <c r="H2433" s="127"/>
      <c r="I2433" s="127"/>
      <c r="J2433" s="127"/>
      <c r="K2433" s="127"/>
      <c r="L2433" s="144"/>
      <c r="M2433" s="22" t="s">
        <v>8177</v>
      </c>
      <c r="N2433" s="84" t="str">
        <f>HYPERLINK("#N"&amp;ROW(N2434),"_x0005_`BDCOD|B05469_x0007_`POSS|"&amp;ROW(N2434)&amp;"_x0007_`POSE|"&amp;ROW(N2434)&amp;"_x0007_`")</f>
        <v>_x0005_`BDCOD|B05469_x0007_`POSS|2434_x0007_`POSE|2434_x0007_`</v>
      </c>
      <c r="O2433" s="7" t="s">
        <v>8178</v>
      </c>
    </row>
    <row r="2434" spans="1:26" ht="28.7" customHeight="1" x14ac:dyDescent="0.3">
      <c r="A2434" s="10" t="s">
        <v>1838</v>
      </c>
      <c r="B2434" s="10" t="s">
        <v>1855</v>
      </c>
      <c r="C2434" s="75">
        <v>1</v>
      </c>
      <c r="D2434" s="31" t="s">
        <v>1010</v>
      </c>
      <c r="E2434" s="55">
        <f>I2434+G2434+K2434</f>
        <v>189819</v>
      </c>
      <c r="F2434" s="76">
        <f>J2434+H2434+L2434</f>
        <v>189819</v>
      </c>
      <c r="G2434" s="78">
        <f>일위대가목록표!F718</f>
        <v>189819</v>
      </c>
      <c r="H2434" s="80">
        <f>IF(C2434=0,0,ROUNDDOWN(G2434*C2434,1))</f>
        <v>189819</v>
      </c>
      <c r="I2434" s="78">
        <f>일위대가목록표!G718</f>
        <v>0</v>
      </c>
      <c r="J2434" s="80">
        <f>IF(C2434=0,0,ROUNDDOWN(I2434*C2434,1))</f>
        <v>0</v>
      </c>
      <c r="K2434" s="78">
        <f>일위대가목록표!H718</f>
        <v>0</v>
      </c>
      <c r="L2434" s="80">
        <f>IF(C2434=0,0,ROUNDDOWN(K2434*C2434,1))</f>
        <v>0</v>
      </c>
      <c r="M2434" s="22" t="s">
        <v>7671</v>
      </c>
      <c r="N2434" s="17" t="s">
        <v>7669</v>
      </c>
      <c r="O2434" s="7" t="s">
        <v>7670</v>
      </c>
      <c r="P2434" s="7" t="s">
        <v>6406</v>
      </c>
      <c r="Z2434" s="3" t="str">
        <f ca="1">HYPERLINK("#"&amp;일위대가목록표!J2&amp;"!A"&amp;ROW(일위대가목록표!A718),"대가715 →")</f>
        <v>대가715 →</v>
      </c>
    </row>
    <row r="2435" spans="1:26" ht="28.7" customHeight="1" x14ac:dyDescent="0.3">
      <c r="A2435" s="22" t="s">
        <v>6</v>
      </c>
      <c r="B2435" s="74"/>
      <c r="C2435" s="74"/>
      <c r="D2435" s="74"/>
      <c r="E2435" s="74"/>
      <c r="F2435" s="48">
        <f>J2435+H2435+L2435</f>
        <v>189819</v>
      </c>
      <c r="G2435" s="74"/>
      <c r="H2435" s="48">
        <f>ROUNDDOWN(SUMIF(P2434:P2434,O2435,H2434:H2434),0)</f>
        <v>189819</v>
      </c>
      <c r="I2435" s="74"/>
      <c r="J2435" s="48">
        <f>ROUNDDOWN(SUMIF(P2434:P2434,O2435,J2434:J2434),0)</f>
        <v>0</v>
      </c>
      <c r="K2435" s="74"/>
      <c r="L2435" s="48">
        <f>ROUNDDOWN(SUMIF(P2434:P2434,O2435,L2434:L2434),0)</f>
        <v>0</v>
      </c>
      <c r="M2435" s="74"/>
      <c r="O2435" s="7" t="s">
        <v>6406</v>
      </c>
    </row>
    <row r="2436" spans="1:26" ht="28.7" customHeight="1" x14ac:dyDescent="0.3">
      <c r="A2436" s="73"/>
      <c r="B2436" s="73"/>
      <c r="C2436" s="73"/>
      <c r="D2436" s="73"/>
      <c r="E2436" s="73"/>
      <c r="F2436" s="73"/>
      <c r="G2436" s="73"/>
      <c r="H2436" s="73"/>
      <c r="I2436" s="73"/>
      <c r="J2436" s="73"/>
      <c r="K2436" s="73"/>
      <c r="L2436" s="73"/>
      <c r="M2436" s="73"/>
    </row>
    <row r="2437" spans="1:26" ht="28.7" customHeight="1" x14ac:dyDescent="0.3">
      <c r="A2437" s="136" t="s">
        <v>1393</v>
      </c>
      <c r="B2437" s="127"/>
      <c r="C2437" s="127"/>
      <c r="D2437" s="127"/>
      <c r="E2437" s="127"/>
      <c r="F2437" s="127"/>
      <c r="G2437" s="127"/>
      <c r="H2437" s="127"/>
      <c r="I2437" s="127"/>
      <c r="J2437" s="127"/>
      <c r="K2437" s="127"/>
      <c r="L2437" s="144"/>
      <c r="M2437" s="22" t="s">
        <v>8179</v>
      </c>
      <c r="N2437" s="84" t="str">
        <f>HYPERLINK("#N"&amp;ROW(N2438),"_x0005_`BDCOD|B05470_x0007_`POSS|"&amp;ROW(N2438)&amp;"_x0007_`POSE|"&amp;ROW(N2438)&amp;"_x0007_`")</f>
        <v>_x0005_`BDCOD|B05470_x0007_`POSS|2438_x0007_`POSE|2438_x0007_`</v>
      </c>
      <c r="O2437" s="7" t="s">
        <v>8180</v>
      </c>
    </row>
    <row r="2438" spans="1:26" ht="28.7" customHeight="1" x14ac:dyDescent="0.3">
      <c r="A2438" s="10" t="s">
        <v>1838</v>
      </c>
      <c r="B2438" s="10" t="s">
        <v>1862</v>
      </c>
      <c r="C2438" s="75">
        <v>1</v>
      </c>
      <c r="D2438" s="31" t="s">
        <v>1010</v>
      </c>
      <c r="E2438" s="55">
        <f>I2438+G2438+K2438</f>
        <v>246873</v>
      </c>
      <c r="F2438" s="76">
        <f>J2438+H2438+L2438</f>
        <v>246873</v>
      </c>
      <c r="G2438" s="78">
        <f>일위대가목록표!F721</f>
        <v>246873</v>
      </c>
      <c r="H2438" s="80">
        <f>IF(C2438=0,0,ROUNDDOWN(G2438*C2438,1))</f>
        <v>246873</v>
      </c>
      <c r="I2438" s="78">
        <f>일위대가목록표!G721</f>
        <v>0</v>
      </c>
      <c r="J2438" s="80">
        <f>IF(C2438=0,0,ROUNDDOWN(I2438*C2438,1))</f>
        <v>0</v>
      </c>
      <c r="K2438" s="78">
        <f>일위대가목록표!H721</f>
        <v>0</v>
      </c>
      <c r="L2438" s="80">
        <f>IF(C2438=0,0,ROUNDDOWN(K2438*C2438,1))</f>
        <v>0</v>
      </c>
      <c r="M2438" s="22" t="s">
        <v>7678</v>
      </c>
      <c r="N2438" s="17" t="s">
        <v>7676</v>
      </c>
      <c r="O2438" s="7" t="s">
        <v>7677</v>
      </c>
      <c r="P2438" s="7" t="s">
        <v>6406</v>
      </c>
      <c r="Z2438" s="3" t="str">
        <f ca="1">HYPERLINK("#"&amp;일위대가목록표!J2&amp;"!A"&amp;ROW(일위대가목록표!A721),"대가718 →")</f>
        <v>대가718 →</v>
      </c>
    </row>
    <row r="2439" spans="1:26" ht="28.7" customHeight="1" x14ac:dyDescent="0.3">
      <c r="A2439" s="22" t="s">
        <v>6</v>
      </c>
      <c r="B2439" s="74"/>
      <c r="C2439" s="74"/>
      <c r="D2439" s="74"/>
      <c r="E2439" s="74"/>
      <c r="F2439" s="48">
        <f>J2439+H2439+L2439</f>
        <v>246873</v>
      </c>
      <c r="G2439" s="74"/>
      <c r="H2439" s="48">
        <f>ROUNDDOWN(SUMIF(P2438:P2438,O2439,H2438:H2438),0)</f>
        <v>246873</v>
      </c>
      <c r="I2439" s="74"/>
      <c r="J2439" s="48">
        <f>ROUNDDOWN(SUMIF(P2438:P2438,O2439,J2438:J2438),0)</f>
        <v>0</v>
      </c>
      <c r="K2439" s="74"/>
      <c r="L2439" s="48">
        <f>ROUNDDOWN(SUMIF(P2438:P2438,O2439,L2438:L2438),0)</f>
        <v>0</v>
      </c>
      <c r="M2439" s="74"/>
      <c r="O2439" s="7" t="s">
        <v>6406</v>
      </c>
    </row>
    <row r="2440" spans="1:26" ht="28.7" customHeight="1" x14ac:dyDescent="0.3">
      <c r="A2440" s="73"/>
      <c r="B2440" s="73"/>
      <c r="C2440" s="73"/>
      <c r="D2440" s="73"/>
      <c r="E2440" s="73"/>
      <c r="F2440" s="73"/>
      <c r="G2440" s="73"/>
      <c r="H2440" s="73"/>
      <c r="I2440" s="73"/>
      <c r="J2440" s="73"/>
      <c r="K2440" s="73"/>
      <c r="L2440" s="73"/>
      <c r="M2440" s="73"/>
    </row>
    <row r="2441" spans="1:26" ht="28.7" customHeight="1" x14ac:dyDescent="0.3">
      <c r="A2441" s="136" t="s">
        <v>1395</v>
      </c>
      <c r="B2441" s="127"/>
      <c r="C2441" s="127"/>
      <c r="D2441" s="127"/>
      <c r="E2441" s="127"/>
      <c r="F2441" s="127"/>
      <c r="G2441" s="127"/>
      <c r="H2441" s="127"/>
      <c r="I2441" s="127"/>
      <c r="J2441" s="127"/>
      <c r="K2441" s="127"/>
      <c r="L2441" s="144"/>
      <c r="M2441" s="22" t="s">
        <v>8181</v>
      </c>
      <c r="N2441" s="84" t="str">
        <f>HYPERLINK("#N"&amp;ROW(N2442),"_x0005_`BDCOD|B05471_x0007_`POSS|"&amp;ROW(N2442)&amp;"_x0007_`POSE|"&amp;ROW(N2442)&amp;"_x0007_`")</f>
        <v>_x0005_`BDCOD|B05471_x0007_`POSS|2442_x0007_`POSE|2442_x0007_`</v>
      </c>
      <c r="O2441" s="7" t="s">
        <v>8182</v>
      </c>
    </row>
    <row r="2442" spans="1:26" ht="28.7" customHeight="1" x14ac:dyDescent="0.3">
      <c r="A2442" s="10" t="s">
        <v>1845</v>
      </c>
      <c r="B2442" s="10" t="s">
        <v>1543</v>
      </c>
      <c r="C2442" s="75">
        <v>1</v>
      </c>
      <c r="D2442" s="31" t="s">
        <v>1010</v>
      </c>
      <c r="E2442" s="55">
        <f>I2442+G2442+K2442</f>
        <v>74126</v>
      </c>
      <c r="F2442" s="76">
        <f>J2442+H2442+L2442</f>
        <v>74126</v>
      </c>
      <c r="G2442" s="78">
        <f>일위대가목록표!F714</f>
        <v>71967</v>
      </c>
      <c r="H2442" s="80">
        <f>IF(C2442=0,0,ROUNDDOWN(G2442*C2442,1))</f>
        <v>71967</v>
      </c>
      <c r="I2442" s="78">
        <f>일위대가목록표!G714</f>
        <v>0</v>
      </c>
      <c r="J2442" s="80">
        <f>IF(C2442=0,0,ROUNDDOWN(I2442*C2442,1))</f>
        <v>0</v>
      </c>
      <c r="K2442" s="78">
        <f>일위대가목록표!H714</f>
        <v>2159</v>
      </c>
      <c r="L2442" s="80">
        <f>IF(C2442=0,0,ROUNDDOWN(K2442*C2442,1))</f>
        <v>2159</v>
      </c>
      <c r="M2442" s="22" t="s">
        <v>7693</v>
      </c>
      <c r="N2442" s="17" t="s">
        <v>7691</v>
      </c>
      <c r="O2442" s="7" t="s">
        <v>7692</v>
      </c>
      <c r="P2442" s="7" t="s">
        <v>6406</v>
      </c>
      <c r="Z2442" s="3" t="str">
        <f ca="1">HYPERLINK("#"&amp;일위대가목록표!J2&amp;"!A"&amp;ROW(일위대가목록표!A714),"대가711 →")</f>
        <v>대가711 →</v>
      </c>
    </row>
    <row r="2443" spans="1:26" ht="28.7" customHeight="1" x14ac:dyDescent="0.3">
      <c r="A2443" s="22" t="s">
        <v>6</v>
      </c>
      <c r="B2443" s="74"/>
      <c r="C2443" s="74"/>
      <c r="D2443" s="74"/>
      <c r="E2443" s="74"/>
      <c r="F2443" s="48">
        <f>J2443+H2443+L2443</f>
        <v>74126</v>
      </c>
      <c r="G2443" s="74"/>
      <c r="H2443" s="48">
        <f>ROUNDDOWN(SUMIF(P2442:P2442,O2443,H2442:H2442),0)</f>
        <v>71967</v>
      </c>
      <c r="I2443" s="74"/>
      <c r="J2443" s="48">
        <f>ROUNDDOWN(SUMIF(P2442:P2442,O2443,J2442:J2442),0)</f>
        <v>0</v>
      </c>
      <c r="K2443" s="74"/>
      <c r="L2443" s="48">
        <f>ROUNDDOWN(SUMIF(P2442:P2442,O2443,L2442:L2442),0)</f>
        <v>2159</v>
      </c>
      <c r="M2443" s="74"/>
      <c r="O2443" s="7" t="s">
        <v>6406</v>
      </c>
    </row>
    <row r="2444" spans="1:26" ht="28.7" customHeight="1" x14ac:dyDescent="0.3">
      <c r="A2444" s="73"/>
      <c r="B2444" s="73"/>
      <c r="C2444" s="73"/>
      <c r="D2444" s="73"/>
      <c r="E2444" s="73"/>
      <c r="F2444" s="73"/>
      <c r="G2444" s="73"/>
      <c r="H2444" s="73"/>
      <c r="I2444" s="73"/>
      <c r="J2444" s="73"/>
      <c r="K2444" s="73"/>
      <c r="L2444" s="73"/>
      <c r="M2444" s="73"/>
    </row>
    <row r="2445" spans="1:26" ht="28.7" customHeight="1" x14ac:dyDescent="0.3">
      <c r="A2445" s="136" t="s">
        <v>1398</v>
      </c>
      <c r="B2445" s="127"/>
      <c r="C2445" s="127"/>
      <c r="D2445" s="127"/>
      <c r="E2445" s="127"/>
      <c r="F2445" s="127"/>
      <c r="G2445" s="127"/>
      <c r="H2445" s="127"/>
      <c r="I2445" s="127"/>
      <c r="J2445" s="127"/>
      <c r="K2445" s="127"/>
      <c r="L2445" s="144"/>
      <c r="M2445" s="22" t="s">
        <v>8183</v>
      </c>
      <c r="N2445" s="84" t="str">
        <f>HYPERLINK("#N"&amp;ROW(N2446),"_x0005_`BDCOD|B05472_x0007_`POSS|"&amp;ROW(N2446)&amp;"_x0007_`POSE|"&amp;ROW(N2446)&amp;"_x0007_`")</f>
        <v>_x0005_`BDCOD|B05472_x0007_`POSS|2446_x0007_`POSE|2446_x0007_`</v>
      </c>
      <c r="O2445" s="7" t="s">
        <v>8184</v>
      </c>
    </row>
    <row r="2446" spans="1:26" ht="28.7" customHeight="1" x14ac:dyDescent="0.3">
      <c r="A2446" s="10" t="s">
        <v>1845</v>
      </c>
      <c r="B2446" s="10" t="s">
        <v>1546</v>
      </c>
      <c r="C2446" s="75">
        <v>1</v>
      </c>
      <c r="D2446" s="31" t="s">
        <v>1010</v>
      </c>
      <c r="E2446" s="55">
        <f>I2446+G2446+K2446</f>
        <v>104049</v>
      </c>
      <c r="F2446" s="76">
        <f>J2446+H2446+L2446</f>
        <v>104049</v>
      </c>
      <c r="G2446" s="78">
        <f>일위대가목록표!F717</f>
        <v>104049</v>
      </c>
      <c r="H2446" s="80">
        <f>IF(C2446=0,0,ROUNDDOWN(G2446*C2446,1))</f>
        <v>104049</v>
      </c>
      <c r="I2446" s="78">
        <f>일위대가목록표!G717</f>
        <v>0</v>
      </c>
      <c r="J2446" s="80">
        <f>IF(C2446=0,0,ROUNDDOWN(I2446*C2446,1))</f>
        <v>0</v>
      </c>
      <c r="K2446" s="78">
        <f>일위대가목록표!H717</f>
        <v>0</v>
      </c>
      <c r="L2446" s="80">
        <f>IF(C2446=0,0,ROUNDDOWN(K2446*C2446,1))</f>
        <v>0</v>
      </c>
      <c r="M2446" s="22" t="s">
        <v>7698</v>
      </c>
      <c r="N2446" s="17" t="s">
        <v>7696</v>
      </c>
      <c r="O2446" s="7" t="s">
        <v>7697</v>
      </c>
      <c r="P2446" s="7" t="s">
        <v>6406</v>
      </c>
      <c r="Z2446" s="3" t="str">
        <f ca="1">HYPERLINK("#"&amp;일위대가목록표!J2&amp;"!A"&amp;ROW(일위대가목록표!A717),"대가714 →")</f>
        <v>대가714 →</v>
      </c>
    </row>
    <row r="2447" spans="1:26" ht="28.7" customHeight="1" x14ac:dyDescent="0.3">
      <c r="A2447" s="22" t="s">
        <v>6</v>
      </c>
      <c r="B2447" s="74"/>
      <c r="C2447" s="74"/>
      <c r="D2447" s="74"/>
      <c r="E2447" s="74"/>
      <c r="F2447" s="48">
        <f>J2447+H2447+L2447</f>
        <v>104049</v>
      </c>
      <c r="G2447" s="74"/>
      <c r="H2447" s="48">
        <f>ROUNDDOWN(SUMIF(P2446:P2446,O2447,H2446:H2446),0)</f>
        <v>104049</v>
      </c>
      <c r="I2447" s="74"/>
      <c r="J2447" s="48">
        <f>ROUNDDOWN(SUMIF(P2446:P2446,O2447,J2446:J2446),0)</f>
        <v>0</v>
      </c>
      <c r="K2447" s="74"/>
      <c r="L2447" s="48">
        <f>ROUNDDOWN(SUMIF(P2446:P2446,O2447,L2446:L2446),0)</f>
        <v>0</v>
      </c>
      <c r="M2447" s="74"/>
      <c r="O2447" s="7" t="s">
        <v>6406</v>
      </c>
    </row>
    <row r="2448" spans="1:26" ht="28.7" customHeight="1" x14ac:dyDescent="0.3">
      <c r="A2448" s="73"/>
      <c r="B2448" s="73"/>
      <c r="C2448" s="73"/>
      <c r="D2448" s="73"/>
      <c r="E2448" s="73"/>
      <c r="F2448" s="73"/>
      <c r="G2448" s="73"/>
      <c r="H2448" s="73"/>
      <c r="I2448" s="73"/>
      <c r="J2448" s="73"/>
      <c r="K2448" s="73"/>
      <c r="L2448" s="73"/>
      <c r="M2448" s="73"/>
    </row>
    <row r="2449" spans="1:26" ht="28.7" customHeight="1" x14ac:dyDescent="0.3">
      <c r="A2449" s="136" t="s">
        <v>1400</v>
      </c>
      <c r="B2449" s="127"/>
      <c r="C2449" s="127"/>
      <c r="D2449" s="127"/>
      <c r="E2449" s="127"/>
      <c r="F2449" s="127"/>
      <c r="G2449" s="127"/>
      <c r="H2449" s="127"/>
      <c r="I2449" s="127"/>
      <c r="J2449" s="127"/>
      <c r="K2449" s="127"/>
      <c r="L2449" s="144"/>
      <c r="M2449" s="22" t="s">
        <v>8185</v>
      </c>
      <c r="N2449" s="84" t="str">
        <f>HYPERLINK("#N"&amp;ROW(N2450),"_x0005_`BDCOD|B05473_x0007_`POSS|"&amp;ROW(N2450)&amp;"_x0007_`POSE|"&amp;ROW(N2450)&amp;"_x0007_`")</f>
        <v>_x0005_`BDCOD|B05473_x0007_`POSS|2450_x0007_`POSE|2450_x0007_`</v>
      </c>
      <c r="O2449" s="7" t="s">
        <v>8186</v>
      </c>
    </row>
    <row r="2450" spans="1:26" ht="28.7" customHeight="1" x14ac:dyDescent="0.3">
      <c r="A2450" s="10" t="s">
        <v>1845</v>
      </c>
      <c r="B2450" s="10" t="s">
        <v>1569</v>
      </c>
      <c r="C2450" s="75">
        <v>1</v>
      </c>
      <c r="D2450" s="31" t="s">
        <v>1010</v>
      </c>
      <c r="E2450" s="55">
        <f>I2450+G2450+K2450</f>
        <v>135585</v>
      </c>
      <c r="F2450" s="76">
        <f>J2450+H2450+L2450</f>
        <v>135585</v>
      </c>
      <c r="G2450" s="78">
        <f>일위대가목록표!F720</f>
        <v>135585</v>
      </c>
      <c r="H2450" s="80">
        <f>IF(C2450=0,0,ROUNDDOWN(G2450*C2450,1))</f>
        <v>135585</v>
      </c>
      <c r="I2450" s="78">
        <f>일위대가목록표!G720</f>
        <v>0</v>
      </c>
      <c r="J2450" s="80">
        <f>IF(C2450=0,0,ROUNDDOWN(I2450*C2450,1))</f>
        <v>0</v>
      </c>
      <c r="K2450" s="78">
        <f>일위대가목록표!H720</f>
        <v>0</v>
      </c>
      <c r="L2450" s="80">
        <f>IF(C2450=0,0,ROUNDDOWN(K2450*C2450,1))</f>
        <v>0</v>
      </c>
      <c r="M2450" s="22" t="s">
        <v>7703</v>
      </c>
      <c r="N2450" s="17" t="s">
        <v>7701</v>
      </c>
      <c r="O2450" s="7" t="s">
        <v>7702</v>
      </c>
      <c r="P2450" s="7" t="s">
        <v>6406</v>
      </c>
      <c r="Z2450" s="3" t="str">
        <f ca="1">HYPERLINK("#"&amp;일위대가목록표!J2&amp;"!A"&amp;ROW(일위대가목록표!A720),"대가717 →")</f>
        <v>대가717 →</v>
      </c>
    </row>
    <row r="2451" spans="1:26" ht="28.7" customHeight="1" x14ac:dyDescent="0.3">
      <c r="A2451" s="22" t="s">
        <v>6</v>
      </c>
      <c r="B2451" s="74"/>
      <c r="C2451" s="74"/>
      <c r="D2451" s="74"/>
      <c r="E2451" s="74"/>
      <c r="F2451" s="48">
        <f>J2451+H2451+L2451</f>
        <v>135585</v>
      </c>
      <c r="G2451" s="74"/>
      <c r="H2451" s="48">
        <f>ROUNDDOWN(SUMIF(P2450:P2450,O2451,H2450:H2450),0)</f>
        <v>135585</v>
      </c>
      <c r="I2451" s="74"/>
      <c r="J2451" s="48">
        <f>ROUNDDOWN(SUMIF(P2450:P2450,O2451,J2450:J2450),0)</f>
        <v>0</v>
      </c>
      <c r="K2451" s="74"/>
      <c r="L2451" s="48">
        <f>ROUNDDOWN(SUMIF(P2450:P2450,O2451,L2450:L2450),0)</f>
        <v>0</v>
      </c>
      <c r="M2451" s="74"/>
      <c r="O2451" s="7" t="s">
        <v>6406</v>
      </c>
    </row>
    <row r="2452" spans="1:26" ht="28.7" customHeight="1" x14ac:dyDescent="0.3">
      <c r="A2452" s="73"/>
      <c r="B2452" s="73"/>
      <c r="C2452" s="73"/>
      <c r="D2452" s="73"/>
      <c r="E2452" s="73"/>
      <c r="F2452" s="73"/>
      <c r="G2452" s="73"/>
      <c r="H2452" s="73"/>
      <c r="I2452" s="73"/>
      <c r="J2452" s="73"/>
      <c r="K2452" s="73"/>
      <c r="L2452" s="73"/>
      <c r="M2452" s="73"/>
    </row>
    <row r="2453" spans="1:26" ht="28.7" customHeight="1" x14ac:dyDescent="0.3">
      <c r="A2453" s="136" t="s">
        <v>1402</v>
      </c>
      <c r="B2453" s="127"/>
      <c r="C2453" s="127"/>
      <c r="D2453" s="127"/>
      <c r="E2453" s="127"/>
      <c r="F2453" s="127"/>
      <c r="G2453" s="127"/>
      <c r="H2453" s="127"/>
      <c r="I2453" s="127"/>
      <c r="J2453" s="127"/>
      <c r="K2453" s="127"/>
      <c r="L2453" s="144"/>
      <c r="M2453" s="22" t="s">
        <v>8187</v>
      </c>
      <c r="N2453" s="84" t="str">
        <f>HYPERLINK("#N"&amp;ROW(N2454),"_x0005_`BDCOD|B05474_x0007_`POSS|"&amp;ROW(N2454)&amp;"_x0007_`POSE|"&amp;ROW(N2454)&amp;"_x0007_`")</f>
        <v>_x0005_`BDCOD|B05474_x0007_`POSS|2454_x0007_`POSE|2454_x0007_`</v>
      </c>
      <c r="O2453" s="7" t="s">
        <v>8188</v>
      </c>
    </row>
    <row r="2454" spans="1:26" ht="28.7" customHeight="1" x14ac:dyDescent="0.3">
      <c r="A2454" s="10" t="s">
        <v>1845</v>
      </c>
      <c r="B2454" s="10" t="s">
        <v>1572</v>
      </c>
      <c r="C2454" s="75">
        <v>1</v>
      </c>
      <c r="D2454" s="31" t="s">
        <v>1010</v>
      </c>
      <c r="E2454" s="55">
        <f>I2454+G2454+K2454</f>
        <v>176338</v>
      </c>
      <c r="F2454" s="76">
        <f>J2454+H2454+L2454</f>
        <v>176338</v>
      </c>
      <c r="G2454" s="78">
        <f>일위대가목록표!F723</f>
        <v>176338</v>
      </c>
      <c r="H2454" s="80">
        <f>IF(C2454=0,0,ROUNDDOWN(G2454*C2454,1))</f>
        <v>176338</v>
      </c>
      <c r="I2454" s="78">
        <f>일위대가목록표!G723</f>
        <v>0</v>
      </c>
      <c r="J2454" s="80">
        <f>IF(C2454=0,0,ROUNDDOWN(I2454*C2454,1))</f>
        <v>0</v>
      </c>
      <c r="K2454" s="78">
        <f>일위대가목록표!H723</f>
        <v>0</v>
      </c>
      <c r="L2454" s="80">
        <f>IF(C2454=0,0,ROUNDDOWN(K2454*C2454,1))</f>
        <v>0</v>
      </c>
      <c r="M2454" s="22" t="s">
        <v>7708</v>
      </c>
      <c r="N2454" s="17" t="s">
        <v>7706</v>
      </c>
      <c r="O2454" s="7" t="s">
        <v>7707</v>
      </c>
      <c r="P2454" s="7" t="s">
        <v>6406</v>
      </c>
      <c r="Z2454" s="3" t="str">
        <f ca="1">HYPERLINK("#"&amp;일위대가목록표!J2&amp;"!A"&amp;ROW(일위대가목록표!A723),"대가720 →")</f>
        <v>대가720 →</v>
      </c>
    </row>
    <row r="2455" spans="1:26" ht="28.7" customHeight="1" x14ac:dyDescent="0.3">
      <c r="A2455" s="22" t="s">
        <v>6</v>
      </c>
      <c r="B2455" s="74"/>
      <c r="C2455" s="74"/>
      <c r="D2455" s="74"/>
      <c r="E2455" s="74"/>
      <c r="F2455" s="48">
        <f>J2455+H2455+L2455</f>
        <v>176338</v>
      </c>
      <c r="G2455" s="74"/>
      <c r="H2455" s="48">
        <f>ROUNDDOWN(SUMIF(P2454:P2454,O2455,H2454:H2454),0)</f>
        <v>176338</v>
      </c>
      <c r="I2455" s="74"/>
      <c r="J2455" s="48">
        <f>ROUNDDOWN(SUMIF(P2454:P2454,O2455,J2454:J2454),0)</f>
        <v>0</v>
      </c>
      <c r="K2455" s="74"/>
      <c r="L2455" s="48">
        <f>ROUNDDOWN(SUMIF(P2454:P2454,O2455,L2454:L2454),0)</f>
        <v>0</v>
      </c>
      <c r="M2455" s="74"/>
      <c r="O2455" s="7" t="s">
        <v>6406</v>
      </c>
    </row>
    <row r="2456" spans="1:26" ht="28.7" customHeight="1" x14ac:dyDescent="0.3">
      <c r="A2456" s="73"/>
      <c r="B2456" s="73"/>
      <c r="C2456" s="73"/>
      <c r="D2456" s="73"/>
      <c r="E2456" s="73"/>
      <c r="F2456" s="73"/>
      <c r="G2456" s="73"/>
      <c r="H2456" s="73"/>
      <c r="I2456" s="73"/>
      <c r="J2456" s="73"/>
      <c r="K2456" s="73"/>
      <c r="L2456" s="73"/>
      <c r="M2456" s="73"/>
    </row>
    <row r="2457" spans="1:26" ht="28.7" customHeight="1" x14ac:dyDescent="0.3">
      <c r="A2457" s="136" t="s">
        <v>1404</v>
      </c>
      <c r="B2457" s="127"/>
      <c r="C2457" s="127"/>
      <c r="D2457" s="127"/>
      <c r="E2457" s="127"/>
      <c r="F2457" s="127"/>
      <c r="G2457" s="127"/>
      <c r="H2457" s="127"/>
      <c r="I2457" s="127"/>
      <c r="J2457" s="127"/>
      <c r="K2457" s="127"/>
      <c r="L2457" s="144"/>
      <c r="M2457" s="22" t="s">
        <v>8189</v>
      </c>
      <c r="N2457" s="84" t="str">
        <f>HYPERLINK("#N"&amp;ROW(N2458),"_x0005_`BDCOD|B05475_x0007_`POSS|"&amp;ROW(N2458)&amp;"_x0007_`POSE|"&amp;ROW(N2458)&amp;"_x0007_`")</f>
        <v>_x0005_`BDCOD|B05475_x0007_`POSS|2458_x0007_`POSE|2458_x0007_`</v>
      </c>
      <c r="O2457" s="7" t="s">
        <v>8190</v>
      </c>
    </row>
    <row r="2458" spans="1:26" ht="28.7" customHeight="1" x14ac:dyDescent="0.3">
      <c r="A2458" s="10" t="s">
        <v>1842</v>
      </c>
      <c r="B2458" s="10" t="s">
        <v>1839</v>
      </c>
      <c r="C2458" s="75">
        <v>1</v>
      </c>
      <c r="D2458" s="31" t="s">
        <v>1010</v>
      </c>
      <c r="E2458" s="55">
        <f>I2458+G2458+K2458</f>
        <v>29649</v>
      </c>
      <c r="F2458" s="76">
        <f>J2458+H2458+L2458</f>
        <v>29649</v>
      </c>
      <c r="G2458" s="78">
        <f>일위대가목록표!F713</f>
        <v>28786</v>
      </c>
      <c r="H2458" s="80">
        <f>IF(C2458=0,0,ROUNDDOWN(G2458*C2458,1))</f>
        <v>28786</v>
      </c>
      <c r="I2458" s="78">
        <f>일위대가목록표!G713</f>
        <v>0</v>
      </c>
      <c r="J2458" s="80">
        <f>IF(C2458=0,0,ROUNDDOWN(I2458*C2458,1))</f>
        <v>0</v>
      </c>
      <c r="K2458" s="78">
        <f>일위대가목록표!H713</f>
        <v>863</v>
      </c>
      <c r="L2458" s="80">
        <f>IF(C2458=0,0,ROUNDDOWN(K2458*C2458,1))</f>
        <v>863</v>
      </c>
      <c r="M2458" s="22" t="s">
        <v>7713</v>
      </c>
      <c r="N2458" s="17" t="s">
        <v>7711</v>
      </c>
      <c r="O2458" s="7" t="s">
        <v>7712</v>
      </c>
      <c r="P2458" s="7" t="s">
        <v>6406</v>
      </c>
      <c r="Z2458" s="3" t="str">
        <f ca="1">HYPERLINK("#"&amp;일위대가목록표!J2&amp;"!A"&amp;ROW(일위대가목록표!A713),"대가710 →")</f>
        <v>대가710 →</v>
      </c>
    </row>
    <row r="2459" spans="1:26" ht="28.7" customHeight="1" x14ac:dyDescent="0.3">
      <c r="A2459" s="22" t="s">
        <v>6</v>
      </c>
      <c r="B2459" s="74"/>
      <c r="C2459" s="74"/>
      <c r="D2459" s="74"/>
      <c r="E2459" s="74"/>
      <c r="F2459" s="48">
        <f>J2459+H2459+L2459</f>
        <v>29649</v>
      </c>
      <c r="G2459" s="74"/>
      <c r="H2459" s="48">
        <f>ROUNDDOWN(SUMIF(P2458:P2458,O2459,H2458:H2458),0)</f>
        <v>28786</v>
      </c>
      <c r="I2459" s="74"/>
      <c r="J2459" s="48">
        <f>ROUNDDOWN(SUMIF(P2458:P2458,O2459,J2458:J2458),0)</f>
        <v>0</v>
      </c>
      <c r="K2459" s="74"/>
      <c r="L2459" s="48">
        <f>ROUNDDOWN(SUMIF(P2458:P2458,O2459,L2458:L2458),0)</f>
        <v>863</v>
      </c>
      <c r="M2459" s="74"/>
      <c r="O2459" s="7" t="s">
        <v>6406</v>
      </c>
    </row>
    <row r="2460" spans="1:26" ht="28.7" customHeight="1" x14ac:dyDescent="0.3">
      <c r="A2460" s="73"/>
      <c r="B2460" s="73"/>
      <c r="C2460" s="73"/>
      <c r="D2460" s="73"/>
      <c r="E2460" s="73"/>
      <c r="F2460" s="73"/>
      <c r="G2460" s="73"/>
      <c r="H2460" s="73"/>
      <c r="I2460" s="73"/>
      <c r="J2460" s="73"/>
      <c r="K2460" s="73"/>
      <c r="L2460" s="73"/>
      <c r="M2460" s="73"/>
    </row>
    <row r="2461" spans="1:26" ht="28.7" customHeight="1" x14ac:dyDescent="0.3">
      <c r="A2461" s="136" t="s">
        <v>1407</v>
      </c>
      <c r="B2461" s="127"/>
      <c r="C2461" s="127"/>
      <c r="D2461" s="127"/>
      <c r="E2461" s="127"/>
      <c r="F2461" s="127"/>
      <c r="G2461" s="127"/>
      <c r="H2461" s="127"/>
      <c r="I2461" s="127"/>
      <c r="J2461" s="127"/>
      <c r="K2461" s="127"/>
      <c r="L2461" s="144"/>
      <c r="M2461" s="22" t="s">
        <v>8191</v>
      </c>
      <c r="N2461" s="84" t="str">
        <f>HYPERLINK("#N"&amp;ROW(N2462),"_x0005_`BDCOD|B05476_x0007_`POSS|"&amp;ROW(N2462)&amp;"_x0007_`POSE|"&amp;ROW(N2462)&amp;"_x0007_`")</f>
        <v>_x0005_`BDCOD|B05476_x0007_`POSS|2462_x0007_`POSE|2462_x0007_`</v>
      </c>
      <c r="O2461" s="7" t="s">
        <v>8192</v>
      </c>
    </row>
    <row r="2462" spans="1:26" ht="28.7" customHeight="1" x14ac:dyDescent="0.3">
      <c r="A2462" s="10" t="s">
        <v>1842</v>
      </c>
      <c r="B2462" s="10" t="s">
        <v>1848</v>
      </c>
      <c r="C2462" s="75">
        <v>1</v>
      </c>
      <c r="D2462" s="31" t="s">
        <v>1010</v>
      </c>
      <c r="E2462" s="55">
        <f>I2462+G2462+K2462</f>
        <v>41619</v>
      </c>
      <c r="F2462" s="76">
        <f>J2462+H2462+L2462</f>
        <v>41619</v>
      </c>
      <c r="G2462" s="78">
        <f>일위대가목록표!F716</f>
        <v>41619</v>
      </c>
      <c r="H2462" s="80">
        <f>IF(C2462=0,0,ROUNDDOWN(G2462*C2462,1))</f>
        <v>41619</v>
      </c>
      <c r="I2462" s="78">
        <f>일위대가목록표!G716</f>
        <v>0</v>
      </c>
      <c r="J2462" s="80">
        <f>IF(C2462=0,0,ROUNDDOWN(I2462*C2462,1))</f>
        <v>0</v>
      </c>
      <c r="K2462" s="78">
        <f>일위대가목록표!H716</f>
        <v>0</v>
      </c>
      <c r="L2462" s="80">
        <f>IF(C2462=0,0,ROUNDDOWN(K2462*C2462,1))</f>
        <v>0</v>
      </c>
      <c r="M2462" s="22" t="s">
        <v>7718</v>
      </c>
      <c r="N2462" s="17" t="s">
        <v>7716</v>
      </c>
      <c r="O2462" s="7" t="s">
        <v>7717</v>
      </c>
      <c r="P2462" s="7" t="s">
        <v>6406</v>
      </c>
      <c r="Z2462" s="3" t="str">
        <f ca="1">HYPERLINK("#"&amp;일위대가목록표!J2&amp;"!A"&amp;ROW(일위대가목록표!A716),"대가713 →")</f>
        <v>대가713 →</v>
      </c>
    </row>
    <row r="2463" spans="1:26" ht="28.7" customHeight="1" x14ac:dyDescent="0.3">
      <c r="A2463" s="22" t="s">
        <v>6</v>
      </c>
      <c r="B2463" s="74"/>
      <c r="C2463" s="74"/>
      <c r="D2463" s="74"/>
      <c r="E2463" s="74"/>
      <c r="F2463" s="48">
        <f>J2463+H2463+L2463</f>
        <v>41619</v>
      </c>
      <c r="G2463" s="74"/>
      <c r="H2463" s="48">
        <f>ROUNDDOWN(SUMIF(P2462:P2462,O2463,H2462:H2462),0)</f>
        <v>41619</v>
      </c>
      <c r="I2463" s="74"/>
      <c r="J2463" s="48">
        <f>ROUNDDOWN(SUMIF(P2462:P2462,O2463,J2462:J2462),0)</f>
        <v>0</v>
      </c>
      <c r="K2463" s="74"/>
      <c r="L2463" s="48">
        <f>ROUNDDOWN(SUMIF(P2462:P2462,O2463,L2462:L2462),0)</f>
        <v>0</v>
      </c>
      <c r="M2463" s="74"/>
      <c r="O2463" s="7" t="s">
        <v>6406</v>
      </c>
    </row>
    <row r="2464" spans="1:26" ht="28.7" customHeight="1" x14ac:dyDescent="0.3">
      <c r="A2464" s="73"/>
      <c r="B2464" s="73"/>
      <c r="C2464" s="73"/>
      <c r="D2464" s="73"/>
      <c r="E2464" s="73"/>
      <c r="F2464" s="73"/>
      <c r="G2464" s="73"/>
      <c r="H2464" s="73"/>
      <c r="I2464" s="73"/>
      <c r="J2464" s="73"/>
      <c r="K2464" s="73"/>
      <c r="L2464" s="73"/>
      <c r="M2464" s="73"/>
    </row>
    <row r="2465" spans="1:26" ht="28.7" customHeight="1" x14ac:dyDescent="0.3">
      <c r="A2465" s="136" t="s">
        <v>1409</v>
      </c>
      <c r="B2465" s="127"/>
      <c r="C2465" s="127"/>
      <c r="D2465" s="127"/>
      <c r="E2465" s="127"/>
      <c r="F2465" s="127"/>
      <c r="G2465" s="127"/>
      <c r="H2465" s="127"/>
      <c r="I2465" s="127"/>
      <c r="J2465" s="127"/>
      <c r="K2465" s="127"/>
      <c r="L2465" s="144"/>
      <c r="M2465" s="22" t="s">
        <v>8193</v>
      </c>
      <c r="N2465" s="84" t="str">
        <f>HYPERLINK("#N"&amp;ROW(N2466),"_x0005_`BDCOD|B05477_x0007_`POSS|"&amp;ROW(N2466)&amp;"_x0007_`POSE|"&amp;ROW(N2466)&amp;"_x0007_`")</f>
        <v>_x0005_`BDCOD|B05477_x0007_`POSS|2466_x0007_`POSE|2466_x0007_`</v>
      </c>
      <c r="O2465" s="7" t="s">
        <v>8194</v>
      </c>
    </row>
    <row r="2466" spans="1:26" ht="28.7" customHeight="1" x14ac:dyDescent="0.3">
      <c r="A2466" s="10" t="s">
        <v>1842</v>
      </c>
      <c r="B2466" s="10" t="s">
        <v>1855</v>
      </c>
      <c r="C2466" s="75">
        <v>1</v>
      </c>
      <c r="D2466" s="31" t="s">
        <v>1010</v>
      </c>
      <c r="E2466" s="55">
        <f>I2466+G2466+K2466</f>
        <v>54234</v>
      </c>
      <c r="F2466" s="76">
        <f>J2466+H2466+L2466</f>
        <v>54234</v>
      </c>
      <c r="G2466" s="78">
        <f>일위대가목록표!F719</f>
        <v>54234</v>
      </c>
      <c r="H2466" s="80">
        <f>IF(C2466=0,0,ROUNDDOWN(G2466*C2466,1))</f>
        <v>54234</v>
      </c>
      <c r="I2466" s="78">
        <f>일위대가목록표!G719</f>
        <v>0</v>
      </c>
      <c r="J2466" s="80">
        <f>IF(C2466=0,0,ROUNDDOWN(I2466*C2466,1))</f>
        <v>0</v>
      </c>
      <c r="K2466" s="78">
        <f>일위대가목록표!H719</f>
        <v>0</v>
      </c>
      <c r="L2466" s="80">
        <f>IF(C2466=0,0,ROUNDDOWN(K2466*C2466,1))</f>
        <v>0</v>
      </c>
      <c r="M2466" s="22" t="s">
        <v>7723</v>
      </c>
      <c r="N2466" s="17" t="s">
        <v>7721</v>
      </c>
      <c r="O2466" s="7" t="s">
        <v>7722</v>
      </c>
      <c r="P2466" s="7" t="s">
        <v>6406</v>
      </c>
      <c r="Z2466" s="3" t="str">
        <f ca="1">HYPERLINK("#"&amp;일위대가목록표!J2&amp;"!A"&amp;ROW(일위대가목록표!A719),"대가716 →")</f>
        <v>대가716 →</v>
      </c>
    </row>
    <row r="2467" spans="1:26" ht="28.7" customHeight="1" x14ac:dyDescent="0.3">
      <c r="A2467" s="22" t="s">
        <v>6</v>
      </c>
      <c r="B2467" s="74"/>
      <c r="C2467" s="74"/>
      <c r="D2467" s="74"/>
      <c r="E2467" s="74"/>
      <c r="F2467" s="48">
        <f>J2467+H2467+L2467</f>
        <v>54234</v>
      </c>
      <c r="G2467" s="74"/>
      <c r="H2467" s="48">
        <f>ROUNDDOWN(SUMIF(P2466:P2466,O2467,H2466:H2466),0)</f>
        <v>54234</v>
      </c>
      <c r="I2467" s="74"/>
      <c r="J2467" s="48">
        <f>ROUNDDOWN(SUMIF(P2466:P2466,O2467,J2466:J2466),0)</f>
        <v>0</v>
      </c>
      <c r="K2467" s="74"/>
      <c r="L2467" s="48">
        <f>ROUNDDOWN(SUMIF(P2466:P2466,O2467,L2466:L2466),0)</f>
        <v>0</v>
      </c>
      <c r="M2467" s="74"/>
      <c r="O2467" s="7" t="s">
        <v>6406</v>
      </c>
    </row>
    <row r="2468" spans="1:26" ht="28.7" customHeight="1" x14ac:dyDescent="0.3">
      <c r="A2468" s="73"/>
      <c r="B2468" s="73"/>
      <c r="C2468" s="73"/>
      <c r="D2468" s="73"/>
      <c r="E2468" s="73"/>
      <c r="F2468" s="73"/>
      <c r="G2468" s="73"/>
      <c r="H2468" s="73"/>
      <c r="I2468" s="73"/>
      <c r="J2468" s="73"/>
      <c r="K2468" s="73"/>
      <c r="L2468" s="73"/>
      <c r="M2468" s="73"/>
    </row>
    <row r="2469" spans="1:26" ht="28.7" customHeight="1" x14ac:dyDescent="0.3">
      <c r="A2469" s="136" t="s">
        <v>1411</v>
      </c>
      <c r="B2469" s="127"/>
      <c r="C2469" s="127"/>
      <c r="D2469" s="127"/>
      <c r="E2469" s="127"/>
      <c r="F2469" s="127"/>
      <c r="G2469" s="127"/>
      <c r="H2469" s="127"/>
      <c r="I2469" s="127"/>
      <c r="J2469" s="127"/>
      <c r="K2469" s="127"/>
      <c r="L2469" s="144"/>
      <c r="M2469" s="22" t="s">
        <v>8195</v>
      </c>
      <c r="N2469" s="84" t="str">
        <f>HYPERLINK("#N"&amp;ROW(N2470),"_x0005_`BDCOD|B05478_x0007_`POSS|"&amp;ROW(N2470)&amp;"_x0007_`POSE|"&amp;ROW(N2470)&amp;"_x0007_`")</f>
        <v>_x0005_`BDCOD|B05478_x0007_`POSS|2470_x0007_`POSE|2470_x0007_`</v>
      </c>
      <c r="O2469" s="7" t="s">
        <v>8196</v>
      </c>
    </row>
    <row r="2470" spans="1:26" ht="28.7" customHeight="1" x14ac:dyDescent="0.3">
      <c r="A2470" s="10" t="s">
        <v>1842</v>
      </c>
      <c r="B2470" s="10" t="s">
        <v>1862</v>
      </c>
      <c r="C2470" s="75">
        <v>1</v>
      </c>
      <c r="D2470" s="31" t="s">
        <v>1010</v>
      </c>
      <c r="E2470" s="55">
        <f>I2470+G2470+K2470</f>
        <v>70535</v>
      </c>
      <c r="F2470" s="76">
        <f>J2470+H2470+L2470</f>
        <v>70535</v>
      </c>
      <c r="G2470" s="78">
        <f>일위대가목록표!F722</f>
        <v>70535</v>
      </c>
      <c r="H2470" s="80">
        <f>IF(C2470=0,0,ROUNDDOWN(G2470*C2470,1))</f>
        <v>70535</v>
      </c>
      <c r="I2470" s="78">
        <f>일위대가목록표!G722</f>
        <v>0</v>
      </c>
      <c r="J2470" s="80">
        <f>IF(C2470=0,0,ROUNDDOWN(I2470*C2470,1))</f>
        <v>0</v>
      </c>
      <c r="K2470" s="78">
        <f>일위대가목록표!H722</f>
        <v>0</v>
      </c>
      <c r="L2470" s="80">
        <f>IF(C2470=0,0,ROUNDDOWN(K2470*C2470,1))</f>
        <v>0</v>
      </c>
      <c r="M2470" s="22" t="s">
        <v>7728</v>
      </c>
      <c r="N2470" s="17" t="s">
        <v>7726</v>
      </c>
      <c r="O2470" s="7" t="s">
        <v>7727</v>
      </c>
      <c r="P2470" s="7" t="s">
        <v>6406</v>
      </c>
      <c r="Z2470" s="3" t="str">
        <f ca="1">HYPERLINK("#"&amp;일위대가목록표!J2&amp;"!A"&amp;ROW(일위대가목록표!A722),"대가719 →")</f>
        <v>대가719 →</v>
      </c>
    </row>
    <row r="2471" spans="1:26" ht="28.7" customHeight="1" x14ac:dyDescent="0.3">
      <c r="A2471" s="22" t="s">
        <v>6</v>
      </c>
      <c r="B2471" s="74"/>
      <c r="C2471" s="74"/>
      <c r="D2471" s="74"/>
      <c r="E2471" s="74"/>
      <c r="F2471" s="48">
        <f>J2471+H2471+L2471</f>
        <v>70535</v>
      </c>
      <c r="G2471" s="74"/>
      <c r="H2471" s="48">
        <f>ROUNDDOWN(SUMIF(P2470:P2470,O2471,H2470:H2470),0)</f>
        <v>70535</v>
      </c>
      <c r="I2471" s="74"/>
      <c r="J2471" s="48">
        <f>ROUNDDOWN(SUMIF(P2470:P2470,O2471,J2470:J2470),0)</f>
        <v>0</v>
      </c>
      <c r="K2471" s="74"/>
      <c r="L2471" s="48">
        <f>ROUNDDOWN(SUMIF(P2470:P2470,O2471,L2470:L2470),0)</f>
        <v>0</v>
      </c>
      <c r="M2471" s="74"/>
      <c r="O2471" s="7" t="s">
        <v>6406</v>
      </c>
    </row>
    <row r="2472" spans="1:26" ht="28.7" customHeight="1" x14ac:dyDescent="0.3">
      <c r="A2472" s="73"/>
      <c r="B2472" s="73"/>
      <c r="C2472" s="73"/>
      <c r="D2472" s="73"/>
      <c r="E2472" s="73"/>
      <c r="F2472" s="73"/>
      <c r="G2472" s="73"/>
      <c r="H2472" s="73"/>
      <c r="I2472" s="73"/>
      <c r="J2472" s="73"/>
      <c r="K2472" s="73"/>
      <c r="L2472" s="73"/>
      <c r="M2472" s="73"/>
    </row>
    <row r="2473" spans="1:26" ht="28.7" customHeight="1" x14ac:dyDescent="0.3">
      <c r="A2473" s="136" t="s">
        <v>1413</v>
      </c>
      <c r="B2473" s="127"/>
      <c r="C2473" s="127"/>
      <c r="D2473" s="127"/>
      <c r="E2473" s="127"/>
      <c r="F2473" s="127"/>
      <c r="G2473" s="127"/>
      <c r="H2473" s="127"/>
      <c r="I2473" s="127"/>
      <c r="J2473" s="127"/>
      <c r="K2473" s="127"/>
      <c r="L2473" s="144"/>
      <c r="M2473" s="22" t="s">
        <v>8197</v>
      </c>
      <c r="N2473" s="84" t="str">
        <f>HYPERLINK("#N"&amp;ROW(N2475),"_x0005_`BDCOD|B05055_x0007_`POSS|"&amp;ROW(N2474)&amp;"_x0007_`POSE|"&amp;ROW(N2475)&amp;"_x0007_`")</f>
        <v>_x0005_`BDCOD|B05055_x0007_`POSS|2474_x0007_`POSE|2475_x0007_`</v>
      </c>
      <c r="O2473" s="7" t="s">
        <v>8198</v>
      </c>
    </row>
    <row r="2474" spans="1:26" ht="28.7" customHeight="1" x14ac:dyDescent="0.3">
      <c r="A2474" s="10" t="s">
        <v>1427</v>
      </c>
      <c r="B2474" s="10" t="s">
        <v>3137</v>
      </c>
      <c r="C2474" s="75">
        <v>1</v>
      </c>
      <c r="D2474" s="31" t="s">
        <v>1010</v>
      </c>
      <c r="E2474" s="55">
        <f>I2474+G2474+K2474</f>
        <v>150000</v>
      </c>
      <c r="F2474" s="76">
        <f>J2474+H2474+L2474</f>
        <v>150000</v>
      </c>
      <c r="G2474" s="78">
        <f>일식견적목록표!F13</f>
        <v>150000</v>
      </c>
      <c r="H2474" s="80">
        <f>IF(C2474=0,0,ROUNDDOWN(G2474*C2474,1))</f>
        <v>150000</v>
      </c>
      <c r="I2474" s="78">
        <f>일식견적목록표!G13</f>
        <v>0</v>
      </c>
      <c r="J2474" s="80">
        <f>IF(C2474=0,0,ROUNDDOWN(I2474*C2474,1))</f>
        <v>0</v>
      </c>
      <c r="K2474" s="78">
        <f>일식견적목록표!H13</f>
        <v>0</v>
      </c>
      <c r="L2474" s="80">
        <f>IF(C2474=0,0,ROUNDDOWN(K2474*C2474,1))</f>
        <v>0</v>
      </c>
      <c r="M2474" s="22" t="s">
        <v>8201</v>
      </c>
      <c r="N2474" s="17" t="s">
        <v>8199</v>
      </c>
      <c r="O2474" s="7" t="s">
        <v>8200</v>
      </c>
      <c r="P2474" s="7" t="s">
        <v>6406</v>
      </c>
      <c r="Z2474" s="3" t="str">
        <f ca="1">HYPERLINK("#"&amp;일식견적목록표!J2&amp;"!A"&amp;ROW(일식견적목록표!A13),"기타10 →")</f>
        <v>기타10 →</v>
      </c>
    </row>
    <row r="2475" spans="1:26" ht="28.7" customHeight="1" x14ac:dyDescent="0.3">
      <c r="A2475" s="10" t="s">
        <v>1415</v>
      </c>
      <c r="B2475" s="10" t="s">
        <v>1416</v>
      </c>
      <c r="C2475" s="75">
        <v>1</v>
      </c>
      <c r="D2475" s="31" t="s">
        <v>1010</v>
      </c>
      <c r="E2475" s="55">
        <f>I2475+G2475+K2475</f>
        <v>257000</v>
      </c>
      <c r="F2475" s="77">
        <f>J2475+H2475+L2475</f>
        <v>257000</v>
      </c>
      <c r="G2475" s="51">
        <v>0</v>
      </c>
      <c r="H2475" s="76">
        <f>IF(C2475=0,0,ROUNDDOWN(G2475*C2475,1))</f>
        <v>0</v>
      </c>
      <c r="I2475" s="78">
        <f>재료비목록표!E234</f>
        <v>257000</v>
      </c>
      <c r="J2475" s="81">
        <f>IF(C2475=0,0,ROUNDDOWN(I2475*C2475,1))</f>
        <v>257000</v>
      </c>
      <c r="K2475" s="51">
        <v>0</v>
      </c>
      <c r="L2475" s="76">
        <f>IF(C2475=0,0,ROUNDDOWN(K2475*C2475,1))</f>
        <v>0</v>
      </c>
      <c r="M2475" s="22" t="s">
        <v>8204</v>
      </c>
      <c r="N2475" s="17" t="s">
        <v>8202</v>
      </c>
      <c r="O2475" s="7" t="s">
        <v>8203</v>
      </c>
      <c r="P2475" s="7" t="s">
        <v>6406</v>
      </c>
      <c r="Z2475" s="3" t="str">
        <f ca="1">HYPERLINK("#"&amp;재료비목록표!G2&amp;"!A"&amp;ROW(재료비목록표!A234),"자재231 →")</f>
        <v>자재231 →</v>
      </c>
    </row>
    <row r="2476" spans="1:26" ht="28.7" customHeight="1" x14ac:dyDescent="0.3">
      <c r="A2476" s="22" t="s">
        <v>6</v>
      </c>
      <c r="B2476" s="74"/>
      <c r="C2476" s="74"/>
      <c r="D2476" s="74"/>
      <c r="E2476" s="74"/>
      <c r="F2476" s="48">
        <f>J2476+H2476+L2476</f>
        <v>407000</v>
      </c>
      <c r="G2476" s="74"/>
      <c r="H2476" s="48">
        <f>ROUNDDOWN(SUMIF(P2474:P2475,O2476,H2474:H2475),0)</f>
        <v>150000</v>
      </c>
      <c r="I2476" s="74"/>
      <c r="J2476" s="48">
        <f>ROUNDDOWN(SUMIF(P2474:P2475,O2476,J2474:J2475),0)</f>
        <v>257000</v>
      </c>
      <c r="K2476" s="74"/>
      <c r="L2476" s="48">
        <f>ROUNDDOWN(SUMIF(P2474:P2475,O2476,L2474:L2475),0)</f>
        <v>0</v>
      </c>
      <c r="M2476" s="74"/>
      <c r="O2476" s="7" t="s">
        <v>6406</v>
      </c>
    </row>
    <row r="2477" spans="1:26" ht="28.7" customHeight="1" x14ac:dyDescent="0.3">
      <c r="A2477" s="73"/>
      <c r="B2477" s="73"/>
      <c r="C2477" s="73"/>
      <c r="D2477" s="73"/>
      <c r="E2477" s="73"/>
      <c r="F2477" s="73"/>
      <c r="G2477" s="73"/>
      <c r="H2477" s="73"/>
      <c r="I2477" s="73"/>
      <c r="J2477" s="73"/>
      <c r="K2477" s="73"/>
      <c r="L2477" s="73"/>
      <c r="M2477" s="73"/>
    </row>
    <row r="2478" spans="1:26" ht="28.7" customHeight="1" x14ac:dyDescent="0.3">
      <c r="A2478" s="136" t="s">
        <v>1417</v>
      </c>
      <c r="B2478" s="127"/>
      <c r="C2478" s="127"/>
      <c r="D2478" s="127"/>
      <c r="E2478" s="127"/>
      <c r="F2478" s="127"/>
      <c r="G2478" s="127"/>
      <c r="H2478" s="127"/>
      <c r="I2478" s="127"/>
      <c r="J2478" s="127"/>
      <c r="K2478" s="127"/>
      <c r="L2478" s="144"/>
      <c r="M2478" s="22" t="s">
        <v>8205</v>
      </c>
      <c r="N2478" s="84" t="str">
        <f>HYPERLINK("#N"&amp;ROW(N2480),"_x0005_`BDCOD|B05056_x0007_`POSS|"&amp;ROW(N2479)&amp;"_x0007_`POSE|"&amp;ROW(N2480)&amp;"_x0007_`")</f>
        <v>_x0005_`BDCOD|B05056_x0007_`POSS|2479_x0007_`POSE|2480_x0007_`</v>
      </c>
      <c r="O2478" s="7" t="s">
        <v>8206</v>
      </c>
    </row>
    <row r="2479" spans="1:26" ht="28.7" customHeight="1" x14ac:dyDescent="0.3">
      <c r="A2479" s="10" t="s">
        <v>1427</v>
      </c>
      <c r="B2479" s="10" t="s">
        <v>3139</v>
      </c>
      <c r="C2479" s="75">
        <v>1</v>
      </c>
      <c r="D2479" s="31" t="s">
        <v>1010</v>
      </c>
      <c r="E2479" s="55">
        <f>I2479+G2479+K2479</f>
        <v>150000</v>
      </c>
      <c r="F2479" s="76">
        <f>J2479+H2479+L2479</f>
        <v>150000</v>
      </c>
      <c r="G2479" s="78">
        <f>일식견적목록표!F14</f>
        <v>150000</v>
      </c>
      <c r="H2479" s="80">
        <f>IF(C2479=0,0,ROUNDDOWN(G2479*C2479,1))</f>
        <v>150000</v>
      </c>
      <c r="I2479" s="78">
        <f>일식견적목록표!G14</f>
        <v>0</v>
      </c>
      <c r="J2479" s="80">
        <f>IF(C2479=0,0,ROUNDDOWN(I2479*C2479,1))</f>
        <v>0</v>
      </c>
      <c r="K2479" s="78">
        <f>일식견적목록표!H14</f>
        <v>0</v>
      </c>
      <c r="L2479" s="80">
        <f>IF(C2479=0,0,ROUNDDOWN(K2479*C2479,1))</f>
        <v>0</v>
      </c>
      <c r="M2479" s="22" t="s">
        <v>8209</v>
      </c>
      <c r="N2479" s="17" t="s">
        <v>8207</v>
      </c>
      <c r="O2479" s="7" t="s">
        <v>8208</v>
      </c>
      <c r="P2479" s="7" t="s">
        <v>6406</v>
      </c>
      <c r="Z2479" s="3" t="str">
        <f ca="1">HYPERLINK("#"&amp;일식견적목록표!J2&amp;"!A"&amp;ROW(일식견적목록표!A14),"기타11 →")</f>
        <v>기타11 →</v>
      </c>
    </row>
    <row r="2480" spans="1:26" ht="28.7" customHeight="1" x14ac:dyDescent="0.3">
      <c r="A2480" s="10" t="s">
        <v>1415</v>
      </c>
      <c r="B2480" s="10" t="s">
        <v>1419</v>
      </c>
      <c r="C2480" s="75">
        <v>1</v>
      </c>
      <c r="D2480" s="31" t="s">
        <v>1010</v>
      </c>
      <c r="E2480" s="55">
        <f>I2480+G2480+K2480</f>
        <v>321000</v>
      </c>
      <c r="F2480" s="77">
        <f>J2480+H2480+L2480</f>
        <v>321000</v>
      </c>
      <c r="G2480" s="51">
        <v>0</v>
      </c>
      <c r="H2480" s="76">
        <f>IF(C2480=0,0,ROUNDDOWN(G2480*C2480,1))</f>
        <v>0</v>
      </c>
      <c r="I2480" s="78">
        <f>재료비목록표!E235</f>
        <v>321000</v>
      </c>
      <c r="J2480" s="81">
        <f>IF(C2480=0,0,ROUNDDOWN(I2480*C2480,1))</f>
        <v>321000</v>
      </c>
      <c r="K2480" s="51">
        <v>0</v>
      </c>
      <c r="L2480" s="76">
        <f>IF(C2480=0,0,ROUNDDOWN(K2480*C2480,1))</f>
        <v>0</v>
      </c>
      <c r="M2480" s="22" t="s">
        <v>8212</v>
      </c>
      <c r="N2480" s="17" t="s">
        <v>8210</v>
      </c>
      <c r="O2480" s="7" t="s">
        <v>8211</v>
      </c>
      <c r="P2480" s="7" t="s">
        <v>6406</v>
      </c>
      <c r="Z2480" s="3" t="str">
        <f ca="1">HYPERLINK("#"&amp;재료비목록표!G2&amp;"!A"&amp;ROW(재료비목록표!A235),"자재232 →")</f>
        <v>자재232 →</v>
      </c>
    </row>
    <row r="2481" spans="1:26" ht="28.7" customHeight="1" x14ac:dyDescent="0.3">
      <c r="A2481" s="22" t="s">
        <v>6</v>
      </c>
      <c r="B2481" s="74"/>
      <c r="C2481" s="74"/>
      <c r="D2481" s="74"/>
      <c r="E2481" s="74"/>
      <c r="F2481" s="48">
        <f>J2481+H2481+L2481</f>
        <v>471000</v>
      </c>
      <c r="G2481" s="74"/>
      <c r="H2481" s="48">
        <f>ROUNDDOWN(SUMIF(P2479:P2480,O2481,H2479:H2480),0)</f>
        <v>150000</v>
      </c>
      <c r="I2481" s="74"/>
      <c r="J2481" s="48">
        <f>ROUNDDOWN(SUMIF(P2479:P2480,O2481,J2479:J2480),0)</f>
        <v>321000</v>
      </c>
      <c r="K2481" s="74"/>
      <c r="L2481" s="48">
        <f>ROUNDDOWN(SUMIF(P2479:P2480,O2481,L2479:L2480),0)</f>
        <v>0</v>
      </c>
      <c r="M2481" s="74"/>
      <c r="O2481" s="7" t="s">
        <v>6406</v>
      </c>
    </row>
    <row r="2482" spans="1:26" ht="28.7" customHeight="1" x14ac:dyDescent="0.3">
      <c r="A2482" s="73"/>
      <c r="B2482" s="73"/>
      <c r="C2482" s="73"/>
      <c r="D2482" s="73"/>
      <c r="E2482" s="73"/>
      <c r="F2482" s="73"/>
      <c r="G2482" s="73"/>
      <c r="H2482" s="73"/>
      <c r="I2482" s="73"/>
      <c r="J2482" s="73"/>
      <c r="K2482" s="73"/>
      <c r="L2482" s="73"/>
      <c r="M2482" s="73"/>
    </row>
    <row r="2483" spans="1:26" ht="28.7" customHeight="1" x14ac:dyDescent="0.3">
      <c r="A2483" s="136" t="s">
        <v>1420</v>
      </c>
      <c r="B2483" s="127"/>
      <c r="C2483" s="127"/>
      <c r="D2483" s="127"/>
      <c r="E2483" s="127"/>
      <c r="F2483" s="127"/>
      <c r="G2483" s="127"/>
      <c r="H2483" s="127"/>
      <c r="I2483" s="127"/>
      <c r="J2483" s="127"/>
      <c r="K2483" s="127"/>
      <c r="L2483" s="144"/>
      <c r="M2483" s="22" t="s">
        <v>8213</v>
      </c>
      <c r="N2483" s="84" t="str">
        <f>HYPERLINK("#N"&amp;ROW(N2484),"_x0005_`BDCOD|B05479_x0007_`POSS|"&amp;ROW(N2484)&amp;"_x0007_`POSE|"&amp;ROW(N2484)&amp;"_x0007_`")</f>
        <v>_x0005_`BDCOD|B05479_x0007_`POSS|2484_x0007_`POSE|2484_x0007_`</v>
      </c>
      <c r="O2483" s="7" t="s">
        <v>8214</v>
      </c>
    </row>
    <row r="2484" spans="1:26" ht="28.7" customHeight="1" x14ac:dyDescent="0.3">
      <c r="A2484" s="10" t="s">
        <v>1427</v>
      </c>
      <c r="B2484" s="10" t="s">
        <v>3137</v>
      </c>
      <c r="C2484" s="75">
        <v>1</v>
      </c>
      <c r="D2484" s="31" t="s">
        <v>1010</v>
      </c>
      <c r="E2484" s="55">
        <f>I2484+G2484+K2484</f>
        <v>150000</v>
      </c>
      <c r="F2484" s="76">
        <f>J2484+H2484+L2484</f>
        <v>150000</v>
      </c>
      <c r="G2484" s="78">
        <f>일식견적목록표!F13</f>
        <v>150000</v>
      </c>
      <c r="H2484" s="80">
        <f>IF(C2484=0,0,ROUNDDOWN(G2484*C2484,1))</f>
        <v>150000</v>
      </c>
      <c r="I2484" s="78">
        <f>일식견적목록표!G13</f>
        <v>0</v>
      </c>
      <c r="J2484" s="80">
        <f>IF(C2484=0,0,ROUNDDOWN(I2484*C2484,1))</f>
        <v>0</v>
      </c>
      <c r="K2484" s="78">
        <f>일식견적목록표!H13</f>
        <v>0</v>
      </c>
      <c r="L2484" s="80">
        <f>IF(C2484=0,0,ROUNDDOWN(K2484*C2484,1))</f>
        <v>0</v>
      </c>
      <c r="M2484" s="22" t="s">
        <v>8201</v>
      </c>
      <c r="N2484" s="17" t="s">
        <v>8199</v>
      </c>
      <c r="O2484" s="7" t="s">
        <v>8200</v>
      </c>
      <c r="P2484" s="7" t="s">
        <v>6406</v>
      </c>
      <c r="Z2484" s="3" t="str">
        <f ca="1">HYPERLINK("#"&amp;일식견적목록표!J2&amp;"!A"&amp;ROW(일식견적목록표!A13),"기타10 →")</f>
        <v>기타10 →</v>
      </c>
    </row>
    <row r="2485" spans="1:26" ht="28.7" customHeight="1" x14ac:dyDescent="0.3">
      <c r="A2485" s="22" t="s">
        <v>6</v>
      </c>
      <c r="B2485" s="74"/>
      <c r="C2485" s="74"/>
      <c r="D2485" s="74"/>
      <c r="E2485" s="74"/>
      <c r="F2485" s="48">
        <f>J2485+H2485+L2485</f>
        <v>150000</v>
      </c>
      <c r="G2485" s="74"/>
      <c r="H2485" s="48">
        <f>ROUNDDOWN(SUMIF(P2484:P2484,O2485,H2484:H2484),0)</f>
        <v>150000</v>
      </c>
      <c r="I2485" s="74"/>
      <c r="J2485" s="48">
        <f>ROUNDDOWN(SUMIF(P2484:P2484,O2485,J2484:J2484),0)</f>
        <v>0</v>
      </c>
      <c r="K2485" s="74"/>
      <c r="L2485" s="48">
        <f>ROUNDDOWN(SUMIF(P2484:P2484,O2485,L2484:L2484),0)</f>
        <v>0</v>
      </c>
      <c r="M2485" s="74"/>
      <c r="O2485" s="7" t="s">
        <v>6406</v>
      </c>
    </row>
    <row r="2486" spans="1:26" ht="28.7" customHeight="1" x14ac:dyDescent="0.3">
      <c r="A2486" s="73"/>
      <c r="B2486" s="73"/>
      <c r="C2486" s="73"/>
      <c r="D2486" s="73"/>
      <c r="E2486" s="73"/>
      <c r="F2486" s="73"/>
      <c r="G2486" s="73"/>
      <c r="H2486" s="73"/>
      <c r="I2486" s="73"/>
      <c r="J2486" s="73"/>
      <c r="K2486" s="73"/>
      <c r="L2486" s="73"/>
      <c r="M2486" s="73"/>
    </row>
    <row r="2487" spans="1:26" ht="28.7" customHeight="1" x14ac:dyDescent="0.3">
      <c r="A2487" s="136" t="s">
        <v>1423</v>
      </c>
      <c r="B2487" s="127"/>
      <c r="C2487" s="127"/>
      <c r="D2487" s="127"/>
      <c r="E2487" s="127"/>
      <c r="F2487" s="127"/>
      <c r="G2487" s="127"/>
      <c r="H2487" s="127"/>
      <c r="I2487" s="127"/>
      <c r="J2487" s="127"/>
      <c r="K2487" s="127"/>
      <c r="L2487" s="144"/>
      <c r="M2487" s="22" t="s">
        <v>8215</v>
      </c>
      <c r="N2487" s="84" t="str">
        <f>HYPERLINK("#N"&amp;ROW(N2488),"_x0005_`BDCOD|B05480_x0007_`POSS|"&amp;ROW(N2488)&amp;"_x0007_`POSE|"&amp;ROW(N2488)&amp;"_x0007_`")</f>
        <v>_x0005_`BDCOD|B05480_x0007_`POSS|2488_x0007_`POSE|2488_x0007_`</v>
      </c>
      <c r="O2487" s="7" t="s">
        <v>8216</v>
      </c>
    </row>
    <row r="2488" spans="1:26" ht="28.7" customHeight="1" x14ac:dyDescent="0.3">
      <c r="A2488" s="10" t="s">
        <v>1427</v>
      </c>
      <c r="B2488" s="10" t="s">
        <v>3139</v>
      </c>
      <c r="C2488" s="75">
        <v>1</v>
      </c>
      <c r="D2488" s="31" t="s">
        <v>1010</v>
      </c>
      <c r="E2488" s="55">
        <f>I2488+G2488+K2488</f>
        <v>150000</v>
      </c>
      <c r="F2488" s="76">
        <f>J2488+H2488+L2488</f>
        <v>150000</v>
      </c>
      <c r="G2488" s="78">
        <f>일식견적목록표!F14</f>
        <v>150000</v>
      </c>
      <c r="H2488" s="80">
        <f>IF(C2488=0,0,ROUNDDOWN(G2488*C2488,1))</f>
        <v>150000</v>
      </c>
      <c r="I2488" s="78">
        <f>일식견적목록표!G14</f>
        <v>0</v>
      </c>
      <c r="J2488" s="80">
        <f>IF(C2488=0,0,ROUNDDOWN(I2488*C2488,1))</f>
        <v>0</v>
      </c>
      <c r="K2488" s="78">
        <f>일식견적목록표!H14</f>
        <v>0</v>
      </c>
      <c r="L2488" s="80">
        <f>IF(C2488=0,0,ROUNDDOWN(K2488*C2488,1))</f>
        <v>0</v>
      </c>
      <c r="M2488" s="22" t="s">
        <v>8209</v>
      </c>
      <c r="N2488" s="17" t="s">
        <v>8207</v>
      </c>
      <c r="O2488" s="7" t="s">
        <v>8208</v>
      </c>
      <c r="P2488" s="7" t="s">
        <v>6406</v>
      </c>
      <c r="Z2488" s="3" t="str">
        <f ca="1">HYPERLINK("#"&amp;일식견적목록표!J2&amp;"!A"&amp;ROW(일식견적목록표!A14),"기타11 →")</f>
        <v>기타11 →</v>
      </c>
    </row>
    <row r="2489" spans="1:26" ht="28.7" customHeight="1" x14ac:dyDescent="0.3">
      <c r="A2489" s="22" t="s">
        <v>6</v>
      </c>
      <c r="B2489" s="74"/>
      <c r="C2489" s="74"/>
      <c r="D2489" s="74"/>
      <c r="E2489" s="74"/>
      <c r="F2489" s="48">
        <f>J2489+H2489+L2489</f>
        <v>150000</v>
      </c>
      <c r="G2489" s="74"/>
      <c r="H2489" s="48">
        <f>ROUNDDOWN(SUMIF(P2488:P2488,O2489,H2488:H2488),0)</f>
        <v>150000</v>
      </c>
      <c r="I2489" s="74"/>
      <c r="J2489" s="48">
        <f>ROUNDDOWN(SUMIF(P2488:P2488,O2489,J2488:J2488),0)</f>
        <v>0</v>
      </c>
      <c r="K2489" s="74"/>
      <c r="L2489" s="48">
        <f>ROUNDDOWN(SUMIF(P2488:P2488,O2489,L2488:L2488),0)</f>
        <v>0</v>
      </c>
      <c r="M2489" s="74"/>
      <c r="O2489" s="7" t="s">
        <v>6406</v>
      </c>
    </row>
    <row r="2490" spans="1:26" ht="28.7" customHeight="1" x14ac:dyDescent="0.3">
      <c r="A2490" s="73"/>
      <c r="B2490" s="73"/>
      <c r="C2490" s="73"/>
      <c r="D2490" s="73"/>
      <c r="E2490" s="73"/>
      <c r="F2490" s="73"/>
      <c r="G2490" s="73"/>
      <c r="H2490" s="73"/>
      <c r="I2490" s="73"/>
      <c r="J2490" s="73"/>
      <c r="K2490" s="73"/>
      <c r="L2490" s="73"/>
      <c r="M2490" s="73"/>
    </row>
    <row r="2491" spans="1:26" ht="28.7" customHeight="1" x14ac:dyDescent="0.3">
      <c r="A2491" s="136" t="s">
        <v>1425</v>
      </c>
      <c r="B2491" s="127"/>
      <c r="C2491" s="127"/>
      <c r="D2491" s="127"/>
      <c r="E2491" s="127"/>
      <c r="F2491" s="127"/>
      <c r="G2491" s="127"/>
      <c r="H2491" s="127"/>
      <c r="I2491" s="127"/>
      <c r="J2491" s="127"/>
      <c r="K2491" s="127"/>
      <c r="L2491" s="144"/>
      <c r="M2491" s="22" t="s">
        <v>8217</v>
      </c>
      <c r="N2491" s="84" t="str">
        <f>HYPERLINK("#N"&amp;ROW(N2492),"_x0005_`BDCOD|B05481_x0007_`POSS|"&amp;ROW(N2492)&amp;"_x0007_`POSE|"&amp;ROW(N2492)&amp;"_x0007_`")</f>
        <v>_x0005_`BDCOD|B05481_x0007_`POSS|2492_x0007_`POSE|2492_x0007_`</v>
      </c>
      <c r="O2491" s="7" t="s">
        <v>8218</v>
      </c>
    </row>
    <row r="2492" spans="1:26" ht="28.7" customHeight="1" x14ac:dyDescent="0.3">
      <c r="A2492" s="10" t="s">
        <v>1427</v>
      </c>
      <c r="B2492" s="10" t="s">
        <v>3137</v>
      </c>
      <c r="C2492" s="75">
        <v>1</v>
      </c>
      <c r="D2492" s="31" t="s">
        <v>1010</v>
      </c>
      <c r="E2492" s="55">
        <f>I2492+G2492+K2492</f>
        <v>150000</v>
      </c>
      <c r="F2492" s="76">
        <f>J2492+H2492+L2492</f>
        <v>150000</v>
      </c>
      <c r="G2492" s="78">
        <f>일식견적목록표!F13</f>
        <v>150000</v>
      </c>
      <c r="H2492" s="80">
        <f>IF(C2492=0,0,ROUNDDOWN(G2492*C2492,1))</f>
        <v>150000</v>
      </c>
      <c r="I2492" s="78">
        <f>일식견적목록표!G13</f>
        <v>0</v>
      </c>
      <c r="J2492" s="80">
        <f>IF(C2492=0,0,ROUNDDOWN(I2492*C2492,1))</f>
        <v>0</v>
      </c>
      <c r="K2492" s="78">
        <f>일식견적목록표!H13</f>
        <v>0</v>
      </c>
      <c r="L2492" s="80">
        <f>IF(C2492=0,0,ROUNDDOWN(K2492*C2492,1))</f>
        <v>0</v>
      </c>
      <c r="M2492" s="22" t="s">
        <v>8201</v>
      </c>
      <c r="N2492" s="17" t="s">
        <v>8199</v>
      </c>
      <c r="O2492" s="7" t="s">
        <v>8200</v>
      </c>
      <c r="P2492" s="7" t="s">
        <v>6406</v>
      </c>
      <c r="Z2492" s="3" t="str">
        <f ca="1">HYPERLINK("#"&amp;일식견적목록표!J2&amp;"!A"&amp;ROW(일식견적목록표!A13),"기타10 →")</f>
        <v>기타10 →</v>
      </c>
    </row>
    <row r="2493" spans="1:26" ht="28.7" customHeight="1" x14ac:dyDescent="0.3">
      <c r="A2493" s="22" t="s">
        <v>6</v>
      </c>
      <c r="B2493" s="74"/>
      <c r="C2493" s="74"/>
      <c r="D2493" s="74"/>
      <c r="E2493" s="74"/>
      <c r="F2493" s="48">
        <f>J2493+H2493+L2493</f>
        <v>150000</v>
      </c>
      <c r="G2493" s="74"/>
      <c r="H2493" s="48">
        <f>ROUNDDOWN(SUMIF(P2492:P2492,O2493,H2492:H2492),0)</f>
        <v>150000</v>
      </c>
      <c r="I2493" s="74"/>
      <c r="J2493" s="48">
        <f>ROUNDDOWN(SUMIF(P2492:P2492,O2493,J2492:J2492),0)</f>
        <v>0</v>
      </c>
      <c r="K2493" s="74"/>
      <c r="L2493" s="48">
        <f>ROUNDDOWN(SUMIF(P2492:P2492,O2493,L2492:L2492),0)</f>
        <v>0</v>
      </c>
      <c r="M2493" s="74"/>
      <c r="O2493" s="7" t="s">
        <v>6406</v>
      </c>
    </row>
    <row r="2494" spans="1:26" ht="28.7" customHeight="1" x14ac:dyDescent="0.3">
      <c r="A2494" s="73"/>
      <c r="B2494" s="73"/>
      <c r="C2494" s="73"/>
      <c r="D2494" s="73"/>
      <c r="E2494" s="73"/>
      <c r="F2494" s="73"/>
      <c r="G2494" s="73"/>
      <c r="H2494" s="73"/>
      <c r="I2494" s="73"/>
      <c r="J2494" s="73"/>
      <c r="K2494" s="73"/>
      <c r="L2494" s="73"/>
      <c r="M2494" s="73"/>
    </row>
    <row r="2495" spans="1:26" ht="28.7" customHeight="1" x14ac:dyDescent="0.3">
      <c r="A2495" s="136" t="s">
        <v>1428</v>
      </c>
      <c r="B2495" s="127"/>
      <c r="C2495" s="127"/>
      <c r="D2495" s="127"/>
      <c r="E2495" s="127"/>
      <c r="F2495" s="127"/>
      <c r="G2495" s="127"/>
      <c r="H2495" s="127"/>
      <c r="I2495" s="127"/>
      <c r="J2495" s="127"/>
      <c r="K2495" s="127"/>
      <c r="L2495" s="144"/>
      <c r="M2495" s="22" t="s">
        <v>8219</v>
      </c>
      <c r="N2495" s="84" t="str">
        <f>HYPERLINK("#N"&amp;ROW(N2496),"_x0005_`BDCOD|B05482_x0007_`POSS|"&amp;ROW(N2496)&amp;"_x0007_`POSE|"&amp;ROW(N2496)&amp;"_x0007_`")</f>
        <v>_x0005_`BDCOD|B05482_x0007_`POSS|2496_x0007_`POSE|2496_x0007_`</v>
      </c>
      <c r="O2495" s="7" t="s">
        <v>8220</v>
      </c>
    </row>
    <row r="2496" spans="1:26" ht="28.7" customHeight="1" x14ac:dyDescent="0.3">
      <c r="A2496" s="10" t="s">
        <v>1427</v>
      </c>
      <c r="B2496" s="10" t="s">
        <v>3139</v>
      </c>
      <c r="C2496" s="75">
        <v>1</v>
      </c>
      <c r="D2496" s="31" t="s">
        <v>1010</v>
      </c>
      <c r="E2496" s="55">
        <f>I2496+G2496+K2496</f>
        <v>150000</v>
      </c>
      <c r="F2496" s="76">
        <f>J2496+H2496+L2496</f>
        <v>150000</v>
      </c>
      <c r="G2496" s="78">
        <f>일식견적목록표!F14</f>
        <v>150000</v>
      </c>
      <c r="H2496" s="80">
        <f>IF(C2496=0,0,ROUNDDOWN(G2496*C2496,1))</f>
        <v>150000</v>
      </c>
      <c r="I2496" s="78">
        <f>일식견적목록표!G14</f>
        <v>0</v>
      </c>
      <c r="J2496" s="80">
        <f>IF(C2496=0,0,ROUNDDOWN(I2496*C2496,1))</f>
        <v>0</v>
      </c>
      <c r="K2496" s="78">
        <f>일식견적목록표!H14</f>
        <v>0</v>
      </c>
      <c r="L2496" s="80">
        <f>IF(C2496=0,0,ROUNDDOWN(K2496*C2496,1))</f>
        <v>0</v>
      </c>
      <c r="M2496" s="22" t="s">
        <v>8209</v>
      </c>
      <c r="N2496" s="17" t="s">
        <v>8207</v>
      </c>
      <c r="O2496" s="7" t="s">
        <v>8208</v>
      </c>
      <c r="P2496" s="7" t="s">
        <v>6406</v>
      </c>
      <c r="Z2496" s="3" t="str">
        <f ca="1">HYPERLINK("#"&amp;일식견적목록표!J2&amp;"!A"&amp;ROW(일식견적목록표!A14),"기타11 →")</f>
        <v>기타11 →</v>
      </c>
    </row>
    <row r="2497" spans="1:26" ht="28.7" customHeight="1" x14ac:dyDescent="0.3">
      <c r="A2497" s="22" t="s">
        <v>6</v>
      </c>
      <c r="B2497" s="74"/>
      <c r="C2497" s="74"/>
      <c r="D2497" s="74"/>
      <c r="E2497" s="74"/>
      <c r="F2497" s="48">
        <f>J2497+H2497+L2497</f>
        <v>150000</v>
      </c>
      <c r="G2497" s="74"/>
      <c r="H2497" s="48">
        <f>ROUNDDOWN(SUMIF(P2496:P2496,O2497,H2496:H2496),0)</f>
        <v>150000</v>
      </c>
      <c r="I2497" s="74"/>
      <c r="J2497" s="48">
        <f>ROUNDDOWN(SUMIF(P2496:P2496,O2497,J2496:J2496),0)</f>
        <v>0</v>
      </c>
      <c r="K2497" s="74"/>
      <c r="L2497" s="48">
        <f>ROUNDDOWN(SUMIF(P2496:P2496,O2497,L2496:L2496),0)</f>
        <v>0</v>
      </c>
      <c r="M2497" s="74"/>
      <c r="O2497" s="7" t="s">
        <v>6406</v>
      </c>
    </row>
    <row r="2498" spans="1:26" ht="28.7" customHeight="1" x14ac:dyDescent="0.3">
      <c r="A2498" s="73"/>
      <c r="B2498" s="73"/>
      <c r="C2498" s="73"/>
      <c r="D2498" s="73"/>
      <c r="E2498" s="73"/>
      <c r="F2498" s="73"/>
      <c r="G2498" s="73"/>
      <c r="H2498" s="73"/>
      <c r="I2498" s="73"/>
      <c r="J2498" s="73"/>
      <c r="K2498" s="73"/>
      <c r="L2498" s="73"/>
      <c r="M2498" s="73"/>
    </row>
    <row r="2499" spans="1:26" ht="28.7" customHeight="1" x14ac:dyDescent="0.3">
      <c r="A2499" s="136" t="s">
        <v>1430</v>
      </c>
      <c r="B2499" s="127"/>
      <c r="C2499" s="127"/>
      <c r="D2499" s="127"/>
      <c r="E2499" s="127"/>
      <c r="F2499" s="127"/>
      <c r="G2499" s="127"/>
      <c r="H2499" s="127"/>
      <c r="I2499" s="127"/>
      <c r="J2499" s="127"/>
      <c r="K2499" s="127"/>
      <c r="L2499" s="144"/>
      <c r="M2499" s="22" t="s">
        <v>8221</v>
      </c>
      <c r="N2499" s="84" t="str">
        <f>HYPERLINK("#N"&amp;ROW(N2502),"_x0005_`BDCOD|B05483_x0007_`POSS|"&amp;ROW(N2500)&amp;"_x0007_`POSE|"&amp;ROW(N2502)&amp;"_x0007_`")</f>
        <v>_x0005_`BDCOD|B05483_x0007_`POSS|2500_x0007_`POSE|2502_x0007_`</v>
      </c>
      <c r="O2499" s="7" t="s">
        <v>8222</v>
      </c>
    </row>
    <row r="2500" spans="1:26" ht="28.7" customHeight="1" x14ac:dyDescent="0.3">
      <c r="A2500" s="10" t="s">
        <v>1427</v>
      </c>
      <c r="B2500" s="10" t="s">
        <v>3137</v>
      </c>
      <c r="C2500" s="75">
        <v>1</v>
      </c>
      <c r="D2500" s="31" t="s">
        <v>1010</v>
      </c>
      <c r="E2500" s="55">
        <f>I2500+G2500+K2500</f>
        <v>150000</v>
      </c>
      <c r="F2500" s="76">
        <f>J2500+H2500+L2500</f>
        <v>150000</v>
      </c>
      <c r="G2500" s="78">
        <f>일식견적목록표!F13</f>
        <v>150000</v>
      </c>
      <c r="H2500" s="80">
        <f>IF(C2500=0,0,ROUNDDOWN(G2500*C2500,1))</f>
        <v>150000</v>
      </c>
      <c r="I2500" s="78">
        <f>일식견적목록표!G13</f>
        <v>0</v>
      </c>
      <c r="J2500" s="80">
        <f>IF(C2500=0,0,ROUNDDOWN(I2500*C2500,1))</f>
        <v>0</v>
      </c>
      <c r="K2500" s="78">
        <f>일식견적목록표!H13</f>
        <v>0</v>
      </c>
      <c r="L2500" s="80">
        <f>IF(C2500=0,0,ROUNDDOWN(K2500*C2500,1))</f>
        <v>0</v>
      </c>
      <c r="M2500" s="22" t="s">
        <v>8201</v>
      </c>
      <c r="N2500" s="17" t="s">
        <v>8223</v>
      </c>
      <c r="O2500" s="7" t="s">
        <v>8200</v>
      </c>
      <c r="P2500" s="7" t="s">
        <v>8226</v>
      </c>
      <c r="Q2500" s="7" t="s">
        <v>7061</v>
      </c>
      <c r="Z2500" s="3" t="str">
        <f ca="1">HYPERLINK("#"&amp;일식견적목록표!J2&amp;"!A"&amp;ROW(일식견적목록표!A13),"기타10 →")</f>
        <v>기타10 →</v>
      </c>
    </row>
    <row r="2501" spans="1:26" ht="28.7" customHeight="1" x14ac:dyDescent="0.3">
      <c r="A2501" s="10" t="s">
        <v>8224</v>
      </c>
      <c r="B2501" s="10"/>
      <c r="C2501" s="75">
        <v>0</v>
      </c>
      <c r="D2501" s="31"/>
      <c r="E2501" s="33">
        <v>0</v>
      </c>
      <c r="F2501" s="77">
        <f>J2501+H2501+L2501</f>
        <v>150000</v>
      </c>
      <c r="G2501" s="42"/>
      <c r="H2501" s="77">
        <f>SUMIF(P2500:P2500,O2501,H2500:H2500)</f>
        <v>150000</v>
      </c>
      <c r="I2501" s="42"/>
      <c r="J2501" s="76">
        <f>SUMIF(P2500:P2500,O2501,J2500:J2500)</f>
        <v>0</v>
      </c>
      <c r="K2501" s="46"/>
      <c r="L2501" s="76">
        <f>SUMIF(P2500:P2500,O2501,L2500:L2500)</f>
        <v>0</v>
      </c>
      <c r="M2501" s="22"/>
      <c r="N2501" s="17" t="s">
        <v>8225</v>
      </c>
      <c r="O2501" s="7" t="s">
        <v>8226</v>
      </c>
    </row>
    <row r="2502" spans="1:26" ht="28.7" customHeight="1" x14ac:dyDescent="0.3">
      <c r="A2502" s="10" t="s">
        <v>8227</v>
      </c>
      <c r="B2502" s="10" t="s">
        <v>7063</v>
      </c>
      <c r="C2502" s="75">
        <v>50</v>
      </c>
      <c r="D2502" s="31" t="s">
        <v>7064</v>
      </c>
      <c r="E2502" s="55">
        <f>I2502+G2502+K2502</f>
        <v>150000</v>
      </c>
      <c r="F2502" s="77">
        <f>J2502+H2502+L2502</f>
        <v>75000</v>
      </c>
      <c r="G2502" s="79">
        <f>H2500</f>
        <v>150000</v>
      </c>
      <c r="H2502" s="77">
        <f>IF(C2502=0,0,ROUNDDOWN(G2502*C2502/100,1))</f>
        <v>75000</v>
      </c>
      <c r="I2502" s="13">
        <v>0</v>
      </c>
      <c r="J2502" s="76">
        <f>IF(C2502=0,0,ROUNDDOWN(I2502*C2502/100,1))</f>
        <v>0</v>
      </c>
      <c r="K2502" s="33">
        <v>0</v>
      </c>
      <c r="L2502" s="76">
        <f>IF(C2502=0,0,ROUNDDOWN(K2502*C2502/100,1))</f>
        <v>0</v>
      </c>
      <c r="M2502" s="22"/>
      <c r="N2502" s="17" t="s">
        <v>8228</v>
      </c>
      <c r="O2502" s="7" t="s">
        <v>7066</v>
      </c>
      <c r="P2502" s="7" t="s">
        <v>6406</v>
      </c>
    </row>
    <row r="2503" spans="1:26" ht="28.7" customHeight="1" x14ac:dyDescent="0.3">
      <c r="A2503" s="22" t="s">
        <v>6</v>
      </c>
      <c r="B2503" s="74"/>
      <c r="C2503" s="74"/>
      <c r="D2503" s="74"/>
      <c r="E2503" s="74"/>
      <c r="F2503" s="48">
        <f>J2503+H2503+L2503</f>
        <v>75000</v>
      </c>
      <c r="G2503" s="74"/>
      <c r="H2503" s="48">
        <f>ROUNDDOWN(SUMIF(P2500:P2502,O2503,H2500:H2502),0)</f>
        <v>75000</v>
      </c>
      <c r="I2503" s="74"/>
      <c r="J2503" s="48">
        <f>ROUNDDOWN(SUMIF(P2500:P2502,O2503,J2500:J2502),0)</f>
        <v>0</v>
      </c>
      <c r="K2503" s="74"/>
      <c r="L2503" s="48">
        <f>ROUNDDOWN(SUMIF(P2500:P2502,O2503,L2500:L2502),0)</f>
        <v>0</v>
      </c>
      <c r="M2503" s="74"/>
      <c r="O2503" s="7" t="s">
        <v>6406</v>
      </c>
    </row>
    <row r="2504" spans="1:26" ht="28.7" customHeight="1" x14ac:dyDescent="0.3">
      <c r="A2504" s="73"/>
      <c r="B2504" s="73"/>
      <c r="C2504" s="73"/>
      <c r="D2504" s="73"/>
      <c r="E2504" s="73"/>
      <c r="F2504" s="73"/>
      <c r="G2504" s="73"/>
      <c r="H2504" s="73"/>
      <c r="I2504" s="73"/>
      <c r="J2504" s="73"/>
      <c r="K2504" s="73"/>
      <c r="L2504" s="73"/>
      <c r="M2504" s="73"/>
    </row>
    <row r="2505" spans="1:26" ht="28.7" customHeight="1" x14ac:dyDescent="0.3">
      <c r="A2505" s="136" t="s">
        <v>1433</v>
      </c>
      <c r="B2505" s="127"/>
      <c r="C2505" s="127"/>
      <c r="D2505" s="127"/>
      <c r="E2505" s="127"/>
      <c r="F2505" s="127"/>
      <c r="G2505" s="127"/>
      <c r="H2505" s="127"/>
      <c r="I2505" s="127"/>
      <c r="J2505" s="127"/>
      <c r="K2505" s="127"/>
      <c r="L2505" s="144"/>
      <c r="M2505" s="22" t="s">
        <v>8229</v>
      </c>
      <c r="N2505" s="84" t="str">
        <f>HYPERLINK("#N"&amp;ROW(N2508),"_x0005_`BDCOD|B05484_x0007_`POSS|"&amp;ROW(N2506)&amp;"_x0007_`POSE|"&amp;ROW(N2508)&amp;"_x0007_`")</f>
        <v>_x0005_`BDCOD|B05484_x0007_`POSS|2506_x0007_`POSE|2508_x0007_`</v>
      </c>
      <c r="O2505" s="7" t="s">
        <v>8230</v>
      </c>
    </row>
    <row r="2506" spans="1:26" ht="28.7" customHeight="1" x14ac:dyDescent="0.3">
      <c r="A2506" s="10" t="s">
        <v>1427</v>
      </c>
      <c r="B2506" s="10" t="s">
        <v>3139</v>
      </c>
      <c r="C2506" s="75">
        <v>1</v>
      </c>
      <c r="D2506" s="31" t="s">
        <v>1010</v>
      </c>
      <c r="E2506" s="55">
        <f>I2506+G2506+K2506</f>
        <v>150000</v>
      </c>
      <c r="F2506" s="76">
        <f>J2506+H2506+L2506</f>
        <v>150000</v>
      </c>
      <c r="G2506" s="78">
        <f>일식견적목록표!F14</f>
        <v>150000</v>
      </c>
      <c r="H2506" s="80">
        <f>IF(C2506=0,0,ROUNDDOWN(G2506*C2506,1))</f>
        <v>150000</v>
      </c>
      <c r="I2506" s="78">
        <f>일식견적목록표!G14</f>
        <v>0</v>
      </c>
      <c r="J2506" s="80">
        <f>IF(C2506=0,0,ROUNDDOWN(I2506*C2506,1))</f>
        <v>0</v>
      </c>
      <c r="K2506" s="78">
        <f>일식견적목록표!H14</f>
        <v>0</v>
      </c>
      <c r="L2506" s="80">
        <f>IF(C2506=0,0,ROUNDDOWN(K2506*C2506,1))</f>
        <v>0</v>
      </c>
      <c r="M2506" s="22" t="s">
        <v>8209</v>
      </c>
      <c r="N2506" s="17" t="s">
        <v>8231</v>
      </c>
      <c r="O2506" s="7" t="s">
        <v>8208</v>
      </c>
      <c r="P2506" s="7" t="s">
        <v>8226</v>
      </c>
      <c r="Q2506" s="7" t="s">
        <v>7061</v>
      </c>
      <c r="Z2506" s="3" t="str">
        <f ca="1">HYPERLINK("#"&amp;일식견적목록표!J2&amp;"!A"&amp;ROW(일식견적목록표!A14),"기타11 →")</f>
        <v>기타11 →</v>
      </c>
    </row>
    <row r="2507" spans="1:26" ht="28.7" customHeight="1" x14ac:dyDescent="0.3">
      <c r="A2507" s="10" t="s">
        <v>8224</v>
      </c>
      <c r="B2507" s="10"/>
      <c r="C2507" s="75">
        <v>0</v>
      </c>
      <c r="D2507" s="31"/>
      <c r="E2507" s="33">
        <v>0</v>
      </c>
      <c r="F2507" s="77">
        <f>J2507+H2507+L2507</f>
        <v>150000</v>
      </c>
      <c r="G2507" s="42"/>
      <c r="H2507" s="77">
        <f>SUMIF(P2506:P2506,O2507,H2506:H2506)</f>
        <v>150000</v>
      </c>
      <c r="I2507" s="42"/>
      <c r="J2507" s="76">
        <f>SUMIF(P2506:P2506,O2507,J2506:J2506)</f>
        <v>0</v>
      </c>
      <c r="K2507" s="46"/>
      <c r="L2507" s="76">
        <f>SUMIF(P2506:P2506,O2507,L2506:L2506)</f>
        <v>0</v>
      </c>
      <c r="M2507" s="22"/>
      <c r="N2507" s="17" t="s">
        <v>8225</v>
      </c>
      <c r="O2507" s="7" t="s">
        <v>8226</v>
      </c>
    </row>
    <row r="2508" spans="1:26" ht="28.7" customHeight="1" x14ac:dyDescent="0.3">
      <c r="A2508" s="10" t="s">
        <v>8227</v>
      </c>
      <c r="B2508" s="10" t="s">
        <v>7063</v>
      </c>
      <c r="C2508" s="75">
        <v>50</v>
      </c>
      <c r="D2508" s="31" t="s">
        <v>7064</v>
      </c>
      <c r="E2508" s="55">
        <f>I2508+G2508+K2508</f>
        <v>150000</v>
      </c>
      <c r="F2508" s="77">
        <f>J2508+H2508+L2508</f>
        <v>75000</v>
      </c>
      <c r="G2508" s="79">
        <f>H2506</f>
        <v>150000</v>
      </c>
      <c r="H2508" s="77">
        <f>IF(C2508=0,0,ROUNDDOWN(G2508*C2508/100,1))</f>
        <v>75000</v>
      </c>
      <c r="I2508" s="13">
        <v>0</v>
      </c>
      <c r="J2508" s="76">
        <f>IF(C2508=0,0,ROUNDDOWN(I2508*C2508/100,1))</f>
        <v>0</v>
      </c>
      <c r="K2508" s="33">
        <v>0</v>
      </c>
      <c r="L2508" s="76">
        <f>IF(C2508=0,0,ROUNDDOWN(K2508*C2508/100,1))</f>
        <v>0</v>
      </c>
      <c r="M2508" s="22"/>
      <c r="N2508" s="17" t="s">
        <v>8228</v>
      </c>
      <c r="O2508" s="7" t="s">
        <v>7066</v>
      </c>
      <c r="P2508" s="7" t="s">
        <v>6406</v>
      </c>
    </row>
    <row r="2509" spans="1:26" ht="28.7" customHeight="1" x14ac:dyDescent="0.3">
      <c r="A2509" s="22" t="s">
        <v>6</v>
      </c>
      <c r="B2509" s="74"/>
      <c r="C2509" s="74"/>
      <c r="D2509" s="74"/>
      <c r="E2509" s="74"/>
      <c r="F2509" s="48">
        <f>J2509+H2509+L2509</f>
        <v>75000</v>
      </c>
      <c r="G2509" s="74"/>
      <c r="H2509" s="48">
        <f>ROUNDDOWN(SUMIF(P2506:P2508,O2509,H2506:H2508),0)</f>
        <v>75000</v>
      </c>
      <c r="I2509" s="74"/>
      <c r="J2509" s="48">
        <f>ROUNDDOWN(SUMIF(P2506:P2508,O2509,J2506:J2508),0)</f>
        <v>0</v>
      </c>
      <c r="K2509" s="74"/>
      <c r="L2509" s="48">
        <f>ROUNDDOWN(SUMIF(P2506:P2508,O2509,L2506:L2508),0)</f>
        <v>0</v>
      </c>
      <c r="M2509" s="74"/>
      <c r="O2509" s="7" t="s">
        <v>6406</v>
      </c>
    </row>
    <row r="2510" spans="1:26" ht="28.7" customHeight="1" x14ac:dyDescent="0.3">
      <c r="A2510" s="73"/>
      <c r="B2510" s="73"/>
      <c r="C2510" s="73"/>
      <c r="D2510" s="73"/>
      <c r="E2510" s="73"/>
      <c r="F2510" s="73"/>
      <c r="G2510" s="73"/>
      <c r="H2510" s="73"/>
      <c r="I2510" s="73"/>
      <c r="J2510" s="73"/>
      <c r="K2510" s="73"/>
      <c r="L2510" s="73"/>
      <c r="M2510" s="73"/>
    </row>
    <row r="2511" spans="1:26" ht="28.7" customHeight="1" x14ac:dyDescent="0.3">
      <c r="A2511" s="136" t="s">
        <v>1435</v>
      </c>
      <c r="B2511" s="127"/>
      <c r="C2511" s="127"/>
      <c r="D2511" s="127"/>
      <c r="E2511" s="127"/>
      <c r="F2511" s="127"/>
      <c r="G2511" s="127"/>
      <c r="H2511" s="127"/>
      <c r="I2511" s="127"/>
      <c r="J2511" s="127"/>
      <c r="K2511" s="127"/>
      <c r="L2511" s="144"/>
      <c r="M2511" s="22" t="s">
        <v>8232</v>
      </c>
      <c r="N2511" s="84" t="str">
        <f>HYPERLINK("#N"&amp;ROW(N2514),"_x0005_`BDCOD|B04887_x0007_`POSS|"&amp;ROW(N2512)&amp;"_x0007_`POSE|"&amp;ROW(N2514)&amp;"_x0007_`")</f>
        <v>_x0005_`BDCOD|B04887_x0007_`POSS|2512_x0007_`POSE|2514_x0007_`</v>
      </c>
      <c r="O2511" s="7" t="s">
        <v>8233</v>
      </c>
    </row>
    <row r="2512" spans="1:26" ht="28.7" customHeight="1" x14ac:dyDescent="0.3">
      <c r="A2512" s="10"/>
      <c r="B2512" s="10" t="s">
        <v>8234</v>
      </c>
      <c r="C2512" s="75">
        <v>0</v>
      </c>
      <c r="D2512" s="31"/>
      <c r="E2512" s="33">
        <v>0</v>
      </c>
      <c r="F2512" s="11">
        <v>0</v>
      </c>
      <c r="G2512" s="42"/>
      <c r="H2512" s="11">
        <v>0</v>
      </c>
      <c r="I2512" s="42"/>
      <c r="J2512" s="33">
        <v>0</v>
      </c>
      <c r="K2512" s="46"/>
      <c r="L2512" s="33">
        <v>0</v>
      </c>
      <c r="M2512" s="22" t="s">
        <v>6509</v>
      </c>
      <c r="N2512" s="17" t="s">
        <v>6507</v>
      </c>
      <c r="O2512" s="7" t="s">
        <v>6508</v>
      </c>
      <c r="P2512" s="7" t="s">
        <v>6508</v>
      </c>
    </row>
    <row r="2513" spans="1:26" ht="28.7" customHeight="1" x14ac:dyDescent="0.3">
      <c r="A2513" s="10" t="s">
        <v>1475</v>
      </c>
      <c r="B2513" s="10" t="s">
        <v>1438</v>
      </c>
      <c r="C2513" s="75">
        <v>1</v>
      </c>
      <c r="D2513" s="31" t="s">
        <v>515</v>
      </c>
      <c r="E2513" s="55">
        <f>I2513+G2513+K2513</f>
        <v>6760</v>
      </c>
      <c r="F2513" s="76">
        <f>J2513+H2513+L2513</f>
        <v>6760</v>
      </c>
      <c r="G2513" s="78">
        <f>일위대가목록표!F591</f>
        <v>6628</v>
      </c>
      <c r="H2513" s="80">
        <f>IF(C2513=0,0,ROUNDDOWN(G2513*C2513,1))</f>
        <v>6628</v>
      </c>
      <c r="I2513" s="78">
        <f>일위대가목록표!G591</f>
        <v>0</v>
      </c>
      <c r="J2513" s="80">
        <f>IF(C2513=0,0,ROUNDDOWN(I2513*C2513,1))</f>
        <v>0</v>
      </c>
      <c r="K2513" s="78">
        <f>일위대가목록표!H591</f>
        <v>132</v>
      </c>
      <c r="L2513" s="80">
        <f>IF(C2513=0,0,ROUNDDOWN(K2513*C2513,1))</f>
        <v>132</v>
      </c>
      <c r="M2513" s="22" t="s">
        <v>5107</v>
      </c>
      <c r="N2513" s="17" t="s">
        <v>8235</v>
      </c>
      <c r="O2513" s="7" t="s">
        <v>5105</v>
      </c>
      <c r="P2513" s="7" t="s">
        <v>6406</v>
      </c>
      <c r="Z2513" s="3" t="str">
        <f ca="1">HYPERLINK("#"&amp;일위대가목록표!J2&amp;"!A"&amp;ROW(일위대가목록표!A591),"대가588 →")</f>
        <v>대가588 →</v>
      </c>
    </row>
    <row r="2514" spans="1:26" ht="28.7" customHeight="1" x14ac:dyDescent="0.3">
      <c r="A2514" s="10" t="s">
        <v>1456</v>
      </c>
      <c r="B2514" s="10" t="s">
        <v>1457</v>
      </c>
      <c r="C2514" s="75">
        <v>1</v>
      </c>
      <c r="D2514" s="31" t="s">
        <v>515</v>
      </c>
      <c r="E2514" s="55">
        <f>I2514+G2514+K2514</f>
        <v>16901</v>
      </c>
      <c r="F2514" s="76">
        <f>J2514+H2514+L2514</f>
        <v>16901</v>
      </c>
      <c r="G2514" s="78">
        <f>일위대가목록표!F585</f>
        <v>16570</v>
      </c>
      <c r="H2514" s="80">
        <f>IF(C2514=0,0,ROUNDDOWN(G2514*C2514,1))</f>
        <v>16570</v>
      </c>
      <c r="I2514" s="78">
        <f>일위대가목록표!G585</f>
        <v>0</v>
      </c>
      <c r="J2514" s="80">
        <f>IF(C2514=0,0,ROUNDDOWN(I2514*C2514,1))</f>
        <v>0</v>
      </c>
      <c r="K2514" s="78">
        <f>일위대가목록표!H585</f>
        <v>331</v>
      </c>
      <c r="L2514" s="80">
        <f>IF(C2514=0,0,ROUNDDOWN(K2514*C2514,1))</f>
        <v>331</v>
      </c>
      <c r="M2514" s="22" t="s">
        <v>5089</v>
      </c>
      <c r="N2514" s="17" t="s">
        <v>8236</v>
      </c>
      <c r="O2514" s="7" t="s">
        <v>5087</v>
      </c>
      <c r="P2514" s="7" t="s">
        <v>6406</v>
      </c>
      <c r="Z2514" s="3" t="str">
        <f ca="1">HYPERLINK("#"&amp;일위대가목록표!J2&amp;"!A"&amp;ROW(일위대가목록표!A585),"대가582 →")</f>
        <v>대가582 →</v>
      </c>
    </row>
    <row r="2515" spans="1:26" ht="28.7" customHeight="1" x14ac:dyDescent="0.3">
      <c r="A2515" s="22" t="s">
        <v>6</v>
      </c>
      <c r="B2515" s="74"/>
      <c r="C2515" s="74"/>
      <c r="D2515" s="74"/>
      <c r="E2515" s="74"/>
      <c r="F2515" s="48">
        <f>J2515+H2515+L2515</f>
        <v>23661</v>
      </c>
      <c r="G2515" s="74"/>
      <c r="H2515" s="48">
        <f>ROUNDDOWN(SUMIF(P2512:P2514,O2515,H2512:H2514),0)</f>
        <v>23198</v>
      </c>
      <c r="I2515" s="74"/>
      <c r="J2515" s="48">
        <f>ROUNDDOWN(SUMIF(P2512:P2514,O2515,J2512:J2514),0)</f>
        <v>0</v>
      </c>
      <c r="K2515" s="74"/>
      <c r="L2515" s="48">
        <f>ROUNDDOWN(SUMIF(P2512:P2514,O2515,L2512:L2514),0)</f>
        <v>463</v>
      </c>
      <c r="M2515" s="74"/>
      <c r="O2515" s="7" t="s">
        <v>6406</v>
      </c>
    </row>
    <row r="2516" spans="1:26" ht="28.7" customHeight="1" x14ac:dyDescent="0.3">
      <c r="A2516" s="73"/>
      <c r="B2516" s="73"/>
      <c r="C2516" s="73"/>
      <c r="D2516" s="73"/>
      <c r="E2516" s="73"/>
      <c r="F2516" s="73"/>
      <c r="G2516" s="73"/>
      <c r="H2516" s="73"/>
      <c r="I2516" s="73"/>
      <c r="J2516" s="73"/>
      <c r="K2516" s="73"/>
      <c r="L2516" s="73"/>
      <c r="M2516" s="73"/>
    </row>
    <row r="2517" spans="1:26" ht="28.7" customHeight="1" x14ac:dyDescent="0.3">
      <c r="A2517" s="136" t="s">
        <v>1439</v>
      </c>
      <c r="B2517" s="127"/>
      <c r="C2517" s="127"/>
      <c r="D2517" s="127"/>
      <c r="E2517" s="127"/>
      <c r="F2517" s="127"/>
      <c r="G2517" s="127"/>
      <c r="H2517" s="127"/>
      <c r="I2517" s="127"/>
      <c r="J2517" s="127"/>
      <c r="K2517" s="127"/>
      <c r="L2517" s="144"/>
      <c r="M2517" s="22" t="s">
        <v>8237</v>
      </c>
      <c r="N2517" s="84" t="str">
        <f>HYPERLINK("#N"&amp;ROW(N2520),"_x0005_`BDCOD|B04888_x0007_`POSS|"&amp;ROW(N2518)&amp;"_x0007_`POSE|"&amp;ROW(N2520)&amp;"_x0007_`")</f>
        <v>_x0005_`BDCOD|B04888_x0007_`POSS|2518_x0007_`POSE|2520_x0007_`</v>
      </c>
      <c r="O2517" s="7" t="s">
        <v>8238</v>
      </c>
    </row>
    <row r="2518" spans="1:26" ht="28.7" customHeight="1" x14ac:dyDescent="0.3">
      <c r="A2518" s="10"/>
      <c r="B2518" s="10" t="s">
        <v>8234</v>
      </c>
      <c r="C2518" s="75">
        <v>0</v>
      </c>
      <c r="D2518" s="31"/>
      <c r="E2518" s="33">
        <v>0</v>
      </c>
      <c r="F2518" s="11">
        <v>0</v>
      </c>
      <c r="G2518" s="42"/>
      <c r="H2518" s="11">
        <v>0</v>
      </c>
      <c r="I2518" s="42"/>
      <c r="J2518" s="33">
        <v>0</v>
      </c>
      <c r="K2518" s="46"/>
      <c r="L2518" s="33">
        <v>0</v>
      </c>
      <c r="M2518" s="22" t="s">
        <v>6509</v>
      </c>
      <c r="N2518" s="17" t="s">
        <v>6507</v>
      </c>
      <c r="O2518" s="7" t="s">
        <v>6508</v>
      </c>
      <c r="P2518" s="7" t="s">
        <v>6508</v>
      </c>
    </row>
    <row r="2519" spans="1:26" ht="28.7" customHeight="1" x14ac:dyDescent="0.3">
      <c r="A2519" s="10" t="s">
        <v>1475</v>
      </c>
      <c r="B2519" s="10" t="s">
        <v>1438</v>
      </c>
      <c r="C2519" s="75">
        <v>1</v>
      </c>
      <c r="D2519" s="31" t="s">
        <v>515</v>
      </c>
      <c r="E2519" s="55">
        <f>I2519+G2519+K2519</f>
        <v>6760</v>
      </c>
      <c r="F2519" s="76">
        <f>J2519+H2519+L2519</f>
        <v>6760</v>
      </c>
      <c r="G2519" s="78">
        <f>일위대가목록표!F591</f>
        <v>6628</v>
      </c>
      <c r="H2519" s="80">
        <f>IF(C2519=0,0,ROUNDDOWN(G2519*C2519,1))</f>
        <v>6628</v>
      </c>
      <c r="I2519" s="78">
        <f>일위대가목록표!G591</f>
        <v>0</v>
      </c>
      <c r="J2519" s="80">
        <f>IF(C2519=0,0,ROUNDDOWN(I2519*C2519,1))</f>
        <v>0</v>
      </c>
      <c r="K2519" s="78">
        <f>일위대가목록표!H591</f>
        <v>132</v>
      </c>
      <c r="L2519" s="80">
        <f>IF(C2519=0,0,ROUNDDOWN(K2519*C2519,1))</f>
        <v>132</v>
      </c>
      <c r="M2519" s="22" t="s">
        <v>5107</v>
      </c>
      <c r="N2519" s="17" t="s">
        <v>8235</v>
      </c>
      <c r="O2519" s="7" t="s">
        <v>5105</v>
      </c>
      <c r="P2519" s="7" t="s">
        <v>6406</v>
      </c>
      <c r="Z2519" s="3" t="str">
        <f ca="1">HYPERLINK("#"&amp;일위대가목록표!J2&amp;"!A"&amp;ROW(일위대가목록표!A591),"대가588 →")</f>
        <v>대가588 →</v>
      </c>
    </row>
    <row r="2520" spans="1:26" ht="28.7" customHeight="1" x14ac:dyDescent="0.3">
      <c r="A2520" s="10" t="s">
        <v>1456</v>
      </c>
      <c r="B2520" s="10" t="s">
        <v>1457</v>
      </c>
      <c r="C2520" s="75">
        <v>1</v>
      </c>
      <c r="D2520" s="31" t="s">
        <v>515</v>
      </c>
      <c r="E2520" s="55">
        <f>I2520+G2520+K2520</f>
        <v>16901</v>
      </c>
      <c r="F2520" s="76">
        <f>J2520+H2520+L2520</f>
        <v>16901</v>
      </c>
      <c r="G2520" s="78">
        <f>일위대가목록표!F585</f>
        <v>16570</v>
      </c>
      <c r="H2520" s="80">
        <f>IF(C2520=0,0,ROUNDDOWN(G2520*C2520,1))</f>
        <v>16570</v>
      </c>
      <c r="I2520" s="78">
        <f>일위대가목록표!G585</f>
        <v>0</v>
      </c>
      <c r="J2520" s="80">
        <f>IF(C2520=0,0,ROUNDDOWN(I2520*C2520,1))</f>
        <v>0</v>
      </c>
      <c r="K2520" s="78">
        <f>일위대가목록표!H585</f>
        <v>331</v>
      </c>
      <c r="L2520" s="80">
        <f>IF(C2520=0,0,ROUNDDOWN(K2520*C2520,1))</f>
        <v>331</v>
      </c>
      <c r="M2520" s="22" t="s">
        <v>5089</v>
      </c>
      <c r="N2520" s="17" t="s">
        <v>8236</v>
      </c>
      <c r="O2520" s="7" t="s">
        <v>5087</v>
      </c>
      <c r="P2520" s="7" t="s">
        <v>6406</v>
      </c>
      <c r="Z2520" s="3" t="str">
        <f ca="1">HYPERLINK("#"&amp;일위대가목록표!J2&amp;"!A"&amp;ROW(일위대가목록표!A585),"대가582 →")</f>
        <v>대가582 →</v>
      </c>
    </row>
    <row r="2521" spans="1:26" ht="28.7" customHeight="1" x14ac:dyDescent="0.3">
      <c r="A2521" s="22" t="s">
        <v>6</v>
      </c>
      <c r="B2521" s="74"/>
      <c r="C2521" s="74"/>
      <c r="D2521" s="74"/>
      <c r="E2521" s="74"/>
      <c r="F2521" s="48">
        <f>J2521+H2521+L2521</f>
        <v>23661</v>
      </c>
      <c r="G2521" s="74"/>
      <c r="H2521" s="48">
        <f>ROUNDDOWN(SUMIF(P2518:P2520,O2521,H2518:H2520),0)</f>
        <v>23198</v>
      </c>
      <c r="I2521" s="74"/>
      <c r="J2521" s="48">
        <f>ROUNDDOWN(SUMIF(P2518:P2520,O2521,J2518:J2520),0)</f>
        <v>0</v>
      </c>
      <c r="K2521" s="74"/>
      <c r="L2521" s="48">
        <f>ROUNDDOWN(SUMIF(P2518:P2520,O2521,L2518:L2520),0)</f>
        <v>463</v>
      </c>
      <c r="M2521" s="74"/>
      <c r="O2521" s="7" t="s">
        <v>6406</v>
      </c>
    </row>
    <row r="2522" spans="1:26" ht="28.7" customHeight="1" x14ac:dyDescent="0.3">
      <c r="A2522" s="73"/>
      <c r="B2522" s="73"/>
      <c r="C2522" s="73"/>
      <c r="D2522" s="73"/>
      <c r="E2522" s="73"/>
      <c r="F2522" s="73"/>
      <c r="G2522" s="73"/>
      <c r="H2522" s="73"/>
      <c r="I2522" s="73"/>
      <c r="J2522" s="73"/>
      <c r="K2522" s="73"/>
      <c r="L2522" s="73"/>
      <c r="M2522" s="73"/>
    </row>
    <row r="2523" spans="1:26" ht="28.7" customHeight="1" x14ac:dyDescent="0.3">
      <c r="A2523" s="136" t="s">
        <v>1442</v>
      </c>
      <c r="B2523" s="127"/>
      <c r="C2523" s="127"/>
      <c r="D2523" s="127"/>
      <c r="E2523" s="127"/>
      <c r="F2523" s="127"/>
      <c r="G2523" s="127"/>
      <c r="H2523" s="127"/>
      <c r="I2523" s="127"/>
      <c r="J2523" s="127"/>
      <c r="K2523" s="127"/>
      <c r="L2523" s="144"/>
      <c r="M2523" s="22" t="s">
        <v>8239</v>
      </c>
      <c r="N2523" s="84" t="str">
        <f>HYPERLINK("#N"&amp;ROW(N2526),"_x0005_`BDCOD|B04889_x0007_`POSS|"&amp;ROW(N2524)&amp;"_x0007_`POSE|"&amp;ROW(N2526)&amp;"_x0007_`")</f>
        <v>_x0005_`BDCOD|B04889_x0007_`POSS|2524_x0007_`POSE|2526_x0007_`</v>
      </c>
      <c r="O2523" s="7" t="s">
        <v>8240</v>
      </c>
    </row>
    <row r="2524" spans="1:26" ht="28.7" customHeight="1" x14ac:dyDescent="0.3">
      <c r="A2524" s="10"/>
      <c r="B2524" s="10" t="s">
        <v>8234</v>
      </c>
      <c r="C2524" s="75">
        <v>0</v>
      </c>
      <c r="D2524" s="31"/>
      <c r="E2524" s="33">
        <v>0</v>
      </c>
      <c r="F2524" s="11">
        <v>0</v>
      </c>
      <c r="G2524" s="42"/>
      <c r="H2524" s="11">
        <v>0</v>
      </c>
      <c r="I2524" s="42"/>
      <c r="J2524" s="33">
        <v>0</v>
      </c>
      <c r="K2524" s="46"/>
      <c r="L2524" s="33">
        <v>0</v>
      </c>
      <c r="M2524" s="22" t="s">
        <v>6509</v>
      </c>
      <c r="N2524" s="17" t="s">
        <v>6507</v>
      </c>
      <c r="O2524" s="7" t="s">
        <v>6508</v>
      </c>
      <c r="P2524" s="7" t="s">
        <v>6508</v>
      </c>
    </row>
    <row r="2525" spans="1:26" ht="28.7" customHeight="1" x14ac:dyDescent="0.3">
      <c r="A2525" s="10" t="s">
        <v>1475</v>
      </c>
      <c r="B2525" s="10" t="s">
        <v>1441</v>
      </c>
      <c r="C2525" s="75">
        <v>1</v>
      </c>
      <c r="D2525" s="31" t="s">
        <v>515</v>
      </c>
      <c r="E2525" s="55">
        <f>I2525+G2525+K2525</f>
        <v>10307</v>
      </c>
      <c r="F2525" s="76">
        <f>J2525+H2525+L2525</f>
        <v>10307</v>
      </c>
      <c r="G2525" s="78">
        <f>일위대가목록표!F592</f>
        <v>10105</v>
      </c>
      <c r="H2525" s="80">
        <f>IF(C2525=0,0,ROUNDDOWN(G2525*C2525,1))</f>
        <v>10105</v>
      </c>
      <c r="I2525" s="78">
        <f>일위대가목록표!G592</f>
        <v>0</v>
      </c>
      <c r="J2525" s="80">
        <f>IF(C2525=0,0,ROUNDDOWN(I2525*C2525,1))</f>
        <v>0</v>
      </c>
      <c r="K2525" s="78">
        <f>일위대가목록표!H592</f>
        <v>202</v>
      </c>
      <c r="L2525" s="80">
        <f>IF(C2525=0,0,ROUNDDOWN(K2525*C2525,1))</f>
        <v>202</v>
      </c>
      <c r="M2525" s="22" t="s">
        <v>5110</v>
      </c>
      <c r="N2525" s="17" t="s">
        <v>8241</v>
      </c>
      <c r="O2525" s="7" t="s">
        <v>5108</v>
      </c>
      <c r="P2525" s="7" t="s">
        <v>6406</v>
      </c>
      <c r="Z2525" s="3" t="str">
        <f ca="1">HYPERLINK("#"&amp;일위대가목록표!J2&amp;"!A"&amp;ROW(일위대가목록표!A592),"대가589 →")</f>
        <v>대가589 →</v>
      </c>
    </row>
    <row r="2526" spans="1:26" ht="28.7" customHeight="1" x14ac:dyDescent="0.3">
      <c r="A2526" s="10" t="s">
        <v>1456</v>
      </c>
      <c r="B2526" s="10" t="s">
        <v>1460</v>
      </c>
      <c r="C2526" s="75">
        <v>1</v>
      </c>
      <c r="D2526" s="31" t="s">
        <v>515</v>
      </c>
      <c r="E2526" s="55">
        <f>I2526+G2526+K2526</f>
        <v>25768</v>
      </c>
      <c r="F2526" s="76">
        <f>J2526+H2526+L2526</f>
        <v>25768</v>
      </c>
      <c r="G2526" s="78">
        <f>일위대가목록표!F586</f>
        <v>25263</v>
      </c>
      <c r="H2526" s="80">
        <f>IF(C2526=0,0,ROUNDDOWN(G2526*C2526,1))</f>
        <v>25263</v>
      </c>
      <c r="I2526" s="78">
        <f>일위대가목록표!G586</f>
        <v>0</v>
      </c>
      <c r="J2526" s="80">
        <f>IF(C2526=0,0,ROUNDDOWN(I2526*C2526,1))</f>
        <v>0</v>
      </c>
      <c r="K2526" s="78">
        <f>일위대가목록표!H586</f>
        <v>505</v>
      </c>
      <c r="L2526" s="80">
        <f>IF(C2526=0,0,ROUNDDOWN(K2526*C2526,1))</f>
        <v>505</v>
      </c>
      <c r="M2526" s="22" t="s">
        <v>5092</v>
      </c>
      <c r="N2526" s="17" t="s">
        <v>8242</v>
      </c>
      <c r="O2526" s="7" t="s">
        <v>5090</v>
      </c>
      <c r="P2526" s="7" t="s">
        <v>6406</v>
      </c>
      <c r="Z2526" s="3" t="str">
        <f ca="1">HYPERLINK("#"&amp;일위대가목록표!J2&amp;"!A"&amp;ROW(일위대가목록표!A586),"대가583 →")</f>
        <v>대가583 →</v>
      </c>
    </row>
    <row r="2527" spans="1:26" ht="28.7" customHeight="1" x14ac:dyDescent="0.3">
      <c r="A2527" s="22" t="s">
        <v>6</v>
      </c>
      <c r="B2527" s="74"/>
      <c r="C2527" s="74"/>
      <c r="D2527" s="74"/>
      <c r="E2527" s="74"/>
      <c r="F2527" s="48">
        <f>J2527+H2527+L2527</f>
        <v>36075</v>
      </c>
      <c r="G2527" s="74"/>
      <c r="H2527" s="48">
        <f>ROUNDDOWN(SUMIF(P2524:P2526,O2527,H2524:H2526),0)</f>
        <v>35368</v>
      </c>
      <c r="I2527" s="74"/>
      <c r="J2527" s="48">
        <f>ROUNDDOWN(SUMIF(P2524:P2526,O2527,J2524:J2526),0)</f>
        <v>0</v>
      </c>
      <c r="K2527" s="74"/>
      <c r="L2527" s="48">
        <f>ROUNDDOWN(SUMIF(P2524:P2526,O2527,L2524:L2526),0)</f>
        <v>707</v>
      </c>
      <c r="M2527" s="74"/>
      <c r="O2527" s="7" t="s">
        <v>6406</v>
      </c>
    </row>
    <row r="2528" spans="1:26" ht="28.7" customHeight="1" x14ac:dyDescent="0.3">
      <c r="A2528" s="73"/>
      <c r="B2528" s="73"/>
      <c r="C2528" s="73"/>
      <c r="D2528" s="73"/>
      <c r="E2528" s="73"/>
      <c r="F2528" s="73"/>
      <c r="G2528" s="73"/>
      <c r="H2528" s="73"/>
      <c r="I2528" s="73"/>
      <c r="J2528" s="73"/>
      <c r="K2528" s="73"/>
      <c r="L2528" s="73"/>
      <c r="M2528" s="73"/>
    </row>
    <row r="2529" spans="1:26" ht="28.7" customHeight="1" x14ac:dyDescent="0.3">
      <c r="A2529" s="136" t="s">
        <v>1445</v>
      </c>
      <c r="B2529" s="127"/>
      <c r="C2529" s="127"/>
      <c r="D2529" s="127"/>
      <c r="E2529" s="127"/>
      <c r="F2529" s="127"/>
      <c r="G2529" s="127"/>
      <c r="H2529" s="127"/>
      <c r="I2529" s="127"/>
      <c r="J2529" s="127"/>
      <c r="K2529" s="127"/>
      <c r="L2529" s="144"/>
      <c r="M2529" s="22" t="s">
        <v>8243</v>
      </c>
      <c r="N2529" s="84" t="str">
        <f>HYPERLINK("#N"&amp;ROW(N2532),"_x0005_`BDCOD|B04890_x0007_`POSS|"&amp;ROW(N2530)&amp;"_x0007_`POSE|"&amp;ROW(N2532)&amp;"_x0007_`")</f>
        <v>_x0005_`BDCOD|B04890_x0007_`POSS|2530_x0007_`POSE|2532_x0007_`</v>
      </c>
      <c r="O2529" s="7" t="s">
        <v>8244</v>
      </c>
    </row>
    <row r="2530" spans="1:26" ht="28.7" customHeight="1" x14ac:dyDescent="0.3">
      <c r="A2530" s="10"/>
      <c r="B2530" s="10" t="s">
        <v>8234</v>
      </c>
      <c r="C2530" s="75">
        <v>0</v>
      </c>
      <c r="D2530" s="31"/>
      <c r="E2530" s="33">
        <v>0</v>
      </c>
      <c r="F2530" s="11">
        <v>0</v>
      </c>
      <c r="G2530" s="42"/>
      <c r="H2530" s="11">
        <v>0</v>
      </c>
      <c r="I2530" s="42"/>
      <c r="J2530" s="33">
        <v>0</v>
      </c>
      <c r="K2530" s="46"/>
      <c r="L2530" s="33">
        <v>0</v>
      </c>
      <c r="M2530" s="22" t="s">
        <v>6509</v>
      </c>
      <c r="N2530" s="17" t="s">
        <v>6507</v>
      </c>
      <c r="O2530" s="7" t="s">
        <v>6508</v>
      </c>
      <c r="P2530" s="7" t="s">
        <v>6508</v>
      </c>
    </row>
    <row r="2531" spans="1:26" ht="28.7" customHeight="1" x14ac:dyDescent="0.3">
      <c r="A2531" s="10" t="s">
        <v>1475</v>
      </c>
      <c r="B2531" s="10" t="s">
        <v>1447</v>
      </c>
      <c r="C2531" s="75">
        <v>1</v>
      </c>
      <c r="D2531" s="31" t="s">
        <v>515</v>
      </c>
      <c r="E2531" s="55">
        <f>I2531+G2531+K2531</f>
        <v>15995</v>
      </c>
      <c r="F2531" s="76">
        <f>J2531+H2531+L2531</f>
        <v>15995</v>
      </c>
      <c r="G2531" s="78">
        <f>일위대가목록표!F594</f>
        <v>15682</v>
      </c>
      <c r="H2531" s="80">
        <f>IF(C2531=0,0,ROUNDDOWN(G2531*C2531,1))</f>
        <v>15682</v>
      </c>
      <c r="I2531" s="78">
        <f>일위대가목록표!G594</f>
        <v>0</v>
      </c>
      <c r="J2531" s="80">
        <f>IF(C2531=0,0,ROUNDDOWN(I2531*C2531,1))</f>
        <v>0</v>
      </c>
      <c r="K2531" s="78">
        <f>일위대가목록표!H594</f>
        <v>313</v>
      </c>
      <c r="L2531" s="80">
        <f>IF(C2531=0,0,ROUNDDOWN(K2531*C2531,1))</f>
        <v>313</v>
      </c>
      <c r="M2531" s="22" t="s">
        <v>5116</v>
      </c>
      <c r="N2531" s="17" t="s">
        <v>8245</v>
      </c>
      <c r="O2531" s="7" t="s">
        <v>5114</v>
      </c>
      <c r="P2531" s="7" t="s">
        <v>6406</v>
      </c>
      <c r="Z2531" s="3" t="str">
        <f ca="1">HYPERLINK("#"&amp;일위대가목록표!J2&amp;"!A"&amp;ROW(일위대가목록표!A594),"대가591 →")</f>
        <v>대가591 →</v>
      </c>
    </row>
    <row r="2532" spans="1:26" ht="28.7" customHeight="1" x14ac:dyDescent="0.3">
      <c r="A2532" s="10" t="s">
        <v>1456</v>
      </c>
      <c r="B2532" s="10" t="s">
        <v>1466</v>
      </c>
      <c r="C2532" s="75">
        <v>1</v>
      </c>
      <c r="D2532" s="31" t="s">
        <v>515</v>
      </c>
      <c r="E2532" s="55">
        <f>I2532+G2532+K2532</f>
        <v>39991</v>
      </c>
      <c r="F2532" s="76">
        <f>J2532+H2532+L2532</f>
        <v>39991</v>
      </c>
      <c r="G2532" s="78">
        <f>일위대가목록표!F588</f>
        <v>39207</v>
      </c>
      <c r="H2532" s="80">
        <f>IF(C2532=0,0,ROUNDDOWN(G2532*C2532,1))</f>
        <v>39207</v>
      </c>
      <c r="I2532" s="78">
        <f>일위대가목록표!G588</f>
        <v>0</v>
      </c>
      <c r="J2532" s="80">
        <f>IF(C2532=0,0,ROUNDDOWN(I2532*C2532,1))</f>
        <v>0</v>
      </c>
      <c r="K2532" s="78">
        <f>일위대가목록표!H588</f>
        <v>784</v>
      </c>
      <c r="L2532" s="80">
        <f>IF(C2532=0,0,ROUNDDOWN(K2532*C2532,1))</f>
        <v>784</v>
      </c>
      <c r="M2532" s="22" t="s">
        <v>5098</v>
      </c>
      <c r="N2532" s="17" t="s">
        <v>8246</v>
      </c>
      <c r="O2532" s="7" t="s">
        <v>5096</v>
      </c>
      <c r="P2532" s="7" t="s">
        <v>6406</v>
      </c>
      <c r="Z2532" s="3" t="str">
        <f ca="1">HYPERLINK("#"&amp;일위대가목록표!J2&amp;"!A"&amp;ROW(일위대가목록표!A588),"대가585 →")</f>
        <v>대가585 →</v>
      </c>
    </row>
    <row r="2533" spans="1:26" ht="28.7" customHeight="1" x14ac:dyDescent="0.3">
      <c r="A2533" s="22" t="s">
        <v>6</v>
      </c>
      <c r="B2533" s="74"/>
      <c r="C2533" s="74"/>
      <c r="D2533" s="74"/>
      <c r="E2533" s="74"/>
      <c r="F2533" s="48">
        <f>J2533+H2533+L2533</f>
        <v>55986</v>
      </c>
      <c r="G2533" s="74"/>
      <c r="H2533" s="48">
        <f>ROUNDDOWN(SUMIF(P2530:P2532,O2533,H2530:H2532),0)</f>
        <v>54889</v>
      </c>
      <c r="I2533" s="74"/>
      <c r="J2533" s="48">
        <f>ROUNDDOWN(SUMIF(P2530:P2532,O2533,J2530:J2532),0)</f>
        <v>0</v>
      </c>
      <c r="K2533" s="74"/>
      <c r="L2533" s="48">
        <f>ROUNDDOWN(SUMIF(P2530:P2532,O2533,L2530:L2532),0)</f>
        <v>1097</v>
      </c>
      <c r="M2533" s="74"/>
      <c r="O2533" s="7" t="s">
        <v>6406</v>
      </c>
    </row>
    <row r="2534" spans="1:26" ht="28.7" customHeight="1" x14ac:dyDescent="0.3">
      <c r="A2534" s="73"/>
      <c r="B2534" s="73"/>
      <c r="C2534" s="73"/>
      <c r="D2534" s="73"/>
      <c r="E2534" s="73"/>
      <c r="F2534" s="73"/>
      <c r="G2534" s="73"/>
      <c r="H2534" s="73"/>
      <c r="I2534" s="73"/>
      <c r="J2534" s="73"/>
      <c r="K2534" s="73"/>
      <c r="L2534" s="73"/>
      <c r="M2534" s="73"/>
    </row>
    <row r="2535" spans="1:26" ht="28.7" customHeight="1" x14ac:dyDescent="0.3">
      <c r="A2535" s="136" t="s">
        <v>1448</v>
      </c>
      <c r="B2535" s="127"/>
      <c r="C2535" s="127"/>
      <c r="D2535" s="127"/>
      <c r="E2535" s="127"/>
      <c r="F2535" s="127"/>
      <c r="G2535" s="127"/>
      <c r="H2535" s="127"/>
      <c r="I2535" s="127"/>
      <c r="J2535" s="127"/>
      <c r="K2535" s="127"/>
      <c r="L2535" s="144"/>
      <c r="M2535" s="22" t="s">
        <v>8247</v>
      </c>
      <c r="N2535" s="84" t="str">
        <f>HYPERLINK("#N"&amp;ROW(N2538),"_x0005_`BDCOD|B04891_x0007_`POSS|"&amp;ROW(N2536)&amp;"_x0007_`POSE|"&amp;ROW(N2538)&amp;"_x0007_`")</f>
        <v>_x0005_`BDCOD|B04891_x0007_`POSS|2536_x0007_`POSE|2538_x0007_`</v>
      </c>
      <c r="O2535" s="7" t="s">
        <v>8248</v>
      </c>
    </row>
    <row r="2536" spans="1:26" ht="28.7" customHeight="1" x14ac:dyDescent="0.3">
      <c r="A2536" s="10"/>
      <c r="B2536" s="10" t="s">
        <v>8234</v>
      </c>
      <c r="C2536" s="75">
        <v>0</v>
      </c>
      <c r="D2536" s="31"/>
      <c r="E2536" s="33">
        <v>0</v>
      </c>
      <c r="F2536" s="11">
        <v>0</v>
      </c>
      <c r="G2536" s="42"/>
      <c r="H2536" s="11">
        <v>0</v>
      </c>
      <c r="I2536" s="42"/>
      <c r="J2536" s="33">
        <v>0</v>
      </c>
      <c r="K2536" s="46"/>
      <c r="L2536" s="33">
        <v>0</v>
      </c>
      <c r="M2536" s="22" t="s">
        <v>6509</v>
      </c>
      <c r="N2536" s="17" t="s">
        <v>6507</v>
      </c>
      <c r="O2536" s="7" t="s">
        <v>6508</v>
      </c>
      <c r="P2536" s="7" t="s">
        <v>6508</v>
      </c>
    </row>
    <row r="2537" spans="1:26" ht="28.7" customHeight="1" x14ac:dyDescent="0.3">
      <c r="A2537" s="10" t="s">
        <v>1475</v>
      </c>
      <c r="B2537" s="10" t="s">
        <v>1450</v>
      </c>
      <c r="C2537" s="75">
        <v>1</v>
      </c>
      <c r="D2537" s="31" t="s">
        <v>515</v>
      </c>
      <c r="E2537" s="55">
        <f>I2537+G2537+K2537</f>
        <v>19912</v>
      </c>
      <c r="F2537" s="76">
        <f>J2537+H2537+L2537</f>
        <v>19912</v>
      </c>
      <c r="G2537" s="78">
        <f>일위대가목록표!F595</f>
        <v>19522</v>
      </c>
      <c r="H2537" s="80">
        <f>IF(C2537=0,0,ROUNDDOWN(G2537*C2537,1))</f>
        <v>19522</v>
      </c>
      <c r="I2537" s="78">
        <f>일위대가목록표!G595</f>
        <v>0</v>
      </c>
      <c r="J2537" s="80">
        <f>IF(C2537=0,0,ROUNDDOWN(I2537*C2537,1))</f>
        <v>0</v>
      </c>
      <c r="K2537" s="78">
        <f>일위대가목록표!H595</f>
        <v>390</v>
      </c>
      <c r="L2537" s="80">
        <f>IF(C2537=0,0,ROUNDDOWN(K2537*C2537,1))</f>
        <v>390</v>
      </c>
      <c r="M2537" s="22" t="s">
        <v>5119</v>
      </c>
      <c r="N2537" s="17" t="s">
        <v>8249</v>
      </c>
      <c r="O2537" s="7" t="s">
        <v>5117</v>
      </c>
      <c r="P2537" s="7" t="s">
        <v>6406</v>
      </c>
      <c r="Z2537" s="3" t="str">
        <f ca="1">HYPERLINK("#"&amp;일위대가목록표!J2&amp;"!A"&amp;ROW(일위대가목록표!A595),"대가592 →")</f>
        <v>대가592 →</v>
      </c>
    </row>
    <row r="2538" spans="1:26" ht="28.7" customHeight="1" x14ac:dyDescent="0.3">
      <c r="A2538" s="10" t="s">
        <v>1456</v>
      </c>
      <c r="B2538" s="10" t="s">
        <v>1469</v>
      </c>
      <c r="C2538" s="75">
        <v>1</v>
      </c>
      <c r="D2538" s="31" t="s">
        <v>515</v>
      </c>
      <c r="E2538" s="55">
        <f>I2538+G2538+K2538</f>
        <v>49781</v>
      </c>
      <c r="F2538" s="76">
        <f>J2538+H2538+L2538</f>
        <v>49781</v>
      </c>
      <c r="G2538" s="78">
        <f>일위대가목록표!F589</f>
        <v>48805</v>
      </c>
      <c r="H2538" s="80">
        <f>IF(C2538=0,0,ROUNDDOWN(G2538*C2538,1))</f>
        <v>48805</v>
      </c>
      <c r="I2538" s="78">
        <f>일위대가목록표!G589</f>
        <v>0</v>
      </c>
      <c r="J2538" s="80">
        <f>IF(C2538=0,0,ROUNDDOWN(I2538*C2538,1))</f>
        <v>0</v>
      </c>
      <c r="K2538" s="78">
        <f>일위대가목록표!H589</f>
        <v>976</v>
      </c>
      <c r="L2538" s="80">
        <f>IF(C2538=0,0,ROUNDDOWN(K2538*C2538,1))</f>
        <v>976</v>
      </c>
      <c r="M2538" s="22" t="s">
        <v>5101</v>
      </c>
      <c r="N2538" s="17" t="s">
        <v>8250</v>
      </c>
      <c r="O2538" s="7" t="s">
        <v>5099</v>
      </c>
      <c r="P2538" s="7" t="s">
        <v>6406</v>
      </c>
      <c r="Z2538" s="3" t="str">
        <f ca="1">HYPERLINK("#"&amp;일위대가목록표!J2&amp;"!A"&amp;ROW(일위대가목록표!A589),"대가586 →")</f>
        <v>대가586 →</v>
      </c>
    </row>
    <row r="2539" spans="1:26" ht="28.7" customHeight="1" x14ac:dyDescent="0.3">
      <c r="A2539" s="22" t="s">
        <v>6</v>
      </c>
      <c r="B2539" s="74"/>
      <c r="C2539" s="74"/>
      <c r="D2539" s="74"/>
      <c r="E2539" s="74"/>
      <c r="F2539" s="48">
        <f>J2539+H2539+L2539</f>
        <v>69693</v>
      </c>
      <c r="G2539" s="74"/>
      <c r="H2539" s="48">
        <f>ROUNDDOWN(SUMIF(P2536:P2538,O2539,H2536:H2538),0)</f>
        <v>68327</v>
      </c>
      <c r="I2539" s="74"/>
      <c r="J2539" s="48">
        <f>ROUNDDOWN(SUMIF(P2536:P2538,O2539,J2536:J2538),0)</f>
        <v>0</v>
      </c>
      <c r="K2539" s="74"/>
      <c r="L2539" s="48">
        <f>ROUNDDOWN(SUMIF(P2536:P2538,O2539,L2536:L2538),0)</f>
        <v>1366</v>
      </c>
      <c r="M2539" s="74"/>
      <c r="O2539" s="7" t="s">
        <v>6406</v>
      </c>
    </row>
    <row r="2540" spans="1:26" ht="28.7" customHeight="1" x14ac:dyDescent="0.3">
      <c r="A2540" s="73"/>
      <c r="B2540" s="73"/>
      <c r="C2540" s="73"/>
      <c r="D2540" s="73"/>
      <c r="E2540" s="73"/>
      <c r="F2540" s="73"/>
      <c r="G2540" s="73"/>
      <c r="H2540" s="73"/>
      <c r="I2540" s="73"/>
      <c r="J2540" s="73"/>
      <c r="K2540" s="73"/>
      <c r="L2540" s="73"/>
      <c r="M2540" s="73"/>
    </row>
    <row r="2541" spans="1:26" ht="28.7" customHeight="1" x14ac:dyDescent="0.3">
      <c r="A2541" s="136" t="s">
        <v>1451</v>
      </c>
      <c r="B2541" s="127"/>
      <c r="C2541" s="127"/>
      <c r="D2541" s="127"/>
      <c r="E2541" s="127"/>
      <c r="F2541" s="127"/>
      <c r="G2541" s="127"/>
      <c r="H2541" s="127"/>
      <c r="I2541" s="127"/>
      <c r="J2541" s="127"/>
      <c r="K2541" s="127"/>
      <c r="L2541" s="144"/>
      <c r="M2541" s="22" t="s">
        <v>8251</v>
      </c>
      <c r="N2541" s="84" t="str">
        <f>HYPERLINK("#N"&amp;ROW(N2544),"_x0005_`BDCOD|B04892_x0007_`POSS|"&amp;ROW(N2542)&amp;"_x0007_`POSE|"&amp;ROW(N2544)&amp;"_x0007_`")</f>
        <v>_x0005_`BDCOD|B04892_x0007_`POSS|2542_x0007_`POSE|2544_x0007_`</v>
      </c>
      <c r="O2541" s="7" t="s">
        <v>8252</v>
      </c>
    </row>
    <row r="2542" spans="1:26" ht="28.7" customHeight="1" x14ac:dyDescent="0.3">
      <c r="A2542" s="10"/>
      <c r="B2542" s="10" t="s">
        <v>8234</v>
      </c>
      <c r="C2542" s="75">
        <v>0</v>
      </c>
      <c r="D2542" s="31"/>
      <c r="E2542" s="33">
        <v>0</v>
      </c>
      <c r="F2542" s="11">
        <v>0</v>
      </c>
      <c r="G2542" s="42"/>
      <c r="H2542" s="11">
        <v>0</v>
      </c>
      <c r="I2542" s="42"/>
      <c r="J2542" s="33">
        <v>0</v>
      </c>
      <c r="K2542" s="46"/>
      <c r="L2542" s="33">
        <v>0</v>
      </c>
      <c r="M2542" s="22" t="s">
        <v>6509</v>
      </c>
      <c r="N2542" s="17" t="s">
        <v>6507</v>
      </c>
      <c r="O2542" s="7" t="s">
        <v>6508</v>
      </c>
      <c r="P2542" s="7" t="s">
        <v>6508</v>
      </c>
    </row>
    <row r="2543" spans="1:26" ht="28.7" customHeight="1" x14ac:dyDescent="0.3">
      <c r="A2543" s="10" t="s">
        <v>1475</v>
      </c>
      <c r="B2543" s="10" t="s">
        <v>1453</v>
      </c>
      <c r="C2543" s="75">
        <v>1</v>
      </c>
      <c r="D2543" s="31" t="s">
        <v>515</v>
      </c>
      <c r="E2543" s="55">
        <f>I2543+G2543+K2543</f>
        <v>19912</v>
      </c>
      <c r="F2543" s="76">
        <f>J2543+H2543+L2543</f>
        <v>19912</v>
      </c>
      <c r="G2543" s="78">
        <f>일위대가목록표!F596</f>
        <v>19522</v>
      </c>
      <c r="H2543" s="80">
        <f>IF(C2543=0,0,ROUNDDOWN(G2543*C2543,1))</f>
        <v>19522</v>
      </c>
      <c r="I2543" s="78">
        <f>일위대가목록표!G596</f>
        <v>0</v>
      </c>
      <c r="J2543" s="80">
        <f>IF(C2543=0,0,ROUNDDOWN(I2543*C2543,1))</f>
        <v>0</v>
      </c>
      <c r="K2543" s="78">
        <f>일위대가목록표!H596</f>
        <v>390</v>
      </c>
      <c r="L2543" s="80">
        <f>IF(C2543=0,0,ROUNDDOWN(K2543*C2543,1))</f>
        <v>390</v>
      </c>
      <c r="M2543" s="22" t="s">
        <v>5122</v>
      </c>
      <c r="N2543" s="17" t="s">
        <v>8253</v>
      </c>
      <c r="O2543" s="7" t="s">
        <v>5120</v>
      </c>
      <c r="P2543" s="7" t="s">
        <v>6406</v>
      </c>
      <c r="Z2543" s="3" t="str">
        <f ca="1">HYPERLINK("#"&amp;일위대가목록표!J2&amp;"!A"&amp;ROW(일위대가목록표!A596),"대가593 →")</f>
        <v>대가593 →</v>
      </c>
    </row>
    <row r="2544" spans="1:26" ht="28.7" customHeight="1" x14ac:dyDescent="0.3">
      <c r="A2544" s="10" t="s">
        <v>1456</v>
      </c>
      <c r="B2544" s="10" t="s">
        <v>1472</v>
      </c>
      <c r="C2544" s="75">
        <v>1</v>
      </c>
      <c r="D2544" s="31" t="s">
        <v>515</v>
      </c>
      <c r="E2544" s="55">
        <f>I2544+G2544+K2544</f>
        <v>49781</v>
      </c>
      <c r="F2544" s="76">
        <f>J2544+H2544+L2544</f>
        <v>49781</v>
      </c>
      <c r="G2544" s="78">
        <f>일위대가목록표!F590</f>
        <v>48805</v>
      </c>
      <c r="H2544" s="80">
        <f>IF(C2544=0,0,ROUNDDOWN(G2544*C2544,1))</f>
        <v>48805</v>
      </c>
      <c r="I2544" s="78">
        <f>일위대가목록표!G590</f>
        <v>0</v>
      </c>
      <c r="J2544" s="80">
        <f>IF(C2544=0,0,ROUNDDOWN(I2544*C2544,1))</f>
        <v>0</v>
      </c>
      <c r="K2544" s="78">
        <f>일위대가목록표!H590</f>
        <v>976</v>
      </c>
      <c r="L2544" s="80">
        <f>IF(C2544=0,0,ROUNDDOWN(K2544*C2544,1))</f>
        <v>976</v>
      </c>
      <c r="M2544" s="22" t="s">
        <v>5104</v>
      </c>
      <c r="N2544" s="17" t="s">
        <v>8254</v>
      </c>
      <c r="O2544" s="7" t="s">
        <v>5102</v>
      </c>
      <c r="P2544" s="7" t="s">
        <v>6406</v>
      </c>
      <c r="Z2544" s="3" t="str">
        <f ca="1">HYPERLINK("#"&amp;일위대가목록표!J2&amp;"!A"&amp;ROW(일위대가목록표!A590),"대가587 →")</f>
        <v>대가587 →</v>
      </c>
    </row>
    <row r="2545" spans="1:26" ht="28.7" customHeight="1" x14ac:dyDescent="0.3">
      <c r="A2545" s="22" t="s">
        <v>6</v>
      </c>
      <c r="B2545" s="74"/>
      <c r="C2545" s="74"/>
      <c r="D2545" s="74"/>
      <c r="E2545" s="74"/>
      <c r="F2545" s="48">
        <f>J2545+H2545+L2545</f>
        <v>69693</v>
      </c>
      <c r="G2545" s="74"/>
      <c r="H2545" s="48">
        <f>ROUNDDOWN(SUMIF(P2542:P2544,O2545,H2542:H2544),0)</f>
        <v>68327</v>
      </c>
      <c r="I2545" s="74"/>
      <c r="J2545" s="48">
        <f>ROUNDDOWN(SUMIF(P2542:P2544,O2545,J2542:J2544),0)</f>
        <v>0</v>
      </c>
      <c r="K2545" s="74"/>
      <c r="L2545" s="48">
        <f>ROUNDDOWN(SUMIF(P2542:P2544,O2545,L2542:L2544),0)</f>
        <v>1366</v>
      </c>
      <c r="M2545" s="74"/>
      <c r="O2545" s="7" t="s">
        <v>6406</v>
      </c>
    </row>
    <row r="2546" spans="1:26" ht="28.7" customHeight="1" x14ac:dyDescent="0.3">
      <c r="A2546" s="73"/>
      <c r="B2546" s="73"/>
      <c r="C2546" s="73"/>
      <c r="D2546" s="73"/>
      <c r="E2546" s="73"/>
      <c r="F2546" s="73"/>
      <c r="G2546" s="73"/>
      <c r="H2546" s="73"/>
      <c r="I2546" s="73"/>
      <c r="J2546" s="73"/>
      <c r="K2546" s="73"/>
      <c r="L2546" s="73"/>
      <c r="M2546" s="73"/>
    </row>
    <row r="2547" spans="1:26" ht="28.7" customHeight="1" x14ac:dyDescent="0.3">
      <c r="A2547" s="136" t="s">
        <v>1454</v>
      </c>
      <c r="B2547" s="127"/>
      <c r="C2547" s="127"/>
      <c r="D2547" s="127"/>
      <c r="E2547" s="127"/>
      <c r="F2547" s="127"/>
      <c r="G2547" s="127"/>
      <c r="H2547" s="127"/>
      <c r="I2547" s="127"/>
      <c r="J2547" s="127"/>
      <c r="K2547" s="127"/>
      <c r="L2547" s="144"/>
      <c r="M2547" s="22" t="s">
        <v>8255</v>
      </c>
      <c r="N2547" s="84" t="str">
        <f>HYPERLINK("#N"&amp;ROW(N2551),"_x0005_`BDCOD|B04873_x0007_`POSS|"&amp;ROW(N2548)&amp;"_x0007_`POSE|"&amp;ROW(N2551)&amp;"_x0007_`")</f>
        <v>_x0005_`BDCOD|B04873_x0007_`POSS|2548_x0007_`POSE|2551_x0007_`</v>
      </c>
      <c r="O2547" s="7" t="s">
        <v>8256</v>
      </c>
    </row>
    <row r="2548" spans="1:26" ht="28.7" customHeight="1" x14ac:dyDescent="0.3">
      <c r="A2548" s="10"/>
      <c r="B2548" s="10" t="s">
        <v>8234</v>
      </c>
      <c r="C2548" s="75">
        <v>0</v>
      </c>
      <c r="D2548" s="31"/>
      <c r="E2548" s="33">
        <v>0</v>
      </c>
      <c r="F2548" s="11">
        <v>0</v>
      </c>
      <c r="G2548" s="42"/>
      <c r="H2548" s="11">
        <v>0</v>
      </c>
      <c r="I2548" s="42"/>
      <c r="J2548" s="33">
        <v>0</v>
      </c>
      <c r="K2548" s="46"/>
      <c r="L2548" s="33">
        <v>0</v>
      </c>
      <c r="M2548" s="22" t="s">
        <v>6509</v>
      </c>
      <c r="N2548" s="17" t="s">
        <v>6507</v>
      </c>
      <c r="O2548" s="7" t="s">
        <v>6508</v>
      </c>
      <c r="P2548" s="7" t="s">
        <v>6508</v>
      </c>
    </row>
    <row r="2549" spans="1:26" ht="28.7" customHeight="1" x14ac:dyDescent="0.3">
      <c r="A2549" s="10" t="s">
        <v>3088</v>
      </c>
      <c r="B2549" s="10"/>
      <c r="C2549" s="75">
        <v>0.05</v>
      </c>
      <c r="D2549" s="31" t="s">
        <v>3074</v>
      </c>
      <c r="E2549" s="55">
        <f t="shared" ref="E2549:F2551" si="0">I2549+G2549+K2549</f>
        <v>262580</v>
      </c>
      <c r="F2549" s="76">
        <f t="shared" si="0"/>
        <v>13129</v>
      </c>
      <c r="G2549" s="78">
        <f>노무비목록표!E11</f>
        <v>262580</v>
      </c>
      <c r="H2549" s="81">
        <f>IF(C2549=0,0,ROUNDDOWN(G2549*C2549,1))</f>
        <v>13129</v>
      </c>
      <c r="I2549" s="51">
        <v>0</v>
      </c>
      <c r="J2549" s="77">
        <f>IF(C2549=0,0,ROUNDDOWN(I2549*C2549,1))</f>
        <v>0</v>
      </c>
      <c r="K2549" s="51">
        <v>0</v>
      </c>
      <c r="L2549" s="76">
        <f>IF(C2549=0,0,ROUNDDOWN(K2549*C2549,1))</f>
        <v>0</v>
      </c>
      <c r="M2549" s="22" t="s">
        <v>8259</v>
      </c>
      <c r="N2549" s="17" t="s">
        <v>8257</v>
      </c>
      <c r="O2549" s="7" t="s">
        <v>8258</v>
      </c>
      <c r="P2549" s="7" t="s">
        <v>6406</v>
      </c>
      <c r="Q2549" s="7" t="s">
        <v>7061</v>
      </c>
      <c r="Z2549" s="3" t="str">
        <f ca="1">HYPERLINK("#"&amp;노무비목록표!G2&amp;"!A"&amp;ROW(노무비목록표!A11),"노무8 →")</f>
        <v>노무8 →</v>
      </c>
    </row>
    <row r="2550" spans="1:26" ht="28.7" customHeight="1" x14ac:dyDescent="0.3">
      <c r="A2550" s="10" t="s">
        <v>3090</v>
      </c>
      <c r="B2550" s="10"/>
      <c r="C2550" s="75">
        <v>0.02</v>
      </c>
      <c r="D2550" s="31" t="s">
        <v>3074</v>
      </c>
      <c r="E2550" s="55">
        <f t="shared" si="0"/>
        <v>172068</v>
      </c>
      <c r="F2550" s="76">
        <f t="shared" si="0"/>
        <v>3441.3</v>
      </c>
      <c r="G2550" s="78">
        <f>노무비목록표!E12</f>
        <v>172068</v>
      </c>
      <c r="H2550" s="81">
        <f>IF(C2550=0,0,ROUNDDOWN(G2550*C2550,1))</f>
        <v>3441.3</v>
      </c>
      <c r="I2550" s="51">
        <v>0</v>
      </c>
      <c r="J2550" s="77">
        <f>IF(C2550=0,0,ROUNDDOWN(I2550*C2550,1))</f>
        <v>0</v>
      </c>
      <c r="K2550" s="51">
        <v>0</v>
      </c>
      <c r="L2550" s="76">
        <f>IF(C2550=0,0,ROUNDDOWN(K2550*C2550,1))</f>
        <v>0</v>
      </c>
      <c r="M2550" s="22" t="s">
        <v>8262</v>
      </c>
      <c r="N2550" s="17" t="s">
        <v>8260</v>
      </c>
      <c r="O2550" s="7" t="s">
        <v>8261</v>
      </c>
      <c r="P2550" s="7" t="s">
        <v>6406</v>
      </c>
      <c r="Q2550" s="7" t="s">
        <v>7061</v>
      </c>
      <c r="Z2550" s="3" t="str">
        <f ca="1">HYPERLINK("#"&amp;노무비목록표!G2&amp;"!A"&amp;ROW(노무비목록표!A12),"노무9 →")</f>
        <v>노무9 →</v>
      </c>
    </row>
    <row r="2551" spans="1:26" ht="28.7" customHeight="1" x14ac:dyDescent="0.3">
      <c r="A2551" s="10" t="s">
        <v>8263</v>
      </c>
      <c r="B2551" s="10" t="s">
        <v>7063</v>
      </c>
      <c r="C2551" s="75">
        <v>2</v>
      </c>
      <c r="D2551" s="31" t="s">
        <v>7064</v>
      </c>
      <c r="E2551" s="55">
        <f t="shared" si="0"/>
        <v>16570.3</v>
      </c>
      <c r="F2551" s="77">
        <f t="shared" si="0"/>
        <v>331.4</v>
      </c>
      <c r="G2551" s="13">
        <v>0</v>
      </c>
      <c r="H2551" s="77">
        <f>IF(C2551=0,0,ROUNDDOWN(G2551*C2551/100,1))</f>
        <v>0</v>
      </c>
      <c r="I2551" s="13">
        <v>0</v>
      </c>
      <c r="J2551" s="76">
        <f>IF(C2551=0,0,ROUNDDOWN(I2551*C2551/100,1))</f>
        <v>0</v>
      </c>
      <c r="K2551" s="82">
        <f>H2549+H2550</f>
        <v>16570.3</v>
      </c>
      <c r="L2551" s="76">
        <f>IF(C2551=0,0,ROUNDDOWN(K2551*C2551/100,1))</f>
        <v>331.4</v>
      </c>
      <c r="M2551" s="22"/>
      <c r="N2551" s="17" t="s">
        <v>7065</v>
      </c>
      <c r="O2551" s="7" t="s">
        <v>7066</v>
      </c>
      <c r="P2551" s="7" t="s">
        <v>6406</v>
      </c>
    </row>
    <row r="2552" spans="1:26" ht="28.7" customHeight="1" x14ac:dyDescent="0.3">
      <c r="A2552" s="22" t="s">
        <v>6</v>
      </c>
      <c r="B2552" s="74"/>
      <c r="C2552" s="74"/>
      <c r="D2552" s="74"/>
      <c r="E2552" s="74"/>
      <c r="F2552" s="48">
        <f>J2552+H2552+L2552</f>
        <v>16901</v>
      </c>
      <c r="G2552" s="74"/>
      <c r="H2552" s="48">
        <f>ROUNDDOWN(SUMIF(P2548:P2551,O2552,H2548:H2551),0)</f>
        <v>16570</v>
      </c>
      <c r="I2552" s="74"/>
      <c r="J2552" s="48">
        <f>ROUNDDOWN(SUMIF(P2548:P2551,O2552,J2548:J2551),0)</f>
        <v>0</v>
      </c>
      <c r="K2552" s="74"/>
      <c r="L2552" s="48">
        <f>ROUNDDOWN(SUMIF(P2548:P2551,O2552,L2548:L2551),0)</f>
        <v>331</v>
      </c>
      <c r="M2552" s="74"/>
      <c r="O2552" s="7" t="s">
        <v>6406</v>
      </c>
    </row>
    <row r="2553" spans="1:26" ht="28.7" customHeight="1" x14ac:dyDescent="0.3">
      <c r="A2553" s="73"/>
      <c r="B2553" s="73"/>
      <c r="C2553" s="73"/>
      <c r="D2553" s="73"/>
      <c r="E2553" s="73"/>
      <c r="F2553" s="73"/>
      <c r="G2553" s="73"/>
      <c r="H2553" s="73"/>
      <c r="I2553" s="73"/>
      <c r="J2553" s="73"/>
      <c r="K2553" s="73"/>
      <c r="L2553" s="73"/>
      <c r="M2553" s="73"/>
    </row>
    <row r="2554" spans="1:26" ht="28.7" customHeight="1" x14ac:dyDescent="0.3">
      <c r="A2554" s="136" t="s">
        <v>1458</v>
      </c>
      <c r="B2554" s="127"/>
      <c r="C2554" s="127"/>
      <c r="D2554" s="127"/>
      <c r="E2554" s="127"/>
      <c r="F2554" s="127"/>
      <c r="G2554" s="127"/>
      <c r="H2554" s="127"/>
      <c r="I2554" s="127"/>
      <c r="J2554" s="127"/>
      <c r="K2554" s="127"/>
      <c r="L2554" s="144"/>
      <c r="M2554" s="22" t="s">
        <v>8264</v>
      </c>
      <c r="N2554" s="84" t="str">
        <f>HYPERLINK("#N"&amp;ROW(N2558),"_x0005_`BDCOD|B04874_x0007_`POSS|"&amp;ROW(N2555)&amp;"_x0007_`POSE|"&amp;ROW(N2558)&amp;"_x0007_`")</f>
        <v>_x0005_`BDCOD|B04874_x0007_`POSS|2555_x0007_`POSE|2558_x0007_`</v>
      </c>
      <c r="O2554" s="7" t="s">
        <v>8265</v>
      </c>
    </row>
    <row r="2555" spans="1:26" ht="28.7" customHeight="1" x14ac:dyDescent="0.3">
      <c r="A2555" s="10"/>
      <c r="B2555" s="10" t="s">
        <v>8234</v>
      </c>
      <c r="C2555" s="75">
        <v>0</v>
      </c>
      <c r="D2555" s="31"/>
      <c r="E2555" s="33">
        <v>0</v>
      </c>
      <c r="F2555" s="11">
        <v>0</v>
      </c>
      <c r="G2555" s="42"/>
      <c r="H2555" s="11">
        <v>0</v>
      </c>
      <c r="I2555" s="42"/>
      <c r="J2555" s="33">
        <v>0</v>
      </c>
      <c r="K2555" s="46"/>
      <c r="L2555" s="33">
        <v>0</v>
      </c>
      <c r="M2555" s="22" t="s">
        <v>6509</v>
      </c>
      <c r="N2555" s="17" t="s">
        <v>6507</v>
      </c>
      <c r="O2555" s="7" t="s">
        <v>6508</v>
      </c>
      <c r="P2555" s="7" t="s">
        <v>6508</v>
      </c>
    </row>
    <row r="2556" spans="1:26" ht="28.7" customHeight="1" x14ac:dyDescent="0.3">
      <c r="A2556" s="10" t="s">
        <v>3088</v>
      </c>
      <c r="B2556" s="10"/>
      <c r="C2556" s="75">
        <v>7.0000000000000007E-2</v>
      </c>
      <c r="D2556" s="31" t="s">
        <v>3074</v>
      </c>
      <c r="E2556" s="55">
        <f t="shared" ref="E2556:F2558" si="1">I2556+G2556+K2556</f>
        <v>262580</v>
      </c>
      <c r="F2556" s="76">
        <f t="shared" si="1"/>
        <v>18380.599999999999</v>
      </c>
      <c r="G2556" s="78">
        <f>노무비목록표!E11</f>
        <v>262580</v>
      </c>
      <c r="H2556" s="81">
        <f>IF(C2556=0,0,ROUNDDOWN(G2556*C2556,1))</f>
        <v>18380.599999999999</v>
      </c>
      <c r="I2556" s="51">
        <v>0</v>
      </c>
      <c r="J2556" s="77">
        <f>IF(C2556=0,0,ROUNDDOWN(I2556*C2556,1))</f>
        <v>0</v>
      </c>
      <c r="K2556" s="51">
        <v>0</v>
      </c>
      <c r="L2556" s="76">
        <f>IF(C2556=0,0,ROUNDDOWN(K2556*C2556,1))</f>
        <v>0</v>
      </c>
      <c r="M2556" s="22" t="s">
        <v>8259</v>
      </c>
      <c r="N2556" s="17" t="s">
        <v>8257</v>
      </c>
      <c r="O2556" s="7" t="s">
        <v>8258</v>
      </c>
      <c r="P2556" s="7" t="s">
        <v>6406</v>
      </c>
      <c r="Q2556" s="7" t="s">
        <v>7061</v>
      </c>
      <c r="Z2556" s="3" t="str">
        <f ca="1">HYPERLINK("#"&amp;노무비목록표!G2&amp;"!A"&amp;ROW(노무비목록표!A11),"노무8 →")</f>
        <v>노무8 →</v>
      </c>
    </row>
    <row r="2557" spans="1:26" ht="28.7" customHeight="1" x14ac:dyDescent="0.3">
      <c r="A2557" s="10" t="s">
        <v>3090</v>
      </c>
      <c r="B2557" s="10"/>
      <c r="C2557" s="75">
        <v>0.04</v>
      </c>
      <c r="D2557" s="31" t="s">
        <v>3074</v>
      </c>
      <c r="E2557" s="55">
        <f t="shared" si="1"/>
        <v>172068</v>
      </c>
      <c r="F2557" s="76">
        <f t="shared" si="1"/>
        <v>6882.7</v>
      </c>
      <c r="G2557" s="78">
        <f>노무비목록표!E12</f>
        <v>172068</v>
      </c>
      <c r="H2557" s="81">
        <f>IF(C2557=0,0,ROUNDDOWN(G2557*C2557,1))</f>
        <v>6882.7</v>
      </c>
      <c r="I2557" s="51">
        <v>0</v>
      </c>
      <c r="J2557" s="77">
        <f>IF(C2557=0,0,ROUNDDOWN(I2557*C2557,1))</f>
        <v>0</v>
      </c>
      <c r="K2557" s="51">
        <v>0</v>
      </c>
      <c r="L2557" s="76">
        <f>IF(C2557=0,0,ROUNDDOWN(K2557*C2557,1))</f>
        <v>0</v>
      </c>
      <c r="M2557" s="22" t="s">
        <v>8262</v>
      </c>
      <c r="N2557" s="17" t="s">
        <v>8260</v>
      </c>
      <c r="O2557" s="7" t="s">
        <v>8261</v>
      </c>
      <c r="P2557" s="7" t="s">
        <v>6406</v>
      </c>
      <c r="Q2557" s="7" t="s">
        <v>7061</v>
      </c>
      <c r="Z2557" s="3" t="str">
        <f ca="1">HYPERLINK("#"&amp;노무비목록표!G2&amp;"!A"&amp;ROW(노무비목록표!A12),"노무9 →")</f>
        <v>노무9 →</v>
      </c>
    </row>
    <row r="2558" spans="1:26" ht="28.7" customHeight="1" x14ac:dyDescent="0.3">
      <c r="A2558" s="10" t="s">
        <v>8263</v>
      </c>
      <c r="B2558" s="10" t="s">
        <v>7063</v>
      </c>
      <c r="C2558" s="75">
        <v>2</v>
      </c>
      <c r="D2558" s="31" t="s">
        <v>7064</v>
      </c>
      <c r="E2558" s="55">
        <f t="shared" si="1"/>
        <v>25263.3</v>
      </c>
      <c r="F2558" s="77">
        <f t="shared" si="1"/>
        <v>505.2</v>
      </c>
      <c r="G2558" s="13">
        <v>0</v>
      </c>
      <c r="H2558" s="77">
        <f>IF(C2558=0,0,ROUNDDOWN(G2558*C2558/100,1))</f>
        <v>0</v>
      </c>
      <c r="I2558" s="13">
        <v>0</v>
      </c>
      <c r="J2558" s="76">
        <f>IF(C2558=0,0,ROUNDDOWN(I2558*C2558/100,1))</f>
        <v>0</v>
      </c>
      <c r="K2558" s="82">
        <f>H2556+H2557</f>
        <v>25263.3</v>
      </c>
      <c r="L2558" s="76">
        <f>IF(C2558=0,0,ROUNDDOWN(K2558*C2558/100,1))</f>
        <v>505.2</v>
      </c>
      <c r="M2558" s="22"/>
      <c r="N2558" s="17" t="s">
        <v>7065</v>
      </c>
      <c r="O2558" s="7" t="s">
        <v>7066</v>
      </c>
      <c r="P2558" s="7" t="s">
        <v>6406</v>
      </c>
    </row>
    <row r="2559" spans="1:26" ht="28.7" customHeight="1" x14ac:dyDescent="0.3">
      <c r="A2559" s="22" t="s">
        <v>6</v>
      </c>
      <c r="B2559" s="74"/>
      <c r="C2559" s="74"/>
      <c r="D2559" s="74"/>
      <c r="E2559" s="74"/>
      <c r="F2559" s="48">
        <f>J2559+H2559+L2559</f>
        <v>25768</v>
      </c>
      <c r="G2559" s="74"/>
      <c r="H2559" s="48">
        <f>ROUNDDOWN(SUMIF(P2555:P2558,O2559,H2555:H2558),0)</f>
        <v>25263</v>
      </c>
      <c r="I2559" s="74"/>
      <c r="J2559" s="48">
        <f>ROUNDDOWN(SUMIF(P2555:P2558,O2559,J2555:J2558),0)</f>
        <v>0</v>
      </c>
      <c r="K2559" s="74"/>
      <c r="L2559" s="48">
        <f>ROUNDDOWN(SUMIF(P2555:P2558,O2559,L2555:L2558),0)</f>
        <v>505</v>
      </c>
      <c r="M2559" s="74"/>
      <c r="O2559" s="7" t="s">
        <v>6406</v>
      </c>
    </row>
    <row r="2560" spans="1:26" ht="28.7" customHeight="1" x14ac:dyDescent="0.3">
      <c r="A2560" s="73"/>
      <c r="B2560" s="73"/>
      <c r="C2560" s="73"/>
      <c r="D2560" s="73"/>
      <c r="E2560" s="73"/>
      <c r="F2560" s="73"/>
      <c r="G2560" s="73"/>
      <c r="H2560" s="73"/>
      <c r="I2560" s="73"/>
      <c r="J2560" s="73"/>
      <c r="K2560" s="73"/>
      <c r="L2560" s="73"/>
      <c r="M2560" s="73"/>
    </row>
    <row r="2561" spans="1:26" ht="28.7" customHeight="1" x14ac:dyDescent="0.3">
      <c r="A2561" s="136" t="s">
        <v>1461</v>
      </c>
      <c r="B2561" s="127"/>
      <c r="C2561" s="127"/>
      <c r="D2561" s="127"/>
      <c r="E2561" s="127"/>
      <c r="F2561" s="127"/>
      <c r="G2561" s="127"/>
      <c r="H2561" s="127"/>
      <c r="I2561" s="127"/>
      <c r="J2561" s="127"/>
      <c r="K2561" s="127"/>
      <c r="L2561" s="144"/>
      <c r="M2561" s="22" t="s">
        <v>8266</v>
      </c>
      <c r="N2561" s="84" t="str">
        <f>HYPERLINK("#N"&amp;ROW(N2565),"_x0005_`BDCOD|B04875_x0007_`POSS|"&amp;ROW(N2562)&amp;"_x0007_`POSE|"&amp;ROW(N2565)&amp;"_x0007_`")</f>
        <v>_x0005_`BDCOD|B04875_x0007_`POSS|2562_x0007_`POSE|2565_x0007_`</v>
      </c>
      <c r="O2561" s="7" t="s">
        <v>8267</v>
      </c>
    </row>
    <row r="2562" spans="1:26" ht="28.7" customHeight="1" x14ac:dyDescent="0.3">
      <c r="A2562" s="10"/>
      <c r="B2562" s="10" t="s">
        <v>8234</v>
      </c>
      <c r="C2562" s="75">
        <v>0</v>
      </c>
      <c r="D2562" s="31"/>
      <c r="E2562" s="33">
        <v>0</v>
      </c>
      <c r="F2562" s="11">
        <v>0</v>
      </c>
      <c r="G2562" s="42"/>
      <c r="H2562" s="11">
        <v>0</v>
      </c>
      <c r="I2562" s="42"/>
      <c r="J2562" s="33">
        <v>0</v>
      </c>
      <c r="K2562" s="46"/>
      <c r="L2562" s="33">
        <v>0</v>
      </c>
      <c r="M2562" s="22" t="s">
        <v>6509</v>
      </c>
      <c r="N2562" s="17" t="s">
        <v>6507</v>
      </c>
      <c r="O2562" s="7" t="s">
        <v>6508</v>
      </c>
      <c r="P2562" s="7" t="s">
        <v>6508</v>
      </c>
    </row>
    <row r="2563" spans="1:26" ht="28.7" customHeight="1" x14ac:dyDescent="0.3">
      <c r="A2563" s="10" t="s">
        <v>3088</v>
      </c>
      <c r="B2563" s="10"/>
      <c r="C2563" s="75">
        <v>0.09</v>
      </c>
      <c r="D2563" s="31" t="s">
        <v>3074</v>
      </c>
      <c r="E2563" s="55">
        <f t="shared" ref="E2563:F2565" si="2">I2563+G2563+K2563</f>
        <v>262580</v>
      </c>
      <c r="F2563" s="76">
        <f t="shared" si="2"/>
        <v>23632.2</v>
      </c>
      <c r="G2563" s="78">
        <f>노무비목록표!E11</f>
        <v>262580</v>
      </c>
      <c r="H2563" s="81">
        <f>IF(C2563=0,0,ROUNDDOWN(G2563*C2563,1))</f>
        <v>23632.2</v>
      </c>
      <c r="I2563" s="51">
        <v>0</v>
      </c>
      <c r="J2563" s="77">
        <f>IF(C2563=0,0,ROUNDDOWN(I2563*C2563,1))</f>
        <v>0</v>
      </c>
      <c r="K2563" s="51">
        <v>0</v>
      </c>
      <c r="L2563" s="76">
        <f>IF(C2563=0,0,ROUNDDOWN(K2563*C2563,1))</f>
        <v>0</v>
      </c>
      <c r="M2563" s="22" t="s">
        <v>8259</v>
      </c>
      <c r="N2563" s="17" t="s">
        <v>8257</v>
      </c>
      <c r="O2563" s="7" t="s">
        <v>8258</v>
      </c>
      <c r="P2563" s="7" t="s">
        <v>6406</v>
      </c>
      <c r="Q2563" s="7" t="s">
        <v>7061</v>
      </c>
      <c r="Z2563" s="3" t="str">
        <f ca="1">HYPERLINK("#"&amp;노무비목록표!G2&amp;"!A"&amp;ROW(노무비목록표!A11),"노무8 →")</f>
        <v>노무8 →</v>
      </c>
    </row>
    <row r="2564" spans="1:26" ht="28.7" customHeight="1" x14ac:dyDescent="0.3">
      <c r="A2564" s="10" t="s">
        <v>3090</v>
      </c>
      <c r="B2564" s="10"/>
      <c r="C2564" s="75">
        <v>0.05</v>
      </c>
      <c r="D2564" s="31" t="s">
        <v>3074</v>
      </c>
      <c r="E2564" s="55">
        <f t="shared" si="2"/>
        <v>172068</v>
      </c>
      <c r="F2564" s="76">
        <f t="shared" si="2"/>
        <v>8603.4</v>
      </c>
      <c r="G2564" s="78">
        <f>노무비목록표!E12</f>
        <v>172068</v>
      </c>
      <c r="H2564" s="81">
        <f>IF(C2564=0,0,ROUNDDOWN(G2564*C2564,1))</f>
        <v>8603.4</v>
      </c>
      <c r="I2564" s="51">
        <v>0</v>
      </c>
      <c r="J2564" s="77">
        <f>IF(C2564=0,0,ROUNDDOWN(I2564*C2564,1))</f>
        <v>0</v>
      </c>
      <c r="K2564" s="51">
        <v>0</v>
      </c>
      <c r="L2564" s="76">
        <f>IF(C2564=0,0,ROUNDDOWN(K2564*C2564,1))</f>
        <v>0</v>
      </c>
      <c r="M2564" s="22" t="s">
        <v>8262</v>
      </c>
      <c r="N2564" s="17" t="s">
        <v>8260</v>
      </c>
      <c r="O2564" s="7" t="s">
        <v>8261</v>
      </c>
      <c r="P2564" s="7" t="s">
        <v>6406</v>
      </c>
      <c r="Q2564" s="7" t="s">
        <v>7061</v>
      </c>
      <c r="Z2564" s="3" t="str">
        <f ca="1">HYPERLINK("#"&amp;노무비목록표!G2&amp;"!A"&amp;ROW(노무비목록표!A12),"노무9 →")</f>
        <v>노무9 →</v>
      </c>
    </row>
    <row r="2565" spans="1:26" ht="28.7" customHeight="1" x14ac:dyDescent="0.3">
      <c r="A2565" s="10" t="s">
        <v>8263</v>
      </c>
      <c r="B2565" s="10" t="s">
        <v>7063</v>
      </c>
      <c r="C2565" s="75">
        <v>2</v>
      </c>
      <c r="D2565" s="31" t="s">
        <v>7064</v>
      </c>
      <c r="E2565" s="55">
        <f t="shared" si="2"/>
        <v>32235.599999999999</v>
      </c>
      <c r="F2565" s="77">
        <f t="shared" si="2"/>
        <v>644.70000000000005</v>
      </c>
      <c r="G2565" s="13">
        <v>0</v>
      </c>
      <c r="H2565" s="77">
        <f>IF(C2565=0,0,ROUNDDOWN(G2565*C2565/100,1))</f>
        <v>0</v>
      </c>
      <c r="I2565" s="13">
        <v>0</v>
      </c>
      <c r="J2565" s="76">
        <f>IF(C2565=0,0,ROUNDDOWN(I2565*C2565/100,1))</f>
        <v>0</v>
      </c>
      <c r="K2565" s="82">
        <f>H2563+H2564</f>
        <v>32235.599999999999</v>
      </c>
      <c r="L2565" s="76">
        <f>IF(C2565=0,0,ROUNDDOWN(K2565*C2565/100,1))</f>
        <v>644.70000000000005</v>
      </c>
      <c r="M2565" s="22"/>
      <c r="N2565" s="17" t="s">
        <v>7065</v>
      </c>
      <c r="O2565" s="7" t="s">
        <v>7066</v>
      </c>
      <c r="P2565" s="7" t="s">
        <v>6406</v>
      </c>
    </row>
    <row r="2566" spans="1:26" ht="28.7" customHeight="1" x14ac:dyDescent="0.3">
      <c r="A2566" s="22" t="s">
        <v>6</v>
      </c>
      <c r="B2566" s="74"/>
      <c r="C2566" s="74"/>
      <c r="D2566" s="74"/>
      <c r="E2566" s="74"/>
      <c r="F2566" s="48">
        <f>J2566+H2566+L2566</f>
        <v>32879</v>
      </c>
      <c r="G2566" s="74"/>
      <c r="H2566" s="48">
        <f>ROUNDDOWN(SUMIF(P2562:P2565,O2566,H2562:H2565),0)</f>
        <v>32235</v>
      </c>
      <c r="I2566" s="74"/>
      <c r="J2566" s="48">
        <f>ROUNDDOWN(SUMIF(P2562:P2565,O2566,J2562:J2565),0)</f>
        <v>0</v>
      </c>
      <c r="K2566" s="74"/>
      <c r="L2566" s="48">
        <f>ROUNDDOWN(SUMIF(P2562:P2565,O2566,L2562:L2565),0)</f>
        <v>644</v>
      </c>
      <c r="M2566" s="74"/>
      <c r="O2566" s="7" t="s">
        <v>6406</v>
      </c>
    </row>
    <row r="2567" spans="1:26" ht="28.7" customHeight="1" x14ac:dyDescent="0.3">
      <c r="A2567" s="73"/>
      <c r="B2567" s="73"/>
      <c r="C2567" s="73"/>
      <c r="D2567" s="73"/>
      <c r="E2567" s="73"/>
      <c r="F2567" s="73"/>
      <c r="G2567" s="73"/>
      <c r="H2567" s="73"/>
      <c r="I2567" s="73"/>
      <c r="J2567" s="73"/>
      <c r="K2567" s="73"/>
      <c r="L2567" s="73"/>
      <c r="M2567" s="73"/>
    </row>
    <row r="2568" spans="1:26" ht="28.7" customHeight="1" x14ac:dyDescent="0.3">
      <c r="A2568" s="136" t="s">
        <v>1464</v>
      </c>
      <c r="B2568" s="127"/>
      <c r="C2568" s="127"/>
      <c r="D2568" s="127"/>
      <c r="E2568" s="127"/>
      <c r="F2568" s="127"/>
      <c r="G2568" s="127"/>
      <c r="H2568" s="127"/>
      <c r="I2568" s="127"/>
      <c r="J2568" s="127"/>
      <c r="K2568" s="127"/>
      <c r="L2568" s="144"/>
      <c r="M2568" s="22" t="s">
        <v>8268</v>
      </c>
      <c r="N2568" s="84" t="str">
        <f>HYPERLINK("#N"&amp;ROW(N2572),"_x0005_`BDCOD|B04876_x0007_`POSS|"&amp;ROW(N2569)&amp;"_x0007_`POSE|"&amp;ROW(N2572)&amp;"_x0007_`")</f>
        <v>_x0005_`BDCOD|B04876_x0007_`POSS|2569_x0007_`POSE|2572_x0007_`</v>
      </c>
      <c r="O2568" s="7" t="s">
        <v>8269</v>
      </c>
    </row>
    <row r="2569" spans="1:26" ht="28.7" customHeight="1" x14ac:dyDescent="0.3">
      <c r="A2569" s="10"/>
      <c r="B2569" s="10" t="s">
        <v>8234</v>
      </c>
      <c r="C2569" s="75">
        <v>0</v>
      </c>
      <c r="D2569" s="31"/>
      <c r="E2569" s="33">
        <v>0</v>
      </c>
      <c r="F2569" s="11">
        <v>0</v>
      </c>
      <c r="G2569" s="42"/>
      <c r="H2569" s="11">
        <v>0</v>
      </c>
      <c r="I2569" s="42"/>
      <c r="J2569" s="33">
        <v>0</v>
      </c>
      <c r="K2569" s="46"/>
      <c r="L2569" s="33">
        <v>0</v>
      </c>
      <c r="M2569" s="22" t="s">
        <v>6509</v>
      </c>
      <c r="N2569" s="17" t="s">
        <v>6507</v>
      </c>
      <c r="O2569" s="7" t="s">
        <v>6508</v>
      </c>
      <c r="P2569" s="7" t="s">
        <v>6508</v>
      </c>
    </row>
    <row r="2570" spans="1:26" ht="28.7" customHeight="1" x14ac:dyDescent="0.3">
      <c r="A2570" s="10" t="s">
        <v>3088</v>
      </c>
      <c r="B2570" s="10"/>
      <c r="C2570" s="75">
        <v>0.11</v>
      </c>
      <c r="D2570" s="31" t="s">
        <v>3074</v>
      </c>
      <c r="E2570" s="55">
        <f t="shared" ref="E2570:F2572" si="3">I2570+G2570+K2570</f>
        <v>262580</v>
      </c>
      <c r="F2570" s="76">
        <f t="shared" si="3"/>
        <v>28883.8</v>
      </c>
      <c r="G2570" s="78">
        <f>노무비목록표!E11</f>
        <v>262580</v>
      </c>
      <c r="H2570" s="81">
        <f>IF(C2570=0,0,ROUNDDOWN(G2570*C2570,1))</f>
        <v>28883.8</v>
      </c>
      <c r="I2570" s="51">
        <v>0</v>
      </c>
      <c r="J2570" s="77">
        <f>IF(C2570=0,0,ROUNDDOWN(I2570*C2570,1))</f>
        <v>0</v>
      </c>
      <c r="K2570" s="51">
        <v>0</v>
      </c>
      <c r="L2570" s="76">
        <f>IF(C2570=0,0,ROUNDDOWN(K2570*C2570,1))</f>
        <v>0</v>
      </c>
      <c r="M2570" s="22" t="s">
        <v>8259</v>
      </c>
      <c r="N2570" s="17" t="s">
        <v>8257</v>
      </c>
      <c r="O2570" s="7" t="s">
        <v>8258</v>
      </c>
      <c r="P2570" s="7" t="s">
        <v>6406</v>
      </c>
      <c r="Q2570" s="7" t="s">
        <v>7061</v>
      </c>
      <c r="Z2570" s="3" t="str">
        <f ca="1">HYPERLINK("#"&amp;노무비목록표!G2&amp;"!A"&amp;ROW(노무비목록표!A11),"노무8 →")</f>
        <v>노무8 →</v>
      </c>
    </row>
    <row r="2571" spans="1:26" ht="28.7" customHeight="1" x14ac:dyDescent="0.3">
      <c r="A2571" s="10" t="s">
        <v>3090</v>
      </c>
      <c r="B2571" s="10"/>
      <c r="C2571" s="75">
        <v>0.06</v>
      </c>
      <c r="D2571" s="31" t="s">
        <v>3074</v>
      </c>
      <c r="E2571" s="55">
        <f t="shared" si="3"/>
        <v>172068</v>
      </c>
      <c r="F2571" s="76">
        <f t="shared" si="3"/>
        <v>10324</v>
      </c>
      <c r="G2571" s="78">
        <f>노무비목록표!E12</f>
        <v>172068</v>
      </c>
      <c r="H2571" s="81">
        <f>IF(C2571=0,0,ROUNDDOWN(G2571*C2571,1))</f>
        <v>10324</v>
      </c>
      <c r="I2571" s="51">
        <v>0</v>
      </c>
      <c r="J2571" s="77">
        <f>IF(C2571=0,0,ROUNDDOWN(I2571*C2571,1))</f>
        <v>0</v>
      </c>
      <c r="K2571" s="51">
        <v>0</v>
      </c>
      <c r="L2571" s="76">
        <f>IF(C2571=0,0,ROUNDDOWN(K2571*C2571,1))</f>
        <v>0</v>
      </c>
      <c r="M2571" s="22" t="s">
        <v>8262</v>
      </c>
      <c r="N2571" s="17" t="s">
        <v>8260</v>
      </c>
      <c r="O2571" s="7" t="s">
        <v>8261</v>
      </c>
      <c r="P2571" s="7" t="s">
        <v>6406</v>
      </c>
      <c r="Q2571" s="7" t="s">
        <v>7061</v>
      </c>
      <c r="Z2571" s="3" t="str">
        <f ca="1">HYPERLINK("#"&amp;노무비목록표!G2&amp;"!A"&amp;ROW(노무비목록표!A12),"노무9 →")</f>
        <v>노무9 →</v>
      </c>
    </row>
    <row r="2572" spans="1:26" ht="28.7" customHeight="1" x14ac:dyDescent="0.3">
      <c r="A2572" s="10" t="s">
        <v>8263</v>
      </c>
      <c r="B2572" s="10" t="s">
        <v>7063</v>
      </c>
      <c r="C2572" s="75">
        <v>2</v>
      </c>
      <c r="D2572" s="31" t="s">
        <v>7064</v>
      </c>
      <c r="E2572" s="55">
        <f t="shared" si="3"/>
        <v>39207.800000000003</v>
      </c>
      <c r="F2572" s="77">
        <f t="shared" si="3"/>
        <v>784.1</v>
      </c>
      <c r="G2572" s="13">
        <v>0</v>
      </c>
      <c r="H2572" s="77">
        <f>IF(C2572=0,0,ROUNDDOWN(G2572*C2572/100,1))</f>
        <v>0</v>
      </c>
      <c r="I2572" s="13">
        <v>0</v>
      </c>
      <c r="J2572" s="76">
        <f>IF(C2572=0,0,ROUNDDOWN(I2572*C2572/100,1))</f>
        <v>0</v>
      </c>
      <c r="K2572" s="82">
        <f>H2570+H2571</f>
        <v>39207.800000000003</v>
      </c>
      <c r="L2572" s="76">
        <f>IF(C2572=0,0,ROUNDDOWN(K2572*C2572/100,1))</f>
        <v>784.1</v>
      </c>
      <c r="M2572" s="22"/>
      <c r="N2572" s="17" t="s">
        <v>7065</v>
      </c>
      <c r="O2572" s="7" t="s">
        <v>7066</v>
      </c>
      <c r="P2572" s="7" t="s">
        <v>6406</v>
      </c>
    </row>
    <row r="2573" spans="1:26" ht="28.7" customHeight="1" x14ac:dyDescent="0.3">
      <c r="A2573" s="22" t="s">
        <v>6</v>
      </c>
      <c r="B2573" s="74"/>
      <c r="C2573" s="74"/>
      <c r="D2573" s="74"/>
      <c r="E2573" s="74"/>
      <c r="F2573" s="48">
        <f>J2573+H2573+L2573</f>
        <v>39991</v>
      </c>
      <c r="G2573" s="74"/>
      <c r="H2573" s="48">
        <f>ROUNDDOWN(SUMIF(P2569:P2572,O2573,H2569:H2572),0)</f>
        <v>39207</v>
      </c>
      <c r="I2573" s="74"/>
      <c r="J2573" s="48">
        <f>ROUNDDOWN(SUMIF(P2569:P2572,O2573,J2569:J2572),0)</f>
        <v>0</v>
      </c>
      <c r="K2573" s="74"/>
      <c r="L2573" s="48">
        <f>ROUNDDOWN(SUMIF(P2569:P2572,O2573,L2569:L2572),0)</f>
        <v>784</v>
      </c>
      <c r="M2573" s="74"/>
      <c r="O2573" s="7" t="s">
        <v>6406</v>
      </c>
    </row>
    <row r="2574" spans="1:26" ht="28.7" customHeight="1" x14ac:dyDescent="0.3">
      <c r="A2574" s="73"/>
      <c r="B2574" s="73"/>
      <c r="C2574" s="73"/>
      <c r="D2574" s="73"/>
      <c r="E2574" s="73"/>
      <c r="F2574" s="73"/>
      <c r="G2574" s="73"/>
      <c r="H2574" s="73"/>
      <c r="I2574" s="73"/>
      <c r="J2574" s="73"/>
      <c r="K2574" s="73"/>
      <c r="L2574" s="73"/>
      <c r="M2574" s="73"/>
    </row>
    <row r="2575" spans="1:26" ht="28.7" customHeight="1" x14ac:dyDescent="0.3">
      <c r="A2575" s="136" t="s">
        <v>1467</v>
      </c>
      <c r="B2575" s="127"/>
      <c r="C2575" s="127"/>
      <c r="D2575" s="127"/>
      <c r="E2575" s="127"/>
      <c r="F2575" s="127"/>
      <c r="G2575" s="127"/>
      <c r="H2575" s="127"/>
      <c r="I2575" s="127"/>
      <c r="J2575" s="127"/>
      <c r="K2575" s="127"/>
      <c r="L2575" s="144"/>
      <c r="M2575" s="22" t="s">
        <v>8270</v>
      </c>
      <c r="N2575" s="84" t="str">
        <f>HYPERLINK("#N"&amp;ROW(N2579),"_x0005_`BDCOD|B04877_x0007_`POSS|"&amp;ROW(N2576)&amp;"_x0007_`POSE|"&amp;ROW(N2579)&amp;"_x0007_`")</f>
        <v>_x0005_`BDCOD|B04877_x0007_`POSS|2576_x0007_`POSE|2579_x0007_`</v>
      </c>
      <c r="O2575" s="7" t="s">
        <v>8271</v>
      </c>
    </row>
    <row r="2576" spans="1:26" ht="28.7" customHeight="1" x14ac:dyDescent="0.3">
      <c r="A2576" s="10"/>
      <c r="B2576" s="10" t="s">
        <v>8234</v>
      </c>
      <c r="C2576" s="75">
        <v>0</v>
      </c>
      <c r="D2576" s="31"/>
      <c r="E2576" s="33">
        <v>0</v>
      </c>
      <c r="F2576" s="11">
        <v>0</v>
      </c>
      <c r="G2576" s="42"/>
      <c r="H2576" s="11">
        <v>0</v>
      </c>
      <c r="I2576" s="42"/>
      <c r="J2576" s="33">
        <v>0</v>
      </c>
      <c r="K2576" s="46"/>
      <c r="L2576" s="33">
        <v>0</v>
      </c>
      <c r="M2576" s="22" t="s">
        <v>6509</v>
      </c>
      <c r="N2576" s="17" t="s">
        <v>6507</v>
      </c>
      <c r="O2576" s="7" t="s">
        <v>6508</v>
      </c>
      <c r="P2576" s="7" t="s">
        <v>6508</v>
      </c>
    </row>
    <row r="2577" spans="1:26" ht="28.7" customHeight="1" x14ac:dyDescent="0.3">
      <c r="A2577" s="10" t="s">
        <v>3088</v>
      </c>
      <c r="B2577" s="10"/>
      <c r="C2577" s="75">
        <v>0.14000000000000001</v>
      </c>
      <c r="D2577" s="31" t="s">
        <v>3074</v>
      </c>
      <c r="E2577" s="55">
        <f t="shared" ref="E2577:F2579" si="4">I2577+G2577+K2577</f>
        <v>262580</v>
      </c>
      <c r="F2577" s="76">
        <f t="shared" si="4"/>
        <v>36761.199999999997</v>
      </c>
      <c r="G2577" s="78">
        <f>노무비목록표!E11</f>
        <v>262580</v>
      </c>
      <c r="H2577" s="81">
        <f>IF(C2577=0,0,ROUNDDOWN(G2577*C2577,1))</f>
        <v>36761.199999999997</v>
      </c>
      <c r="I2577" s="51">
        <v>0</v>
      </c>
      <c r="J2577" s="77">
        <f>IF(C2577=0,0,ROUNDDOWN(I2577*C2577,1))</f>
        <v>0</v>
      </c>
      <c r="K2577" s="51">
        <v>0</v>
      </c>
      <c r="L2577" s="76">
        <f>IF(C2577=0,0,ROUNDDOWN(K2577*C2577,1))</f>
        <v>0</v>
      </c>
      <c r="M2577" s="22" t="s">
        <v>8259</v>
      </c>
      <c r="N2577" s="17" t="s">
        <v>8257</v>
      </c>
      <c r="O2577" s="7" t="s">
        <v>8258</v>
      </c>
      <c r="P2577" s="7" t="s">
        <v>6406</v>
      </c>
      <c r="Q2577" s="7" t="s">
        <v>7061</v>
      </c>
      <c r="Z2577" s="3" t="str">
        <f ca="1">HYPERLINK("#"&amp;노무비목록표!G2&amp;"!A"&amp;ROW(노무비목록표!A11),"노무8 →")</f>
        <v>노무8 →</v>
      </c>
    </row>
    <row r="2578" spans="1:26" ht="28.7" customHeight="1" x14ac:dyDescent="0.3">
      <c r="A2578" s="10" t="s">
        <v>3090</v>
      </c>
      <c r="B2578" s="10"/>
      <c r="C2578" s="75">
        <v>7.0000000000000007E-2</v>
      </c>
      <c r="D2578" s="31" t="s">
        <v>3074</v>
      </c>
      <c r="E2578" s="55">
        <f t="shared" si="4"/>
        <v>172068</v>
      </c>
      <c r="F2578" s="76">
        <f t="shared" si="4"/>
        <v>12044.7</v>
      </c>
      <c r="G2578" s="78">
        <f>노무비목록표!E12</f>
        <v>172068</v>
      </c>
      <c r="H2578" s="81">
        <f>IF(C2578=0,0,ROUNDDOWN(G2578*C2578,1))</f>
        <v>12044.7</v>
      </c>
      <c r="I2578" s="51">
        <v>0</v>
      </c>
      <c r="J2578" s="77">
        <f>IF(C2578=0,0,ROUNDDOWN(I2578*C2578,1))</f>
        <v>0</v>
      </c>
      <c r="K2578" s="51">
        <v>0</v>
      </c>
      <c r="L2578" s="76">
        <f>IF(C2578=0,0,ROUNDDOWN(K2578*C2578,1))</f>
        <v>0</v>
      </c>
      <c r="M2578" s="22" t="s">
        <v>8262</v>
      </c>
      <c r="N2578" s="17" t="s">
        <v>8260</v>
      </c>
      <c r="O2578" s="7" t="s">
        <v>8261</v>
      </c>
      <c r="P2578" s="7" t="s">
        <v>6406</v>
      </c>
      <c r="Q2578" s="7" t="s">
        <v>7061</v>
      </c>
      <c r="Z2578" s="3" t="str">
        <f ca="1">HYPERLINK("#"&amp;노무비목록표!G2&amp;"!A"&amp;ROW(노무비목록표!A12),"노무9 →")</f>
        <v>노무9 →</v>
      </c>
    </row>
    <row r="2579" spans="1:26" ht="28.7" customHeight="1" x14ac:dyDescent="0.3">
      <c r="A2579" s="10" t="s">
        <v>8263</v>
      </c>
      <c r="B2579" s="10" t="s">
        <v>7063</v>
      </c>
      <c r="C2579" s="75">
        <v>2</v>
      </c>
      <c r="D2579" s="31" t="s">
        <v>7064</v>
      </c>
      <c r="E2579" s="55">
        <f t="shared" si="4"/>
        <v>48805.899999999994</v>
      </c>
      <c r="F2579" s="77">
        <f t="shared" si="4"/>
        <v>976.1</v>
      </c>
      <c r="G2579" s="13">
        <v>0</v>
      </c>
      <c r="H2579" s="77">
        <f>IF(C2579=0,0,ROUNDDOWN(G2579*C2579/100,1))</f>
        <v>0</v>
      </c>
      <c r="I2579" s="13">
        <v>0</v>
      </c>
      <c r="J2579" s="76">
        <f>IF(C2579=0,0,ROUNDDOWN(I2579*C2579/100,1))</f>
        <v>0</v>
      </c>
      <c r="K2579" s="82">
        <f>H2577+H2578</f>
        <v>48805.899999999994</v>
      </c>
      <c r="L2579" s="76">
        <f>IF(C2579=0,0,ROUNDDOWN(K2579*C2579/100,1))</f>
        <v>976.1</v>
      </c>
      <c r="M2579" s="22"/>
      <c r="N2579" s="17" t="s">
        <v>7065</v>
      </c>
      <c r="O2579" s="7" t="s">
        <v>7066</v>
      </c>
      <c r="P2579" s="7" t="s">
        <v>6406</v>
      </c>
    </row>
    <row r="2580" spans="1:26" ht="28.7" customHeight="1" x14ac:dyDescent="0.3">
      <c r="A2580" s="22" t="s">
        <v>6</v>
      </c>
      <c r="B2580" s="74"/>
      <c r="C2580" s="74"/>
      <c r="D2580" s="74"/>
      <c r="E2580" s="74"/>
      <c r="F2580" s="48">
        <f>J2580+H2580+L2580</f>
        <v>49781</v>
      </c>
      <c r="G2580" s="74"/>
      <c r="H2580" s="48">
        <f>ROUNDDOWN(SUMIF(P2576:P2579,O2580,H2576:H2579),0)</f>
        <v>48805</v>
      </c>
      <c r="I2580" s="74"/>
      <c r="J2580" s="48">
        <f>ROUNDDOWN(SUMIF(P2576:P2579,O2580,J2576:J2579),0)</f>
        <v>0</v>
      </c>
      <c r="K2580" s="74"/>
      <c r="L2580" s="48">
        <f>ROUNDDOWN(SUMIF(P2576:P2579,O2580,L2576:L2579),0)</f>
        <v>976</v>
      </c>
      <c r="M2580" s="74"/>
      <c r="O2580" s="7" t="s">
        <v>6406</v>
      </c>
    </row>
    <row r="2581" spans="1:26" ht="28.7" customHeight="1" x14ac:dyDescent="0.3">
      <c r="A2581" s="73"/>
      <c r="B2581" s="73"/>
      <c r="C2581" s="73"/>
      <c r="D2581" s="73"/>
      <c r="E2581" s="73"/>
      <c r="F2581" s="73"/>
      <c r="G2581" s="73"/>
      <c r="H2581" s="73"/>
      <c r="I2581" s="73"/>
      <c r="J2581" s="73"/>
      <c r="K2581" s="73"/>
      <c r="L2581" s="73"/>
      <c r="M2581" s="73"/>
    </row>
    <row r="2582" spans="1:26" ht="28.7" customHeight="1" x14ac:dyDescent="0.3">
      <c r="A2582" s="136" t="s">
        <v>1470</v>
      </c>
      <c r="B2582" s="127"/>
      <c r="C2582" s="127"/>
      <c r="D2582" s="127"/>
      <c r="E2582" s="127"/>
      <c r="F2582" s="127"/>
      <c r="G2582" s="127"/>
      <c r="H2582" s="127"/>
      <c r="I2582" s="127"/>
      <c r="J2582" s="127"/>
      <c r="K2582" s="127"/>
      <c r="L2582" s="144"/>
      <c r="M2582" s="22" t="s">
        <v>8272</v>
      </c>
      <c r="N2582" s="84" t="str">
        <f>HYPERLINK("#N"&amp;ROW(N2586),"_x0005_`BDCOD|B04878_x0007_`POSS|"&amp;ROW(N2583)&amp;"_x0007_`POSE|"&amp;ROW(N2586)&amp;"_x0007_`")</f>
        <v>_x0005_`BDCOD|B04878_x0007_`POSS|2583_x0007_`POSE|2586_x0007_`</v>
      </c>
      <c r="O2582" s="7" t="s">
        <v>8273</v>
      </c>
    </row>
    <row r="2583" spans="1:26" ht="28.7" customHeight="1" x14ac:dyDescent="0.3">
      <c r="A2583" s="10"/>
      <c r="B2583" s="10" t="s">
        <v>8234</v>
      </c>
      <c r="C2583" s="75">
        <v>0</v>
      </c>
      <c r="D2583" s="31"/>
      <c r="E2583" s="33">
        <v>0</v>
      </c>
      <c r="F2583" s="11">
        <v>0</v>
      </c>
      <c r="G2583" s="42"/>
      <c r="H2583" s="11">
        <v>0</v>
      </c>
      <c r="I2583" s="42"/>
      <c r="J2583" s="33">
        <v>0</v>
      </c>
      <c r="K2583" s="46"/>
      <c r="L2583" s="33">
        <v>0</v>
      </c>
      <c r="M2583" s="22" t="s">
        <v>6509</v>
      </c>
      <c r="N2583" s="17" t="s">
        <v>6507</v>
      </c>
      <c r="O2583" s="7" t="s">
        <v>6508</v>
      </c>
      <c r="P2583" s="7" t="s">
        <v>6508</v>
      </c>
    </row>
    <row r="2584" spans="1:26" ht="28.7" customHeight="1" x14ac:dyDescent="0.3">
      <c r="A2584" s="10" t="s">
        <v>3088</v>
      </c>
      <c r="B2584" s="10"/>
      <c r="C2584" s="75">
        <v>0.14000000000000001</v>
      </c>
      <c r="D2584" s="31" t="s">
        <v>3074</v>
      </c>
      <c r="E2584" s="55">
        <f t="shared" ref="E2584:F2586" si="5">I2584+G2584+K2584</f>
        <v>262580</v>
      </c>
      <c r="F2584" s="76">
        <f t="shared" si="5"/>
        <v>36761.199999999997</v>
      </c>
      <c r="G2584" s="78">
        <f>노무비목록표!E11</f>
        <v>262580</v>
      </c>
      <c r="H2584" s="81">
        <f>IF(C2584=0,0,ROUNDDOWN(G2584*C2584,1))</f>
        <v>36761.199999999997</v>
      </c>
      <c r="I2584" s="51">
        <v>0</v>
      </c>
      <c r="J2584" s="77">
        <f>IF(C2584=0,0,ROUNDDOWN(I2584*C2584,1))</f>
        <v>0</v>
      </c>
      <c r="K2584" s="51">
        <v>0</v>
      </c>
      <c r="L2584" s="76">
        <f>IF(C2584=0,0,ROUNDDOWN(K2584*C2584,1))</f>
        <v>0</v>
      </c>
      <c r="M2584" s="22" t="s">
        <v>8259</v>
      </c>
      <c r="N2584" s="17" t="s">
        <v>8257</v>
      </c>
      <c r="O2584" s="7" t="s">
        <v>8258</v>
      </c>
      <c r="P2584" s="7" t="s">
        <v>6406</v>
      </c>
      <c r="Q2584" s="7" t="s">
        <v>7061</v>
      </c>
      <c r="Z2584" s="3" t="str">
        <f ca="1">HYPERLINK("#"&amp;노무비목록표!G2&amp;"!A"&amp;ROW(노무비목록표!A11),"노무8 →")</f>
        <v>노무8 →</v>
      </c>
    </row>
    <row r="2585" spans="1:26" ht="28.7" customHeight="1" x14ac:dyDescent="0.3">
      <c r="A2585" s="10" t="s">
        <v>3090</v>
      </c>
      <c r="B2585" s="10"/>
      <c r="C2585" s="75">
        <v>7.0000000000000007E-2</v>
      </c>
      <c r="D2585" s="31" t="s">
        <v>3074</v>
      </c>
      <c r="E2585" s="55">
        <f t="shared" si="5"/>
        <v>172068</v>
      </c>
      <c r="F2585" s="76">
        <f t="shared" si="5"/>
        <v>12044.7</v>
      </c>
      <c r="G2585" s="78">
        <f>노무비목록표!E12</f>
        <v>172068</v>
      </c>
      <c r="H2585" s="81">
        <f>IF(C2585=0,0,ROUNDDOWN(G2585*C2585,1))</f>
        <v>12044.7</v>
      </c>
      <c r="I2585" s="51">
        <v>0</v>
      </c>
      <c r="J2585" s="77">
        <f>IF(C2585=0,0,ROUNDDOWN(I2585*C2585,1))</f>
        <v>0</v>
      </c>
      <c r="K2585" s="51">
        <v>0</v>
      </c>
      <c r="L2585" s="76">
        <f>IF(C2585=0,0,ROUNDDOWN(K2585*C2585,1))</f>
        <v>0</v>
      </c>
      <c r="M2585" s="22" t="s">
        <v>8262</v>
      </c>
      <c r="N2585" s="17" t="s">
        <v>8260</v>
      </c>
      <c r="O2585" s="7" t="s">
        <v>8261</v>
      </c>
      <c r="P2585" s="7" t="s">
        <v>6406</v>
      </c>
      <c r="Q2585" s="7" t="s">
        <v>7061</v>
      </c>
      <c r="Z2585" s="3" t="str">
        <f ca="1">HYPERLINK("#"&amp;노무비목록표!G2&amp;"!A"&amp;ROW(노무비목록표!A12),"노무9 →")</f>
        <v>노무9 →</v>
      </c>
    </row>
    <row r="2586" spans="1:26" ht="28.7" customHeight="1" x14ac:dyDescent="0.3">
      <c r="A2586" s="10" t="s">
        <v>8263</v>
      </c>
      <c r="B2586" s="10" t="s">
        <v>7063</v>
      </c>
      <c r="C2586" s="75">
        <v>2</v>
      </c>
      <c r="D2586" s="31" t="s">
        <v>7064</v>
      </c>
      <c r="E2586" s="55">
        <f t="shared" si="5"/>
        <v>48805.899999999994</v>
      </c>
      <c r="F2586" s="77">
        <f t="shared" si="5"/>
        <v>976.1</v>
      </c>
      <c r="G2586" s="13">
        <v>0</v>
      </c>
      <c r="H2586" s="77">
        <f>IF(C2586=0,0,ROUNDDOWN(G2586*C2586/100,1))</f>
        <v>0</v>
      </c>
      <c r="I2586" s="13">
        <v>0</v>
      </c>
      <c r="J2586" s="76">
        <f>IF(C2586=0,0,ROUNDDOWN(I2586*C2586/100,1))</f>
        <v>0</v>
      </c>
      <c r="K2586" s="82">
        <f>H2584+H2585</f>
        <v>48805.899999999994</v>
      </c>
      <c r="L2586" s="76">
        <f>IF(C2586=0,0,ROUNDDOWN(K2586*C2586/100,1))</f>
        <v>976.1</v>
      </c>
      <c r="M2586" s="22"/>
      <c r="N2586" s="17" t="s">
        <v>7065</v>
      </c>
      <c r="O2586" s="7" t="s">
        <v>7066</v>
      </c>
      <c r="P2586" s="7" t="s">
        <v>6406</v>
      </c>
    </row>
    <row r="2587" spans="1:26" ht="28.7" customHeight="1" x14ac:dyDescent="0.3">
      <c r="A2587" s="22" t="s">
        <v>6</v>
      </c>
      <c r="B2587" s="74"/>
      <c r="C2587" s="74"/>
      <c r="D2587" s="74"/>
      <c r="E2587" s="74"/>
      <c r="F2587" s="48">
        <f>J2587+H2587+L2587</f>
        <v>49781</v>
      </c>
      <c r="G2587" s="74"/>
      <c r="H2587" s="48">
        <f>ROUNDDOWN(SUMIF(P2583:P2586,O2587,H2583:H2586),0)</f>
        <v>48805</v>
      </c>
      <c r="I2587" s="74"/>
      <c r="J2587" s="48">
        <f>ROUNDDOWN(SUMIF(P2583:P2586,O2587,J2583:J2586),0)</f>
        <v>0</v>
      </c>
      <c r="K2587" s="74"/>
      <c r="L2587" s="48">
        <f>ROUNDDOWN(SUMIF(P2583:P2586,O2587,L2583:L2586),0)</f>
        <v>976</v>
      </c>
      <c r="M2587" s="74"/>
      <c r="O2587" s="7" t="s">
        <v>6406</v>
      </c>
    </row>
    <row r="2588" spans="1:26" ht="28.7" customHeight="1" x14ac:dyDescent="0.3">
      <c r="A2588" s="73"/>
      <c r="B2588" s="73"/>
      <c r="C2588" s="73"/>
      <c r="D2588" s="73"/>
      <c r="E2588" s="73"/>
      <c r="F2588" s="73"/>
      <c r="G2588" s="73"/>
      <c r="H2588" s="73"/>
      <c r="I2588" s="73"/>
      <c r="J2588" s="73"/>
      <c r="K2588" s="73"/>
      <c r="L2588" s="73"/>
      <c r="M2588" s="73"/>
    </row>
    <row r="2589" spans="1:26" ht="28.7" customHeight="1" x14ac:dyDescent="0.3">
      <c r="A2589" s="136" t="s">
        <v>1473</v>
      </c>
      <c r="B2589" s="127"/>
      <c r="C2589" s="127"/>
      <c r="D2589" s="127"/>
      <c r="E2589" s="127"/>
      <c r="F2589" s="127"/>
      <c r="G2589" s="127"/>
      <c r="H2589" s="127"/>
      <c r="I2589" s="127"/>
      <c r="J2589" s="127"/>
      <c r="K2589" s="127"/>
      <c r="L2589" s="144"/>
      <c r="M2589" s="22" t="s">
        <v>8274</v>
      </c>
      <c r="N2589" s="84" t="str">
        <f>HYPERLINK("#N"&amp;ROW(N2591),"_x0005_`BDCOD|B04880_x0007_`POSS|"&amp;ROW(N2590)&amp;"_x0007_`POSE|"&amp;ROW(N2591)&amp;"_x0007_`")</f>
        <v>_x0005_`BDCOD|B04880_x0007_`POSS|2590_x0007_`POSE|2591_x0007_`</v>
      </c>
      <c r="O2589" s="7" t="s">
        <v>8275</v>
      </c>
    </row>
    <row r="2590" spans="1:26" ht="28.7" customHeight="1" x14ac:dyDescent="0.3">
      <c r="A2590" s="10"/>
      <c r="B2590" s="10" t="s">
        <v>8234</v>
      </c>
      <c r="C2590" s="75">
        <v>0</v>
      </c>
      <c r="D2590" s="31"/>
      <c r="E2590" s="33">
        <v>0</v>
      </c>
      <c r="F2590" s="11">
        <v>0</v>
      </c>
      <c r="G2590" s="42"/>
      <c r="H2590" s="11">
        <v>0</v>
      </c>
      <c r="I2590" s="42"/>
      <c r="J2590" s="33">
        <v>0</v>
      </c>
      <c r="K2590" s="46"/>
      <c r="L2590" s="33">
        <v>0</v>
      </c>
      <c r="M2590" s="22" t="s">
        <v>6509</v>
      </c>
      <c r="N2590" s="17" t="s">
        <v>6507</v>
      </c>
      <c r="O2590" s="7" t="s">
        <v>6508</v>
      </c>
      <c r="P2590" s="7" t="s">
        <v>6508</v>
      </c>
    </row>
    <row r="2591" spans="1:26" ht="28.7" customHeight="1" x14ac:dyDescent="0.3">
      <c r="A2591" s="10" t="s">
        <v>1456</v>
      </c>
      <c r="B2591" s="10" t="s">
        <v>1457</v>
      </c>
      <c r="C2591" s="75">
        <v>0.4</v>
      </c>
      <c r="D2591" s="31" t="s">
        <v>515</v>
      </c>
      <c r="E2591" s="55">
        <f>I2591+G2591+K2591</f>
        <v>16901</v>
      </c>
      <c r="F2591" s="76">
        <f>J2591+H2591+L2591</f>
        <v>6760.4</v>
      </c>
      <c r="G2591" s="78">
        <f>일위대가목록표!F585</f>
        <v>16570</v>
      </c>
      <c r="H2591" s="80">
        <f>IF(C2591=0,0,ROUNDDOWN(G2591*C2591,1))</f>
        <v>6628</v>
      </c>
      <c r="I2591" s="78">
        <f>일위대가목록표!G585</f>
        <v>0</v>
      </c>
      <c r="J2591" s="80">
        <f>IF(C2591=0,0,ROUNDDOWN(I2591*C2591,1))</f>
        <v>0</v>
      </c>
      <c r="K2591" s="78">
        <f>일위대가목록표!H585</f>
        <v>331</v>
      </c>
      <c r="L2591" s="80">
        <f>IF(C2591=0,0,ROUNDDOWN(K2591*C2591,1))</f>
        <v>132.4</v>
      </c>
      <c r="M2591" s="22" t="s">
        <v>5089</v>
      </c>
      <c r="N2591" s="17" t="s">
        <v>8236</v>
      </c>
      <c r="O2591" s="7" t="s">
        <v>5087</v>
      </c>
      <c r="P2591" s="7" t="s">
        <v>6406</v>
      </c>
      <c r="Z2591" s="3" t="str">
        <f ca="1">HYPERLINK("#"&amp;일위대가목록표!J2&amp;"!A"&amp;ROW(일위대가목록표!A585),"대가582 →")</f>
        <v>대가582 →</v>
      </c>
    </row>
    <row r="2592" spans="1:26" ht="28.7" customHeight="1" x14ac:dyDescent="0.3">
      <c r="A2592" s="22" t="s">
        <v>6</v>
      </c>
      <c r="B2592" s="74"/>
      <c r="C2592" s="74"/>
      <c r="D2592" s="74"/>
      <c r="E2592" s="74"/>
      <c r="F2592" s="48">
        <f>J2592+H2592+L2592</f>
        <v>6760</v>
      </c>
      <c r="G2592" s="74"/>
      <c r="H2592" s="48">
        <f>ROUNDDOWN(SUMIF(P2590:P2591,O2592,H2590:H2591),0)</f>
        <v>6628</v>
      </c>
      <c r="I2592" s="74"/>
      <c r="J2592" s="48">
        <f>ROUNDDOWN(SUMIF(P2590:P2591,O2592,J2590:J2591),0)</f>
        <v>0</v>
      </c>
      <c r="K2592" s="74"/>
      <c r="L2592" s="48">
        <f>ROUNDDOWN(SUMIF(P2590:P2591,O2592,L2590:L2591),0)</f>
        <v>132</v>
      </c>
      <c r="M2592" s="74"/>
      <c r="O2592" s="7" t="s">
        <v>6406</v>
      </c>
    </row>
    <row r="2593" spans="1:26" ht="28.7" customHeight="1" x14ac:dyDescent="0.3">
      <c r="A2593" s="73"/>
      <c r="B2593" s="73"/>
      <c r="C2593" s="73"/>
      <c r="D2593" s="73"/>
      <c r="E2593" s="73"/>
      <c r="F2593" s="73"/>
      <c r="G2593" s="73"/>
      <c r="H2593" s="73"/>
      <c r="I2593" s="73"/>
      <c r="J2593" s="73"/>
      <c r="K2593" s="73"/>
      <c r="L2593" s="73"/>
      <c r="M2593" s="73"/>
    </row>
    <row r="2594" spans="1:26" ht="28.7" customHeight="1" x14ac:dyDescent="0.3">
      <c r="A2594" s="136" t="s">
        <v>1476</v>
      </c>
      <c r="B2594" s="127"/>
      <c r="C2594" s="127"/>
      <c r="D2594" s="127"/>
      <c r="E2594" s="127"/>
      <c r="F2594" s="127"/>
      <c r="G2594" s="127"/>
      <c r="H2594" s="127"/>
      <c r="I2594" s="127"/>
      <c r="J2594" s="127"/>
      <c r="K2594" s="127"/>
      <c r="L2594" s="144"/>
      <c r="M2594" s="22" t="s">
        <v>8276</v>
      </c>
      <c r="N2594" s="84" t="str">
        <f>HYPERLINK("#N"&amp;ROW(N2596),"_x0005_`BDCOD|B04881_x0007_`POSS|"&amp;ROW(N2595)&amp;"_x0007_`POSE|"&amp;ROW(N2596)&amp;"_x0007_`")</f>
        <v>_x0005_`BDCOD|B04881_x0007_`POSS|2595_x0007_`POSE|2596_x0007_`</v>
      </c>
      <c r="O2594" s="7" t="s">
        <v>8277</v>
      </c>
    </row>
    <row r="2595" spans="1:26" ht="28.7" customHeight="1" x14ac:dyDescent="0.3">
      <c r="A2595" s="10"/>
      <c r="B2595" s="10" t="s">
        <v>8234</v>
      </c>
      <c r="C2595" s="75">
        <v>0</v>
      </c>
      <c r="D2595" s="31"/>
      <c r="E2595" s="33">
        <v>0</v>
      </c>
      <c r="F2595" s="11">
        <v>0</v>
      </c>
      <c r="G2595" s="42"/>
      <c r="H2595" s="11">
        <v>0</v>
      </c>
      <c r="I2595" s="42"/>
      <c r="J2595" s="33">
        <v>0</v>
      </c>
      <c r="K2595" s="46"/>
      <c r="L2595" s="33">
        <v>0</v>
      </c>
      <c r="M2595" s="22" t="s">
        <v>6509</v>
      </c>
      <c r="N2595" s="17" t="s">
        <v>6507</v>
      </c>
      <c r="O2595" s="7" t="s">
        <v>6508</v>
      </c>
      <c r="P2595" s="7" t="s">
        <v>6508</v>
      </c>
    </row>
    <row r="2596" spans="1:26" ht="28.7" customHeight="1" x14ac:dyDescent="0.3">
      <c r="A2596" s="10" t="s">
        <v>1456</v>
      </c>
      <c r="B2596" s="10" t="s">
        <v>1460</v>
      </c>
      <c r="C2596" s="75">
        <v>0.4</v>
      </c>
      <c r="D2596" s="31" t="s">
        <v>515</v>
      </c>
      <c r="E2596" s="55">
        <f>I2596+G2596+K2596</f>
        <v>25768</v>
      </c>
      <c r="F2596" s="76">
        <f>J2596+H2596+L2596</f>
        <v>10307.200000000001</v>
      </c>
      <c r="G2596" s="78">
        <f>일위대가목록표!F586</f>
        <v>25263</v>
      </c>
      <c r="H2596" s="80">
        <f>IF(C2596=0,0,ROUNDDOWN(G2596*C2596,1))</f>
        <v>10105.200000000001</v>
      </c>
      <c r="I2596" s="78">
        <f>일위대가목록표!G586</f>
        <v>0</v>
      </c>
      <c r="J2596" s="80">
        <f>IF(C2596=0,0,ROUNDDOWN(I2596*C2596,1))</f>
        <v>0</v>
      </c>
      <c r="K2596" s="78">
        <f>일위대가목록표!H586</f>
        <v>505</v>
      </c>
      <c r="L2596" s="80">
        <f>IF(C2596=0,0,ROUNDDOWN(K2596*C2596,1))</f>
        <v>202</v>
      </c>
      <c r="M2596" s="22" t="s">
        <v>5092</v>
      </c>
      <c r="N2596" s="17" t="s">
        <v>8242</v>
      </c>
      <c r="O2596" s="7" t="s">
        <v>5090</v>
      </c>
      <c r="P2596" s="7" t="s">
        <v>6406</v>
      </c>
      <c r="Z2596" s="3" t="str">
        <f ca="1">HYPERLINK("#"&amp;일위대가목록표!J2&amp;"!A"&amp;ROW(일위대가목록표!A586),"대가583 →")</f>
        <v>대가583 →</v>
      </c>
    </row>
    <row r="2597" spans="1:26" ht="28.7" customHeight="1" x14ac:dyDescent="0.3">
      <c r="A2597" s="22" t="s">
        <v>6</v>
      </c>
      <c r="B2597" s="74"/>
      <c r="C2597" s="74"/>
      <c r="D2597" s="74"/>
      <c r="E2597" s="74"/>
      <c r="F2597" s="48">
        <f>J2597+H2597+L2597</f>
        <v>10307</v>
      </c>
      <c r="G2597" s="74"/>
      <c r="H2597" s="48">
        <f>ROUNDDOWN(SUMIF(P2595:P2596,O2597,H2595:H2596),0)</f>
        <v>10105</v>
      </c>
      <c r="I2597" s="74"/>
      <c r="J2597" s="48">
        <f>ROUNDDOWN(SUMIF(P2595:P2596,O2597,J2595:J2596),0)</f>
        <v>0</v>
      </c>
      <c r="K2597" s="74"/>
      <c r="L2597" s="48">
        <f>ROUNDDOWN(SUMIF(P2595:P2596,O2597,L2595:L2596),0)</f>
        <v>202</v>
      </c>
      <c r="M2597" s="74"/>
      <c r="O2597" s="7" t="s">
        <v>6406</v>
      </c>
    </row>
    <row r="2598" spans="1:26" ht="28.7" customHeight="1" x14ac:dyDescent="0.3">
      <c r="A2598" s="73"/>
      <c r="B2598" s="73"/>
      <c r="C2598" s="73"/>
      <c r="D2598" s="73"/>
      <c r="E2598" s="73"/>
      <c r="F2598" s="73"/>
      <c r="G2598" s="73"/>
      <c r="H2598" s="73"/>
      <c r="I2598" s="73"/>
      <c r="J2598" s="73"/>
      <c r="K2598" s="73"/>
      <c r="L2598" s="73"/>
      <c r="M2598" s="73"/>
    </row>
    <row r="2599" spans="1:26" ht="28.7" customHeight="1" x14ac:dyDescent="0.3">
      <c r="A2599" s="136" t="s">
        <v>1478</v>
      </c>
      <c r="B2599" s="127"/>
      <c r="C2599" s="127"/>
      <c r="D2599" s="127"/>
      <c r="E2599" s="127"/>
      <c r="F2599" s="127"/>
      <c r="G2599" s="127"/>
      <c r="H2599" s="127"/>
      <c r="I2599" s="127"/>
      <c r="J2599" s="127"/>
      <c r="K2599" s="127"/>
      <c r="L2599" s="144"/>
      <c r="M2599" s="22" t="s">
        <v>8278</v>
      </c>
      <c r="N2599" s="84" t="str">
        <f>HYPERLINK("#N"&amp;ROW(N2601),"_x0005_`BDCOD|B04882_x0007_`POSS|"&amp;ROW(N2600)&amp;"_x0007_`POSE|"&amp;ROW(N2601)&amp;"_x0007_`")</f>
        <v>_x0005_`BDCOD|B04882_x0007_`POSS|2600_x0007_`POSE|2601_x0007_`</v>
      </c>
      <c r="O2599" s="7" t="s">
        <v>8279</v>
      </c>
    </row>
    <row r="2600" spans="1:26" ht="28.7" customHeight="1" x14ac:dyDescent="0.3">
      <c r="A2600" s="10"/>
      <c r="B2600" s="10" t="s">
        <v>8234</v>
      </c>
      <c r="C2600" s="75">
        <v>0</v>
      </c>
      <c r="D2600" s="31"/>
      <c r="E2600" s="33">
        <v>0</v>
      </c>
      <c r="F2600" s="11">
        <v>0</v>
      </c>
      <c r="G2600" s="42"/>
      <c r="H2600" s="11">
        <v>0</v>
      </c>
      <c r="I2600" s="42"/>
      <c r="J2600" s="33">
        <v>0</v>
      </c>
      <c r="K2600" s="46"/>
      <c r="L2600" s="33">
        <v>0</v>
      </c>
      <c r="M2600" s="22" t="s">
        <v>6509</v>
      </c>
      <c r="N2600" s="17" t="s">
        <v>6507</v>
      </c>
      <c r="O2600" s="7" t="s">
        <v>6508</v>
      </c>
      <c r="P2600" s="7" t="s">
        <v>6508</v>
      </c>
    </row>
    <row r="2601" spans="1:26" ht="28.7" customHeight="1" x14ac:dyDescent="0.3">
      <c r="A2601" s="10" t="s">
        <v>1456</v>
      </c>
      <c r="B2601" s="10" t="s">
        <v>1463</v>
      </c>
      <c r="C2601" s="75">
        <v>0.4</v>
      </c>
      <c r="D2601" s="31" t="s">
        <v>515</v>
      </c>
      <c r="E2601" s="55">
        <f>I2601+G2601+K2601</f>
        <v>32879</v>
      </c>
      <c r="F2601" s="76">
        <f>J2601+H2601+L2601</f>
        <v>13151.6</v>
      </c>
      <c r="G2601" s="78">
        <f>일위대가목록표!F587</f>
        <v>32235</v>
      </c>
      <c r="H2601" s="80">
        <f>IF(C2601=0,0,ROUNDDOWN(G2601*C2601,1))</f>
        <v>12894</v>
      </c>
      <c r="I2601" s="78">
        <f>일위대가목록표!G587</f>
        <v>0</v>
      </c>
      <c r="J2601" s="80">
        <f>IF(C2601=0,0,ROUNDDOWN(I2601*C2601,1))</f>
        <v>0</v>
      </c>
      <c r="K2601" s="78">
        <f>일위대가목록표!H587</f>
        <v>644</v>
      </c>
      <c r="L2601" s="80">
        <f>IF(C2601=0,0,ROUNDDOWN(K2601*C2601,1))</f>
        <v>257.60000000000002</v>
      </c>
      <c r="M2601" s="22" t="s">
        <v>5095</v>
      </c>
      <c r="N2601" s="17" t="s">
        <v>8280</v>
      </c>
      <c r="O2601" s="7" t="s">
        <v>5093</v>
      </c>
      <c r="P2601" s="7" t="s">
        <v>6406</v>
      </c>
      <c r="Z2601" s="3" t="str">
        <f ca="1">HYPERLINK("#"&amp;일위대가목록표!J2&amp;"!A"&amp;ROW(일위대가목록표!A587),"대가584 →")</f>
        <v>대가584 →</v>
      </c>
    </row>
    <row r="2602" spans="1:26" ht="28.7" customHeight="1" x14ac:dyDescent="0.3">
      <c r="A2602" s="22" t="s">
        <v>6</v>
      </c>
      <c r="B2602" s="74"/>
      <c r="C2602" s="74"/>
      <c r="D2602" s="74"/>
      <c r="E2602" s="74"/>
      <c r="F2602" s="48">
        <f>J2602+H2602+L2602</f>
        <v>13151</v>
      </c>
      <c r="G2602" s="74"/>
      <c r="H2602" s="48">
        <f>ROUNDDOWN(SUMIF(P2600:P2601,O2602,H2600:H2601),0)</f>
        <v>12894</v>
      </c>
      <c r="I2602" s="74"/>
      <c r="J2602" s="48">
        <f>ROUNDDOWN(SUMIF(P2600:P2601,O2602,J2600:J2601),0)</f>
        <v>0</v>
      </c>
      <c r="K2602" s="74"/>
      <c r="L2602" s="48">
        <f>ROUNDDOWN(SUMIF(P2600:P2601,O2602,L2600:L2601),0)</f>
        <v>257</v>
      </c>
      <c r="M2602" s="74"/>
      <c r="O2602" s="7" t="s">
        <v>6406</v>
      </c>
    </row>
    <row r="2603" spans="1:26" ht="28.7" customHeight="1" x14ac:dyDescent="0.3">
      <c r="A2603" s="73"/>
      <c r="B2603" s="73"/>
      <c r="C2603" s="73"/>
      <c r="D2603" s="73"/>
      <c r="E2603" s="73"/>
      <c r="F2603" s="73"/>
      <c r="G2603" s="73"/>
      <c r="H2603" s="73"/>
      <c r="I2603" s="73"/>
      <c r="J2603" s="73"/>
      <c r="K2603" s="73"/>
      <c r="L2603" s="73"/>
      <c r="M2603" s="73"/>
    </row>
    <row r="2604" spans="1:26" ht="28.7" customHeight="1" x14ac:dyDescent="0.3">
      <c r="A2604" s="136" t="s">
        <v>1480</v>
      </c>
      <c r="B2604" s="127"/>
      <c r="C2604" s="127"/>
      <c r="D2604" s="127"/>
      <c r="E2604" s="127"/>
      <c r="F2604" s="127"/>
      <c r="G2604" s="127"/>
      <c r="H2604" s="127"/>
      <c r="I2604" s="127"/>
      <c r="J2604" s="127"/>
      <c r="K2604" s="127"/>
      <c r="L2604" s="144"/>
      <c r="M2604" s="22" t="s">
        <v>8281</v>
      </c>
      <c r="N2604" s="84" t="str">
        <f>HYPERLINK("#N"&amp;ROW(N2606),"_x0005_`BDCOD|B04883_x0007_`POSS|"&amp;ROW(N2605)&amp;"_x0007_`POSE|"&amp;ROW(N2606)&amp;"_x0007_`")</f>
        <v>_x0005_`BDCOD|B04883_x0007_`POSS|2605_x0007_`POSE|2606_x0007_`</v>
      </c>
      <c r="O2604" s="7" t="s">
        <v>8282</v>
      </c>
    </row>
    <row r="2605" spans="1:26" ht="28.7" customHeight="1" x14ac:dyDescent="0.3">
      <c r="A2605" s="10"/>
      <c r="B2605" s="10" t="s">
        <v>8234</v>
      </c>
      <c r="C2605" s="75">
        <v>0</v>
      </c>
      <c r="D2605" s="31"/>
      <c r="E2605" s="33">
        <v>0</v>
      </c>
      <c r="F2605" s="11">
        <v>0</v>
      </c>
      <c r="G2605" s="42"/>
      <c r="H2605" s="11">
        <v>0</v>
      </c>
      <c r="I2605" s="42"/>
      <c r="J2605" s="33">
        <v>0</v>
      </c>
      <c r="K2605" s="46"/>
      <c r="L2605" s="33">
        <v>0</v>
      </c>
      <c r="M2605" s="22" t="s">
        <v>6509</v>
      </c>
      <c r="N2605" s="17" t="s">
        <v>6507</v>
      </c>
      <c r="O2605" s="7" t="s">
        <v>6508</v>
      </c>
      <c r="P2605" s="7" t="s">
        <v>6508</v>
      </c>
    </row>
    <row r="2606" spans="1:26" ht="28.7" customHeight="1" x14ac:dyDescent="0.3">
      <c r="A2606" s="10" t="s">
        <v>1456</v>
      </c>
      <c r="B2606" s="10" t="s">
        <v>1466</v>
      </c>
      <c r="C2606" s="75">
        <v>0.4</v>
      </c>
      <c r="D2606" s="31" t="s">
        <v>515</v>
      </c>
      <c r="E2606" s="55">
        <f>I2606+G2606+K2606</f>
        <v>39991</v>
      </c>
      <c r="F2606" s="76">
        <f>J2606+H2606+L2606</f>
        <v>15996.4</v>
      </c>
      <c r="G2606" s="78">
        <f>일위대가목록표!F588</f>
        <v>39207</v>
      </c>
      <c r="H2606" s="80">
        <f>IF(C2606=0,0,ROUNDDOWN(G2606*C2606,1))</f>
        <v>15682.8</v>
      </c>
      <c r="I2606" s="78">
        <f>일위대가목록표!G588</f>
        <v>0</v>
      </c>
      <c r="J2606" s="80">
        <f>IF(C2606=0,0,ROUNDDOWN(I2606*C2606,1))</f>
        <v>0</v>
      </c>
      <c r="K2606" s="78">
        <f>일위대가목록표!H588</f>
        <v>784</v>
      </c>
      <c r="L2606" s="80">
        <f>IF(C2606=0,0,ROUNDDOWN(K2606*C2606,1))</f>
        <v>313.60000000000002</v>
      </c>
      <c r="M2606" s="22" t="s">
        <v>5098</v>
      </c>
      <c r="N2606" s="17" t="s">
        <v>8246</v>
      </c>
      <c r="O2606" s="7" t="s">
        <v>5096</v>
      </c>
      <c r="P2606" s="7" t="s">
        <v>6406</v>
      </c>
      <c r="Z2606" s="3" t="str">
        <f ca="1">HYPERLINK("#"&amp;일위대가목록표!J2&amp;"!A"&amp;ROW(일위대가목록표!A588),"대가585 →")</f>
        <v>대가585 →</v>
      </c>
    </row>
    <row r="2607" spans="1:26" ht="28.7" customHeight="1" x14ac:dyDescent="0.3">
      <c r="A2607" s="22" t="s">
        <v>6</v>
      </c>
      <c r="B2607" s="74"/>
      <c r="C2607" s="74"/>
      <c r="D2607" s="74"/>
      <c r="E2607" s="74"/>
      <c r="F2607" s="48">
        <f>J2607+H2607+L2607</f>
        <v>15995</v>
      </c>
      <c r="G2607" s="74"/>
      <c r="H2607" s="48">
        <f>ROUNDDOWN(SUMIF(P2605:P2606,O2607,H2605:H2606),0)</f>
        <v>15682</v>
      </c>
      <c r="I2607" s="74"/>
      <c r="J2607" s="48">
        <f>ROUNDDOWN(SUMIF(P2605:P2606,O2607,J2605:J2606),0)</f>
        <v>0</v>
      </c>
      <c r="K2607" s="74"/>
      <c r="L2607" s="48">
        <f>ROUNDDOWN(SUMIF(P2605:P2606,O2607,L2605:L2606),0)</f>
        <v>313</v>
      </c>
      <c r="M2607" s="74"/>
      <c r="O2607" s="7" t="s">
        <v>6406</v>
      </c>
    </row>
    <row r="2608" spans="1:26" ht="28.7" customHeight="1" x14ac:dyDescent="0.3">
      <c r="A2608" s="73"/>
      <c r="B2608" s="73"/>
      <c r="C2608" s="73"/>
      <c r="D2608" s="73"/>
      <c r="E2608" s="73"/>
      <c r="F2608" s="73"/>
      <c r="G2608" s="73"/>
      <c r="H2608" s="73"/>
      <c r="I2608" s="73"/>
      <c r="J2608" s="73"/>
      <c r="K2608" s="73"/>
      <c r="L2608" s="73"/>
      <c r="M2608" s="73"/>
    </row>
    <row r="2609" spans="1:26" ht="28.7" customHeight="1" x14ac:dyDescent="0.3">
      <c r="A2609" s="136" t="s">
        <v>1482</v>
      </c>
      <c r="B2609" s="127"/>
      <c r="C2609" s="127"/>
      <c r="D2609" s="127"/>
      <c r="E2609" s="127"/>
      <c r="F2609" s="127"/>
      <c r="G2609" s="127"/>
      <c r="H2609" s="127"/>
      <c r="I2609" s="127"/>
      <c r="J2609" s="127"/>
      <c r="K2609" s="127"/>
      <c r="L2609" s="144"/>
      <c r="M2609" s="22" t="s">
        <v>8283</v>
      </c>
      <c r="N2609" s="84" t="str">
        <f>HYPERLINK("#N"&amp;ROW(N2611),"_x0005_`BDCOD|B04884_x0007_`POSS|"&amp;ROW(N2610)&amp;"_x0007_`POSE|"&amp;ROW(N2611)&amp;"_x0007_`")</f>
        <v>_x0005_`BDCOD|B04884_x0007_`POSS|2610_x0007_`POSE|2611_x0007_`</v>
      </c>
      <c r="O2609" s="7" t="s">
        <v>8284</v>
      </c>
    </row>
    <row r="2610" spans="1:26" ht="28.7" customHeight="1" x14ac:dyDescent="0.3">
      <c r="A2610" s="10"/>
      <c r="B2610" s="10" t="s">
        <v>8234</v>
      </c>
      <c r="C2610" s="75">
        <v>0</v>
      </c>
      <c r="D2610" s="31"/>
      <c r="E2610" s="33">
        <v>0</v>
      </c>
      <c r="F2610" s="11">
        <v>0</v>
      </c>
      <c r="G2610" s="42"/>
      <c r="H2610" s="11">
        <v>0</v>
      </c>
      <c r="I2610" s="42"/>
      <c r="J2610" s="33">
        <v>0</v>
      </c>
      <c r="K2610" s="46"/>
      <c r="L2610" s="33">
        <v>0</v>
      </c>
      <c r="M2610" s="22" t="s">
        <v>6509</v>
      </c>
      <c r="N2610" s="17" t="s">
        <v>6507</v>
      </c>
      <c r="O2610" s="7" t="s">
        <v>6508</v>
      </c>
      <c r="P2610" s="7" t="s">
        <v>6508</v>
      </c>
    </row>
    <row r="2611" spans="1:26" ht="28.7" customHeight="1" x14ac:dyDescent="0.3">
      <c r="A2611" s="10" t="s">
        <v>1456</v>
      </c>
      <c r="B2611" s="10" t="s">
        <v>1469</v>
      </c>
      <c r="C2611" s="75">
        <v>0.4</v>
      </c>
      <c r="D2611" s="31" t="s">
        <v>515</v>
      </c>
      <c r="E2611" s="55">
        <f>I2611+G2611+K2611</f>
        <v>49781</v>
      </c>
      <c r="F2611" s="76">
        <f>J2611+H2611+L2611</f>
        <v>19912.400000000001</v>
      </c>
      <c r="G2611" s="78">
        <f>일위대가목록표!F589</f>
        <v>48805</v>
      </c>
      <c r="H2611" s="80">
        <f>IF(C2611=0,0,ROUNDDOWN(G2611*C2611,1))</f>
        <v>19522</v>
      </c>
      <c r="I2611" s="78">
        <f>일위대가목록표!G589</f>
        <v>0</v>
      </c>
      <c r="J2611" s="80">
        <f>IF(C2611=0,0,ROUNDDOWN(I2611*C2611,1))</f>
        <v>0</v>
      </c>
      <c r="K2611" s="78">
        <f>일위대가목록표!H589</f>
        <v>976</v>
      </c>
      <c r="L2611" s="80">
        <f>IF(C2611=0,0,ROUNDDOWN(K2611*C2611,1))</f>
        <v>390.4</v>
      </c>
      <c r="M2611" s="22" t="s">
        <v>5101</v>
      </c>
      <c r="N2611" s="17" t="s">
        <v>8250</v>
      </c>
      <c r="O2611" s="7" t="s">
        <v>5099</v>
      </c>
      <c r="P2611" s="7" t="s">
        <v>6406</v>
      </c>
      <c r="Z2611" s="3" t="str">
        <f ca="1">HYPERLINK("#"&amp;일위대가목록표!J2&amp;"!A"&amp;ROW(일위대가목록표!A589),"대가586 →")</f>
        <v>대가586 →</v>
      </c>
    </row>
    <row r="2612" spans="1:26" ht="28.7" customHeight="1" x14ac:dyDescent="0.3">
      <c r="A2612" s="22" t="s">
        <v>6</v>
      </c>
      <c r="B2612" s="74"/>
      <c r="C2612" s="74"/>
      <c r="D2612" s="74"/>
      <c r="E2612" s="74"/>
      <c r="F2612" s="48">
        <f>J2612+H2612+L2612</f>
        <v>19912</v>
      </c>
      <c r="G2612" s="74"/>
      <c r="H2612" s="48">
        <f>ROUNDDOWN(SUMIF(P2610:P2611,O2612,H2610:H2611),0)</f>
        <v>19522</v>
      </c>
      <c r="I2612" s="74"/>
      <c r="J2612" s="48">
        <f>ROUNDDOWN(SUMIF(P2610:P2611,O2612,J2610:J2611),0)</f>
        <v>0</v>
      </c>
      <c r="K2612" s="74"/>
      <c r="L2612" s="48">
        <f>ROUNDDOWN(SUMIF(P2610:P2611,O2612,L2610:L2611),0)</f>
        <v>390</v>
      </c>
      <c r="M2612" s="74"/>
      <c r="O2612" s="7" t="s">
        <v>6406</v>
      </c>
    </row>
    <row r="2613" spans="1:26" ht="28.7" customHeight="1" x14ac:dyDescent="0.3">
      <c r="A2613" s="73"/>
      <c r="B2613" s="73"/>
      <c r="C2613" s="73"/>
      <c r="D2613" s="73"/>
      <c r="E2613" s="73"/>
      <c r="F2613" s="73"/>
      <c r="G2613" s="73"/>
      <c r="H2613" s="73"/>
      <c r="I2613" s="73"/>
      <c r="J2613" s="73"/>
      <c r="K2613" s="73"/>
      <c r="L2613" s="73"/>
      <c r="M2613" s="73"/>
    </row>
    <row r="2614" spans="1:26" ht="28.7" customHeight="1" x14ac:dyDescent="0.3">
      <c r="A2614" s="136" t="s">
        <v>1484</v>
      </c>
      <c r="B2614" s="127"/>
      <c r="C2614" s="127"/>
      <c r="D2614" s="127"/>
      <c r="E2614" s="127"/>
      <c r="F2614" s="127"/>
      <c r="G2614" s="127"/>
      <c r="H2614" s="127"/>
      <c r="I2614" s="127"/>
      <c r="J2614" s="127"/>
      <c r="K2614" s="127"/>
      <c r="L2614" s="144"/>
      <c r="M2614" s="22" t="s">
        <v>8285</v>
      </c>
      <c r="N2614" s="84" t="str">
        <f>HYPERLINK("#N"&amp;ROW(N2616),"_x0005_`BDCOD|B04885_x0007_`POSS|"&amp;ROW(N2615)&amp;"_x0007_`POSE|"&amp;ROW(N2616)&amp;"_x0007_`")</f>
        <v>_x0005_`BDCOD|B04885_x0007_`POSS|2615_x0007_`POSE|2616_x0007_`</v>
      </c>
      <c r="O2614" s="7" t="s">
        <v>8286</v>
      </c>
    </row>
    <row r="2615" spans="1:26" ht="28.7" customHeight="1" x14ac:dyDescent="0.3">
      <c r="A2615" s="10"/>
      <c r="B2615" s="10" t="s">
        <v>8234</v>
      </c>
      <c r="C2615" s="75">
        <v>0</v>
      </c>
      <c r="D2615" s="31"/>
      <c r="E2615" s="33">
        <v>0</v>
      </c>
      <c r="F2615" s="11">
        <v>0</v>
      </c>
      <c r="G2615" s="42"/>
      <c r="H2615" s="11">
        <v>0</v>
      </c>
      <c r="I2615" s="42"/>
      <c r="J2615" s="33">
        <v>0</v>
      </c>
      <c r="K2615" s="46"/>
      <c r="L2615" s="33">
        <v>0</v>
      </c>
      <c r="M2615" s="22" t="s">
        <v>6509</v>
      </c>
      <c r="N2615" s="17" t="s">
        <v>6507</v>
      </c>
      <c r="O2615" s="7" t="s">
        <v>6508</v>
      </c>
      <c r="P2615" s="7" t="s">
        <v>6508</v>
      </c>
    </row>
    <row r="2616" spans="1:26" ht="28.7" customHeight="1" x14ac:dyDescent="0.3">
      <c r="A2616" s="10" t="s">
        <v>1456</v>
      </c>
      <c r="B2616" s="10" t="s">
        <v>1472</v>
      </c>
      <c r="C2616" s="75">
        <v>0.4</v>
      </c>
      <c r="D2616" s="31" t="s">
        <v>515</v>
      </c>
      <c r="E2616" s="55">
        <f>I2616+G2616+K2616</f>
        <v>49781</v>
      </c>
      <c r="F2616" s="76">
        <f>J2616+H2616+L2616</f>
        <v>19912.400000000001</v>
      </c>
      <c r="G2616" s="78">
        <f>일위대가목록표!F590</f>
        <v>48805</v>
      </c>
      <c r="H2616" s="80">
        <f>IF(C2616=0,0,ROUNDDOWN(G2616*C2616,1))</f>
        <v>19522</v>
      </c>
      <c r="I2616" s="78">
        <f>일위대가목록표!G590</f>
        <v>0</v>
      </c>
      <c r="J2616" s="80">
        <f>IF(C2616=0,0,ROUNDDOWN(I2616*C2616,1))</f>
        <v>0</v>
      </c>
      <c r="K2616" s="78">
        <f>일위대가목록표!H590</f>
        <v>976</v>
      </c>
      <c r="L2616" s="80">
        <f>IF(C2616=0,0,ROUNDDOWN(K2616*C2616,1))</f>
        <v>390.4</v>
      </c>
      <c r="M2616" s="22" t="s">
        <v>5104</v>
      </c>
      <c r="N2616" s="17" t="s">
        <v>8254</v>
      </c>
      <c r="O2616" s="7" t="s">
        <v>5102</v>
      </c>
      <c r="P2616" s="7" t="s">
        <v>6406</v>
      </c>
      <c r="Z2616" s="3" t="str">
        <f ca="1">HYPERLINK("#"&amp;일위대가목록표!J2&amp;"!A"&amp;ROW(일위대가목록표!A590),"대가587 →")</f>
        <v>대가587 →</v>
      </c>
    </row>
    <row r="2617" spans="1:26" ht="28.7" customHeight="1" x14ac:dyDescent="0.3">
      <c r="A2617" s="22" t="s">
        <v>6</v>
      </c>
      <c r="B2617" s="74"/>
      <c r="C2617" s="74"/>
      <c r="D2617" s="74"/>
      <c r="E2617" s="74"/>
      <c r="F2617" s="48">
        <f>J2617+H2617+L2617</f>
        <v>19912</v>
      </c>
      <c r="G2617" s="74"/>
      <c r="H2617" s="48">
        <f>ROUNDDOWN(SUMIF(P2615:P2616,O2617,H2615:H2616),0)</f>
        <v>19522</v>
      </c>
      <c r="I2617" s="74"/>
      <c r="J2617" s="48">
        <f>ROUNDDOWN(SUMIF(P2615:P2616,O2617,J2615:J2616),0)</f>
        <v>0</v>
      </c>
      <c r="K2617" s="74"/>
      <c r="L2617" s="48">
        <f>ROUNDDOWN(SUMIF(P2615:P2616,O2617,L2615:L2616),0)</f>
        <v>390</v>
      </c>
      <c r="M2617" s="74"/>
      <c r="O2617" s="7" t="s">
        <v>6406</v>
      </c>
    </row>
    <row r="2618" spans="1:26" ht="28.7" customHeight="1" x14ac:dyDescent="0.3">
      <c r="A2618" s="73"/>
      <c r="B2618" s="73"/>
      <c r="C2618" s="73"/>
      <c r="D2618" s="73"/>
      <c r="E2618" s="73"/>
      <c r="F2618" s="73"/>
      <c r="G2618" s="73"/>
      <c r="H2618" s="73"/>
      <c r="I2618" s="73"/>
      <c r="J2618" s="73"/>
      <c r="K2618" s="73"/>
      <c r="L2618" s="73"/>
      <c r="M2618" s="73"/>
    </row>
    <row r="2619" spans="1:26" ht="28.7" customHeight="1" x14ac:dyDescent="0.3">
      <c r="A2619" s="136" t="s">
        <v>1486</v>
      </c>
      <c r="B2619" s="127"/>
      <c r="C2619" s="127"/>
      <c r="D2619" s="127"/>
      <c r="E2619" s="127"/>
      <c r="F2619" s="127"/>
      <c r="G2619" s="127"/>
      <c r="H2619" s="127"/>
      <c r="I2619" s="127"/>
      <c r="J2619" s="127"/>
      <c r="K2619" s="127"/>
      <c r="L2619" s="144"/>
      <c r="M2619" s="22" t="s">
        <v>8287</v>
      </c>
      <c r="N2619" s="84" t="str">
        <f>HYPERLINK("#N"&amp;ROW(N2621),"_x0005_`BDCOD|B05057_x0007_`POSS|"&amp;ROW(N2620)&amp;"_x0007_`POSE|"&amp;ROW(N2621)&amp;"_x0007_`")</f>
        <v>_x0005_`BDCOD|B05057_x0007_`POSS|2620_x0007_`POSE|2621_x0007_`</v>
      </c>
      <c r="O2619" s="7" t="s">
        <v>8288</v>
      </c>
    </row>
    <row r="2620" spans="1:26" ht="28.7" customHeight="1" x14ac:dyDescent="0.3">
      <c r="A2620" s="10" t="s">
        <v>1488</v>
      </c>
      <c r="B2620" s="10" t="s">
        <v>1489</v>
      </c>
      <c r="C2620" s="75">
        <v>1</v>
      </c>
      <c r="D2620" s="31" t="s">
        <v>1490</v>
      </c>
      <c r="E2620" s="55">
        <f>I2620+G2620+K2620</f>
        <v>23120</v>
      </c>
      <c r="F2620" s="77">
        <f>J2620+H2620+L2620</f>
        <v>23120</v>
      </c>
      <c r="G2620" s="51">
        <v>0</v>
      </c>
      <c r="H2620" s="76">
        <f>IF(C2620=0,0,ROUNDDOWN(G2620*C2620,1))</f>
        <v>0</v>
      </c>
      <c r="I2620" s="78">
        <f>재료비목록표!E28</f>
        <v>23120</v>
      </c>
      <c r="J2620" s="81">
        <f>IF(C2620=0,0,ROUNDDOWN(I2620*C2620,1))</f>
        <v>23120</v>
      </c>
      <c r="K2620" s="51">
        <v>0</v>
      </c>
      <c r="L2620" s="76">
        <f>IF(C2620=0,0,ROUNDDOWN(K2620*C2620,1))</f>
        <v>0</v>
      </c>
      <c r="M2620" s="22" t="s">
        <v>8291</v>
      </c>
      <c r="N2620" s="17" t="s">
        <v>8289</v>
      </c>
      <c r="O2620" s="7" t="s">
        <v>8290</v>
      </c>
      <c r="P2620" s="7" t="s">
        <v>6406</v>
      </c>
      <c r="Z2620" s="3" t="str">
        <f ca="1">HYPERLINK("#"&amp;재료비목록표!G2&amp;"!A"&amp;ROW(재료비목록표!A28),"자재25 →")</f>
        <v>자재25 →</v>
      </c>
    </row>
    <row r="2621" spans="1:26" ht="28.7" customHeight="1" x14ac:dyDescent="0.3">
      <c r="A2621" s="10" t="s">
        <v>1938</v>
      </c>
      <c r="B2621" s="10" t="s">
        <v>1512</v>
      </c>
      <c r="C2621" s="75">
        <v>1</v>
      </c>
      <c r="D2621" s="31" t="s">
        <v>1939</v>
      </c>
      <c r="E2621" s="55">
        <f>I2621+G2621+K2621</f>
        <v>24042</v>
      </c>
      <c r="F2621" s="76">
        <f>J2621+H2621+L2621</f>
        <v>24042</v>
      </c>
      <c r="G2621" s="78">
        <f>일위대가목록표!F749</f>
        <v>23571</v>
      </c>
      <c r="H2621" s="80">
        <f>IF(C2621=0,0,ROUNDDOWN(G2621*C2621,1))</f>
        <v>23571</v>
      </c>
      <c r="I2621" s="78">
        <f>일위대가목록표!G749</f>
        <v>0</v>
      </c>
      <c r="J2621" s="80">
        <f>IF(C2621=0,0,ROUNDDOWN(I2621*C2621,1))</f>
        <v>0</v>
      </c>
      <c r="K2621" s="78">
        <f>일위대가목록표!H749</f>
        <v>471</v>
      </c>
      <c r="L2621" s="80">
        <f>IF(C2621=0,0,ROUNDDOWN(K2621*C2621,1))</f>
        <v>471</v>
      </c>
      <c r="M2621" s="22" t="s">
        <v>8294</v>
      </c>
      <c r="N2621" s="17" t="s">
        <v>8292</v>
      </c>
      <c r="O2621" s="7" t="s">
        <v>8293</v>
      </c>
      <c r="P2621" s="7" t="s">
        <v>6406</v>
      </c>
      <c r="Z2621" s="3" t="str">
        <f ca="1">HYPERLINK("#"&amp;일위대가목록표!J2&amp;"!A"&amp;ROW(일위대가목록표!A749),"대가746 →")</f>
        <v>대가746 →</v>
      </c>
    </row>
    <row r="2622" spans="1:26" ht="28.7" customHeight="1" x14ac:dyDescent="0.3">
      <c r="A2622" s="22" t="s">
        <v>6</v>
      </c>
      <c r="B2622" s="74"/>
      <c r="C2622" s="74"/>
      <c r="D2622" s="74"/>
      <c r="E2622" s="74"/>
      <c r="F2622" s="48">
        <f>J2622+H2622+L2622</f>
        <v>47162</v>
      </c>
      <c r="G2622" s="74"/>
      <c r="H2622" s="48">
        <f>ROUNDDOWN(SUMIF(P2620:P2621,O2622,H2620:H2621),0)</f>
        <v>23571</v>
      </c>
      <c r="I2622" s="74"/>
      <c r="J2622" s="48">
        <f>ROUNDDOWN(SUMIF(P2620:P2621,O2622,J2620:J2621),0)</f>
        <v>23120</v>
      </c>
      <c r="K2622" s="74"/>
      <c r="L2622" s="48">
        <f>ROUNDDOWN(SUMIF(P2620:P2621,O2622,L2620:L2621),0)</f>
        <v>471</v>
      </c>
      <c r="M2622" s="74"/>
      <c r="O2622" s="7" t="s">
        <v>6406</v>
      </c>
    </row>
    <row r="2623" spans="1:26" ht="28.7" customHeight="1" x14ac:dyDescent="0.3">
      <c r="A2623" s="73"/>
      <c r="B2623" s="73"/>
      <c r="C2623" s="73"/>
      <c r="D2623" s="73"/>
      <c r="E2623" s="73"/>
      <c r="F2623" s="73"/>
      <c r="G2623" s="73"/>
      <c r="H2623" s="73"/>
      <c r="I2623" s="73"/>
      <c r="J2623" s="73"/>
      <c r="K2623" s="73"/>
      <c r="L2623" s="73"/>
      <c r="M2623" s="73"/>
    </row>
    <row r="2624" spans="1:26" ht="28.7" customHeight="1" x14ac:dyDescent="0.3">
      <c r="A2624" s="136" t="s">
        <v>1491</v>
      </c>
      <c r="B2624" s="127"/>
      <c r="C2624" s="127"/>
      <c r="D2624" s="127"/>
      <c r="E2624" s="127"/>
      <c r="F2624" s="127"/>
      <c r="G2624" s="127"/>
      <c r="H2624" s="127"/>
      <c r="I2624" s="127"/>
      <c r="J2624" s="127"/>
      <c r="K2624" s="127"/>
      <c r="L2624" s="144"/>
      <c r="M2624" s="22" t="s">
        <v>8295</v>
      </c>
      <c r="N2624" s="84" t="str">
        <f>HYPERLINK("#N"&amp;ROW(N2626),"_x0005_`BDCOD|B05058_x0007_`POSS|"&amp;ROW(N2625)&amp;"_x0007_`POSE|"&amp;ROW(N2626)&amp;"_x0007_`")</f>
        <v>_x0005_`BDCOD|B05058_x0007_`POSS|2625_x0007_`POSE|2626_x0007_`</v>
      </c>
      <c r="O2624" s="7" t="s">
        <v>8296</v>
      </c>
    </row>
    <row r="2625" spans="1:26" ht="28.7" customHeight="1" x14ac:dyDescent="0.3">
      <c r="A2625" s="10" t="s">
        <v>1488</v>
      </c>
      <c r="B2625" s="10" t="s">
        <v>1493</v>
      </c>
      <c r="C2625" s="75">
        <v>1</v>
      </c>
      <c r="D2625" s="31" t="s">
        <v>1490</v>
      </c>
      <c r="E2625" s="55">
        <f>I2625+G2625+K2625</f>
        <v>35310</v>
      </c>
      <c r="F2625" s="77">
        <f>J2625+H2625+L2625</f>
        <v>35310</v>
      </c>
      <c r="G2625" s="51">
        <v>0</v>
      </c>
      <c r="H2625" s="76">
        <f>IF(C2625=0,0,ROUNDDOWN(G2625*C2625,1))</f>
        <v>0</v>
      </c>
      <c r="I2625" s="78">
        <f>재료비목록표!E29</f>
        <v>35310</v>
      </c>
      <c r="J2625" s="81">
        <f>IF(C2625=0,0,ROUNDDOWN(I2625*C2625,1))</f>
        <v>35310</v>
      </c>
      <c r="K2625" s="51">
        <v>0</v>
      </c>
      <c r="L2625" s="76">
        <f>IF(C2625=0,0,ROUNDDOWN(K2625*C2625,1))</f>
        <v>0</v>
      </c>
      <c r="M2625" s="22" t="s">
        <v>8299</v>
      </c>
      <c r="N2625" s="17" t="s">
        <v>8297</v>
      </c>
      <c r="O2625" s="7" t="s">
        <v>8298</v>
      </c>
      <c r="P2625" s="7" t="s">
        <v>6406</v>
      </c>
      <c r="Z2625" s="3" t="str">
        <f ca="1">HYPERLINK("#"&amp;재료비목록표!G2&amp;"!A"&amp;ROW(재료비목록표!A29),"자재26 →")</f>
        <v>자재26 →</v>
      </c>
    </row>
    <row r="2626" spans="1:26" ht="28.7" customHeight="1" x14ac:dyDescent="0.3">
      <c r="A2626" s="10" t="s">
        <v>1938</v>
      </c>
      <c r="B2626" s="10" t="s">
        <v>1518</v>
      </c>
      <c r="C2626" s="75">
        <v>1</v>
      </c>
      <c r="D2626" s="31" t="s">
        <v>1939</v>
      </c>
      <c r="E2626" s="55">
        <f>I2626+G2626+K2626</f>
        <v>33660</v>
      </c>
      <c r="F2626" s="76">
        <f>J2626+H2626+L2626</f>
        <v>33660</v>
      </c>
      <c r="G2626" s="78">
        <f>일위대가목록표!F750</f>
        <v>33000</v>
      </c>
      <c r="H2626" s="80">
        <f>IF(C2626=0,0,ROUNDDOWN(G2626*C2626,1))</f>
        <v>33000</v>
      </c>
      <c r="I2626" s="78">
        <f>일위대가목록표!G750</f>
        <v>0</v>
      </c>
      <c r="J2626" s="80">
        <f>IF(C2626=0,0,ROUNDDOWN(I2626*C2626,1))</f>
        <v>0</v>
      </c>
      <c r="K2626" s="78">
        <f>일위대가목록표!H750</f>
        <v>660</v>
      </c>
      <c r="L2626" s="80">
        <f>IF(C2626=0,0,ROUNDDOWN(K2626*C2626,1))</f>
        <v>660</v>
      </c>
      <c r="M2626" s="22" t="s">
        <v>8302</v>
      </c>
      <c r="N2626" s="17" t="s">
        <v>8300</v>
      </c>
      <c r="O2626" s="7" t="s">
        <v>8301</v>
      </c>
      <c r="P2626" s="7" t="s">
        <v>6406</v>
      </c>
      <c r="Z2626" s="3" t="str">
        <f ca="1">HYPERLINK("#"&amp;일위대가목록표!J2&amp;"!A"&amp;ROW(일위대가목록표!A750),"대가747 →")</f>
        <v>대가747 →</v>
      </c>
    </row>
    <row r="2627" spans="1:26" ht="28.7" customHeight="1" x14ac:dyDescent="0.3">
      <c r="A2627" s="22" t="s">
        <v>6</v>
      </c>
      <c r="B2627" s="74"/>
      <c r="C2627" s="74"/>
      <c r="D2627" s="74"/>
      <c r="E2627" s="74"/>
      <c r="F2627" s="48">
        <f>J2627+H2627+L2627</f>
        <v>68970</v>
      </c>
      <c r="G2627" s="74"/>
      <c r="H2627" s="48">
        <f>ROUNDDOWN(SUMIF(P2625:P2626,O2627,H2625:H2626),0)</f>
        <v>33000</v>
      </c>
      <c r="I2627" s="74"/>
      <c r="J2627" s="48">
        <f>ROUNDDOWN(SUMIF(P2625:P2626,O2627,J2625:J2626),0)</f>
        <v>35310</v>
      </c>
      <c r="K2627" s="74"/>
      <c r="L2627" s="48">
        <f>ROUNDDOWN(SUMIF(P2625:P2626,O2627,L2625:L2626),0)</f>
        <v>660</v>
      </c>
      <c r="M2627" s="74"/>
      <c r="O2627" s="7" t="s">
        <v>6406</v>
      </c>
    </row>
    <row r="2628" spans="1:26" ht="28.7" customHeight="1" x14ac:dyDescent="0.3">
      <c r="A2628" s="73"/>
      <c r="B2628" s="73"/>
      <c r="C2628" s="73"/>
      <c r="D2628" s="73"/>
      <c r="E2628" s="73"/>
      <c r="F2628" s="73"/>
      <c r="G2628" s="73"/>
      <c r="H2628" s="73"/>
      <c r="I2628" s="73"/>
      <c r="J2628" s="73"/>
      <c r="K2628" s="73"/>
      <c r="L2628" s="73"/>
      <c r="M2628" s="73"/>
    </row>
    <row r="2629" spans="1:26" ht="28.7" customHeight="1" x14ac:dyDescent="0.3">
      <c r="A2629" s="136" t="s">
        <v>1494</v>
      </c>
      <c r="B2629" s="127"/>
      <c r="C2629" s="127"/>
      <c r="D2629" s="127"/>
      <c r="E2629" s="127"/>
      <c r="F2629" s="127"/>
      <c r="G2629" s="127"/>
      <c r="H2629" s="127"/>
      <c r="I2629" s="127"/>
      <c r="J2629" s="127"/>
      <c r="K2629" s="127"/>
      <c r="L2629" s="144"/>
      <c r="M2629" s="22" t="s">
        <v>8303</v>
      </c>
      <c r="N2629" s="84" t="str">
        <f>HYPERLINK("#N"&amp;ROW(N2631),"_x0005_`BDCOD|B05059_x0007_`POSS|"&amp;ROW(N2630)&amp;"_x0007_`POSE|"&amp;ROW(N2631)&amp;"_x0007_`")</f>
        <v>_x0005_`BDCOD|B05059_x0007_`POSS|2630_x0007_`POSE|2631_x0007_`</v>
      </c>
      <c r="O2629" s="7" t="s">
        <v>8304</v>
      </c>
    </row>
    <row r="2630" spans="1:26" ht="28.7" customHeight="1" x14ac:dyDescent="0.3">
      <c r="A2630" s="10" t="s">
        <v>1488</v>
      </c>
      <c r="B2630" s="10" t="s">
        <v>1496</v>
      </c>
      <c r="C2630" s="75">
        <v>1</v>
      </c>
      <c r="D2630" s="31" t="s">
        <v>1490</v>
      </c>
      <c r="E2630" s="55">
        <f>I2630+G2630+K2630</f>
        <v>45700</v>
      </c>
      <c r="F2630" s="77">
        <f>J2630+H2630+L2630</f>
        <v>45700</v>
      </c>
      <c r="G2630" s="51">
        <v>0</v>
      </c>
      <c r="H2630" s="76">
        <f>IF(C2630=0,0,ROUNDDOWN(G2630*C2630,1))</f>
        <v>0</v>
      </c>
      <c r="I2630" s="78">
        <f>재료비목록표!E24</f>
        <v>45700</v>
      </c>
      <c r="J2630" s="81">
        <f>IF(C2630=0,0,ROUNDDOWN(I2630*C2630,1))</f>
        <v>45700</v>
      </c>
      <c r="K2630" s="51">
        <v>0</v>
      </c>
      <c r="L2630" s="76">
        <f>IF(C2630=0,0,ROUNDDOWN(K2630*C2630,1))</f>
        <v>0</v>
      </c>
      <c r="M2630" s="22" t="s">
        <v>8307</v>
      </c>
      <c r="N2630" s="17" t="s">
        <v>8305</v>
      </c>
      <c r="O2630" s="7" t="s">
        <v>8306</v>
      </c>
      <c r="P2630" s="7" t="s">
        <v>6406</v>
      </c>
      <c r="Z2630" s="3" t="str">
        <f ca="1">HYPERLINK("#"&amp;재료비목록표!G2&amp;"!A"&amp;ROW(재료비목록표!A24),"자재21 →")</f>
        <v>자재21 →</v>
      </c>
    </row>
    <row r="2631" spans="1:26" ht="28.7" customHeight="1" x14ac:dyDescent="0.3">
      <c r="A2631" s="10" t="s">
        <v>1938</v>
      </c>
      <c r="B2631" s="10" t="s">
        <v>1521</v>
      </c>
      <c r="C2631" s="75">
        <v>1</v>
      </c>
      <c r="D2631" s="31" t="s">
        <v>1939</v>
      </c>
      <c r="E2631" s="55">
        <f>I2631+G2631+K2631</f>
        <v>46749</v>
      </c>
      <c r="F2631" s="76">
        <f>J2631+H2631+L2631</f>
        <v>46749</v>
      </c>
      <c r="G2631" s="78">
        <f>일위대가목록표!F751</f>
        <v>45833</v>
      </c>
      <c r="H2631" s="80">
        <f>IF(C2631=0,0,ROUNDDOWN(G2631*C2631,1))</f>
        <v>45833</v>
      </c>
      <c r="I2631" s="78">
        <f>일위대가목록표!G751</f>
        <v>0</v>
      </c>
      <c r="J2631" s="80">
        <f>IF(C2631=0,0,ROUNDDOWN(I2631*C2631,1))</f>
        <v>0</v>
      </c>
      <c r="K2631" s="78">
        <f>일위대가목록표!H751</f>
        <v>916</v>
      </c>
      <c r="L2631" s="80">
        <f>IF(C2631=0,0,ROUNDDOWN(K2631*C2631,1))</f>
        <v>916</v>
      </c>
      <c r="M2631" s="22" t="s">
        <v>8310</v>
      </c>
      <c r="N2631" s="17" t="s">
        <v>8308</v>
      </c>
      <c r="O2631" s="7" t="s">
        <v>8309</v>
      </c>
      <c r="P2631" s="7" t="s">
        <v>6406</v>
      </c>
      <c r="Z2631" s="3" t="str">
        <f ca="1">HYPERLINK("#"&amp;일위대가목록표!J2&amp;"!A"&amp;ROW(일위대가목록표!A751),"대가748 →")</f>
        <v>대가748 →</v>
      </c>
    </row>
    <row r="2632" spans="1:26" ht="28.7" customHeight="1" x14ac:dyDescent="0.3">
      <c r="A2632" s="22" t="s">
        <v>6</v>
      </c>
      <c r="B2632" s="74"/>
      <c r="C2632" s="74"/>
      <c r="D2632" s="74"/>
      <c r="E2632" s="74"/>
      <c r="F2632" s="48">
        <f>J2632+H2632+L2632</f>
        <v>92449</v>
      </c>
      <c r="G2632" s="74"/>
      <c r="H2632" s="48">
        <f>ROUNDDOWN(SUMIF(P2630:P2631,O2632,H2630:H2631),0)</f>
        <v>45833</v>
      </c>
      <c r="I2632" s="74"/>
      <c r="J2632" s="48">
        <f>ROUNDDOWN(SUMIF(P2630:P2631,O2632,J2630:J2631),0)</f>
        <v>45700</v>
      </c>
      <c r="K2632" s="74"/>
      <c r="L2632" s="48">
        <f>ROUNDDOWN(SUMIF(P2630:P2631,O2632,L2630:L2631),0)</f>
        <v>916</v>
      </c>
      <c r="M2632" s="74"/>
      <c r="O2632" s="7" t="s">
        <v>6406</v>
      </c>
    </row>
    <row r="2633" spans="1:26" ht="28.7" customHeight="1" x14ac:dyDescent="0.3">
      <c r="A2633" s="73"/>
      <c r="B2633" s="73"/>
      <c r="C2633" s="73"/>
      <c r="D2633" s="73"/>
      <c r="E2633" s="73"/>
      <c r="F2633" s="73"/>
      <c r="G2633" s="73"/>
      <c r="H2633" s="73"/>
      <c r="I2633" s="73"/>
      <c r="J2633" s="73"/>
      <c r="K2633" s="73"/>
      <c r="L2633" s="73"/>
      <c r="M2633" s="73"/>
    </row>
    <row r="2634" spans="1:26" ht="28.7" customHeight="1" x14ac:dyDescent="0.3">
      <c r="A2634" s="136" t="s">
        <v>1497</v>
      </c>
      <c r="B2634" s="127"/>
      <c r="C2634" s="127"/>
      <c r="D2634" s="127"/>
      <c r="E2634" s="127"/>
      <c r="F2634" s="127"/>
      <c r="G2634" s="127"/>
      <c r="H2634" s="127"/>
      <c r="I2634" s="127"/>
      <c r="J2634" s="127"/>
      <c r="K2634" s="127"/>
      <c r="L2634" s="144"/>
      <c r="M2634" s="22" t="s">
        <v>8311</v>
      </c>
      <c r="N2634" s="84" t="str">
        <f>HYPERLINK("#N"&amp;ROW(N2636),"_x0005_`BDCOD|B05073_x0007_`POSS|"&amp;ROW(N2635)&amp;"_x0007_`POSE|"&amp;ROW(N2636)&amp;"_x0007_`")</f>
        <v>_x0005_`BDCOD|B05073_x0007_`POSS|2635_x0007_`POSE|2636_x0007_`</v>
      </c>
      <c r="O2634" s="7" t="s">
        <v>8312</v>
      </c>
    </row>
    <row r="2635" spans="1:26" ht="28.7" customHeight="1" x14ac:dyDescent="0.3">
      <c r="A2635" s="10" t="s">
        <v>1488</v>
      </c>
      <c r="B2635" s="10" t="s">
        <v>2110</v>
      </c>
      <c r="C2635" s="75">
        <v>1</v>
      </c>
      <c r="D2635" s="31" t="s">
        <v>1490</v>
      </c>
      <c r="E2635" s="55">
        <f>I2635+G2635+K2635</f>
        <v>77440</v>
      </c>
      <c r="F2635" s="77">
        <f>J2635+H2635+L2635</f>
        <v>77440</v>
      </c>
      <c r="G2635" s="51">
        <v>0</v>
      </c>
      <c r="H2635" s="76">
        <f>IF(C2635=0,0,ROUNDDOWN(G2635*C2635,1))</f>
        <v>0</v>
      </c>
      <c r="I2635" s="78">
        <f>재료비목록표!E26</f>
        <v>77440</v>
      </c>
      <c r="J2635" s="81">
        <f>IF(C2635=0,0,ROUNDDOWN(I2635*C2635,1))</f>
        <v>77440</v>
      </c>
      <c r="K2635" s="51">
        <v>0</v>
      </c>
      <c r="L2635" s="76">
        <f>IF(C2635=0,0,ROUNDDOWN(K2635*C2635,1))</f>
        <v>0</v>
      </c>
      <c r="M2635" s="22" t="s">
        <v>8315</v>
      </c>
      <c r="N2635" s="17" t="s">
        <v>8313</v>
      </c>
      <c r="O2635" s="7" t="s">
        <v>8314</v>
      </c>
      <c r="P2635" s="7" t="s">
        <v>6406</v>
      </c>
      <c r="Z2635" s="3" t="str">
        <f ca="1">HYPERLINK("#"&amp;재료비목록표!G2&amp;"!A"&amp;ROW(재료비목록표!A26),"자재23 →")</f>
        <v>자재23 →</v>
      </c>
    </row>
    <row r="2636" spans="1:26" ht="28.7" customHeight="1" x14ac:dyDescent="0.3">
      <c r="A2636" s="10" t="s">
        <v>1938</v>
      </c>
      <c r="B2636" s="10" t="s">
        <v>1524</v>
      </c>
      <c r="C2636" s="75">
        <v>1</v>
      </c>
      <c r="D2636" s="31" t="s">
        <v>1939</v>
      </c>
      <c r="E2636" s="55">
        <f>I2636+G2636+K2636</f>
        <v>70125</v>
      </c>
      <c r="F2636" s="76">
        <f>J2636+H2636+L2636</f>
        <v>70125</v>
      </c>
      <c r="G2636" s="78">
        <f>일위대가목록표!F752</f>
        <v>68750</v>
      </c>
      <c r="H2636" s="80">
        <f>IF(C2636=0,0,ROUNDDOWN(G2636*C2636,1))</f>
        <v>68750</v>
      </c>
      <c r="I2636" s="78">
        <f>일위대가목록표!G752</f>
        <v>0</v>
      </c>
      <c r="J2636" s="80">
        <f>IF(C2636=0,0,ROUNDDOWN(I2636*C2636,1))</f>
        <v>0</v>
      </c>
      <c r="K2636" s="78">
        <f>일위대가목록표!H752</f>
        <v>1375</v>
      </c>
      <c r="L2636" s="80">
        <f>IF(C2636=0,0,ROUNDDOWN(K2636*C2636,1))</f>
        <v>1375</v>
      </c>
      <c r="M2636" s="22" t="s">
        <v>8318</v>
      </c>
      <c r="N2636" s="17" t="s">
        <v>8316</v>
      </c>
      <c r="O2636" s="7" t="s">
        <v>8317</v>
      </c>
      <c r="P2636" s="7" t="s">
        <v>6406</v>
      </c>
      <c r="Z2636" s="3" t="str">
        <f ca="1">HYPERLINK("#"&amp;일위대가목록표!J2&amp;"!A"&amp;ROW(일위대가목록표!A752),"대가749 →")</f>
        <v>대가749 →</v>
      </c>
    </row>
    <row r="2637" spans="1:26" ht="28.7" customHeight="1" x14ac:dyDescent="0.3">
      <c r="A2637" s="22" t="s">
        <v>6</v>
      </c>
      <c r="B2637" s="74"/>
      <c r="C2637" s="74"/>
      <c r="D2637" s="74"/>
      <c r="E2637" s="74"/>
      <c r="F2637" s="48">
        <f>J2637+H2637+L2637</f>
        <v>147565</v>
      </c>
      <c r="G2637" s="74"/>
      <c r="H2637" s="48">
        <f>ROUNDDOWN(SUMIF(P2635:P2636,O2637,H2635:H2636),0)</f>
        <v>68750</v>
      </c>
      <c r="I2637" s="74"/>
      <c r="J2637" s="48">
        <f>ROUNDDOWN(SUMIF(P2635:P2636,O2637,J2635:J2636),0)</f>
        <v>77440</v>
      </c>
      <c r="K2637" s="74"/>
      <c r="L2637" s="48">
        <f>ROUNDDOWN(SUMIF(P2635:P2636,O2637,L2635:L2636),0)</f>
        <v>1375</v>
      </c>
      <c r="M2637" s="74"/>
      <c r="O2637" s="7" t="s">
        <v>6406</v>
      </c>
    </row>
    <row r="2638" spans="1:26" ht="28.7" customHeight="1" x14ac:dyDescent="0.3">
      <c r="A2638" s="73"/>
      <c r="B2638" s="73"/>
      <c r="C2638" s="73"/>
      <c r="D2638" s="73"/>
      <c r="E2638" s="73"/>
      <c r="F2638" s="73"/>
      <c r="G2638" s="73"/>
      <c r="H2638" s="73"/>
      <c r="I2638" s="73"/>
      <c r="J2638" s="73"/>
      <c r="K2638" s="73"/>
      <c r="L2638" s="73"/>
      <c r="M2638" s="73"/>
    </row>
    <row r="2639" spans="1:26" ht="28.7" customHeight="1" x14ac:dyDescent="0.3">
      <c r="A2639" s="136" t="s">
        <v>1500</v>
      </c>
      <c r="B2639" s="127"/>
      <c r="C2639" s="127"/>
      <c r="D2639" s="127"/>
      <c r="E2639" s="127"/>
      <c r="F2639" s="127"/>
      <c r="G2639" s="127"/>
      <c r="H2639" s="127"/>
      <c r="I2639" s="127"/>
      <c r="J2639" s="127"/>
      <c r="K2639" s="127"/>
      <c r="L2639" s="144"/>
      <c r="M2639" s="22" t="s">
        <v>8319</v>
      </c>
      <c r="N2639" s="84" t="str">
        <f>HYPERLINK("#N"&amp;ROW(N2641),"_x0005_`BDCOD|B05074_x0007_`POSS|"&amp;ROW(N2640)&amp;"_x0007_`POSE|"&amp;ROW(N2641)&amp;"_x0007_`")</f>
        <v>_x0005_`BDCOD|B05074_x0007_`POSS|2640_x0007_`POSE|2641_x0007_`</v>
      </c>
      <c r="O2639" s="7" t="s">
        <v>8320</v>
      </c>
    </row>
    <row r="2640" spans="1:26" ht="28.7" customHeight="1" x14ac:dyDescent="0.3">
      <c r="A2640" s="10" t="s">
        <v>1488</v>
      </c>
      <c r="B2640" s="10" t="s">
        <v>2107</v>
      </c>
      <c r="C2640" s="75">
        <v>1</v>
      </c>
      <c r="D2640" s="31" t="s">
        <v>1490</v>
      </c>
      <c r="E2640" s="55">
        <f>I2640+G2640+K2640</f>
        <v>60410</v>
      </c>
      <c r="F2640" s="77">
        <f>J2640+H2640+L2640</f>
        <v>60410</v>
      </c>
      <c r="G2640" s="51">
        <v>0</v>
      </c>
      <c r="H2640" s="76">
        <f>IF(C2640=0,0,ROUNDDOWN(G2640*C2640,1))</f>
        <v>0</v>
      </c>
      <c r="I2640" s="78">
        <f>재료비목록표!E25</f>
        <v>60410</v>
      </c>
      <c r="J2640" s="81">
        <f>IF(C2640=0,0,ROUNDDOWN(I2640*C2640,1))</f>
        <v>60410</v>
      </c>
      <c r="K2640" s="51">
        <v>0</v>
      </c>
      <c r="L2640" s="76">
        <f>IF(C2640=0,0,ROUNDDOWN(K2640*C2640,1))</f>
        <v>0</v>
      </c>
      <c r="M2640" s="22" t="s">
        <v>8323</v>
      </c>
      <c r="N2640" s="17" t="s">
        <v>8321</v>
      </c>
      <c r="O2640" s="7" t="s">
        <v>8322</v>
      </c>
      <c r="P2640" s="7" t="s">
        <v>6406</v>
      </c>
      <c r="Z2640" s="3" t="str">
        <f ca="1">HYPERLINK("#"&amp;재료비목록표!G2&amp;"!A"&amp;ROW(재료비목록표!A25),"자재22 →")</f>
        <v>자재22 →</v>
      </c>
    </row>
    <row r="2641" spans="1:26" ht="28.7" customHeight="1" x14ac:dyDescent="0.3">
      <c r="A2641" s="10" t="s">
        <v>1938</v>
      </c>
      <c r="B2641" s="10" t="s">
        <v>1527</v>
      </c>
      <c r="C2641" s="75">
        <v>1</v>
      </c>
      <c r="D2641" s="31" t="s">
        <v>1939</v>
      </c>
      <c r="E2641" s="55">
        <f>I2641+G2641+K2641</f>
        <v>97209</v>
      </c>
      <c r="F2641" s="76">
        <f>J2641+H2641+L2641</f>
        <v>97209</v>
      </c>
      <c r="G2641" s="78">
        <f>일위대가목록표!F753</f>
        <v>95303</v>
      </c>
      <c r="H2641" s="80">
        <f>IF(C2641=0,0,ROUNDDOWN(G2641*C2641,1))</f>
        <v>95303</v>
      </c>
      <c r="I2641" s="78">
        <f>일위대가목록표!G753</f>
        <v>0</v>
      </c>
      <c r="J2641" s="80">
        <f>IF(C2641=0,0,ROUNDDOWN(I2641*C2641,1))</f>
        <v>0</v>
      </c>
      <c r="K2641" s="78">
        <f>일위대가목록표!H753</f>
        <v>1906</v>
      </c>
      <c r="L2641" s="80">
        <f>IF(C2641=0,0,ROUNDDOWN(K2641*C2641,1))</f>
        <v>1906</v>
      </c>
      <c r="M2641" s="22" t="s">
        <v>8326</v>
      </c>
      <c r="N2641" s="17" t="s">
        <v>8324</v>
      </c>
      <c r="O2641" s="7" t="s">
        <v>8325</v>
      </c>
      <c r="P2641" s="7" t="s">
        <v>6406</v>
      </c>
      <c r="Z2641" s="3" t="str">
        <f ca="1">HYPERLINK("#"&amp;일위대가목록표!J2&amp;"!A"&amp;ROW(일위대가목록표!A753),"대가750 →")</f>
        <v>대가750 →</v>
      </c>
    </row>
    <row r="2642" spans="1:26" ht="28.7" customHeight="1" x14ac:dyDescent="0.3">
      <c r="A2642" s="22" t="s">
        <v>6</v>
      </c>
      <c r="B2642" s="74"/>
      <c r="C2642" s="74"/>
      <c r="D2642" s="74"/>
      <c r="E2642" s="74"/>
      <c r="F2642" s="48">
        <f>J2642+H2642+L2642</f>
        <v>157619</v>
      </c>
      <c r="G2642" s="74"/>
      <c r="H2642" s="48">
        <f>ROUNDDOWN(SUMIF(P2640:P2641,O2642,H2640:H2641),0)</f>
        <v>95303</v>
      </c>
      <c r="I2642" s="74"/>
      <c r="J2642" s="48">
        <f>ROUNDDOWN(SUMIF(P2640:P2641,O2642,J2640:J2641),0)</f>
        <v>60410</v>
      </c>
      <c r="K2642" s="74"/>
      <c r="L2642" s="48">
        <f>ROUNDDOWN(SUMIF(P2640:P2641,O2642,L2640:L2641),0)</f>
        <v>1906</v>
      </c>
      <c r="M2642" s="74"/>
      <c r="O2642" s="7" t="s">
        <v>6406</v>
      </c>
    </row>
    <row r="2643" spans="1:26" ht="28.7" customHeight="1" x14ac:dyDescent="0.3">
      <c r="A2643" s="73"/>
      <c r="B2643" s="73"/>
      <c r="C2643" s="73"/>
      <c r="D2643" s="73"/>
      <c r="E2643" s="73"/>
      <c r="F2643" s="73"/>
      <c r="G2643" s="73"/>
      <c r="H2643" s="73"/>
      <c r="I2643" s="73"/>
      <c r="J2643" s="73"/>
      <c r="K2643" s="73"/>
      <c r="L2643" s="73"/>
      <c r="M2643" s="73"/>
    </row>
    <row r="2644" spans="1:26" ht="28.7" customHeight="1" x14ac:dyDescent="0.3">
      <c r="A2644" s="136" t="s">
        <v>1503</v>
      </c>
      <c r="B2644" s="127"/>
      <c r="C2644" s="127"/>
      <c r="D2644" s="127"/>
      <c r="E2644" s="127"/>
      <c r="F2644" s="127"/>
      <c r="G2644" s="127"/>
      <c r="H2644" s="127"/>
      <c r="I2644" s="127"/>
      <c r="J2644" s="127"/>
      <c r="K2644" s="127"/>
      <c r="L2644" s="144"/>
      <c r="M2644" s="22" t="s">
        <v>8327</v>
      </c>
      <c r="N2644" s="84" t="str">
        <f>HYPERLINK("#N"&amp;ROW(N2646),"_x0005_`BDCOD|B05075_x0007_`POSS|"&amp;ROW(N2645)&amp;"_x0007_`POSE|"&amp;ROW(N2646)&amp;"_x0007_`")</f>
        <v>_x0005_`BDCOD|B05075_x0007_`POSS|2645_x0007_`POSE|2646_x0007_`</v>
      </c>
      <c r="O2644" s="7" t="s">
        <v>8328</v>
      </c>
    </row>
    <row r="2645" spans="1:26" ht="28.7" customHeight="1" x14ac:dyDescent="0.3">
      <c r="A2645" s="10" t="s">
        <v>1488</v>
      </c>
      <c r="B2645" s="10" t="s">
        <v>2107</v>
      </c>
      <c r="C2645" s="75">
        <v>1</v>
      </c>
      <c r="D2645" s="31" t="s">
        <v>1490</v>
      </c>
      <c r="E2645" s="55">
        <f>I2645+G2645+K2645</f>
        <v>60410</v>
      </c>
      <c r="F2645" s="77">
        <f>J2645+H2645+L2645</f>
        <v>60410</v>
      </c>
      <c r="G2645" s="51">
        <v>0</v>
      </c>
      <c r="H2645" s="76">
        <f>IF(C2645=0,0,ROUNDDOWN(G2645*C2645,1))</f>
        <v>0</v>
      </c>
      <c r="I2645" s="78">
        <f>재료비목록표!E25</f>
        <v>60410</v>
      </c>
      <c r="J2645" s="81">
        <f>IF(C2645=0,0,ROUNDDOWN(I2645*C2645,1))</f>
        <v>60410</v>
      </c>
      <c r="K2645" s="51">
        <v>0</v>
      </c>
      <c r="L2645" s="76">
        <f>IF(C2645=0,0,ROUNDDOWN(K2645*C2645,1))</f>
        <v>0</v>
      </c>
      <c r="M2645" s="22" t="s">
        <v>8323</v>
      </c>
      <c r="N2645" s="17" t="s">
        <v>8321</v>
      </c>
      <c r="O2645" s="7" t="s">
        <v>8322</v>
      </c>
      <c r="P2645" s="7" t="s">
        <v>6406</v>
      </c>
      <c r="Z2645" s="3" t="str">
        <f ca="1">HYPERLINK("#"&amp;재료비목록표!G2&amp;"!A"&amp;ROW(재료비목록표!A25),"자재22 →")</f>
        <v>자재22 →</v>
      </c>
    </row>
    <row r="2646" spans="1:26" ht="28.7" customHeight="1" x14ac:dyDescent="0.3">
      <c r="A2646" s="10" t="s">
        <v>1938</v>
      </c>
      <c r="B2646" s="10" t="s">
        <v>1530</v>
      </c>
      <c r="C2646" s="75">
        <v>1</v>
      </c>
      <c r="D2646" s="31" t="s">
        <v>1939</v>
      </c>
      <c r="E2646" s="55">
        <f>I2646+G2646+K2646</f>
        <v>133662</v>
      </c>
      <c r="F2646" s="76">
        <f>J2646+H2646+L2646</f>
        <v>133662</v>
      </c>
      <c r="G2646" s="78">
        <f>일위대가목록표!F754</f>
        <v>131042</v>
      </c>
      <c r="H2646" s="80">
        <f>IF(C2646=0,0,ROUNDDOWN(G2646*C2646,1))</f>
        <v>131042</v>
      </c>
      <c r="I2646" s="78">
        <f>일위대가목록표!G754</f>
        <v>0</v>
      </c>
      <c r="J2646" s="80">
        <f>IF(C2646=0,0,ROUNDDOWN(I2646*C2646,1))</f>
        <v>0</v>
      </c>
      <c r="K2646" s="78">
        <f>일위대가목록표!H754</f>
        <v>2620</v>
      </c>
      <c r="L2646" s="80">
        <f>IF(C2646=0,0,ROUNDDOWN(K2646*C2646,1))</f>
        <v>2620</v>
      </c>
      <c r="M2646" s="22" t="s">
        <v>8331</v>
      </c>
      <c r="N2646" s="17" t="s">
        <v>8329</v>
      </c>
      <c r="O2646" s="7" t="s">
        <v>8330</v>
      </c>
      <c r="P2646" s="7" t="s">
        <v>6406</v>
      </c>
      <c r="Z2646" s="3" t="str">
        <f ca="1">HYPERLINK("#"&amp;일위대가목록표!J2&amp;"!A"&amp;ROW(일위대가목록표!A754),"대가751 →")</f>
        <v>대가751 →</v>
      </c>
    </row>
    <row r="2647" spans="1:26" ht="28.7" customHeight="1" x14ac:dyDescent="0.3">
      <c r="A2647" s="22" t="s">
        <v>6</v>
      </c>
      <c r="B2647" s="74"/>
      <c r="C2647" s="74"/>
      <c r="D2647" s="74"/>
      <c r="E2647" s="74"/>
      <c r="F2647" s="48">
        <f>J2647+H2647+L2647</f>
        <v>194072</v>
      </c>
      <c r="G2647" s="74"/>
      <c r="H2647" s="48">
        <f>ROUNDDOWN(SUMIF(P2645:P2646,O2647,H2645:H2646),0)</f>
        <v>131042</v>
      </c>
      <c r="I2647" s="74"/>
      <c r="J2647" s="48">
        <f>ROUNDDOWN(SUMIF(P2645:P2646,O2647,J2645:J2646),0)</f>
        <v>60410</v>
      </c>
      <c r="K2647" s="74"/>
      <c r="L2647" s="48">
        <f>ROUNDDOWN(SUMIF(P2645:P2646,O2647,L2645:L2646),0)</f>
        <v>2620</v>
      </c>
      <c r="M2647" s="74"/>
      <c r="O2647" s="7" t="s">
        <v>6406</v>
      </c>
    </row>
    <row r="2648" spans="1:26" ht="28.7" customHeight="1" x14ac:dyDescent="0.3">
      <c r="A2648" s="73"/>
      <c r="B2648" s="73"/>
      <c r="C2648" s="73"/>
      <c r="D2648" s="73"/>
      <c r="E2648" s="73"/>
      <c r="F2648" s="73"/>
      <c r="G2648" s="73"/>
      <c r="H2648" s="73"/>
      <c r="I2648" s="73"/>
      <c r="J2648" s="73"/>
      <c r="K2648" s="73"/>
      <c r="L2648" s="73"/>
      <c r="M2648" s="73"/>
    </row>
    <row r="2649" spans="1:26" ht="28.7" customHeight="1" x14ac:dyDescent="0.3">
      <c r="A2649" s="136" t="s">
        <v>1506</v>
      </c>
      <c r="B2649" s="127"/>
      <c r="C2649" s="127"/>
      <c r="D2649" s="127"/>
      <c r="E2649" s="127"/>
      <c r="F2649" s="127"/>
      <c r="G2649" s="127"/>
      <c r="H2649" s="127"/>
      <c r="I2649" s="127"/>
      <c r="J2649" s="127"/>
      <c r="K2649" s="127"/>
      <c r="L2649" s="144"/>
      <c r="M2649" s="22" t="s">
        <v>8332</v>
      </c>
      <c r="N2649" s="84" t="str">
        <f>HYPERLINK("#N"&amp;ROW(N2651),"_x0005_`BDCOD|B05076_x0007_`POSS|"&amp;ROW(N2650)&amp;"_x0007_`POSE|"&amp;ROW(N2651)&amp;"_x0007_`")</f>
        <v>_x0005_`BDCOD|B05076_x0007_`POSS|2650_x0007_`POSE|2651_x0007_`</v>
      </c>
      <c r="O2649" s="7" t="s">
        <v>8333</v>
      </c>
    </row>
    <row r="2650" spans="1:26" ht="28.7" customHeight="1" x14ac:dyDescent="0.3">
      <c r="A2650" s="10" t="s">
        <v>1488</v>
      </c>
      <c r="B2650" s="10" t="s">
        <v>1508</v>
      </c>
      <c r="C2650" s="75">
        <v>1</v>
      </c>
      <c r="D2650" s="31" t="s">
        <v>1490</v>
      </c>
      <c r="E2650" s="55">
        <f>I2650+G2650+K2650</f>
        <v>172830</v>
      </c>
      <c r="F2650" s="77">
        <f>J2650+H2650+L2650</f>
        <v>172830</v>
      </c>
      <c r="G2650" s="51">
        <v>0</v>
      </c>
      <c r="H2650" s="76">
        <f>IF(C2650=0,0,ROUNDDOWN(G2650*C2650,1))</f>
        <v>0</v>
      </c>
      <c r="I2650" s="78">
        <f>재료비목록표!E27</f>
        <v>172830</v>
      </c>
      <c r="J2650" s="81">
        <f>IF(C2650=0,0,ROUNDDOWN(I2650*C2650,1))</f>
        <v>172830</v>
      </c>
      <c r="K2650" s="51">
        <v>0</v>
      </c>
      <c r="L2650" s="76">
        <f>IF(C2650=0,0,ROUNDDOWN(K2650*C2650,1))</f>
        <v>0</v>
      </c>
      <c r="M2650" s="22" t="s">
        <v>8336</v>
      </c>
      <c r="N2650" s="17" t="s">
        <v>8334</v>
      </c>
      <c r="O2650" s="7" t="s">
        <v>8335</v>
      </c>
      <c r="P2650" s="7" t="s">
        <v>6406</v>
      </c>
      <c r="Z2650" s="3" t="str">
        <f ca="1">HYPERLINK("#"&amp;재료비목록표!G2&amp;"!A"&amp;ROW(재료비목록표!A27),"자재24 →")</f>
        <v>자재24 →</v>
      </c>
    </row>
    <row r="2651" spans="1:26" ht="28.7" customHeight="1" x14ac:dyDescent="0.3">
      <c r="A2651" s="10" t="s">
        <v>1938</v>
      </c>
      <c r="B2651" s="10" t="s">
        <v>1530</v>
      </c>
      <c r="C2651" s="75">
        <v>1</v>
      </c>
      <c r="D2651" s="31" t="s">
        <v>1939</v>
      </c>
      <c r="E2651" s="55">
        <f>I2651+G2651+K2651</f>
        <v>133662</v>
      </c>
      <c r="F2651" s="76">
        <f>J2651+H2651+L2651</f>
        <v>133662</v>
      </c>
      <c r="G2651" s="78">
        <f>일위대가목록표!F754</f>
        <v>131042</v>
      </c>
      <c r="H2651" s="80">
        <f>IF(C2651=0,0,ROUNDDOWN(G2651*C2651,1))</f>
        <v>131042</v>
      </c>
      <c r="I2651" s="78">
        <f>일위대가목록표!G754</f>
        <v>0</v>
      </c>
      <c r="J2651" s="80">
        <f>IF(C2651=0,0,ROUNDDOWN(I2651*C2651,1))</f>
        <v>0</v>
      </c>
      <c r="K2651" s="78">
        <f>일위대가목록표!H754</f>
        <v>2620</v>
      </c>
      <c r="L2651" s="80">
        <f>IF(C2651=0,0,ROUNDDOWN(K2651*C2651,1))</f>
        <v>2620</v>
      </c>
      <c r="M2651" s="22" t="s">
        <v>8331</v>
      </c>
      <c r="N2651" s="17" t="s">
        <v>8329</v>
      </c>
      <c r="O2651" s="7" t="s">
        <v>8330</v>
      </c>
      <c r="P2651" s="7" t="s">
        <v>6406</v>
      </c>
      <c r="Z2651" s="3" t="str">
        <f ca="1">HYPERLINK("#"&amp;일위대가목록표!J2&amp;"!A"&amp;ROW(일위대가목록표!A754),"대가751 →")</f>
        <v>대가751 →</v>
      </c>
    </row>
    <row r="2652" spans="1:26" ht="28.7" customHeight="1" x14ac:dyDescent="0.3">
      <c r="A2652" s="22" t="s">
        <v>6</v>
      </c>
      <c r="B2652" s="74"/>
      <c r="C2652" s="74"/>
      <c r="D2652" s="74"/>
      <c r="E2652" s="74"/>
      <c r="F2652" s="48">
        <f>J2652+H2652+L2652</f>
        <v>306492</v>
      </c>
      <c r="G2652" s="74"/>
      <c r="H2652" s="48">
        <f>ROUNDDOWN(SUMIF(P2650:P2651,O2652,H2650:H2651),0)</f>
        <v>131042</v>
      </c>
      <c r="I2652" s="74"/>
      <c r="J2652" s="48">
        <f>ROUNDDOWN(SUMIF(P2650:P2651,O2652,J2650:J2651),0)</f>
        <v>172830</v>
      </c>
      <c r="K2652" s="74"/>
      <c r="L2652" s="48">
        <f>ROUNDDOWN(SUMIF(P2650:P2651,O2652,L2650:L2651),0)</f>
        <v>2620</v>
      </c>
      <c r="M2652" s="74"/>
      <c r="O2652" s="7" t="s">
        <v>6406</v>
      </c>
    </row>
    <row r="2653" spans="1:26" ht="28.7" customHeight="1" x14ac:dyDescent="0.3">
      <c r="A2653" s="73"/>
      <c r="B2653" s="73"/>
      <c r="C2653" s="73"/>
      <c r="D2653" s="73"/>
      <c r="E2653" s="73"/>
      <c r="F2653" s="73"/>
      <c r="G2653" s="73"/>
      <c r="H2653" s="73"/>
      <c r="I2653" s="73"/>
      <c r="J2653" s="73"/>
      <c r="K2653" s="73"/>
      <c r="L2653" s="73"/>
      <c r="M2653" s="73"/>
    </row>
    <row r="2654" spans="1:26" ht="28.7" customHeight="1" x14ac:dyDescent="0.3">
      <c r="A2654" s="136" t="s">
        <v>1509</v>
      </c>
      <c r="B2654" s="127"/>
      <c r="C2654" s="127"/>
      <c r="D2654" s="127"/>
      <c r="E2654" s="127"/>
      <c r="F2654" s="127"/>
      <c r="G2654" s="127"/>
      <c r="H2654" s="127"/>
      <c r="I2654" s="127"/>
      <c r="J2654" s="127"/>
      <c r="K2654" s="127"/>
      <c r="L2654" s="144"/>
      <c r="M2654" s="22" t="s">
        <v>8337</v>
      </c>
      <c r="N2654" s="84" t="str">
        <f>HYPERLINK("#N"&amp;ROW(N2658),"_x0005_`BDCOD|B02128_x0007_`POSS|"&amp;ROW(N2655)&amp;"_x0007_`POSE|"&amp;ROW(N2658)&amp;"_x0007_`")</f>
        <v>_x0005_`BDCOD|B02128_x0007_`POSS|2655_x0007_`POSE|2658_x0007_`</v>
      </c>
      <c r="O2654" s="7" t="s">
        <v>8338</v>
      </c>
    </row>
    <row r="2655" spans="1:26" ht="28.7" customHeight="1" x14ac:dyDescent="0.3">
      <c r="A2655" s="10" t="s">
        <v>3094</v>
      </c>
      <c r="B2655" s="10"/>
      <c r="C2655" s="75">
        <v>9.9000000000000005E-2</v>
      </c>
      <c r="D2655" s="31" t="s">
        <v>3074</v>
      </c>
      <c r="E2655" s="55">
        <f t="shared" ref="E2655:F2658" si="6">I2655+G2655+K2655</f>
        <v>282536</v>
      </c>
      <c r="F2655" s="76">
        <f t="shared" si="6"/>
        <v>27971</v>
      </c>
      <c r="G2655" s="78">
        <f>노무비목록표!E14</f>
        <v>282536</v>
      </c>
      <c r="H2655" s="81">
        <f>IF(C2655=0,0,ROUNDDOWN(G2655*C2655,1))</f>
        <v>27971</v>
      </c>
      <c r="I2655" s="51">
        <v>0</v>
      </c>
      <c r="J2655" s="77">
        <f>IF(C2655=0,0,ROUNDDOWN(I2655*C2655,1))</f>
        <v>0</v>
      </c>
      <c r="K2655" s="51">
        <v>0</v>
      </c>
      <c r="L2655" s="76">
        <f>IF(C2655=0,0,ROUNDDOWN(K2655*C2655,1))</f>
        <v>0</v>
      </c>
      <c r="M2655" s="22" t="s">
        <v>8341</v>
      </c>
      <c r="N2655" s="17" t="s">
        <v>8339</v>
      </c>
      <c r="O2655" s="7" t="s">
        <v>8340</v>
      </c>
      <c r="P2655" s="7" t="s">
        <v>6406</v>
      </c>
      <c r="Q2655" s="7" t="s">
        <v>7061</v>
      </c>
      <c r="Z2655" s="3" t="str">
        <f ca="1">HYPERLINK("#"&amp;노무비목록표!G2&amp;"!A"&amp;ROW(노무비목록표!A14),"노무11 →")</f>
        <v>노무11 →</v>
      </c>
    </row>
    <row r="2656" spans="1:26" ht="28.7" customHeight="1" x14ac:dyDescent="0.3">
      <c r="A2656" s="10" t="s">
        <v>2733</v>
      </c>
      <c r="B2656" s="10" t="s">
        <v>2734</v>
      </c>
      <c r="C2656" s="75">
        <v>5.5E-2</v>
      </c>
      <c r="D2656" s="31" t="s">
        <v>2099</v>
      </c>
      <c r="E2656" s="55">
        <f t="shared" si="6"/>
        <v>14300</v>
      </c>
      <c r="F2656" s="77">
        <f t="shared" si="6"/>
        <v>786.5</v>
      </c>
      <c r="G2656" s="51">
        <v>0</v>
      </c>
      <c r="H2656" s="76">
        <f>IF(C2656=0,0,ROUNDDOWN(G2656*C2656,1))</f>
        <v>0</v>
      </c>
      <c r="I2656" s="78">
        <f>재료비목록표!E250</f>
        <v>14300</v>
      </c>
      <c r="J2656" s="81">
        <f>IF(C2656=0,0,ROUNDDOWN(I2656*C2656,1))</f>
        <v>786.5</v>
      </c>
      <c r="K2656" s="51">
        <v>0</v>
      </c>
      <c r="L2656" s="76">
        <f>IF(C2656=0,0,ROUNDDOWN(K2656*C2656,1))</f>
        <v>0</v>
      </c>
      <c r="M2656" s="22" t="s">
        <v>8344</v>
      </c>
      <c r="N2656" s="17" t="s">
        <v>8342</v>
      </c>
      <c r="O2656" s="7" t="s">
        <v>8343</v>
      </c>
      <c r="P2656" s="7" t="s">
        <v>6406</v>
      </c>
      <c r="Z2656" s="3" t="str">
        <f ca="1">HYPERLINK("#"&amp;재료비목록표!G2&amp;"!A"&amp;ROW(재료비목록표!A250),"자재247 →")</f>
        <v>자재247 →</v>
      </c>
    </row>
    <row r="2657" spans="1:26" ht="28.7" customHeight="1" x14ac:dyDescent="0.3">
      <c r="A2657" s="10" t="s">
        <v>2692</v>
      </c>
      <c r="B2657" s="10"/>
      <c r="C2657" s="75">
        <v>265</v>
      </c>
      <c r="D2657" s="31" t="s">
        <v>2302</v>
      </c>
      <c r="E2657" s="55">
        <f t="shared" si="6"/>
        <v>5.0999999999999996</v>
      </c>
      <c r="F2657" s="77">
        <f t="shared" si="6"/>
        <v>1351.5</v>
      </c>
      <c r="G2657" s="51">
        <v>0</v>
      </c>
      <c r="H2657" s="76">
        <f>IF(C2657=0,0,ROUNDDOWN(G2657*C2657,1))</f>
        <v>0</v>
      </c>
      <c r="I2657" s="78">
        <f>재료비목록표!E236</f>
        <v>5.0999999999999996</v>
      </c>
      <c r="J2657" s="81">
        <f>IF(C2657=0,0,ROUNDDOWN(I2657*C2657,1))</f>
        <v>1351.5</v>
      </c>
      <c r="K2657" s="51">
        <v>0</v>
      </c>
      <c r="L2657" s="76">
        <f>IF(C2657=0,0,ROUNDDOWN(K2657*C2657,1))</f>
        <v>0</v>
      </c>
      <c r="M2657" s="22" t="s">
        <v>8347</v>
      </c>
      <c r="N2657" s="17" t="s">
        <v>8345</v>
      </c>
      <c r="O2657" s="7" t="s">
        <v>8346</v>
      </c>
      <c r="P2657" s="7" t="s">
        <v>6406</v>
      </c>
      <c r="Z2657" s="3" t="str">
        <f ca="1">HYPERLINK("#"&amp;재료비목록표!G2&amp;"!A"&amp;ROW(재료비목록표!A236),"자재233 →")</f>
        <v>자재233 →</v>
      </c>
    </row>
    <row r="2658" spans="1:26" ht="28.7" customHeight="1" x14ac:dyDescent="0.3">
      <c r="A2658" s="10" t="s">
        <v>8348</v>
      </c>
      <c r="B2658" s="10" t="s">
        <v>7063</v>
      </c>
      <c r="C2658" s="75">
        <v>4</v>
      </c>
      <c r="D2658" s="31" t="s">
        <v>7064</v>
      </c>
      <c r="E2658" s="55">
        <f t="shared" si="6"/>
        <v>27971</v>
      </c>
      <c r="F2658" s="77">
        <f t="shared" si="6"/>
        <v>1118.8</v>
      </c>
      <c r="G2658" s="13">
        <v>0</v>
      </c>
      <c r="H2658" s="77">
        <f>IF(C2658=0,0,ROUNDDOWN(G2658*C2658/100,1))</f>
        <v>0</v>
      </c>
      <c r="I2658" s="13">
        <v>0</v>
      </c>
      <c r="J2658" s="76">
        <f>IF(C2658=0,0,ROUNDDOWN(I2658*C2658/100,1))</f>
        <v>0</v>
      </c>
      <c r="K2658" s="82">
        <f>H2655</f>
        <v>27971</v>
      </c>
      <c r="L2658" s="76">
        <f>IF(C2658=0,0,ROUNDDOWN(K2658*C2658/100,1))</f>
        <v>1118.8</v>
      </c>
      <c r="M2658" s="22"/>
      <c r="N2658" s="17" t="s">
        <v>7065</v>
      </c>
      <c r="O2658" s="7" t="s">
        <v>7066</v>
      </c>
      <c r="P2658" s="7" t="s">
        <v>6406</v>
      </c>
    </row>
    <row r="2659" spans="1:26" ht="28.7" customHeight="1" x14ac:dyDescent="0.3">
      <c r="A2659" s="22" t="s">
        <v>6</v>
      </c>
      <c r="B2659" s="74"/>
      <c r="C2659" s="74"/>
      <c r="D2659" s="74"/>
      <c r="E2659" s="74"/>
      <c r="F2659" s="48">
        <f>J2659+H2659+L2659</f>
        <v>31227</v>
      </c>
      <c r="G2659" s="74"/>
      <c r="H2659" s="48">
        <f>ROUNDDOWN(SUMIF(P2655:P2658,O2659,H2655:H2658),0)</f>
        <v>27971</v>
      </c>
      <c r="I2659" s="74"/>
      <c r="J2659" s="48">
        <f>ROUNDDOWN(SUMIF(P2655:P2658,O2659,J2655:J2658),0)</f>
        <v>2138</v>
      </c>
      <c r="K2659" s="74"/>
      <c r="L2659" s="48">
        <f>ROUNDDOWN(SUMIF(P2655:P2658,O2659,L2655:L2658),0)</f>
        <v>1118</v>
      </c>
      <c r="M2659" s="74"/>
      <c r="O2659" s="7" t="s">
        <v>6406</v>
      </c>
    </row>
    <row r="2660" spans="1:26" ht="28.7" customHeight="1" x14ac:dyDescent="0.3">
      <c r="A2660" s="73"/>
      <c r="B2660" s="73"/>
      <c r="C2660" s="73"/>
      <c r="D2660" s="73"/>
      <c r="E2660" s="73"/>
      <c r="F2660" s="73"/>
      <c r="G2660" s="73"/>
      <c r="H2660" s="73"/>
      <c r="I2660" s="73"/>
      <c r="J2660" s="73"/>
      <c r="K2660" s="73"/>
      <c r="L2660" s="73"/>
      <c r="M2660" s="73"/>
    </row>
    <row r="2661" spans="1:26" ht="28.7" customHeight="1" x14ac:dyDescent="0.3">
      <c r="A2661" s="136" t="s">
        <v>1513</v>
      </c>
      <c r="B2661" s="127"/>
      <c r="C2661" s="127"/>
      <c r="D2661" s="127"/>
      <c r="E2661" s="127"/>
      <c r="F2661" s="127"/>
      <c r="G2661" s="127"/>
      <c r="H2661" s="127"/>
      <c r="I2661" s="127"/>
      <c r="J2661" s="127"/>
      <c r="K2661" s="127"/>
      <c r="L2661" s="144"/>
      <c r="M2661" s="22" t="s">
        <v>8349</v>
      </c>
      <c r="N2661" s="84" t="str">
        <f>HYPERLINK("#N"&amp;ROW(N2665),"_x0005_`BDCOD|B00920_x0007_`POSS|"&amp;ROW(N2662)&amp;"_x0007_`POSE|"&amp;ROW(N2665)&amp;"_x0007_`")</f>
        <v>_x0005_`BDCOD|B00920_x0007_`POSS|2662_x0007_`POSE|2665_x0007_`</v>
      </c>
      <c r="O2661" s="7" t="s">
        <v>8350</v>
      </c>
    </row>
    <row r="2662" spans="1:26" ht="28.7" customHeight="1" x14ac:dyDescent="0.3">
      <c r="A2662" s="10" t="s">
        <v>3094</v>
      </c>
      <c r="B2662" s="10"/>
      <c r="C2662" s="75">
        <v>0.11899999999999999</v>
      </c>
      <c r="D2662" s="31" t="s">
        <v>3074</v>
      </c>
      <c r="E2662" s="55">
        <f t="shared" ref="E2662:F2665" si="7">I2662+G2662+K2662</f>
        <v>282536</v>
      </c>
      <c r="F2662" s="76">
        <f t="shared" si="7"/>
        <v>33621.699999999997</v>
      </c>
      <c r="G2662" s="78">
        <f>노무비목록표!E14</f>
        <v>282536</v>
      </c>
      <c r="H2662" s="81">
        <f>IF(C2662=0,0,ROUNDDOWN(G2662*C2662,1))</f>
        <v>33621.699999999997</v>
      </c>
      <c r="I2662" s="51">
        <v>0</v>
      </c>
      <c r="J2662" s="77">
        <f>IF(C2662=0,0,ROUNDDOWN(I2662*C2662,1))</f>
        <v>0</v>
      </c>
      <c r="K2662" s="51">
        <v>0</v>
      </c>
      <c r="L2662" s="76">
        <f>IF(C2662=0,0,ROUNDDOWN(K2662*C2662,1))</f>
        <v>0</v>
      </c>
      <c r="M2662" s="22" t="s">
        <v>8341</v>
      </c>
      <c r="N2662" s="17" t="s">
        <v>8339</v>
      </c>
      <c r="O2662" s="7" t="s">
        <v>8340</v>
      </c>
      <c r="P2662" s="7" t="s">
        <v>6406</v>
      </c>
      <c r="Q2662" s="7" t="s">
        <v>7061</v>
      </c>
      <c r="Z2662" s="3" t="str">
        <f ca="1">HYPERLINK("#"&amp;노무비목록표!G2&amp;"!A"&amp;ROW(노무비목록표!A14),"노무11 →")</f>
        <v>노무11 →</v>
      </c>
    </row>
    <row r="2663" spans="1:26" ht="28.7" customHeight="1" x14ac:dyDescent="0.3">
      <c r="A2663" s="10" t="s">
        <v>2733</v>
      </c>
      <c r="B2663" s="10" t="s">
        <v>2734</v>
      </c>
      <c r="C2663" s="75">
        <v>0.16800000000000001</v>
      </c>
      <c r="D2663" s="31" t="s">
        <v>2099</v>
      </c>
      <c r="E2663" s="55">
        <f t="shared" si="7"/>
        <v>14300</v>
      </c>
      <c r="F2663" s="77">
        <f t="shared" si="7"/>
        <v>2402.4</v>
      </c>
      <c r="G2663" s="51">
        <v>0</v>
      </c>
      <c r="H2663" s="76">
        <f>IF(C2663=0,0,ROUNDDOWN(G2663*C2663,1))</f>
        <v>0</v>
      </c>
      <c r="I2663" s="78">
        <f>재료비목록표!E250</f>
        <v>14300</v>
      </c>
      <c r="J2663" s="81">
        <f>IF(C2663=0,0,ROUNDDOWN(I2663*C2663,1))</f>
        <v>2402.4</v>
      </c>
      <c r="K2663" s="51">
        <v>0</v>
      </c>
      <c r="L2663" s="76">
        <f>IF(C2663=0,0,ROUNDDOWN(K2663*C2663,1))</f>
        <v>0</v>
      </c>
      <c r="M2663" s="22" t="s">
        <v>8344</v>
      </c>
      <c r="N2663" s="17" t="s">
        <v>8342</v>
      </c>
      <c r="O2663" s="7" t="s">
        <v>8343</v>
      </c>
      <c r="P2663" s="7" t="s">
        <v>6406</v>
      </c>
      <c r="Z2663" s="3" t="str">
        <f ca="1">HYPERLINK("#"&amp;재료비목록표!G2&amp;"!A"&amp;ROW(재료비목록표!A250),"자재247 →")</f>
        <v>자재247 →</v>
      </c>
    </row>
    <row r="2664" spans="1:26" ht="28.7" customHeight="1" x14ac:dyDescent="0.3">
      <c r="A2664" s="10" t="s">
        <v>2692</v>
      </c>
      <c r="B2664" s="10"/>
      <c r="C2664" s="75">
        <v>343</v>
      </c>
      <c r="D2664" s="31" t="s">
        <v>2302</v>
      </c>
      <c r="E2664" s="55">
        <f t="shared" si="7"/>
        <v>5.0999999999999996</v>
      </c>
      <c r="F2664" s="77">
        <f t="shared" si="7"/>
        <v>1749.3</v>
      </c>
      <c r="G2664" s="51">
        <v>0</v>
      </c>
      <c r="H2664" s="76">
        <f>IF(C2664=0,0,ROUNDDOWN(G2664*C2664,1))</f>
        <v>0</v>
      </c>
      <c r="I2664" s="78">
        <f>재료비목록표!E236</f>
        <v>5.0999999999999996</v>
      </c>
      <c r="J2664" s="81">
        <f>IF(C2664=0,0,ROUNDDOWN(I2664*C2664,1))</f>
        <v>1749.3</v>
      </c>
      <c r="K2664" s="51">
        <v>0</v>
      </c>
      <c r="L2664" s="76">
        <f>IF(C2664=0,0,ROUNDDOWN(K2664*C2664,1))</f>
        <v>0</v>
      </c>
      <c r="M2664" s="22" t="s">
        <v>8347</v>
      </c>
      <c r="N2664" s="17" t="s">
        <v>8345</v>
      </c>
      <c r="O2664" s="7" t="s">
        <v>8346</v>
      </c>
      <c r="P2664" s="7" t="s">
        <v>6406</v>
      </c>
      <c r="Z2664" s="3" t="str">
        <f ca="1">HYPERLINK("#"&amp;재료비목록표!G2&amp;"!A"&amp;ROW(재료비목록표!A236),"자재233 →")</f>
        <v>자재233 →</v>
      </c>
    </row>
    <row r="2665" spans="1:26" ht="28.7" customHeight="1" x14ac:dyDescent="0.3">
      <c r="A2665" s="10" t="s">
        <v>8348</v>
      </c>
      <c r="B2665" s="10" t="s">
        <v>7063</v>
      </c>
      <c r="C2665" s="75">
        <v>4</v>
      </c>
      <c r="D2665" s="31" t="s">
        <v>7064</v>
      </c>
      <c r="E2665" s="55">
        <f t="shared" si="7"/>
        <v>33621.699999999997</v>
      </c>
      <c r="F2665" s="77">
        <f t="shared" si="7"/>
        <v>1344.8</v>
      </c>
      <c r="G2665" s="13">
        <v>0</v>
      </c>
      <c r="H2665" s="77">
        <f>IF(C2665=0,0,ROUNDDOWN(G2665*C2665/100,1))</f>
        <v>0</v>
      </c>
      <c r="I2665" s="13">
        <v>0</v>
      </c>
      <c r="J2665" s="76">
        <f>IF(C2665=0,0,ROUNDDOWN(I2665*C2665/100,1))</f>
        <v>0</v>
      </c>
      <c r="K2665" s="82">
        <f>H2662</f>
        <v>33621.699999999997</v>
      </c>
      <c r="L2665" s="76">
        <f>IF(C2665=0,0,ROUNDDOWN(K2665*C2665/100,1))</f>
        <v>1344.8</v>
      </c>
      <c r="M2665" s="22"/>
      <c r="N2665" s="17" t="s">
        <v>7065</v>
      </c>
      <c r="O2665" s="7" t="s">
        <v>7066</v>
      </c>
      <c r="P2665" s="7" t="s">
        <v>6406</v>
      </c>
    </row>
    <row r="2666" spans="1:26" ht="28.7" customHeight="1" x14ac:dyDescent="0.3">
      <c r="A2666" s="22" t="s">
        <v>6</v>
      </c>
      <c r="B2666" s="74"/>
      <c r="C2666" s="74"/>
      <c r="D2666" s="74"/>
      <c r="E2666" s="74"/>
      <c r="F2666" s="48">
        <f>J2666+H2666+L2666</f>
        <v>39116</v>
      </c>
      <c r="G2666" s="74"/>
      <c r="H2666" s="48">
        <f>ROUNDDOWN(SUMIF(P2662:P2665,O2666,H2662:H2665),0)</f>
        <v>33621</v>
      </c>
      <c r="I2666" s="74"/>
      <c r="J2666" s="48">
        <f>ROUNDDOWN(SUMIF(P2662:P2665,O2666,J2662:J2665),0)</f>
        <v>4151</v>
      </c>
      <c r="K2666" s="74"/>
      <c r="L2666" s="48">
        <f>ROUNDDOWN(SUMIF(P2662:P2665,O2666,L2662:L2665),0)</f>
        <v>1344</v>
      </c>
      <c r="M2666" s="74"/>
      <c r="O2666" s="7" t="s">
        <v>6406</v>
      </c>
    </row>
    <row r="2667" spans="1:26" ht="28.7" customHeight="1" x14ac:dyDescent="0.3">
      <c r="A2667" s="73"/>
      <c r="B2667" s="73"/>
      <c r="C2667" s="73"/>
      <c r="D2667" s="73"/>
      <c r="E2667" s="73"/>
      <c r="F2667" s="73"/>
      <c r="G2667" s="73"/>
      <c r="H2667" s="73"/>
      <c r="I2667" s="73"/>
      <c r="J2667" s="73"/>
      <c r="K2667" s="73"/>
      <c r="L2667" s="73"/>
      <c r="M2667" s="73"/>
    </row>
    <row r="2668" spans="1:26" ht="28.7" customHeight="1" x14ac:dyDescent="0.3">
      <c r="A2668" s="136" t="s">
        <v>1516</v>
      </c>
      <c r="B2668" s="127"/>
      <c r="C2668" s="127"/>
      <c r="D2668" s="127"/>
      <c r="E2668" s="127"/>
      <c r="F2668" s="127"/>
      <c r="G2668" s="127"/>
      <c r="H2668" s="127"/>
      <c r="I2668" s="127"/>
      <c r="J2668" s="127"/>
      <c r="K2668" s="127"/>
      <c r="L2668" s="144"/>
      <c r="M2668" s="22" t="s">
        <v>8351</v>
      </c>
      <c r="N2668" s="84" t="str">
        <f>HYPERLINK("#N"&amp;ROW(N2672),"_x0005_`BDCOD|B02127_x0007_`POSS|"&amp;ROW(N2669)&amp;"_x0007_`POSE|"&amp;ROW(N2672)&amp;"_x0007_`")</f>
        <v>_x0005_`BDCOD|B02127_x0007_`POSS|2669_x0007_`POSE|2672_x0007_`</v>
      </c>
      <c r="O2668" s="7" t="s">
        <v>8352</v>
      </c>
    </row>
    <row r="2669" spans="1:26" ht="28.7" customHeight="1" x14ac:dyDescent="0.3">
      <c r="A2669" s="10" t="s">
        <v>3094</v>
      </c>
      <c r="B2669" s="10"/>
      <c r="C2669" s="75">
        <v>0.13500000000000001</v>
      </c>
      <c r="D2669" s="31" t="s">
        <v>3074</v>
      </c>
      <c r="E2669" s="55">
        <f t="shared" ref="E2669:F2672" si="8">I2669+G2669+K2669</f>
        <v>282536</v>
      </c>
      <c r="F2669" s="76">
        <f t="shared" si="8"/>
        <v>38142.300000000003</v>
      </c>
      <c r="G2669" s="78">
        <f>노무비목록표!E14</f>
        <v>282536</v>
      </c>
      <c r="H2669" s="81">
        <f>IF(C2669=0,0,ROUNDDOWN(G2669*C2669,1))</f>
        <v>38142.300000000003</v>
      </c>
      <c r="I2669" s="51">
        <v>0</v>
      </c>
      <c r="J2669" s="77">
        <f>IF(C2669=0,0,ROUNDDOWN(I2669*C2669,1))</f>
        <v>0</v>
      </c>
      <c r="K2669" s="51">
        <v>0</v>
      </c>
      <c r="L2669" s="76">
        <f>IF(C2669=0,0,ROUNDDOWN(K2669*C2669,1))</f>
        <v>0</v>
      </c>
      <c r="M2669" s="22" t="s">
        <v>8341</v>
      </c>
      <c r="N2669" s="17" t="s">
        <v>8339</v>
      </c>
      <c r="O2669" s="7" t="s">
        <v>8340</v>
      </c>
      <c r="P2669" s="7" t="s">
        <v>6406</v>
      </c>
      <c r="Q2669" s="7" t="s">
        <v>7061</v>
      </c>
      <c r="Z2669" s="3" t="str">
        <f ca="1">HYPERLINK("#"&amp;노무비목록표!G2&amp;"!A"&amp;ROW(노무비목록표!A14),"노무11 →")</f>
        <v>노무11 →</v>
      </c>
    </row>
    <row r="2670" spans="1:26" ht="28.7" customHeight="1" x14ac:dyDescent="0.3">
      <c r="A2670" s="10" t="s">
        <v>2733</v>
      </c>
      <c r="B2670" s="10" t="s">
        <v>2734</v>
      </c>
      <c r="C2670" s="75">
        <v>0.21299999999999999</v>
      </c>
      <c r="D2670" s="31" t="s">
        <v>2099</v>
      </c>
      <c r="E2670" s="55">
        <f t="shared" si="8"/>
        <v>14300</v>
      </c>
      <c r="F2670" s="77">
        <f t="shared" si="8"/>
        <v>3045.9</v>
      </c>
      <c r="G2670" s="51">
        <v>0</v>
      </c>
      <c r="H2670" s="76">
        <f>IF(C2670=0,0,ROUNDDOWN(G2670*C2670,1))</f>
        <v>0</v>
      </c>
      <c r="I2670" s="78">
        <f>재료비목록표!E250</f>
        <v>14300</v>
      </c>
      <c r="J2670" s="81">
        <f>IF(C2670=0,0,ROUNDDOWN(I2670*C2670,1))</f>
        <v>3045.9</v>
      </c>
      <c r="K2670" s="51">
        <v>0</v>
      </c>
      <c r="L2670" s="76">
        <f>IF(C2670=0,0,ROUNDDOWN(K2670*C2670,1))</f>
        <v>0</v>
      </c>
      <c r="M2670" s="22" t="s">
        <v>8344</v>
      </c>
      <c r="N2670" s="17" t="s">
        <v>8342</v>
      </c>
      <c r="O2670" s="7" t="s">
        <v>8343</v>
      </c>
      <c r="P2670" s="7" t="s">
        <v>6406</v>
      </c>
      <c r="Z2670" s="3" t="str">
        <f ca="1">HYPERLINK("#"&amp;재료비목록표!G2&amp;"!A"&amp;ROW(재료비목록표!A250),"자재247 →")</f>
        <v>자재247 →</v>
      </c>
    </row>
    <row r="2671" spans="1:26" ht="28.7" customHeight="1" x14ac:dyDescent="0.3">
      <c r="A2671" s="10" t="s">
        <v>2692</v>
      </c>
      <c r="B2671" s="10"/>
      <c r="C2671" s="75">
        <v>430</v>
      </c>
      <c r="D2671" s="31" t="s">
        <v>2302</v>
      </c>
      <c r="E2671" s="55">
        <f t="shared" si="8"/>
        <v>5.0999999999999996</v>
      </c>
      <c r="F2671" s="77">
        <f t="shared" si="8"/>
        <v>2193</v>
      </c>
      <c r="G2671" s="51">
        <v>0</v>
      </c>
      <c r="H2671" s="76">
        <f>IF(C2671=0,0,ROUNDDOWN(G2671*C2671,1))</f>
        <v>0</v>
      </c>
      <c r="I2671" s="78">
        <f>재료비목록표!E236</f>
        <v>5.0999999999999996</v>
      </c>
      <c r="J2671" s="81">
        <f>IF(C2671=0,0,ROUNDDOWN(I2671*C2671,1))</f>
        <v>2193</v>
      </c>
      <c r="K2671" s="51">
        <v>0</v>
      </c>
      <c r="L2671" s="76">
        <f>IF(C2671=0,0,ROUNDDOWN(K2671*C2671,1))</f>
        <v>0</v>
      </c>
      <c r="M2671" s="22" t="s">
        <v>8347</v>
      </c>
      <c r="N2671" s="17" t="s">
        <v>8345</v>
      </c>
      <c r="O2671" s="7" t="s">
        <v>8346</v>
      </c>
      <c r="P2671" s="7" t="s">
        <v>6406</v>
      </c>
      <c r="Z2671" s="3" t="str">
        <f ca="1">HYPERLINK("#"&amp;재료비목록표!G2&amp;"!A"&amp;ROW(재료비목록표!A236),"자재233 →")</f>
        <v>자재233 →</v>
      </c>
    </row>
    <row r="2672" spans="1:26" ht="28.7" customHeight="1" x14ac:dyDescent="0.3">
      <c r="A2672" s="10" t="s">
        <v>8353</v>
      </c>
      <c r="B2672" s="10" t="s">
        <v>7063</v>
      </c>
      <c r="C2672" s="75">
        <v>4</v>
      </c>
      <c r="D2672" s="31" t="s">
        <v>7064</v>
      </c>
      <c r="E2672" s="55">
        <f t="shared" si="8"/>
        <v>38142.300000000003</v>
      </c>
      <c r="F2672" s="77">
        <f t="shared" si="8"/>
        <v>1525.6</v>
      </c>
      <c r="G2672" s="13">
        <v>0</v>
      </c>
      <c r="H2672" s="77">
        <f>IF(C2672=0,0,ROUNDDOWN(G2672*C2672/100,1))</f>
        <v>0</v>
      </c>
      <c r="I2672" s="13">
        <v>0</v>
      </c>
      <c r="J2672" s="76">
        <f>IF(C2672=0,0,ROUNDDOWN(I2672*C2672/100,1))</f>
        <v>0</v>
      </c>
      <c r="K2672" s="82">
        <f>H2669</f>
        <v>38142.300000000003</v>
      </c>
      <c r="L2672" s="76">
        <f>IF(C2672=0,0,ROUNDDOWN(K2672*C2672/100,1))</f>
        <v>1525.6</v>
      </c>
      <c r="M2672" s="22"/>
      <c r="N2672" s="17" t="s">
        <v>7065</v>
      </c>
      <c r="O2672" s="7" t="s">
        <v>7066</v>
      </c>
      <c r="P2672" s="7" t="s">
        <v>6406</v>
      </c>
    </row>
    <row r="2673" spans="1:26" ht="28.7" customHeight="1" x14ac:dyDescent="0.3">
      <c r="A2673" s="22" t="s">
        <v>6</v>
      </c>
      <c r="B2673" s="74"/>
      <c r="C2673" s="74"/>
      <c r="D2673" s="74"/>
      <c r="E2673" s="74"/>
      <c r="F2673" s="48">
        <f>J2673+H2673+L2673</f>
        <v>44905</v>
      </c>
      <c r="G2673" s="74"/>
      <c r="H2673" s="48">
        <f>ROUNDDOWN(SUMIF(P2669:P2672,O2673,H2669:H2672),0)</f>
        <v>38142</v>
      </c>
      <c r="I2673" s="74"/>
      <c r="J2673" s="48">
        <f>ROUNDDOWN(SUMIF(P2669:P2672,O2673,J2669:J2672),0)</f>
        <v>5238</v>
      </c>
      <c r="K2673" s="74"/>
      <c r="L2673" s="48">
        <f>ROUNDDOWN(SUMIF(P2669:P2672,O2673,L2669:L2672),0)</f>
        <v>1525</v>
      </c>
      <c r="M2673" s="74"/>
      <c r="O2673" s="7" t="s">
        <v>6406</v>
      </c>
    </row>
    <row r="2674" spans="1:26" ht="28.7" customHeight="1" x14ac:dyDescent="0.3">
      <c r="A2674" s="73"/>
      <c r="B2674" s="73"/>
      <c r="C2674" s="73"/>
      <c r="D2674" s="73"/>
      <c r="E2674" s="73"/>
      <c r="F2674" s="73"/>
      <c r="G2674" s="73"/>
      <c r="H2674" s="73"/>
      <c r="I2674" s="73"/>
      <c r="J2674" s="73"/>
      <c r="K2674" s="73"/>
      <c r="L2674" s="73"/>
      <c r="M2674" s="73"/>
    </row>
    <row r="2675" spans="1:26" ht="28.7" customHeight="1" x14ac:dyDescent="0.3">
      <c r="A2675" s="136" t="s">
        <v>1519</v>
      </c>
      <c r="B2675" s="127"/>
      <c r="C2675" s="127"/>
      <c r="D2675" s="127"/>
      <c r="E2675" s="127"/>
      <c r="F2675" s="127"/>
      <c r="G2675" s="127"/>
      <c r="H2675" s="127"/>
      <c r="I2675" s="127"/>
      <c r="J2675" s="127"/>
      <c r="K2675" s="127"/>
      <c r="L2675" s="144"/>
      <c r="M2675" s="22" t="s">
        <v>8354</v>
      </c>
      <c r="N2675" s="84" t="str">
        <f>HYPERLINK("#N"&amp;ROW(N2679),"_x0005_`BDCOD|B04857_x0007_`POSS|"&amp;ROW(N2676)&amp;"_x0007_`POSE|"&amp;ROW(N2679)&amp;"_x0007_`")</f>
        <v>_x0005_`BDCOD|B04857_x0007_`POSS|2676_x0007_`POSE|2679_x0007_`</v>
      </c>
      <c r="O2675" s="7" t="s">
        <v>8355</v>
      </c>
    </row>
    <row r="2676" spans="1:26" ht="28.7" customHeight="1" x14ac:dyDescent="0.3">
      <c r="A2676" s="10" t="s">
        <v>3094</v>
      </c>
      <c r="B2676" s="10"/>
      <c r="C2676" s="75">
        <v>0.16700000000000001</v>
      </c>
      <c r="D2676" s="31" t="s">
        <v>3074</v>
      </c>
      <c r="E2676" s="55">
        <f t="shared" ref="E2676:F2679" si="9">I2676+G2676+K2676</f>
        <v>282536</v>
      </c>
      <c r="F2676" s="76">
        <f t="shared" si="9"/>
        <v>47183.5</v>
      </c>
      <c r="G2676" s="78">
        <f>노무비목록표!E14</f>
        <v>282536</v>
      </c>
      <c r="H2676" s="81">
        <f>IF(C2676=0,0,ROUNDDOWN(G2676*C2676,1))</f>
        <v>47183.5</v>
      </c>
      <c r="I2676" s="51">
        <v>0</v>
      </c>
      <c r="J2676" s="77">
        <f>IF(C2676=0,0,ROUNDDOWN(I2676*C2676,1))</f>
        <v>0</v>
      </c>
      <c r="K2676" s="51">
        <v>0</v>
      </c>
      <c r="L2676" s="76">
        <f>IF(C2676=0,0,ROUNDDOWN(K2676*C2676,1))</f>
        <v>0</v>
      </c>
      <c r="M2676" s="22" t="s">
        <v>8341</v>
      </c>
      <c r="N2676" s="17" t="s">
        <v>8339</v>
      </c>
      <c r="O2676" s="7" t="s">
        <v>8340</v>
      </c>
      <c r="P2676" s="7" t="s">
        <v>6406</v>
      </c>
      <c r="Q2676" s="7" t="s">
        <v>7061</v>
      </c>
      <c r="Z2676" s="3" t="str">
        <f ca="1">HYPERLINK("#"&amp;노무비목록표!G2&amp;"!A"&amp;ROW(노무비목록표!A14),"노무11 →")</f>
        <v>노무11 →</v>
      </c>
    </row>
    <row r="2677" spans="1:26" ht="28.7" customHeight="1" x14ac:dyDescent="0.3">
      <c r="A2677" s="10" t="s">
        <v>2733</v>
      </c>
      <c r="B2677" s="10" t="s">
        <v>2734</v>
      </c>
      <c r="C2677" s="75">
        <v>0.313</v>
      </c>
      <c r="D2677" s="31" t="s">
        <v>2099</v>
      </c>
      <c r="E2677" s="55">
        <f t="shared" si="9"/>
        <v>14300</v>
      </c>
      <c r="F2677" s="77">
        <f t="shared" si="9"/>
        <v>4475.8999999999996</v>
      </c>
      <c r="G2677" s="51">
        <v>0</v>
      </c>
      <c r="H2677" s="76">
        <f>IF(C2677=0,0,ROUNDDOWN(G2677*C2677,1))</f>
        <v>0</v>
      </c>
      <c r="I2677" s="78">
        <f>재료비목록표!E250</f>
        <v>14300</v>
      </c>
      <c r="J2677" s="81">
        <f>IF(C2677=0,0,ROUNDDOWN(I2677*C2677,1))</f>
        <v>4475.8999999999996</v>
      </c>
      <c r="K2677" s="51">
        <v>0</v>
      </c>
      <c r="L2677" s="76">
        <f>IF(C2677=0,0,ROUNDDOWN(K2677*C2677,1))</f>
        <v>0</v>
      </c>
      <c r="M2677" s="22" t="s">
        <v>8344</v>
      </c>
      <c r="N2677" s="17" t="s">
        <v>8342</v>
      </c>
      <c r="O2677" s="7" t="s">
        <v>8343</v>
      </c>
      <c r="P2677" s="7" t="s">
        <v>6406</v>
      </c>
      <c r="Z2677" s="3" t="str">
        <f ca="1">HYPERLINK("#"&amp;재료비목록표!G2&amp;"!A"&amp;ROW(재료비목록표!A250),"자재247 →")</f>
        <v>자재247 →</v>
      </c>
    </row>
    <row r="2678" spans="1:26" ht="28.7" customHeight="1" x14ac:dyDescent="0.3">
      <c r="A2678" s="10" t="s">
        <v>2692</v>
      </c>
      <c r="B2678" s="10"/>
      <c r="C2678" s="75">
        <v>699</v>
      </c>
      <c r="D2678" s="31" t="s">
        <v>2302</v>
      </c>
      <c r="E2678" s="55">
        <f t="shared" si="9"/>
        <v>5.0999999999999996</v>
      </c>
      <c r="F2678" s="77">
        <f t="shared" si="9"/>
        <v>3564.9</v>
      </c>
      <c r="G2678" s="51">
        <v>0</v>
      </c>
      <c r="H2678" s="76">
        <f>IF(C2678=0,0,ROUNDDOWN(G2678*C2678,1))</f>
        <v>0</v>
      </c>
      <c r="I2678" s="78">
        <f>재료비목록표!E236</f>
        <v>5.0999999999999996</v>
      </c>
      <c r="J2678" s="81">
        <f>IF(C2678=0,0,ROUNDDOWN(I2678*C2678,1))</f>
        <v>3564.9</v>
      </c>
      <c r="K2678" s="51">
        <v>0</v>
      </c>
      <c r="L2678" s="76">
        <f>IF(C2678=0,0,ROUNDDOWN(K2678*C2678,1))</f>
        <v>0</v>
      </c>
      <c r="M2678" s="22" t="s">
        <v>8347</v>
      </c>
      <c r="N2678" s="17" t="s">
        <v>8345</v>
      </c>
      <c r="O2678" s="7" t="s">
        <v>8346</v>
      </c>
      <c r="P2678" s="7" t="s">
        <v>6406</v>
      </c>
      <c r="Z2678" s="3" t="str">
        <f ca="1">HYPERLINK("#"&amp;재료비목록표!G2&amp;"!A"&amp;ROW(재료비목록표!A236),"자재233 →")</f>
        <v>자재233 →</v>
      </c>
    </row>
    <row r="2679" spans="1:26" ht="28.7" customHeight="1" x14ac:dyDescent="0.3">
      <c r="A2679" s="10" t="s">
        <v>8348</v>
      </c>
      <c r="B2679" s="10" t="s">
        <v>7063</v>
      </c>
      <c r="C2679" s="75">
        <v>4</v>
      </c>
      <c r="D2679" s="31" t="s">
        <v>7064</v>
      </c>
      <c r="E2679" s="55">
        <f t="shared" si="9"/>
        <v>47183.5</v>
      </c>
      <c r="F2679" s="77">
        <f t="shared" si="9"/>
        <v>1887.3</v>
      </c>
      <c r="G2679" s="13">
        <v>0</v>
      </c>
      <c r="H2679" s="77">
        <f>IF(C2679=0,0,ROUNDDOWN(G2679*C2679/100,1))</f>
        <v>0</v>
      </c>
      <c r="I2679" s="13">
        <v>0</v>
      </c>
      <c r="J2679" s="76">
        <f>IF(C2679=0,0,ROUNDDOWN(I2679*C2679/100,1))</f>
        <v>0</v>
      </c>
      <c r="K2679" s="82">
        <f>H2676</f>
        <v>47183.5</v>
      </c>
      <c r="L2679" s="76">
        <f>IF(C2679=0,0,ROUNDDOWN(K2679*C2679/100,1))</f>
        <v>1887.3</v>
      </c>
      <c r="M2679" s="22"/>
      <c r="N2679" s="17" t="s">
        <v>7065</v>
      </c>
      <c r="O2679" s="7" t="s">
        <v>7066</v>
      </c>
      <c r="P2679" s="7" t="s">
        <v>6406</v>
      </c>
    </row>
    <row r="2680" spans="1:26" ht="28.7" customHeight="1" x14ac:dyDescent="0.3">
      <c r="A2680" s="22" t="s">
        <v>6</v>
      </c>
      <c r="B2680" s="74"/>
      <c r="C2680" s="74"/>
      <c r="D2680" s="74"/>
      <c r="E2680" s="74"/>
      <c r="F2680" s="48">
        <f>J2680+H2680+L2680</f>
        <v>57110</v>
      </c>
      <c r="G2680" s="74"/>
      <c r="H2680" s="48">
        <f>ROUNDDOWN(SUMIF(P2676:P2679,O2680,H2676:H2679),0)</f>
        <v>47183</v>
      </c>
      <c r="I2680" s="74"/>
      <c r="J2680" s="48">
        <f>ROUNDDOWN(SUMIF(P2676:P2679,O2680,J2676:J2679),0)</f>
        <v>8040</v>
      </c>
      <c r="K2680" s="74"/>
      <c r="L2680" s="48">
        <f>ROUNDDOWN(SUMIF(P2676:P2679,O2680,L2676:L2679),0)</f>
        <v>1887</v>
      </c>
      <c r="M2680" s="74"/>
      <c r="O2680" s="7" t="s">
        <v>6406</v>
      </c>
    </row>
    <row r="2681" spans="1:26" ht="28.7" customHeight="1" x14ac:dyDescent="0.3">
      <c r="A2681" s="73"/>
      <c r="B2681" s="73"/>
      <c r="C2681" s="73"/>
      <c r="D2681" s="73"/>
      <c r="E2681" s="73"/>
      <c r="F2681" s="73"/>
      <c r="G2681" s="73"/>
      <c r="H2681" s="73"/>
      <c r="I2681" s="73"/>
      <c r="J2681" s="73"/>
      <c r="K2681" s="73"/>
      <c r="L2681" s="73"/>
      <c r="M2681" s="73"/>
    </row>
    <row r="2682" spans="1:26" ht="28.7" customHeight="1" x14ac:dyDescent="0.3">
      <c r="A2682" s="136" t="s">
        <v>1522</v>
      </c>
      <c r="B2682" s="127"/>
      <c r="C2682" s="127"/>
      <c r="D2682" s="127"/>
      <c r="E2682" s="127"/>
      <c r="F2682" s="127"/>
      <c r="G2682" s="127"/>
      <c r="H2682" s="127"/>
      <c r="I2682" s="127"/>
      <c r="J2682" s="127"/>
      <c r="K2682" s="127"/>
      <c r="L2682" s="144"/>
      <c r="M2682" s="22" t="s">
        <v>8356</v>
      </c>
      <c r="N2682" s="84" t="str">
        <f>HYPERLINK("#N"&amp;ROW(N2686),"_x0005_`BDCOD|B04858_x0007_`POSS|"&amp;ROW(N2683)&amp;"_x0007_`POSE|"&amp;ROW(N2686)&amp;"_x0007_`")</f>
        <v>_x0005_`BDCOD|B04858_x0007_`POSS|2683_x0007_`POSE|2686_x0007_`</v>
      </c>
      <c r="O2682" s="7" t="s">
        <v>8357</v>
      </c>
    </row>
    <row r="2683" spans="1:26" ht="28.7" customHeight="1" x14ac:dyDescent="0.3">
      <c r="A2683" s="10" t="s">
        <v>3094</v>
      </c>
      <c r="B2683" s="10"/>
      <c r="C2683" s="75">
        <v>0.23100000000000001</v>
      </c>
      <c r="D2683" s="31" t="s">
        <v>3074</v>
      </c>
      <c r="E2683" s="55">
        <f t="shared" ref="E2683:F2686" si="10">I2683+G2683+K2683</f>
        <v>282536</v>
      </c>
      <c r="F2683" s="76">
        <f t="shared" si="10"/>
        <v>65265.8</v>
      </c>
      <c r="G2683" s="78">
        <f>노무비목록표!E14</f>
        <v>282536</v>
      </c>
      <c r="H2683" s="81">
        <f>IF(C2683=0,0,ROUNDDOWN(G2683*C2683,1))</f>
        <v>65265.8</v>
      </c>
      <c r="I2683" s="51">
        <v>0</v>
      </c>
      <c r="J2683" s="77">
        <f>IF(C2683=0,0,ROUNDDOWN(I2683*C2683,1))</f>
        <v>0</v>
      </c>
      <c r="K2683" s="51">
        <v>0</v>
      </c>
      <c r="L2683" s="76">
        <f>IF(C2683=0,0,ROUNDDOWN(K2683*C2683,1))</f>
        <v>0</v>
      </c>
      <c r="M2683" s="22" t="s">
        <v>8341</v>
      </c>
      <c r="N2683" s="17" t="s">
        <v>8339</v>
      </c>
      <c r="O2683" s="7" t="s">
        <v>8340</v>
      </c>
      <c r="P2683" s="7" t="s">
        <v>6406</v>
      </c>
      <c r="Q2683" s="7" t="s">
        <v>7061</v>
      </c>
      <c r="Z2683" s="3" t="str">
        <f ca="1">HYPERLINK("#"&amp;노무비목록표!G2&amp;"!A"&amp;ROW(노무비목록표!A14),"노무11 →")</f>
        <v>노무11 →</v>
      </c>
    </row>
    <row r="2684" spans="1:26" ht="28.7" customHeight="1" x14ac:dyDescent="0.3">
      <c r="A2684" s="10" t="s">
        <v>2733</v>
      </c>
      <c r="B2684" s="10" t="s">
        <v>2734</v>
      </c>
      <c r="C2684" s="75">
        <v>0.60099999999999998</v>
      </c>
      <c r="D2684" s="31" t="s">
        <v>2099</v>
      </c>
      <c r="E2684" s="55">
        <f t="shared" si="10"/>
        <v>14300</v>
      </c>
      <c r="F2684" s="77">
        <f t="shared" si="10"/>
        <v>8594.2999999999993</v>
      </c>
      <c r="G2684" s="51">
        <v>0</v>
      </c>
      <c r="H2684" s="76">
        <f>IF(C2684=0,0,ROUNDDOWN(G2684*C2684,1))</f>
        <v>0</v>
      </c>
      <c r="I2684" s="78">
        <f>재료비목록표!E250</f>
        <v>14300</v>
      </c>
      <c r="J2684" s="81">
        <f>IF(C2684=0,0,ROUNDDOWN(I2684*C2684,1))</f>
        <v>8594.2999999999993</v>
      </c>
      <c r="K2684" s="51">
        <v>0</v>
      </c>
      <c r="L2684" s="76">
        <f>IF(C2684=0,0,ROUNDDOWN(K2684*C2684,1))</f>
        <v>0</v>
      </c>
      <c r="M2684" s="22" t="s">
        <v>8344</v>
      </c>
      <c r="N2684" s="17" t="s">
        <v>8342</v>
      </c>
      <c r="O2684" s="7" t="s">
        <v>8343</v>
      </c>
      <c r="P2684" s="7" t="s">
        <v>6406</v>
      </c>
      <c r="Z2684" s="3" t="str">
        <f ca="1">HYPERLINK("#"&amp;재료비목록표!G2&amp;"!A"&amp;ROW(재료비목록표!A250),"자재247 →")</f>
        <v>자재247 →</v>
      </c>
    </row>
    <row r="2685" spans="1:26" ht="28.7" customHeight="1" x14ac:dyDescent="0.3">
      <c r="A2685" s="10" t="s">
        <v>2692</v>
      </c>
      <c r="B2685" s="10"/>
      <c r="C2685" s="75">
        <v>1285</v>
      </c>
      <c r="D2685" s="31" t="s">
        <v>2302</v>
      </c>
      <c r="E2685" s="55">
        <f t="shared" si="10"/>
        <v>5.0999999999999996</v>
      </c>
      <c r="F2685" s="77">
        <f t="shared" si="10"/>
        <v>6553.5</v>
      </c>
      <c r="G2685" s="51">
        <v>0</v>
      </c>
      <c r="H2685" s="76">
        <f>IF(C2685=0,0,ROUNDDOWN(G2685*C2685,1))</f>
        <v>0</v>
      </c>
      <c r="I2685" s="78">
        <f>재료비목록표!E236</f>
        <v>5.0999999999999996</v>
      </c>
      <c r="J2685" s="81">
        <f>IF(C2685=0,0,ROUNDDOWN(I2685*C2685,1))</f>
        <v>6553.5</v>
      </c>
      <c r="K2685" s="51">
        <v>0</v>
      </c>
      <c r="L2685" s="76">
        <f>IF(C2685=0,0,ROUNDDOWN(K2685*C2685,1))</f>
        <v>0</v>
      </c>
      <c r="M2685" s="22" t="s">
        <v>8347</v>
      </c>
      <c r="N2685" s="17" t="s">
        <v>8345</v>
      </c>
      <c r="O2685" s="7" t="s">
        <v>8346</v>
      </c>
      <c r="P2685" s="7" t="s">
        <v>6406</v>
      </c>
      <c r="Z2685" s="3" t="str">
        <f ca="1">HYPERLINK("#"&amp;재료비목록표!G2&amp;"!A"&amp;ROW(재료비목록표!A236),"자재233 →")</f>
        <v>자재233 →</v>
      </c>
    </row>
    <row r="2686" spans="1:26" ht="28.7" customHeight="1" x14ac:dyDescent="0.3">
      <c r="A2686" s="10" t="s">
        <v>8348</v>
      </c>
      <c r="B2686" s="10" t="s">
        <v>7063</v>
      </c>
      <c r="C2686" s="75">
        <v>4</v>
      </c>
      <c r="D2686" s="31" t="s">
        <v>7064</v>
      </c>
      <c r="E2686" s="55">
        <f t="shared" si="10"/>
        <v>65265.8</v>
      </c>
      <c r="F2686" s="77">
        <f t="shared" si="10"/>
        <v>2610.6</v>
      </c>
      <c r="G2686" s="13">
        <v>0</v>
      </c>
      <c r="H2686" s="77">
        <f>IF(C2686=0,0,ROUNDDOWN(G2686*C2686/100,1))</f>
        <v>0</v>
      </c>
      <c r="I2686" s="13">
        <v>0</v>
      </c>
      <c r="J2686" s="76">
        <f>IF(C2686=0,0,ROUNDDOWN(I2686*C2686/100,1))</f>
        <v>0</v>
      </c>
      <c r="K2686" s="82">
        <f>H2683</f>
        <v>65265.8</v>
      </c>
      <c r="L2686" s="76">
        <f>IF(C2686=0,0,ROUNDDOWN(K2686*C2686/100,1))</f>
        <v>2610.6</v>
      </c>
      <c r="M2686" s="22"/>
      <c r="N2686" s="17" t="s">
        <v>7065</v>
      </c>
      <c r="O2686" s="7" t="s">
        <v>7066</v>
      </c>
      <c r="P2686" s="7" t="s">
        <v>6406</v>
      </c>
    </row>
    <row r="2687" spans="1:26" ht="28.7" customHeight="1" x14ac:dyDescent="0.3">
      <c r="A2687" s="22" t="s">
        <v>6</v>
      </c>
      <c r="B2687" s="74"/>
      <c r="C2687" s="74"/>
      <c r="D2687" s="74"/>
      <c r="E2687" s="74"/>
      <c r="F2687" s="48">
        <f>J2687+H2687+L2687</f>
        <v>83022</v>
      </c>
      <c r="G2687" s="74"/>
      <c r="H2687" s="48">
        <f>ROUNDDOWN(SUMIF(P2683:P2686,O2687,H2683:H2686),0)</f>
        <v>65265</v>
      </c>
      <c r="I2687" s="74"/>
      <c r="J2687" s="48">
        <f>ROUNDDOWN(SUMIF(P2683:P2686,O2687,J2683:J2686),0)</f>
        <v>15147</v>
      </c>
      <c r="K2687" s="74"/>
      <c r="L2687" s="48">
        <f>ROUNDDOWN(SUMIF(P2683:P2686,O2687,L2683:L2686),0)</f>
        <v>2610</v>
      </c>
      <c r="M2687" s="74"/>
      <c r="O2687" s="7" t="s">
        <v>6406</v>
      </c>
    </row>
    <row r="2688" spans="1:26" ht="28.7" customHeight="1" x14ac:dyDescent="0.3">
      <c r="A2688" s="73"/>
      <c r="B2688" s="73"/>
      <c r="C2688" s="73"/>
      <c r="D2688" s="73"/>
      <c r="E2688" s="73"/>
      <c r="F2688" s="73"/>
      <c r="G2688" s="73"/>
      <c r="H2688" s="73"/>
      <c r="I2688" s="73"/>
      <c r="J2688" s="73"/>
      <c r="K2688" s="73"/>
      <c r="L2688" s="73"/>
      <c r="M2688" s="73"/>
    </row>
    <row r="2689" spans="1:26" ht="28.7" customHeight="1" x14ac:dyDescent="0.3">
      <c r="A2689" s="136" t="s">
        <v>1525</v>
      </c>
      <c r="B2689" s="127"/>
      <c r="C2689" s="127"/>
      <c r="D2689" s="127"/>
      <c r="E2689" s="127"/>
      <c r="F2689" s="127"/>
      <c r="G2689" s="127"/>
      <c r="H2689" s="127"/>
      <c r="I2689" s="127"/>
      <c r="J2689" s="127"/>
      <c r="K2689" s="127"/>
      <c r="L2689" s="144"/>
      <c r="M2689" s="22" t="s">
        <v>8358</v>
      </c>
      <c r="N2689" s="84" t="str">
        <f>HYPERLINK("#N"&amp;ROW(N2693),"_x0005_`BDCOD|B04859_x0007_`POSS|"&amp;ROW(N2690)&amp;"_x0007_`POSE|"&amp;ROW(N2693)&amp;"_x0007_`")</f>
        <v>_x0005_`BDCOD|B04859_x0007_`POSS|2690_x0007_`POSE|2693_x0007_`</v>
      </c>
      <c r="O2689" s="7" t="s">
        <v>8359</v>
      </c>
    </row>
    <row r="2690" spans="1:26" ht="28.7" customHeight="1" x14ac:dyDescent="0.3">
      <c r="A2690" s="10" t="s">
        <v>3094</v>
      </c>
      <c r="B2690" s="10"/>
      <c r="C2690" s="75">
        <v>0.29499999999999998</v>
      </c>
      <c r="D2690" s="31" t="s">
        <v>3074</v>
      </c>
      <c r="E2690" s="55">
        <f t="shared" ref="E2690:F2693" si="11">I2690+G2690+K2690</f>
        <v>282536</v>
      </c>
      <c r="F2690" s="76">
        <f t="shared" si="11"/>
        <v>83348.100000000006</v>
      </c>
      <c r="G2690" s="78">
        <f>노무비목록표!E14</f>
        <v>282536</v>
      </c>
      <c r="H2690" s="81">
        <f>IF(C2690=0,0,ROUNDDOWN(G2690*C2690,1))</f>
        <v>83348.100000000006</v>
      </c>
      <c r="I2690" s="51">
        <v>0</v>
      </c>
      <c r="J2690" s="77">
        <f>IF(C2690=0,0,ROUNDDOWN(I2690*C2690,1))</f>
        <v>0</v>
      </c>
      <c r="K2690" s="51">
        <v>0</v>
      </c>
      <c r="L2690" s="76">
        <f>IF(C2690=0,0,ROUNDDOWN(K2690*C2690,1))</f>
        <v>0</v>
      </c>
      <c r="M2690" s="22" t="s">
        <v>8341</v>
      </c>
      <c r="N2690" s="17" t="s">
        <v>8339</v>
      </c>
      <c r="O2690" s="7" t="s">
        <v>8340</v>
      </c>
      <c r="P2690" s="7" t="s">
        <v>6406</v>
      </c>
      <c r="Q2690" s="7" t="s">
        <v>7061</v>
      </c>
      <c r="Z2690" s="3" t="str">
        <f ca="1">HYPERLINK("#"&amp;노무비목록표!G2&amp;"!A"&amp;ROW(노무비목록표!A14),"노무11 →")</f>
        <v>노무11 →</v>
      </c>
    </row>
    <row r="2691" spans="1:26" ht="28.7" customHeight="1" x14ac:dyDescent="0.3">
      <c r="A2691" s="10" t="s">
        <v>2733</v>
      </c>
      <c r="B2691" s="10" t="s">
        <v>2734</v>
      </c>
      <c r="C2691" s="75">
        <v>1.0069999999999999</v>
      </c>
      <c r="D2691" s="31" t="s">
        <v>2099</v>
      </c>
      <c r="E2691" s="55">
        <f t="shared" si="11"/>
        <v>14300</v>
      </c>
      <c r="F2691" s="77">
        <f t="shared" si="11"/>
        <v>14400.1</v>
      </c>
      <c r="G2691" s="51">
        <v>0</v>
      </c>
      <c r="H2691" s="76">
        <f>IF(C2691=0,0,ROUNDDOWN(G2691*C2691,1))</f>
        <v>0</v>
      </c>
      <c r="I2691" s="78">
        <f>재료비목록표!E250</f>
        <v>14300</v>
      </c>
      <c r="J2691" s="81">
        <f>IF(C2691=0,0,ROUNDDOWN(I2691*C2691,1))</f>
        <v>14400.1</v>
      </c>
      <c r="K2691" s="51">
        <v>0</v>
      </c>
      <c r="L2691" s="76">
        <f>IF(C2691=0,0,ROUNDDOWN(K2691*C2691,1))</f>
        <v>0</v>
      </c>
      <c r="M2691" s="22" t="s">
        <v>8344</v>
      </c>
      <c r="N2691" s="17" t="s">
        <v>8342</v>
      </c>
      <c r="O2691" s="7" t="s">
        <v>8343</v>
      </c>
      <c r="P2691" s="7" t="s">
        <v>6406</v>
      </c>
      <c r="Z2691" s="3" t="str">
        <f ca="1">HYPERLINK("#"&amp;재료비목록표!G2&amp;"!A"&amp;ROW(재료비목록표!A250),"자재247 →")</f>
        <v>자재247 →</v>
      </c>
    </row>
    <row r="2692" spans="1:26" ht="28.7" customHeight="1" x14ac:dyDescent="0.3">
      <c r="A2692" s="10" t="s">
        <v>2692</v>
      </c>
      <c r="B2692" s="10"/>
      <c r="C2692" s="75">
        <v>2170</v>
      </c>
      <c r="D2692" s="31" t="s">
        <v>2302</v>
      </c>
      <c r="E2692" s="55">
        <f t="shared" si="11"/>
        <v>5.0999999999999996</v>
      </c>
      <c r="F2692" s="77">
        <f t="shared" si="11"/>
        <v>11067</v>
      </c>
      <c r="G2692" s="51">
        <v>0</v>
      </c>
      <c r="H2692" s="76">
        <f>IF(C2692=0,0,ROUNDDOWN(G2692*C2692,1))</f>
        <v>0</v>
      </c>
      <c r="I2692" s="78">
        <f>재료비목록표!E236</f>
        <v>5.0999999999999996</v>
      </c>
      <c r="J2692" s="81">
        <f>IF(C2692=0,0,ROUNDDOWN(I2692*C2692,1))</f>
        <v>11067</v>
      </c>
      <c r="K2692" s="51">
        <v>0</v>
      </c>
      <c r="L2692" s="76">
        <f>IF(C2692=0,0,ROUNDDOWN(K2692*C2692,1))</f>
        <v>0</v>
      </c>
      <c r="M2692" s="22" t="s">
        <v>8347</v>
      </c>
      <c r="N2692" s="17" t="s">
        <v>8345</v>
      </c>
      <c r="O2692" s="7" t="s">
        <v>8346</v>
      </c>
      <c r="P2692" s="7" t="s">
        <v>6406</v>
      </c>
      <c r="Z2692" s="3" t="str">
        <f ca="1">HYPERLINK("#"&amp;재료비목록표!G2&amp;"!A"&amp;ROW(재료비목록표!A236),"자재233 →")</f>
        <v>자재233 →</v>
      </c>
    </row>
    <row r="2693" spans="1:26" ht="28.7" customHeight="1" x14ac:dyDescent="0.3">
      <c r="A2693" s="10" t="s">
        <v>8348</v>
      </c>
      <c r="B2693" s="10" t="s">
        <v>7063</v>
      </c>
      <c r="C2693" s="75">
        <v>4</v>
      </c>
      <c r="D2693" s="31" t="s">
        <v>7064</v>
      </c>
      <c r="E2693" s="55">
        <f t="shared" si="11"/>
        <v>83348.100000000006</v>
      </c>
      <c r="F2693" s="77">
        <f t="shared" si="11"/>
        <v>3333.9</v>
      </c>
      <c r="G2693" s="13">
        <v>0</v>
      </c>
      <c r="H2693" s="77">
        <f>IF(C2693=0,0,ROUNDDOWN(G2693*C2693/100,1))</f>
        <v>0</v>
      </c>
      <c r="I2693" s="13">
        <v>0</v>
      </c>
      <c r="J2693" s="76">
        <f>IF(C2693=0,0,ROUNDDOWN(I2693*C2693/100,1))</f>
        <v>0</v>
      </c>
      <c r="K2693" s="82">
        <f>H2690</f>
        <v>83348.100000000006</v>
      </c>
      <c r="L2693" s="76">
        <f>IF(C2693=0,0,ROUNDDOWN(K2693*C2693/100,1))</f>
        <v>3333.9</v>
      </c>
      <c r="M2693" s="22"/>
      <c r="N2693" s="17" t="s">
        <v>7065</v>
      </c>
      <c r="O2693" s="7" t="s">
        <v>7066</v>
      </c>
      <c r="P2693" s="7" t="s">
        <v>6406</v>
      </c>
    </row>
    <row r="2694" spans="1:26" ht="28.7" customHeight="1" x14ac:dyDescent="0.3">
      <c r="A2694" s="22" t="s">
        <v>6</v>
      </c>
      <c r="B2694" s="74"/>
      <c r="C2694" s="74"/>
      <c r="D2694" s="74"/>
      <c r="E2694" s="74"/>
      <c r="F2694" s="48">
        <f>J2694+H2694+L2694</f>
        <v>112148</v>
      </c>
      <c r="G2694" s="74"/>
      <c r="H2694" s="48">
        <f>ROUNDDOWN(SUMIF(P2690:P2693,O2694,H2690:H2693),0)</f>
        <v>83348</v>
      </c>
      <c r="I2694" s="74"/>
      <c r="J2694" s="48">
        <f>ROUNDDOWN(SUMIF(P2690:P2693,O2694,J2690:J2693),0)</f>
        <v>25467</v>
      </c>
      <c r="K2694" s="74"/>
      <c r="L2694" s="48">
        <f>ROUNDDOWN(SUMIF(P2690:P2693,O2694,L2690:L2693),0)</f>
        <v>3333</v>
      </c>
      <c r="M2694" s="74"/>
      <c r="O2694" s="7" t="s">
        <v>6406</v>
      </c>
    </row>
    <row r="2695" spans="1:26" ht="28.7" customHeight="1" x14ac:dyDescent="0.3">
      <c r="A2695" s="73"/>
      <c r="B2695" s="73"/>
      <c r="C2695" s="73"/>
      <c r="D2695" s="73"/>
      <c r="E2695" s="73"/>
      <c r="F2695" s="73"/>
      <c r="G2695" s="73"/>
      <c r="H2695" s="73"/>
      <c r="I2695" s="73"/>
      <c r="J2695" s="73"/>
      <c r="K2695" s="73"/>
      <c r="L2695" s="73"/>
      <c r="M2695" s="73"/>
    </row>
    <row r="2696" spans="1:26" ht="28.7" customHeight="1" x14ac:dyDescent="0.3">
      <c r="A2696" s="136" t="s">
        <v>1528</v>
      </c>
      <c r="B2696" s="127"/>
      <c r="C2696" s="127"/>
      <c r="D2696" s="127"/>
      <c r="E2696" s="127"/>
      <c r="F2696" s="127"/>
      <c r="G2696" s="127"/>
      <c r="H2696" s="127"/>
      <c r="I2696" s="127"/>
      <c r="J2696" s="127"/>
      <c r="K2696" s="127"/>
      <c r="L2696" s="144"/>
      <c r="M2696" s="22" t="s">
        <v>8360</v>
      </c>
      <c r="N2696" s="84" t="str">
        <f>HYPERLINK("#N"&amp;ROW(N2700),"_x0005_`BDCOD|B05078_x0007_`POSS|"&amp;ROW(N2697)&amp;"_x0007_`POSE|"&amp;ROW(N2700)&amp;"_x0007_`")</f>
        <v>_x0005_`BDCOD|B05078_x0007_`POSS|2697_x0007_`POSE|2700_x0007_`</v>
      </c>
      <c r="O2696" s="7" t="s">
        <v>8361</v>
      </c>
    </row>
    <row r="2697" spans="1:26" ht="28.7" customHeight="1" x14ac:dyDescent="0.3">
      <c r="A2697" s="10" t="s">
        <v>3094</v>
      </c>
      <c r="B2697" s="10"/>
      <c r="C2697" s="75">
        <v>0.35899999999999999</v>
      </c>
      <c r="D2697" s="31" t="s">
        <v>3074</v>
      </c>
      <c r="E2697" s="55">
        <f t="shared" ref="E2697:F2700" si="12">I2697+G2697+K2697</f>
        <v>282536</v>
      </c>
      <c r="F2697" s="76">
        <f t="shared" si="12"/>
        <v>101430.39999999999</v>
      </c>
      <c r="G2697" s="78">
        <f>노무비목록표!E14</f>
        <v>282536</v>
      </c>
      <c r="H2697" s="81">
        <f>IF(C2697=0,0,ROUNDDOWN(G2697*C2697,1))</f>
        <v>101430.39999999999</v>
      </c>
      <c r="I2697" s="51">
        <v>0</v>
      </c>
      <c r="J2697" s="77">
        <f>IF(C2697=0,0,ROUNDDOWN(I2697*C2697,1))</f>
        <v>0</v>
      </c>
      <c r="K2697" s="51">
        <v>0</v>
      </c>
      <c r="L2697" s="76">
        <f>IF(C2697=0,0,ROUNDDOWN(K2697*C2697,1))</f>
        <v>0</v>
      </c>
      <c r="M2697" s="22" t="s">
        <v>8341</v>
      </c>
      <c r="N2697" s="17" t="s">
        <v>8339</v>
      </c>
      <c r="O2697" s="7" t="s">
        <v>8340</v>
      </c>
      <c r="P2697" s="7" t="s">
        <v>6406</v>
      </c>
      <c r="Q2697" s="7" t="s">
        <v>7061</v>
      </c>
      <c r="Z2697" s="3" t="str">
        <f ca="1">HYPERLINK("#"&amp;노무비목록표!G2&amp;"!A"&amp;ROW(노무비목록표!A14),"노무11 →")</f>
        <v>노무11 →</v>
      </c>
    </row>
    <row r="2698" spans="1:26" ht="28.7" customHeight="1" x14ac:dyDescent="0.3">
      <c r="A2698" s="10" t="s">
        <v>2733</v>
      </c>
      <c r="B2698" s="10" t="s">
        <v>2734</v>
      </c>
      <c r="C2698" s="75">
        <v>1.4550000000000001</v>
      </c>
      <c r="D2698" s="31" t="s">
        <v>2099</v>
      </c>
      <c r="E2698" s="55">
        <f t="shared" si="12"/>
        <v>14300</v>
      </c>
      <c r="F2698" s="77">
        <f t="shared" si="12"/>
        <v>20806.5</v>
      </c>
      <c r="G2698" s="51">
        <v>0</v>
      </c>
      <c r="H2698" s="76">
        <f>IF(C2698=0,0,ROUNDDOWN(G2698*C2698,1))</f>
        <v>0</v>
      </c>
      <c r="I2698" s="78">
        <f>재료비목록표!E250</f>
        <v>14300</v>
      </c>
      <c r="J2698" s="81">
        <f>IF(C2698=0,0,ROUNDDOWN(I2698*C2698,1))</f>
        <v>20806.5</v>
      </c>
      <c r="K2698" s="51">
        <v>0</v>
      </c>
      <c r="L2698" s="76">
        <f>IF(C2698=0,0,ROUNDDOWN(K2698*C2698,1))</f>
        <v>0</v>
      </c>
      <c r="M2698" s="22" t="s">
        <v>8344</v>
      </c>
      <c r="N2698" s="17" t="s">
        <v>8342</v>
      </c>
      <c r="O2698" s="7" t="s">
        <v>8343</v>
      </c>
      <c r="P2698" s="7" t="s">
        <v>6406</v>
      </c>
      <c r="Z2698" s="3" t="str">
        <f ca="1">HYPERLINK("#"&amp;재료비목록표!G2&amp;"!A"&amp;ROW(재료비목록표!A250),"자재247 →")</f>
        <v>자재247 →</v>
      </c>
    </row>
    <row r="2699" spans="1:26" ht="28.7" customHeight="1" x14ac:dyDescent="0.3">
      <c r="A2699" s="10" t="s">
        <v>2692</v>
      </c>
      <c r="B2699" s="10"/>
      <c r="C2699" s="75">
        <v>3060</v>
      </c>
      <c r="D2699" s="31" t="s">
        <v>2302</v>
      </c>
      <c r="E2699" s="55">
        <f t="shared" si="12"/>
        <v>5.0999999999999996</v>
      </c>
      <c r="F2699" s="77">
        <f t="shared" si="12"/>
        <v>15606</v>
      </c>
      <c r="G2699" s="51">
        <v>0</v>
      </c>
      <c r="H2699" s="76">
        <f>IF(C2699=0,0,ROUNDDOWN(G2699*C2699,1))</f>
        <v>0</v>
      </c>
      <c r="I2699" s="78">
        <f>재료비목록표!E236</f>
        <v>5.0999999999999996</v>
      </c>
      <c r="J2699" s="81">
        <f>IF(C2699=0,0,ROUNDDOWN(I2699*C2699,1))</f>
        <v>15606</v>
      </c>
      <c r="K2699" s="51">
        <v>0</v>
      </c>
      <c r="L2699" s="76">
        <f>IF(C2699=0,0,ROUNDDOWN(K2699*C2699,1))</f>
        <v>0</v>
      </c>
      <c r="M2699" s="22" t="s">
        <v>8347</v>
      </c>
      <c r="N2699" s="17" t="s">
        <v>8345</v>
      </c>
      <c r="O2699" s="7" t="s">
        <v>8346</v>
      </c>
      <c r="P2699" s="7" t="s">
        <v>6406</v>
      </c>
      <c r="Z2699" s="3" t="str">
        <f ca="1">HYPERLINK("#"&amp;재료비목록표!G2&amp;"!A"&amp;ROW(재료비목록표!A236),"자재233 →")</f>
        <v>자재233 →</v>
      </c>
    </row>
    <row r="2700" spans="1:26" ht="28.7" customHeight="1" x14ac:dyDescent="0.3">
      <c r="A2700" s="10" t="s">
        <v>8348</v>
      </c>
      <c r="B2700" s="10" t="s">
        <v>7063</v>
      </c>
      <c r="C2700" s="75">
        <v>4</v>
      </c>
      <c r="D2700" s="31" t="s">
        <v>7064</v>
      </c>
      <c r="E2700" s="55">
        <f t="shared" si="12"/>
        <v>101430.39999999999</v>
      </c>
      <c r="F2700" s="77">
        <f t="shared" si="12"/>
        <v>4057.2</v>
      </c>
      <c r="G2700" s="13">
        <v>0</v>
      </c>
      <c r="H2700" s="77">
        <f>IF(C2700=0,0,ROUNDDOWN(G2700*C2700/100,1))</f>
        <v>0</v>
      </c>
      <c r="I2700" s="13">
        <v>0</v>
      </c>
      <c r="J2700" s="76">
        <f>IF(C2700=0,0,ROUNDDOWN(I2700*C2700/100,1))</f>
        <v>0</v>
      </c>
      <c r="K2700" s="82">
        <f>H2697</f>
        <v>101430.39999999999</v>
      </c>
      <c r="L2700" s="76">
        <f>IF(C2700=0,0,ROUNDDOWN(K2700*C2700/100,1))</f>
        <v>4057.2</v>
      </c>
      <c r="M2700" s="22"/>
      <c r="N2700" s="17" t="s">
        <v>7065</v>
      </c>
      <c r="O2700" s="7" t="s">
        <v>7066</v>
      </c>
      <c r="P2700" s="7" t="s">
        <v>6406</v>
      </c>
    </row>
    <row r="2701" spans="1:26" ht="28.7" customHeight="1" x14ac:dyDescent="0.3">
      <c r="A2701" s="22" t="s">
        <v>6</v>
      </c>
      <c r="B2701" s="74"/>
      <c r="C2701" s="74"/>
      <c r="D2701" s="74"/>
      <c r="E2701" s="74"/>
      <c r="F2701" s="48">
        <f>J2701+H2701+L2701</f>
        <v>141899</v>
      </c>
      <c r="G2701" s="74"/>
      <c r="H2701" s="48">
        <f>ROUNDDOWN(SUMIF(P2697:P2700,O2701,H2697:H2700),0)</f>
        <v>101430</v>
      </c>
      <c r="I2701" s="74"/>
      <c r="J2701" s="48">
        <f>ROUNDDOWN(SUMIF(P2697:P2700,O2701,J2697:J2700),0)</f>
        <v>36412</v>
      </c>
      <c r="K2701" s="74"/>
      <c r="L2701" s="48">
        <f>ROUNDDOWN(SUMIF(P2697:P2700,O2701,L2697:L2700),0)</f>
        <v>4057</v>
      </c>
      <c r="M2701" s="74"/>
      <c r="O2701" s="7" t="s">
        <v>6406</v>
      </c>
    </row>
    <row r="2702" spans="1:26" ht="28.7" customHeight="1" x14ac:dyDescent="0.3">
      <c r="A2702" s="73"/>
      <c r="B2702" s="73"/>
      <c r="C2702" s="73"/>
      <c r="D2702" s="73"/>
      <c r="E2702" s="73"/>
      <c r="F2702" s="73"/>
      <c r="G2702" s="73"/>
      <c r="H2702" s="73"/>
      <c r="I2702" s="73"/>
      <c r="J2702" s="73"/>
      <c r="K2702" s="73"/>
      <c r="L2702" s="73"/>
      <c r="M2702" s="73"/>
    </row>
    <row r="2703" spans="1:26" ht="28.7" customHeight="1" x14ac:dyDescent="0.3">
      <c r="A2703" s="136" t="s">
        <v>1531</v>
      </c>
      <c r="B2703" s="127"/>
      <c r="C2703" s="127"/>
      <c r="D2703" s="127"/>
      <c r="E2703" s="127"/>
      <c r="F2703" s="127"/>
      <c r="G2703" s="127"/>
      <c r="H2703" s="127"/>
      <c r="I2703" s="127"/>
      <c r="J2703" s="127"/>
      <c r="K2703" s="127"/>
      <c r="L2703" s="144"/>
      <c r="M2703" s="22" t="s">
        <v>8362</v>
      </c>
      <c r="N2703" s="84" t="str">
        <f>HYPERLINK("#N"&amp;ROW(N2706),"_x0005_`BDCOD|B02663_x0007_`POSS|"&amp;ROW(N2704)&amp;"_x0007_`POSE|"&amp;ROW(N2706)&amp;"_x0007_`")</f>
        <v>_x0005_`BDCOD|B02663_x0007_`POSS|2704_x0007_`POSE|2706_x0007_`</v>
      </c>
      <c r="O2703" s="7" t="s">
        <v>8363</v>
      </c>
    </row>
    <row r="2704" spans="1:26" ht="28.7" customHeight="1" x14ac:dyDescent="0.3">
      <c r="A2704" s="10"/>
      <c r="B2704" s="10" t="s">
        <v>8364</v>
      </c>
      <c r="C2704" s="75">
        <v>0</v>
      </c>
      <c r="D2704" s="31"/>
      <c r="E2704" s="33">
        <v>0</v>
      </c>
      <c r="F2704" s="11">
        <v>0</v>
      </c>
      <c r="G2704" s="42"/>
      <c r="H2704" s="11">
        <v>0</v>
      </c>
      <c r="I2704" s="42"/>
      <c r="J2704" s="33">
        <v>0</v>
      </c>
      <c r="K2704" s="46"/>
      <c r="L2704" s="33">
        <v>0</v>
      </c>
      <c r="M2704" s="22" t="s">
        <v>6509</v>
      </c>
      <c r="N2704" s="17" t="s">
        <v>6507</v>
      </c>
      <c r="O2704" s="7" t="s">
        <v>6508</v>
      </c>
      <c r="P2704" s="7" t="s">
        <v>6508</v>
      </c>
    </row>
    <row r="2705" spans="1:26" ht="28.7" customHeight="1" x14ac:dyDescent="0.3">
      <c r="A2705" s="10" t="s">
        <v>3086</v>
      </c>
      <c r="B2705" s="10"/>
      <c r="C2705" s="75">
        <v>0.05</v>
      </c>
      <c r="D2705" s="31" t="s">
        <v>3074</v>
      </c>
      <c r="E2705" s="55">
        <f>I2705+G2705+K2705</f>
        <v>247897</v>
      </c>
      <c r="F2705" s="76">
        <f>J2705+H2705+L2705</f>
        <v>12394.8</v>
      </c>
      <c r="G2705" s="78">
        <f>노무비목록표!E10</f>
        <v>247897</v>
      </c>
      <c r="H2705" s="81">
        <f>IF(C2705=0,0,ROUNDDOWN(G2705*C2705,1))</f>
        <v>12394.8</v>
      </c>
      <c r="I2705" s="51">
        <v>0</v>
      </c>
      <c r="J2705" s="77">
        <f>IF(C2705=0,0,ROUNDDOWN(I2705*C2705,1))</f>
        <v>0</v>
      </c>
      <c r="K2705" s="51">
        <v>0</v>
      </c>
      <c r="L2705" s="76">
        <f>IF(C2705=0,0,ROUNDDOWN(K2705*C2705,1))</f>
        <v>0</v>
      </c>
      <c r="M2705" s="22" t="s">
        <v>8367</v>
      </c>
      <c r="N2705" s="17" t="s">
        <v>8365</v>
      </c>
      <c r="O2705" s="7" t="s">
        <v>8366</v>
      </c>
      <c r="P2705" s="7" t="s">
        <v>6406</v>
      </c>
      <c r="Q2705" s="7" t="s">
        <v>7061</v>
      </c>
      <c r="Z2705" s="3" t="str">
        <f ca="1">HYPERLINK("#"&amp;노무비목록표!G2&amp;"!A"&amp;ROW(노무비목록표!A10),"노무7 →")</f>
        <v>노무7 →</v>
      </c>
    </row>
    <row r="2706" spans="1:26" ht="28.7" customHeight="1" x14ac:dyDescent="0.3">
      <c r="A2706" s="10" t="s">
        <v>8368</v>
      </c>
      <c r="B2706" s="10" t="s">
        <v>7063</v>
      </c>
      <c r="C2706" s="75">
        <v>2</v>
      </c>
      <c r="D2706" s="31" t="s">
        <v>7064</v>
      </c>
      <c r="E2706" s="55">
        <f>I2706+G2706+K2706</f>
        <v>12394.8</v>
      </c>
      <c r="F2706" s="77">
        <f>J2706+H2706+L2706</f>
        <v>247.8</v>
      </c>
      <c r="G2706" s="13">
        <v>0</v>
      </c>
      <c r="H2706" s="77">
        <f>IF(C2706=0,0,ROUNDDOWN(G2706*C2706/100,1))</f>
        <v>0</v>
      </c>
      <c r="I2706" s="13">
        <v>0</v>
      </c>
      <c r="J2706" s="76">
        <f>IF(C2706=0,0,ROUNDDOWN(I2706*C2706/100,1))</f>
        <v>0</v>
      </c>
      <c r="K2706" s="82">
        <f>H2705</f>
        <v>12394.8</v>
      </c>
      <c r="L2706" s="76">
        <f>IF(C2706=0,0,ROUNDDOWN(K2706*C2706/100,1))</f>
        <v>247.8</v>
      </c>
      <c r="M2706" s="22"/>
      <c r="N2706" s="17" t="s">
        <v>7065</v>
      </c>
      <c r="O2706" s="7" t="s">
        <v>7066</v>
      </c>
      <c r="P2706" s="7" t="s">
        <v>6406</v>
      </c>
    </row>
    <row r="2707" spans="1:26" ht="28.7" customHeight="1" x14ac:dyDescent="0.3">
      <c r="A2707" s="22" t="s">
        <v>6</v>
      </c>
      <c r="B2707" s="74"/>
      <c r="C2707" s="74"/>
      <c r="D2707" s="74"/>
      <c r="E2707" s="74"/>
      <c r="F2707" s="48">
        <f>J2707+H2707+L2707</f>
        <v>12641</v>
      </c>
      <c r="G2707" s="74"/>
      <c r="H2707" s="48">
        <f>ROUNDDOWN(SUMIF(P2704:P2706,O2707,H2704:H2706),0)</f>
        <v>12394</v>
      </c>
      <c r="I2707" s="74"/>
      <c r="J2707" s="48">
        <f>ROUNDDOWN(SUMIF(P2704:P2706,O2707,J2704:J2706),0)</f>
        <v>0</v>
      </c>
      <c r="K2707" s="74"/>
      <c r="L2707" s="48">
        <f>ROUNDDOWN(SUMIF(P2704:P2706,O2707,L2704:L2706),0)</f>
        <v>247</v>
      </c>
      <c r="M2707" s="74"/>
      <c r="O2707" s="7" t="s">
        <v>6406</v>
      </c>
    </row>
    <row r="2708" spans="1:26" ht="28.7" customHeight="1" x14ac:dyDescent="0.3">
      <c r="A2708" s="73"/>
      <c r="B2708" s="73"/>
      <c r="C2708" s="73"/>
      <c r="D2708" s="73"/>
      <c r="E2708" s="73"/>
      <c r="F2708" s="73"/>
      <c r="G2708" s="73"/>
      <c r="H2708" s="73"/>
      <c r="I2708" s="73"/>
      <c r="J2708" s="73"/>
      <c r="K2708" s="73"/>
      <c r="L2708" s="73"/>
      <c r="M2708" s="73"/>
    </row>
    <row r="2709" spans="1:26" ht="28.7" customHeight="1" x14ac:dyDescent="0.3">
      <c r="A2709" s="136" t="s">
        <v>1535</v>
      </c>
      <c r="B2709" s="127"/>
      <c r="C2709" s="127"/>
      <c r="D2709" s="127"/>
      <c r="E2709" s="127"/>
      <c r="F2709" s="127"/>
      <c r="G2709" s="127"/>
      <c r="H2709" s="127"/>
      <c r="I2709" s="127"/>
      <c r="J2709" s="127"/>
      <c r="K2709" s="127"/>
      <c r="L2709" s="144"/>
      <c r="M2709" s="22" t="s">
        <v>8369</v>
      </c>
      <c r="N2709" s="84" t="str">
        <f>HYPERLINK("#N"&amp;ROW(N2712),"_x0005_`BDCOD|B02664_x0007_`POSS|"&amp;ROW(N2710)&amp;"_x0007_`POSE|"&amp;ROW(N2712)&amp;"_x0007_`")</f>
        <v>_x0005_`BDCOD|B02664_x0007_`POSS|2710_x0007_`POSE|2712_x0007_`</v>
      </c>
      <c r="O2709" s="7" t="s">
        <v>8370</v>
      </c>
    </row>
    <row r="2710" spans="1:26" ht="28.7" customHeight="1" x14ac:dyDescent="0.3">
      <c r="A2710" s="10"/>
      <c r="B2710" s="10" t="s">
        <v>8364</v>
      </c>
      <c r="C2710" s="75">
        <v>0</v>
      </c>
      <c r="D2710" s="31"/>
      <c r="E2710" s="33">
        <v>0</v>
      </c>
      <c r="F2710" s="11">
        <v>0</v>
      </c>
      <c r="G2710" s="42"/>
      <c r="H2710" s="11">
        <v>0</v>
      </c>
      <c r="I2710" s="42"/>
      <c r="J2710" s="33">
        <v>0</v>
      </c>
      <c r="K2710" s="46"/>
      <c r="L2710" s="33">
        <v>0</v>
      </c>
      <c r="M2710" s="22" t="s">
        <v>6509</v>
      </c>
      <c r="N2710" s="17" t="s">
        <v>6507</v>
      </c>
      <c r="O2710" s="7" t="s">
        <v>6508</v>
      </c>
      <c r="P2710" s="7" t="s">
        <v>6508</v>
      </c>
    </row>
    <row r="2711" spans="1:26" ht="28.7" customHeight="1" x14ac:dyDescent="0.3">
      <c r="A2711" s="10" t="s">
        <v>3086</v>
      </c>
      <c r="B2711" s="10"/>
      <c r="C2711" s="75">
        <v>7.3999999999999996E-2</v>
      </c>
      <c r="D2711" s="31" t="s">
        <v>3074</v>
      </c>
      <c r="E2711" s="55">
        <f>I2711+G2711+K2711</f>
        <v>247897</v>
      </c>
      <c r="F2711" s="76">
        <f>J2711+H2711+L2711</f>
        <v>18344.3</v>
      </c>
      <c r="G2711" s="78">
        <f>노무비목록표!E10</f>
        <v>247897</v>
      </c>
      <c r="H2711" s="81">
        <f>IF(C2711=0,0,ROUNDDOWN(G2711*C2711,1))</f>
        <v>18344.3</v>
      </c>
      <c r="I2711" s="51">
        <v>0</v>
      </c>
      <c r="J2711" s="77">
        <f>IF(C2711=0,0,ROUNDDOWN(I2711*C2711,1))</f>
        <v>0</v>
      </c>
      <c r="K2711" s="51">
        <v>0</v>
      </c>
      <c r="L2711" s="76">
        <f>IF(C2711=0,0,ROUNDDOWN(K2711*C2711,1))</f>
        <v>0</v>
      </c>
      <c r="M2711" s="22" t="s">
        <v>8367</v>
      </c>
      <c r="N2711" s="17" t="s">
        <v>8365</v>
      </c>
      <c r="O2711" s="7" t="s">
        <v>8366</v>
      </c>
      <c r="P2711" s="7" t="s">
        <v>6406</v>
      </c>
      <c r="Q2711" s="7" t="s">
        <v>7061</v>
      </c>
      <c r="Z2711" s="3" t="str">
        <f ca="1">HYPERLINK("#"&amp;노무비목록표!G2&amp;"!A"&amp;ROW(노무비목록표!A10),"노무7 →")</f>
        <v>노무7 →</v>
      </c>
    </row>
    <row r="2712" spans="1:26" ht="28.7" customHeight="1" x14ac:dyDescent="0.3">
      <c r="A2712" s="10" t="s">
        <v>8368</v>
      </c>
      <c r="B2712" s="10" t="s">
        <v>7063</v>
      </c>
      <c r="C2712" s="75">
        <v>2</v>
      </c>
      <c r="D2712" s="31" t="s">
        <v>7064</v>
      </c>
      <c r="E2712" s="55">
        <f>I2712+G2712+K2712</f>
        <v>18344.3</v>
      </c>
      <c r="F2712" s="77">
        <f>J2712+H2712+L2712</f>
        <v>366.8</v>
      </c>
      <c r="G2712" s="13">
        <v>0</v>
      </c>
      <c r="H2712" s="77">
        <f>IF(C2712=0,0,ROUNDDOWN(G2712*C2712/100,1))</f>
        <v>0</v>
      </c>
      <c r="I2712" s="13">
        <v>0</v>
      </c>
      <c r="J2712" s="76">
        <f>IF(C2712=0,0,ROUNDDOWN(I2712*C2712/100,1))</f>
        <v>0</v>
      </c>
      <c r="K2712" s="82">
        <f>H2711</f>
        <v>18344.3</v>
      </c>
      <c r="L2712" s="76">
        <f>IF(C2712=0,0,ROUNDDOWN(K2712*C2712/100,1))</f>
        <v>366.8</v>
      </c>
      <c r="M2712" s="22"/>
      <c r="N2712" s="17" t="s">
        <v>7065</v>
      </c>
      <c r="O2712" s="7" t="s">
        <v>7066</v>
      </c>
      <c r="P2712" s="7" t="s">
        <v>6406</v>
      </c>
    </row>
    <row r="2713" spans="1:26" ht="28.7" customHeight="1" x14ac:dyDescent="0.3">
      <c r="A2713" s="22" t="s">
        <v>6</v>
      </c>
      <c r="B2713" s="74"/>
      <c r="C2713" s="74"/>
      <c r="D2713" s="74"/>
      <c r="E2713" s="74"/>
      <c r="F2713" s="48">
        <f>J2713+H2713+L2713</f>
        <v>18710</v>
      </c>
      <c r="G2713" s="74"/>
      <c r="H2713" s="48">
        <f>ROUNDDOWN(SUMIF(P2710:P2712,O2713,H2710:H2712),0)</f>
        <v>18344</v>
      </c>
      <c r="I2713" s="74"/>
      <c r="J2713" s="48">
        <f>ROUNDDOWN(SUMIF(P2710:P2712,O2713,J2710:J2712),0)</f>
        <v>0</v>
      </c>
      <c r="K2713" s="74"/>
      <c r="L2713" s="48">
        <f>ROUNDDOWN(SUMIF(P2710:P2712,O2713,L2710:L2712),0)</f>
        <v>366</v>
      </c>
      <c r="M2713" s="74"/>
      <c r="O2713" s="7" t="s">
        <v>6406</v>
      </c>
    </row>
    <row r="2714" spans="1:26" ht="28.7" customHeight="1" x14ac:dyDescent="0.3">
      <c r="A2714" s="73"/>
      <c r="B2714" s="73"/>
      <c r="C2714" s="73"/>
      <c r="D2714" s="73"/>
      <c r="E2714" s="73"/>
      <c r="F2714" s="73"/>
      <c r="G2714" s="73"/>
      <c r="H2714" s="73"/>
      <c r="I2714" s="73"/>
      <c r="J2714" s="73"/>
      <c r="K2714" s="73"/>
      <c r="L2714" s="73"/>
      <c r="M2714" s="73"/>
    </row>
    <row r="2715" spans="1:26" ht="28.7" customHeight="1" x14ac:dyDescent="0.3">
      <c r="A2715" s="136" t="s">
        <v>1538</v>
      </c>
      <c r="B2715" s="127"/>
      <c r="C2715" s="127"/>
      <c r="D2715" s="127"/>
      <c r="E2715" s="127"/>
      <c r="F2715" s="127"/>
      <c r="G2715" s="127"/>
      <c r="H2715" s="127"/>
      <c r="I2715" s="127"/>
      <c r="J2715" s="127"/>
      <c r="K2715" s="127"/>
      <c r="L2715" s="144"/>
      <c r="M2715" s="22" t="s">
        <v>8371</v>
      </c>
      <c r="N2715" s="84" t="str">
        <f>HYPERLINK("#N"&amp;ROW(N2718),"_x0005_`BDCOD|B02665_x0007_`POSS|"&amp;ROW(N2716)&amp;"_x0007_`POSE|"&amp;ROW(N2718)&amp;"_x0007_`")</f>
        <v>_x0005_`BDCOD|B02665_x0007_`POSS|2716_x0007_`POSE|2718_x0007_`</v>
      </c>
      <c r="O2715" s="7" t="s">
        <v>8372</v>
      </c>
    </row>
    <row r="2716" spans="1:26" ht="28.7" customHeight="1" x14ac:dyDescent="0.3">
      <c r="A2716" s="10" t="s">
        <v>3086</v>
      </c>
      <c r="B2716" s="10"/>
      <c r="C2716" s="75">
        <v>0.108</v>
      </c>
      <c r="D2716" s="31" t="s">
        <v>3074</v>
      </c>
      <c r="E2716" s="55">
        <f t="shared" ref="E2716:F2718" si="13">I2716+G2716+K2716</f>
        <v>247897</v>
      </c>
      <c r="F2716" s="76">
        <f t="shared" si="13"/>
        <v>26772.799999999999</v>
      </c>
      <c r="G2716" s="78">
        <f>노무비목록표!E10</f>
        <v>247897</v>
      </c>
      <c r="H2716" s="81">
        <f>IF(C2716=0,0,ROUNDDOWN(G2716*C2716,1))</f>
        <v>26772.799999999999</v>
      </c>
      <c r="I2716" s="51">
        <v>0</v>
      </c>
      <c r="J2716" s="77">
        <f>IF(C2716=0,0,ROUNDDOWN(I2716*C2716,1))</f>
        <v>0</v>
      </c>
      <c r="K2716" s="51">
        <v>0</v>
      </c>
      <c r="L2716" s="76">
        <f>IF(C2716=0,0,ROUNDDOWN(K2716*C2716,1))</f>
        <v>0</v>
      </c>
      <c r="M2716" s="22" t="s">
        <v>8367</v>
      </c>
      <c r="N2716" s="17" t="s">
        <v>8365</v>
      </c>
      <c r="O2716" s="7" t="s">
        <v>8366</v>
      </c>
      <c r="P2716" s="7" t="s">
        <v>6406</v>
      </c>
      <c r="Q2716" s="7" t="s">
        <v>7061</v>
      </c>
      <c r="Z2716" s="3" t="str">
        <f ca="1">HYPERLINK("#"&amp;노무비목록표!G2&amp;"!A"&amp;ROW(노무비목록표!A10),"노무7 →")</f>
        <v>노무7 →</v>
      </c>
    </row>
    <row r="2717" spans="1:26" ht="28.7" customHeight="1" x14ac:dyDescent="0.3">
      <c r="A2717" s="10" t="s">
        <v>3090</v>
      </c>
      <c r="B2717" s="10"/>
      <c r="C2717" s="75">
        <v>7.2999999999999995E-2</v>
      </c>
      <c r="D2717" s="31" t="s">
        <v>3074</v>
      </c>
      <c r="E2717" s="55">
        <f t="shared" si="13"/>
        <v>172068</v>
      </c>
      <c r="F2717" s="76">
        <f t="shared" si="13"/>
        <v>12560.9</v>
      </c>
      <c r="G2717" s="78">
        <f>노무비목록표!E12</f>
        <v>172068</v>
      </c>
      <c r="H2717" s="81">
        <f>IF(C2717=0,0,ROUNDDOWN(G2717*C2717,1))</f>
        <v>12560.9</v>
      </c>
      <c r="I2717" s="51">
        <v>0</v>
      </c>
      <c r="J2717" s="77">
        <f>IF(C2717=0,0,ROUNDDOWN(I2717*C2717,1))</f>
        <v>0</v>
      </c>
      <c r="K2717" s="51">
        <v>0</v>
      </c>
      <c r="L2717" s="76">
        <f>IF(C2717=0,0,ROUNDDOWN(K2717*C2717,1))</f>
        <v>0</v>
      </c>
      <c r="M2717" s="22" t="s">
        <v>8262</v>
      </c>
      <c r="N2717" s="17" t="s">
        <v>8260</v>
      </c>
      <c r="O2717" s="7" t="s">
        <v>8261</v>
      </c>
      <c r="P2717" s="7" t="s">
        <v>6406</v>
      </c>
      <c r="Q2717" s="7" t="s">
        <v>7061</v>
      </c>
      <c r="Z2717" s="3" t="str">
        <f ca="1">HYPERLINK("#"&amp;노무비목록표!G2&amp;"!A"&amp;ROW(노무비목록표!A12),"노무9 →")</f>
        <v>노무9 →</v>
      </c>
    </row>
    <row r="2718" spans="1:26" ht="28.7" customHeight="1" x14ac:dyDescent="0.3">
      <c r="A2718" s="10" t="s">
        <v>8368</v>
      </c>
      <c r="B2718" s="10" t="s">
        <v>7063</v>
      </c>
      <c r="C2718" s="75">
        <v>2</v>
      </c>
      <c r="D2718" s="31" t="s">
        <v>7064</v>
      </c>
      <c r="E2718" s="55">
        <f t="shared" si="13"/>
        <v>39333.699999999997</v>
      </c>
      <c r="F2718" s="77">
        <f t="shared" si="13"/>
        <v>786.6</v>
      </c>
      <c r="G2718" s="13">
        <v>0</v>
      </c>
      <c r="H2718" s="77">
        <f>IF(C2718=0,0,ROUNDDOWN(G2718*C2718/100,1))</f>
        <v>0</v>
      </c>
      <c r="I2718" s="13">
        <v>0</v>
      </c>
      <c r="J2718" s="76">
        <f>IF(C2718=0,0,ROUNDDOWN(I2718*C2718/100,1))</f>
        <v>0</v>
      </c>
      <c r="K2718" s="82">
        <f>H2716+H2717</f>
        <v>39333.699999999997</v>
      </c>
      <c r="L2718" s="76">
        <f>IF(C2718=0,0,ROUNDDOWN(K2718*C2718/100,1))</f>
        <v>786.6</v>
      </c>
      <c r="M2718" s="22"/>
      <c r="N2718" s="17" t="s">
        <v>7065</v>
      </c>
      <c r="O2718" s="7" t="s">
        <v>7066</v>
      </c>
      <c r="P2718" s="7" t="s">
        <v>6406</v>
      </c>
    </row>
    <row r="2719" spans="1:26" ht="28.7" customHeight="1" x14ac:dyDescent="0.3">
      <c r="A2719" s="22" t="s">
        <v>6</v>
      </c>
      <c r="B2719" s="74"/>
      <c r="C2719" s="74"/>
      <c r="D2719" s="74"/>
      <c r="E2719" s="74"/>
      <c r="F2719" s="48">
        <f>J2719+H2719+L2719</f>
        <v>40119</v>
      </c>
      <c r="G2719" s="74"/>
      <c r="H2719" s="48">
        <f>ROUNDDOWN(SUMIF(P2716:P2718,O2719,H2716:H2718),0)</f>
        <v>39333</v>
      </c>
      <c r="I2719" s="74"/>
      <c r="J2719" s="48">
        <f>ROUNDDOWN(SUMIF(P2716:P2718,O2719,J2716:J2718),0)</f>
        <v>0</v>
      </c>
      <c r="K2719" s="74"/>
      <c r="L2719" s="48">
        <f>ROUNDDOWN(SUMIF(P2716:P2718,O2719,L2716:L2718),0)</f>
        <v>786</v>
      </c>
      <c r="M2719" s="74"/>
      <c r="O2719" s="7" t="s">
        <v>6406</v>
      </c>
    </row>
    <row r="2720" spans="1:26" ht="28.7" customHeight="1" x14ac:dyDescent="0.3">
      <c r="A2720" s="73"/>
      <c r="B2720" s="73"/>
      <c r="C2720" s="73"/>
      <c r="D2720" s="73"/>
      <c r="E2720" s="73"/>
      <c r="F2720" s="73"/>
      <c r="G2720" s="73"/>
      <c r="H2720" s="73"/>
      <c r="I2720" s="73"/>
      <c r="J2720" s="73"/>
      <c r="K2720" s="73"/>
      <c r="L2720" s="73"/>
      <c r="M2720" s="73"/>
    </row>
    <row r="2721" spans="1:26" ht="28.7" customHeight="1" x14ac:dyDescent="0.3">
      <c r="A2721" s="136" t="s">
        <v>1541</v>
      </c>
      <c r="B2721" s="127"/>
      <c r="C2721" s="127"/>
      <c r="D2721" s="127"/>
      <c r="E2721" s="127"/>
      <c r="F2721" s="127"/>
      <c r="G2721" s="127"/>
      <c r="H2721" s="127"/>
      <c r="I2721" s="127"/>
      <c r="J2721" s="127"/>
      <c r="K2721" s="127"/>
      <c r="L2721" s="144"/>
      <c r="M2721" s="22" t="s">
        <v>8373</v>
      </c>
      <c r="N2721" s="84" t="str">
        <f>HYPERLINK("#N"&amp;ROW(N2724),"_x0005_`BDCOD|B02666_x0007_`POSS|"&amp;ROW(N2722)&amp;"_x0007_`POSE|"&amp;ROW(N2724)&amp;"_x0007_`")</f>
        <v>_x0005_`BDCOD|B02666_x0007_`POSS|2722_x0007_`POSE|2724_x0007_`</v>
      </c>
      <c r="O2721" s="7" t="s">
        <v>8374</v>
      </c>
    </row>
    <row r="2722" spans="1:26" ht="28.7" customHeight="1" x14ac:dyDescent="0.3">
      <c r="A2722" s="10" t="s">
        <v>3086</v>
      </c>
      <c r="B2722" s="10"/>
      <c r="C2722" s="75">
        <v>0.14099999999999999</v>
      </c>
      <c r="D2722" s="31" t="s">
        <v>3074</v>
      </c>
      <c r="E2722" s="55">
        <f t="shared" ref="E2722:F2724" si="14">I2722+G2722+K2722</f>
        <v>247897</v>
      </c>
      <c r="F2722" s="76">
        <f t="shared" si="14"/>
        <v>34953.4</v>
      </c>
      <c r="G2722" s="78">
        <f>노무비목록표!E10</f>
        <v>247897</v>
      </c>
      <c r="H2722" s="81">
        <f>IF(C2722=0,0,ROUNDDOWN(G2722*C2722,1))</f>
        <v>34953.4</v>
      </c>
      <c r="I2722" s="51">
        <v>0</v>
      </c>
      <c r="J2722" s="77">
        <f>IF(C2722=0,0,ROUNDDOWN(I2722*C2722,1))</f>
        <v>0</v>
      </c>
      <c r="K2722" s="51">
        <v>0</v>
      </c>
      <c r="L2722" s="76">
        <f>IF(C2722=0,0,ROUNDDOWN(K2722*C2722,1))</f>
        <v>0</v>
      </c>
      <c r="M2722" s="22" t="s">
        <v>8367</v>
      </c>
      <c r="N2722" s="17" t="s">
        <v>8365</v>
      </c>
      <c r="O2722" s="7" t="s">
        <v>8366</v>
      </c>
      <c r="P2722" s="7" t="s">
        <v>6406</v>
      </c>
      <c r="Q2722" s="7" t="s">
        <v>7061</v>
      </c>
      <c r="Z2722" s="3" t="str">
        <f ca="1">HYPERLINK("#"&amp;노무비목록표!G2&amp;"!A"&amp;ROW(노무비목록표!A10),"노무7 →")</f>
        <v>노무7 →</v>
      </c>
    </row>
    <row r="2723" spans="1:26" ht="28.7" customHeight="1" x14ac:dyDescent="0.3">
      <c r="A2723" s="10" t="s">
        <v>3090</v>
      </c>
      <c r="B2723" s="10"/>
      <c r="C2723" s="75">
        <v>8.3000000000000004E-2</v>
      </c>
      <c r="D2723" s="31" t="s">
        <v>3074</v>
      </c>
      <c r="E2723" s="55">
        <f t="shared" si="14"/>
        <v>172068</v>
      </c>
      <c r="F2723" s="76">
        <f t="shared" si="14"/>
        <v>14281.6</v>
      </c>
      <c r="G2723" s="78">
        <f>노무비목록표!E12</f>
        <v>172068</v>
      </c>
      <c r="H2723" s="81">
        <f>IF(C2723=0,0,ROUNDDOWN(G2723*C2723,1))</f>
        <v>14281.6</v>
      </c>
      <c r="I2723" s="51">
        <v>0</v>
      </c>
      <c r="J2723" s="77">
        <f>IF(C2723=0,0,ROUNDDOWN(I2723*C2723,1))</f>
        <v>0</v>
      </c>
      <c r="K2723" s="51">
        <v>0</v>
      </c>
      <c r="L2723" s="76">
        <f>IF(C2723=0,0,ROUNDDOWN(K2723*C2723,1))</f>
        <v>0</v>
      </c>
      <c r="M2723" s="22" t="s">
        <v>8262</v>
      </c>
      <c r="N2723" s="17" t="s">
        <v>8260</v>
      </c>
      <c r="O2723" s="7" t="s">
        <v>8261</v>
      </c>
      <c r="P2723" s="7" t="s">
        <v>6406</v>
      </c>
      <c r="Q2723" s="7" t="s">
        <v>7061</v>
      </c>
      <c r="Z2723" s="3" t="str">
        <f ca="1">HYPERLINK("#"&amp;노무비목록표!G2&amp;"!A"&amp;ROW(노무비목록표!A12),"노무9 →")</f>
        <v>노무9 →</v>
      </c>
    </row>
    <row r="2724" spans="1:26" ht="28.7" customHeight="1" x14ac:dyDescent="0.3">
      <c r="A2724" s="10" t="s">
        <v>8368</v>
      </c>
      <c r="B2724" s="10" t="s">
        <v>7063</v>
      </c>
      <c r="C2724" s="75">
        <v>2</v>
      </c>
      <c r="D2724" s="31" t="s">
        <v>7064</v>
      </c>
      <c r="E2724" s="55">
        <f t="shared" si="14"/>
        <v>49235</v>
      </c>
      <c r="F2724" s="77">
        <f t="shared" si="14"/>
        <v>984.7</v>
      </c>
      <c r="G2724" s="13">
        <v>0</v>
      </c>
      <c r="H2724" s="77">
        <f>IF(C2724=0,0,ROUNDDOWN(G2724*C2724/100,1))</f>
        <v>0</v>
      </c>
      <c r="I2724" s="13">
        <v>0</v>
      </c>
      <c r="J2724" s="76">
        <f>IF(C2724=0,0,ROUNDDOWN(I2724*C2724/100,1))</f>
        <v>0</v>
      </c>
      <c r="K2724" s="82">
        <f>H2722+H2723</f>
        <v>49235</v>
      </c>
      <c r="L2724" s="76">
        <f>IF(C2724=0,0,ROUNDDOWN(K2724*C2724/100,1))</f>
        <v>984.7</v>
      </c>
      <c r="M2724" s="22"/>
      <c r="N2724" s="17" t="s">
        <v>7065</v>
      </c>
      <c r="O2724" s="7" t="s">
        <v>7066</v>
      </c>
      <c r="P2724" s="7" t="s">
        <v>6406</v>
      </c>
    </row>
    <row r="2725" spans="1:26" ht="28.7" customHeight="1" x14ac:dyDescent="0.3">
      <c r="A2725" s="22" t="s">
        <v>6</v>
      </c>
      <c r="B2725" s="74"/>
      <c r="C2725" s="74"/>
      <c r="D2725" s="74"/>
      <c r="E2725" s="74"/>
      <c r="F2725" s="48">
        <f>J2725+H2725+L2725</f>
        <v>50219</v>
      </c>
      <c r="G2725" s="74"/>
      <c r="H2725" s="48">
        <f>ROUNDDOWN(SUMIF(P2722:P2724,O2725,H2722:H2724),0)</f>
        <v>49235</v>
      </c>
      <c r="I2725" s="74"/>
      <c r="J2725" s="48">
        <f>ROUNDDOWN(SUMIF(P2722:P2724,O2725,J2722:J2724),0)</f>
        <v>0</v>
      </c>
      <c r="K2725" s="74"/>
      <c r="L2725" s="48">
        <f>ROUNDDOWN(SUMIF(P2722:P2724,O2725,L2722:L2724),0)</f>
        <v>984</v>
      </c>
      <c r="M2725" s="74"/>
      <c r="O2725" s="7" t="s">
        <v>6406</v>
      </c>
    </row>
    <row r="2726" spans="1:26" ht="28.7" customHeight="1" x14ac:dyDescent="0.3">
      <c r="A2726" s="73"/>
      <c r="B2726" s="73"/>
      <c r="C2726" s="73"/>
      <c r="D2726" s="73"/>
      <c r="E2726" s="73"/>
      <c r="F2726" s="73"/>
      <c r="G2726" s="73"/>
      <c r="H2726" s="73"/>
      <c r="I2726" s="73"/>
      <c r="J2726" s="73"/>
      <c r="K2726" s="73"/>
      <c r="L2726" s="73"/>
      <c r="M2726" s="73"/>
    </row>
    <row r="2727" spans="1:26" ht="28.7" customHeight="1" x14ac:dyDescent="0.3">
      <c r="A2727" s="136" t="s">
        <v>1544</v>
      </c>
      <c r="B2727" s="127"/>
      <c r="C2727" s="127"/>
      <c r="D2727" s="127"/>
      <c r="E2727" s="127"/>
      <c r="F2727" s="127"/>
      <c r="G2727" s="127"/>
      <c r="H2727" s="127"/>
      <c r="I2727" s="127"/>
      <c r="J2727" s="127"/>
      <c r="K2727" s="127"/>
      <c r="L2727" s="144"/>
      <c r="M2727" s="22" t="s">
        <v>8375</v>
      </c>
      <c r="N2727" s="84" t="str">
        <f>HYPERLINK("#N"&amp;ROW(N2730),"_x0005_`BDCOD|B02667_x0007_`POSS|"&amp;ROW(N2728)&amp;"_x0007_`POSE|"&amp;ROW(N2730)&amp;"_x0007_`")</f>
        <v>_x0005_`BDCOD|B02667_x0007_`POSS|2728_x0007_`POSE|2730_x0007_`</v>
      </c>
      <c r="O2727" s="7" t="s">
        <v>8376</v>
      </c>
    </row>
    <row r="2728" spans="1:26" ht="28.7" customHeight="1" x14ac:dyDescent="0.3">
      <c r="A2728" s="10" t="s">
        <v>3086</v>
      </c>
      <c r="B2728" s="10"/>
      <c r="C2728" s="75">
        <v>0.214</v>
      </c>
      <c r="D2728" s="31" t="s">
        <v>3074</v>
      </c>
      <c r="E2728" s="55">
        <f t="shared" ref="E2728:F2730" si="15">I2728+G2728+K2728</f>
        <v>247897</v>
      </c>
      <c r="F2728" s="76">
        <f t="shared" si="15"/>
        <v>53049.9</v>
      </c>
      <c r="G2728" s="78">
        <f>노무비목록표!E10</f>
        <v>247897</v>
      </c>
      <c r="H2728" s="81">
        <f>IF(C2728=0,0,ROUNDDOWN(G2728*C2728,1))</f>
        <v>53049.9</v>
      </c>
      <c r="I2728" s="51">
        <v>0</v>
      </c>
      <c r="J2728" s="77">
        <f>IF(C2728=0,0,ROUNDDOWN(I2728*C2728,1))</f>
        <v>0</v>
      </c>
      <c r="K2728" s="51">
        <v>0</v>
      </c>
      <c r="L2728" s="76">
        <f>IF(C2728=0,0,ROUNDDOWN(K2728*C2728,1))</f>
        <v>0</v>
      </c>
      <c r="M2728" s="22" t="s">
        <v>8367</v>
      </c>
      <c r="N2728" s="17" t="s">
        <v>8365</v>
      </c>
      <c r="O2728" s="7" t="s">
        <v>8366</v>
      </c>
      <c r="P2728" s="7" t="s">
        <v>6406</v>
      </c>
      <c r="Q2728" s="7" t="s">
        <v>7061</v>
      </c>
      <c r="Z2728" s="3" t="str">
        <f ca="1">HYPERLINK("#"&amp;노무비목록표!G2&amp;"!A"&amp;ROW(노무비목록표!A10),"노무7 →")</f>
        <v>노무7 →</v>
      </c>
    </row>
    <row r="2729" spans="1:26" ht="28.7" customHeight="1" x14ac:dyDescent="0.3">
      <c r="A2729" s="10" t="s">
        <v>3090</v>
      </c>
      <c r="B2729" s="10"/>
      <c r="C2729" s="75">
        <v>0.105</v>
      </c>
      <c r="D2729" s="31" t="s">
        <v>3074</v>
      </c>
      <c r="E2729" s="55">
        <f t="shared" si="15"/>
        <v>172068</v>
      </c>
      <c r="F2729" s="76">
        <f t="shared" si="15"/>
        <v>18067.099999999999</v>
      </c>
      <c r="G2729" s="78">
        <f>노무비목록표!E12</f>
        <v>172068</v>
      </c>
      <c r="H2729" s="81">
        <f>IF(C2729=0,0,ROUNDDOWN(G2729*C2729,1))</f>
        <v>18067.099999999999</v>
      </c>
      <c r="I2729" s="51">
        <v>0</v>
      </c>
      <c r="J2729" s="77">
        <f>IF(C2729=0,0,ROUNDDOWN(I2729*C2729,1))</f>
        <v>0</v>
      </c>
      <c r="K2729" s="51">
        <v>0</v>
      </c>
      <c r="L2729" s="76">
        <f>IF(C2729=0,0,ROUNDDOWN(K2729*C2729,1))</f>
        <v>0</v>
      </c>
      <c r="M2729" s="22" t="s">
        <v>8262</v>
      </c>
      <c r="N2729" s="17" t="s">
        <v>8260</v>
      </c>
      <c r="O2729" s="7" t="s">
        <v>8261</v>
      </c>
      <c r="P2729" s="7" t="s">
        <v>6406</v>
      </c>
      <c r="Q2729" s="7" t="s">
        <v>7061</v>
      </c>
      <c r="Z2729" s="3" t="str">
        <f ca="1">HYPERLINK("#"&amp;노무비목록표!G2&amp;"!A"&amp;ROW(노무비목록표!A12),"노무9 →")</f>
        <v>노무9 →</v>
      </c>
    </row>
    <row r="2730" spans="1:26" ht="28.7" customHeight="1" x14ac:dyDescent="0.3">
      <c r="A2730" s="10" t="s">
        <v>8368</v>
      </c>
      <c r="B2730" s="10" t="s">
        <v>7063</v>
      </c>
      <c r="C2730" s="75">
        <v>2</v>
      </c>
      <c r="D2730" s="31" t="s">
        <v>7064</v>
      </c>
      <c r="E2730" s="55">
        <f t="shared" si="15"/>
        <v>71117</v>
      </c>
      <c r="F2730" s="77">
        <f t="shared" si="15"/>
        <v>1422.3</v>
      </c>
      <c r="G2730" s="13">
        <v>0</v>
      </c>
      <c r="H2730" s="77">
        <f>IF(C2730=0,0,ROUNDDOWN(G2730*C2730/100,1))</f>
        <v>0</v>
      </c>
      <c r="I2730" s="13">
        <v>0</v>
      </c>
      <c r="J2730" s="76">
        <f>IF(C2730=0,0,ROUNDDOWN(I2730*C2730/100,1))</f>
        <v>0</v>
      </c>
      <c r="K2730" s="82">
        <f>H2728+H2729</f>
        <v>71117</v>
      </c>
      <c r="L2730" s="76">
        <f>IF(C2730=0,0,ROUNDDOWN(K2730*C2730/100,1))</f>
        <v>1422.3</v>
      </c>
      <c r="M2730" s="22"/>
      <c r="N2730" s="17" t="s">
        <v>7065</v>
      </c>
      <c r="O2730" s="7" t="s">
        <v>7066</v>
      </c>
      <c r="P2730" s="7" t="s">
        <v>6406</v>
      </c>
    </row>
    <row r="2731" spans="1:26" ht="28.7" customHeight="1" x14ac:dyDescent="0.3">
      <c r="A2731" s="22" t="s">
        <v>6</v>
      </c>
      <c r="B2731" s="74"/>
      <c r="C2731" s="74"/>
      <c r="D2731" s="74"/>
      <c r="E2731" s="74"/>
      <c r="F2731" s="48">
        <f>J2731+H2731+L2731</f>
        <v>72539</v>
      </c>
      <c r="G2731" s="74"/>
      <c r="H2731" s="48">
        <f>ROUNDDOWN(SUMIF(P2728:P2730,O2731,H2728:H2730),0)</f>
        <v>71117</v>
      </c>
      <c r="I2731" s="74"/>
      <c r="J2731" s="48">
        <f>ROUNDDOWN(SUMIF(P2728:P2730,O2731,J2728:J2730),0)</f>
        <v>0</v>
      </c>
      <c r="K2731" s="74"/>
      <c r="L2731" s="48">
        <f>ROUNDDOWN(SUMIF(P2728:P2730,O2731,L2728:L2730),0)</f>
        <v>1422</v>
      </c>
      <c r="M2731" s="74"/>
      <c r="O2731" s="7" t="s">
        <v>6406</v>
      </c>
    </row>
    <row r="2732" spans="1:26" ht="28.7" customHeight="1" x14ac:dyDescent="0.3">
      <c r="A2732" s="73"/>
      <c r="B2732" s="73"/>
      <c r="C2732" s="73"/>
      <c r="D2732" s="73"/>
      <c r="E2732" s="73"/>
      <c r="F2732" s="73"/>
      <c r="G2732" s="73"/>
      <c r="H2732" s="73"/>
      <c r="I2732" s="73"/>
      <c r="J2732" s="73"/>
      <c r="K2732" s="73"/>
      <c r="L2732" s="73"/>
      <c r="M2732" s="73"/>
    </row>
    <row r="2733" spans="1:26" ht="28.7" customHeight="1" x14ac:dyDescent="0.3">
      <c r="A2733" s="136" t="s">
        <v>1547</v>
      </c>
      <c r="B2733" s="127"/>
      <c r="C2733" s="127"/>
      <c r="D2733" s="127"/>
      <c r="E2733" s="127"/>
      <c r="F2733" s="127"/>
      <c r="G2733" s="127"/>
      <c r="H2733" s="127"/>
      <c r="I2733" s="127"/>
      <c r="J2733" s="127"/>
      <c r="K2733" s="127"/>
      <c r="L2733" s="144"/>
      <c r="M2733" s="22" t="s">
        <v>8377</v>
      </c>
      <c r="N2733" s="84" t="str">
        <f>HYPERLINK("#N"&amp;ROW(N2735),"_x0005_`BDCOD|B05093_x0007_`POSS|"&amp;ROW(N2734)&amp;"_x0007_`POSE|"&amp;ROW(N2735)&amp;"_x0007_`")</f>
        <v>_x0005_`BDCOD|B05093_x0007_`POSS|2734_x0007_`POSE|2735_x0007_`</v>
      </c>
      <c r="O2733" s="7" t="s">
        <v>8378</v>
      </c>
    </row>
    <row r="2734" spans="1:26" ht="28.7" customHeight="1" x14ac:dyDescent="0.3">
      <c r="A2734" s="10" t="s">
        <v>1952</v>
      </c>
      <c r="B2734" s="10" t="s">
        <v>1953</v>
      </c>
      <c r="C2734" s="75">
        <v>1</v>
      </c>
      <c r="D2734" s="31" t="s">
        <v>515</v>
      </c>
      <c r="E2734" s="55">
        <f>I2734+G2734+K2734</f>
        <v>18710</v>
      </c>
      <c r="F2734" s="76">
        <f>J2734+H2734+L2734</f>
        <v>18710</v>
      </c>
      <c r="G2734" s="78">
        <f>일위대가목록표!F755</f>
        <v>18344</v>
      </c>
      <c r="H2734" s="80">
        <f>IF(C2734=0,0,ROUNDDOWN(G2734*C2734,1))</f>
        <v>18344</v>
      </c>
      <c r="I2734" s="78">
        <f>일위대가목록표!G755</f>
        <v>0</v>
      </c>
      <c r="J2734" s="80">
        <f>IF(C2734=0,0,ROUNDDOWN(I2734*C2734,1))</f>
        <v>0</v>
      </c>
      <c r="K2734" s="78">
        <f>일위대가목록표!H755</f>
        <v>366</v>
      </c>
      <c r="L2734" s="80">
        <f>IF(C2734=0,0,ROUNDDOWN(K2734*C2734,1))</f>
        <v>366</v>
      </c>
      <c r="M2734" s="22" t="s">
        <v>8381</v>
      </c>
      <c r="N2734" s="17" t="s">
        <v>8379</v>
      </c>
      <c r="O2734" s="7" t="s">
        <v>8380</v>
      </c>
      <c r="P2734" s="7" t="s">
        <v>6406</v>
      </c>
      <c r="Z2734" s="3" t="str">
        <f ca="1">HYPERLINK("#"&amp;일위대가목록표!J2&amp;"!A"&amp;ROW(일위대가목록표!A755),"대가752 →")</f>
        <v>대가752 →</v>
      </c>
    </row>
    <row r="2735" spans="1:26" ht="28.7" customHeight="1" x14ac:dyDescent="0.3">
      <c r="A2735" s="10" t="s">
        <v>2218</v>
      </c>
      <c r="B2735" s="10" t="s">
        <v>2225</v>
      </c>
      <c r="C2735" s="75">
        <v>1</v>
      </c>
      <c r="D2735" s="31" t="s">
        <v>1010</v>
      </c>
      <c r="E2735" s="55">
        <f>I2735+G2735+K2735</f>
        <v>13500</v>
      </c>
      <c r="F2735" s="77">
        <f>J2735+H2735+L2735</f>
        <v>13500</v>
      </c>
      <c r="G2735" s="51">
        <v>0</v>
      </c>
      <c r="H2735" s="76">
        <f>IF(C2735=0,0,ROUNDDOWN(G2735*C2735,1))</f>
        <v>0</v>
      </c>
      <c r="I2735" s="78">
        <f>재료비목록표!E68</f>
        <v>13500</v>
      </c>
      <c r="J2735" s="81">
        <f>IF(C2735=0,0,ROUNDDOWN(I2735*C2735,1))</f>
        <v>13500</v>
      </c>
      <c r="K2735" s="51">
        <v>0</v>
      </c>
      <c r="L2735" s="76">
        <f>IF(C2735=0,0,ROUNDDOWN(K2735*C2735,1))</f>
        <v>0</v>
      </c>
      <c r="M2735" s="22" t="s">
        <v>8383</v>
      </c>
      <c r="N2735" s="17" t="s">
        <v>8382</v>
      </c>
      <c r="O2735" s="7" t="s">
        <v>6240</v>
      </c>
      <c r="P2735" s="7" t="s">
        <v>6406</v>
      </c>
      <c r="Z2735" s="3" t="str">
        <f ca="1">HYPERLINK("#"&amp;재료비목록표!G2&amp;"!A"&amp;ROW(재료비목록표!A68),"자재65 →")</f>
        <v>자재65 →</v>
      </c>
    </row>
    <row r="2736" spans="1:26" ht="28.7" customHeight="1" x14ac:dyDescent="0.3">
      <c r="A2736" s="22" t="s">
        <v>6</v>
      </c>
      <c r="B2736" s="74"/>
      <c r="C2736" s="74"/>
      <c r="D2736" s="74"/>
      <c r="E2736" s="74"/>
      <c r="F2736" s="48">
        <f>J2736+H2736+L2736</f>
        <v>32210</v>
      </c>
      <c r="G2736" s="74"/>
      <c r="H2736" s="48">
        <f>ROUNDDOWN(SUMIF(P2734:P2735,O2736,H2734:H2735),0)</f>
        <v>18344</v>
      </c>
      <c r="I2736" s="74"/>
      <c r="J2736" s="48">
        <f>ROUNDDOWN(SUMIF(P2734:P2735,O2736,J2734:J2735),0)</f>
        <v>13500</v>
      </c>
      <c r="K2736" s="74"/>
      <c r="L2736" s="48">
        <f>ROUNDDOWN(SUMIF(P2734:P2735,O2736,L2734:L2735),0)</f>
        <v>366</v>
      </c>
      <c r="M2736" s="74"/>
      <c r="O2736" s="7" t="s">
        <v>6406</v>
      </c>
    </row>
    <row r="2737" spans="1:26" ht="28.7" customHeight="1" x14ac:dyDescent="0.3">
      <c r="A2737" s="73"/>
      <c r="B2737" s="73"/>
      <c r="C2737" s="73"/>
      <c r="D2737" s="73"/>
      <c r="E2737" s="73"/>
      <c r="F2737" s="73"/>
      <c r="G2737" s="73"/>
      <c r="H2737" s="73"/>
      <c r="I2737" s="73"/>
      <c r="J2737" s="73"/>
      <c r="K2737" s="73"/>
      <c r="L2737" s="73"/>
      <c r="M2737" s="73"/>
    </row>
    <row r="2738" spans="1:26" ht="28.7" customHeight="1" x14ac:dyDescent="0.3">
      <c r="A2738" s="136" t="s">
        <v>1551</v>
      </c>
      <c r="B2738" s="127"/>
      <c r="C2738" s="127"/>
      <c r="D2738" s="127"/>
      <c r="E2738" s="127"/>
      <c r="F2738" s="127"/>
      <c r="G2738" s="127"/>
      <c r="H2738" s="127"/>
      <c r="I2738" s="127"/>
      <c r="J2738" s="127"/>
      <c r="K2738" s="127"/>
      <c r="L2738" s="144"/>
      <c r="M2738" s="22" t="s">
        <v>8384</v>
      </c>
      <c r="N2738" s="84" t="str">
        <f>HYPERLINK("#N"&amp;ROW(N2740),"_x0005_`BDCOD|B05094_x0007_`POSS|"&amp;ROW(N2739)&amp;"_x0007_`POSE|"&amp;ROW(N2740)&amp;"_x0007_`")</f>
        <v>_x0005_`BDCOD|B05094_x0007_`POSS|2739_x0007_`POSE|2740_x0007_`</v>
      </c>
      <c r="O2738" s="7" t="s">
        <v>8385</v>
      </c>
    </row>
    <row r="2739" spans="1:26" ht="28.7" customHeight="1" x14ac:dyDescent="0.3">
      <c r="A2739" s="10" t="s">
        <v>1952</v>
      </c>
      <c r="B2739" s="10" t="s">
        <v>1953</v>
      </c>
      <c r="C2739" s="75">
        <v>1</v>
      </c>
      <c r="D2739" s="31" t="s">
        <v>515</v>
      </c>
      <c r="E2739" s="55">
        <f>I2739+G2739+K2739</f>
        <v>18710</v>
      </c>
      <c r="F2739" s="76">
        <f>J2739+H2739+L2739</f>
        <v>18710</v>
      </c>
      <c r="G2739" s="78">
        <f>일위대가목록표!F755</f>
        <v>18344</v>
      </c>
      <c r="H2739" s="80">
        <f>IF(C2739=0,0,ROUNDDOWN(G2739*C2739,1))</f>
        <v>18344</v>
      </c>
      <c r="I2739" s="78">
        <f>일위대가목록표!G755</f>
        <v>0</v>
      </c>
      <c r="J2739" s="80">
        <f>IF(C2739=0,0,ROUNDDOWN(I2739*C2739,1))</f>
        <v>0</v>
      </c>
      <c r="K2739" s="78">
        <f>일위대가목록표!H755</f>
        <v>366</v>
      </c>
      <c r="L2739" s="80">
        <f>IF(C2739=0,0,ROUNDDOWN(K2739*C2739,1))</f>
        <v>366</v>
      </c>
      <c r="M2739" s="22" t="s">
        <v>8381</v>
      </c>
      <c r="N2739" s="17" t="s">
        <v>8379</v>
      </c>
      <c r="O2739" s="7" t="s">
        <v>8380</v>
      </c>
      <c r="P2739" s="7" t="s">
        <v>6406</v>
      </c>
      <c r="Z2739" s="3" t="str">
        <f ca="1">HYPERLINK("#"&amp;일위대가목록표!J2&amp;"!A"&amp;ROW(일위대가목록표!A755),"대가752 →")</f>
        <v>대가752 →</v>
      </c>
    </row>
    <row r="2740" spans="1:26" ht="28.7" customHeight="1" x14ac:dyDescent="0.3">
      <c r="A2740" s="10" t="s">
        <v>2218</v>
      </c>
      <c r="B2740" s="10" t="s">
        <v>1416</v>
      </c>
      <c r="C2740" s="75">
        <v>1</v>
      </c>
      <c r="D2740" s="31" t="s">
        <v>1010</v>
      </c>
      <c r="E2740" s="55">
        <f>I2740+G2740+K2740</f>
        <v>14500</v>
      </c>
      <c r="F2740" s="77">
        <f>J2740+H2740+L2740</f>
        <v>14500</v>
      </c>
      <c r="G2740" s="51">
        <v>0</v>
      </c>
      <c r="H2740" s="76">
        <f>IF(C2740=0,0,ROUNDDOWN(G2740*C2740,1))</f>
        <v>0</v>
      </c>
      <c r="I2740" s="78">
        <f>재료비목록표!E70</f>
        <v>14500</v>
      </c>
      <c r="J2740" s="81">
        <f>IF(C2740=0,0,ROUNDDOWN(I2740*C2740,1))</f>
        <v>14500</v>
      </c>
      <c r="K2740" s="51">
        <v>0</v>
      </c>
      <c r="L2740" s="76">
        <f>IF(C2740=0,0,ROUNDDOWN(K2740*C2740,1))</f>
        <v>0</v>
      </c>
      <c r="M2740" s="22" t="s">
        <v>8387</v>
      </c>
      <c r="N2740" s="17" t="s">
        <v>8386</v>
      </c>
      <c r="O2740" s="7" t="s">
        <v>6243</v>
      </c>
      <c r="P2740" s="7" t="s">
        <v>6406</v>
      </c>
      <c r="Z2740" s="3" t="str">
        <f ca="1">HYPERLINK("#"&amp;재료비목록표!G2&amp;"!A"&amp;ROW(재료비목록표!A70),"자재67 →")</f>
        <v>자재67 →</v>
      </c>
    </row>
    <row r="2741" spans="1:26" ht="28.7" customHeight="1" x14ac:dyDescent="0.3">
      <c r="A2741" s="22" t="s">
        <v>6</v>
      </c>
      <c r="B2741" s="74"/>
      <c r="C2741" s="74"/>
      <c r="D2741" s="74"/>
      <c r="E2741" s="74"/>
      <c r="F2741" s="48">
        <f>J2741+H2741+L2741</f>
        <v>33210</v>
      </c>
      <c r="G2741" s="74"/>
      <c r="H2741" s="48">
        <f>ROUNDDOWN(SUMIF(P2739:P2740,O2741,H2739:H2740),0)</f>
        <v>18344</v>
      </c>
      <c r="I2741" s="74"/>
      <c r="J2741" s="48">
        <f>ROUNDDOWN(SUMIF(P2739:P2740,O2741,J2739:J2740),0)</f>
        <v>14500</v>
      </c>
      <c r="K2741" s="74"/>
      <c r="L2741" s="48">
        <f>ROUNDDOWN(SUMIF(P2739:P2740,O2741,L2739:L2740),0)</f>
        <v>366</v>
      </c>
      <c r="M2741" s="74"/>
      <c r="O2741" s="7" t="s">
        <v>6406</v>
      </c>
    </row>
    <row r="2742" spans="1:26" ht="28.7" customHeight="1" x14ac:dyDescent="0.3">
      <c r="A2742" s="73"/>
      <c r="B2742" s="73"/>
      <c r="C2742" s="73"/>
      <c r="D2742" s="73"/>
      <c r="E2742" s="73"/>
      <c r="F2742" s="73"/>
      <c r="G2742" s="73"/>
      <c r="H2742" s="73"/>
      <c r="I2742" s="73"/>
      <c r="J2742" s="73"/>
      <c r="K2742" s="73"/>
      <c r="L2742" s="73"/>
      <c r="M2742" s="73"/>
    </row>
    <row r="2743" spans="1:26" ht="28.7" customHeight="1" x14ac:dyDescent="0.3">
      <c r="A2743" s="136" t="s">
        <v>1554</v>
      </c>
      <c r="B2743" s="127"/>
      <c r="C2743" s="127"/>
      <c r="D2743" s="127"/>
      <c r="E2743" s="127"/>
      <c r="F2743" s="127"/>
      <c r="G2743" s="127"/>
      <c r="H2743" s="127"/>
      <c r="I2743" s="127"/>
      <c r="J2743" s="127"/>
      <c r="K2743" s="127"/>
      <c r="L2743" s="144"/>
      <c r="M2743" s="22" t="s">
        <v>8388</v>
      </c>
      <c r="N2743" s="84" t="str">
        <f>HYPERLINK("#N"&amp;ROW(N2745),"_x0005_`BDCOD|B05095_x0007_`POSS|"&amp;ROW(N2744)&amp;"_x0007_`POSE|"&amp;ROW(N2745)&amp;"_x0007_`")</f>
        <v>_x0005_`BDCOD|B05095_x0007_`POSS|2744_x0007_`POSE|2745_x0007_`</v>
      </c>
      <c r="O2743" s="7" t="s">
        <v>8389</v>
      </c>
    </row>
    <row r="2744" spans="1:26" ht="28.7" customHeight="1" x14ac:dyDescent="0.3">
      <c r="A2744" s="10" t="s">
        <v>1952</v>
      </c>
      <c r="B2744" s="10" t="s">
        <v>1953</v>
      </c>
      <c r="C2744" s="75">
        <v>1</v>
      </c>
      <c r="D2744" s="31" t="s">
        <v>515</v>
      </c>
      <c r="E2744" s="55">
        <f>I2744+G2744+K2744</f>
        <v>18710</v>
      </c>
      <c r="F2744" s="76">
        <f>J2744+H2744+L2744</f>
        <v>18710</v>
      </c>
      <c r="G2744" s="78">
        <f>일위대가목록표!F755</f>
        <v>18344</v>
      </c>
      <c r="H2744" s="80">
        <f>IF(C2744=0,0,ROUNDDOWN(G2744*C2744,1))</f>
        <v>18344</v>
      </c>
      <c r="I2744" s="78">
        <f>일위대가목록표!G755</f>
        <v>0</v>
      </c>
      <c r="J2744" s="80">
        <f>IF(C2744=0,0,ROUNDDOWN(I2744*C2744,1))</f>
        <v>0</v>
      </c>
      <c r="K2744" s="78">
        <f>일위대가목록표!H755</f>
        <v>366</v>
      </c>
      <c r="L2744" s="80">
        <f>IF(C2744=0,0,ROUNDDOWN(K2744*C2744,1))</f>
        <v>366</v>
      </c>
      <c r="M2744" s="22" t="s">
        <v>8381</v>
      </c>
      <c r="N2744" s="17" t="s">
        <v>8379</v>
      </c>
      <c r="O2744" s="7" t="s">
        <v>8380</v>
      </c>
      <c r="P2744" s="7" t="s">
        <v>6406</v>
      </c>
      <c r="Z2744" s="3" t="str">
        <f ca="1">HYPERLINK("#"&amp;일위대가목록표!J2&amp;"!A"&amp;ROW(일위대가목록표!A755),"대가752 →")</f>
        <v>대가752 →</v>
      </c>
    </row>
    <row r="2745" spans="1:26" ht="28.7" customHeight="1" x14ac:dyDescent="0.3">
      <c r="A2745" s="10" t="s">
        <v>2218</v>
      </c>
      <c r="B2745" s="10" t="s">
        <v>1419</v>
      </c>
      <c r="C2745" s="75">
        <v>1</v>
      </c>
      <c r="D2745" s="31" t="s">
        <v>1010</v>
      </c>
      <c r="E2745" s="55">
        <f>I2745+G2745+K2745</f>
        <v>17000</v>
      </c>
      <c r="F2745" s="77">
        <f>J2745+H2745+L2745</f>
        <v>17000</v>
      </c>
      <c r="G2745" s="51">
        <v>0</v>
      </c>
      <c r="H2745" s="76">
        <f>IF(C2745=0,0,ROUNDDOWN(G2745*C2745,1))</f>
        <v>0</v>
      </c>
      <c r="I2745" s="78">
        <f>재료비목록표!E72</f>
        <v>17000</v>
      </c>
      <c r="J2745" s="81">
        <f>IF(C2745=0,0,ROUNDDOWN(I2745*C2745,1))</f>
        <v>17000</v>
      </c>
      <c r="K2745" s="51">
        <v>0</v>
      </c>
      <c r="L2745" s="76">
        <f>IF(C2745=0,0,ROUNDDOWN(K2745*C2745,1))</f>
        <v>0</v>
      </c>
      <c r="M2745" s="22" t="s">
        <v>8391</v>
      </c>
      <c r="N2745" s="17" t="s">
        <v>8390</v>
      </c>
      <c r="O2745" s="7" t="s">
        <v>6249</v>
      </c>
      <c r="P2745" s="7" t="s">
        <v>6406</v>
      </c>
      <c r="Z2745" s="3" t="str">
        <f ca="1">HYPERLINK("#"&amp;재료비목록표!G2&amp;"!A"&amp;ROW(재료비목록표!A72),"자재69 →")</f>
        <v>자재69 →</v>
      </c>
    </row>
    <row r="2746" spans="1:26" ht="28.7" customHeight="1" x14ac:dyDescent="0.3">
      <c r="A2746" s="22" t="s">
        <v>6</v>
      </c>
      <c r="B2746" s="74"/>
      <c r="C2746" s="74"/>
      <c r="D2746" s="74"/>
      <c r="E2746" s="74"/>
      <c r="F2746" s="48">
        <f>J2746+H2746+L2746</f>
        <v>35710</v>
      </c>
      <c r="G2746" s="74"/>
      <c r="H2746" s="48">
        <f>ROUNDDOWN(SUMIF(P2744:P2745,O2746,H2744:H2745),0)</f>
        <v>18344</v>
      </c>
      <c r="I2746" s="74"/>
      <c r="J2746" s="48">
        <f>ROUNDDOWN(SUMIF(P2744:P2745,O2746,J2744:J2745),0)</f>
        <v>17000</v>
      </c>
      <c r="K2746" s="74"/>
      <c r="L2746" s="48">
        <f>ROUNDDOWN(SUMIF(P2744:P2745,O2746,L2744:L2745),0)</f>
        <v>366</v>
      </c>
      <c r="M2746" s="74"/>
      <c r="O2746" s="7" t="s">
        <v>6406</v>
      </c>
    </row>
    <row r="2747" spans="1:26" ht="28.7" customHeight="1" x14ac:dyDescent="0.3">
      <c r="A2747" s="73"/>
      <c r="B2747" s="73"/>
      <c r="C2747" s="73"/>
      <c r="D2747" s="73"/>
      <c r="E2747" s="73"/>
      <c r="F2747" s="73"/>
      <c r="G2747" s="73"/>
      <c r="H2747" s="73"/>
      <c r="I2747" s="73"/>
      <c r="J2747" s="73"/>
      <c r="K2747" s="73"/>
      <c r="L2747" s="73"/>
      <c r="M2747" s="73"/>
    </row>
    <row r="2748" spans="1:26" ht="28.7" customHeight="1" x14ac:dyDescent="0.3">
      <c r="A2748" s="136" t="s">
        <v>1557</v>
      </c>
      <c r="B2748" s="127"/>
      <c r="C2748" s="127"/>
      <c r="D2748" s="127"/>
      <c r="E2748" s="127"/>
      <c r="F2748" s="127"/>
      <c r="G2748" s="127"/>
      <c r="H2748" s="127"/>
      <c r="I2748" s="127"/>
      <c r="J2748" s="127"/>
      <c r="K2748" s="127"/>
      <c r="L2748" s="144"/>
      <c r="M2748" s="22" t="s">
        <v>8392</v>
      </c>
      <c r="N2748" s="84" t="str">
        <f>HYPERLINK("#N"&amp;ROW(N2750),"_x0005_`BDCOD|B05101_x0007_`POSS|"&amp;ROW(N2749)&amp;"_x0007_`POSE|"&amp;ROW(N2750)&amp;"_x0007_`")</f>
        <v>_x0005_`BDCOD|B05101_x0007_`POSS|2749_x0007_`POSE|2750_x0007_`</v>
      </c>
      <c r="O2748" s="7" t="s">
        <v>8393</v>
      </c>
    </row>
    <row r="2749" spans="1:26" ht="28.7" customHeight="1" x14ac:dyDescent="0.3">
      <c r="A2749" s="10" t="s">
        <v>1952</v>
      </c>
      <c r="B2749" s="10" t="s">
        <v>1953</v>
      </c>
      <c r="C2749" s="75">
        <v>1</v>
      </c>
      <c r="D2749" s="31" t="s">
        <v>515</v>
      </c>
      <c r="E2749" s="55">
        <f>I2749+G2749+K2749</f>
        <v>18710</v>
      </c>
      <c r="F2749" s="76">
        <f>J2749+H2749+L2749</f>
        <v>18710</v>
      </c>
      <c r="G2749" s="78">
        <f>일위대가목록표!F755</f>
        <v>18344</v>
      </c>
      <c r="H2749" s="80">
        <f>IF(C2749=0,0,ROUNDDOWN(G2749*C2749,1))</f>
        <v>18344</v>
      </c>
      <c r="I2749" s="78">
        <f>일위대가목록표!G755</f>
        <v>0</v>
      </c>
      <c r="J2749" s="80">
        <f>IF(C2749=0,0,ROUNDDOWN(I2749*C2749,1))</f>
        <v>0</v>
      </c>
      <c r="K2749" s="78">
        <f>일위대가목록표!H755</f>
        <v>366</v>
      </c>
      <c r="L2749" s="80">
        <f>IF(C2749=0,0,ROUNDDOWN(K2749*C2749,1))</f>
        <v>366</v>
      </c>
      <c r="M2749" s="22" t="s">
        <v>8381</v>
      </c>
      <c r="N2749" s="17" t="s">
        <v>8379</v>
      </c>
      <c r="O2749" s="7" t="s">
        <v>8380</v>
      </c>
      <c r="P2749" s="7" t="s">
        <v>6406</v>
      </c>
      <c r="Z2749" s="3" t="str">
        <f ca="1">HYPERLINK("#"&amp;일위대가목록표!J2&amp;"!A"&amp;ROW(일위대가목록표!A755),"대가752 →")</f>
        <v>대가752 →</v>
      </c>
    </row>
    <row r="2750" spans="1:26" ht="28.7" customHeight="1" x14ac:dyDescent="0.3">
      <c r="A2750" s="10" t="s">
        <v>2218</v>
      </c>
      <c r="B2750" s="10" t="s">
        <v>2238</v>
      </c>
      <c r="C2750" s="75">
        <v>1</v>
      </c>
      <c r="D2750" s="31" t="s">
        <v>1010</v>
      </c>
      <c r="E2750" s="55">
        <f>I2750+G2750+K2750</f>
        <v>18000</v>
      </c>
      <c r="F2750" s="77">
        <f>J2750+H2750+L2750</f>
        <v>18000</v>
      </c>
      <c r="G2750" s="51">
        <v>0</v>
      </c>
      <c r="H2750" s="76">
        <f>IF(C2750=0,0,ROUNDDOWN(G2750*C2750,1))</f>
        <v>0</v>
      </c>
      <c r="I2750" s="78">
        <f>재료비목록표!E73</f>
        <v>18000</v>
      </c>
      <c r="J2750" s="81">
        <f>IF(C2750=0,0,ROUNDDOWN(I2750*C2750,1))</f>
        <v>18000</v>
      </c>
      <c r="K2750" s="51">
        <v>0</v>
      </c>
      <c r="L2750" s="76">
        <f>IF(C2750=0,0,ROUNDDOWN(K2750*C2750,1))</f>
        <v>0</v>
      </c>
      <c r="M2750" s="22" t="s">
        <v>8395</v>
      </c>
      <c r="N2750" s="17" t="s">
        <v>8394</v>
      </c>
      <c r="O2750" s="7" t="s">
        <v>6252</v>
      </c>
      <c r="P2750" s="7" t="s">
        <v>6406</v>
      </c>
      <c r="Z2750" s="3" t="str">
        <f ca="1">HYPERLINK("#"&amp;재료비목록표!G2&amp;"!A"&amp;ROW(재료비목록표!A73),"자재70 →")</f>
        <v>자재70 →</v>
      </c>
    </row>
    <row r="2751" spans="1:26" ht="28.7" customHeight="1" x14ac:dyDescent="0.3">
      <c r="A2751" s="22" t="s">
        <v>6</v>
      </c>
      <c r="B2751" s="74"/>
      <c r="C2751" s="74"/>
      <c r="D2751" s="74"/>
      <c r="E2751" s="74"/>
      <c r="F2751" s="48">
        <f>J2751+H2751+L2751</f>
        <v>36710</v>
      </c>
      <c r="G2751" s="74"/>
      <c r="H2751" s="48">
        <f>ROUNDDOWN(SUMIF(P2749:P2750,O2751,H2749:H2750),0)</f>
        <v>18344</v>
      </c>
      <c r="I2751" s="74"/>
      <c r="J2751" s="48">
        <f>ROUNDDOWN(SUMIF(P2749:P2750,O2751,J2749:J2750),0)</f>
        <v>18000</v>
      </c>
      <c r="K2751" s="74"/>
      <c r="L2751" s="48">
        <f>ROUNDDOWN(SUMIF(P2749:P2750,O2751,L2749:L2750),0)</f>
        <v>366</v>
      </c>
      <c r="M2751" s="74"/>
      <c r="O2751" s="7" t="s">
        <v>6406</v>
      </c>
    </row>
    <row r="2752" spans="1:26" ht="28.7" customHeight="1" x14ac:dyDescent="0.3">
      <c r="A2752" s="73"/>
      <c r="B2752" s="73"/>
      <c r="C2752" s="73"/>
      <c r="D2752" s="73"/>
      <c r="E2752" s="73"/>
      <c r="F2752" s="73"/>
      <c r="G2752" s="73"/>
      <c r="H2752" s="73"/>
      <c r="I2752" s="73"/>
      <c r="J2752" s="73"/>
      <c r="K2752" s="73"/>
      <c r="L2752" s="73"/>
      <c r="M2752" s="73"/>
    </row>
    <row r="2753" spans="1:26" ht="28.7" customHeight="1" x14ac:dyDescent="0.3">
      <c r="A2753" s="136" t="s">
        <v>1560</v>
      </c>
      <c r="B2753" s="127"/>
      <c r="C2753" s="127"/>
      <c r="D2753" s="127"/>
      <c r="E2753" s="127"/>
      <c r="F2753" s="127"/>
      <c r="G2753" s="127"/>
      <c r="H2753" s="127"/>
      <c r="I2753" s="127"/>
      <c r="J2753" s="127"/>
      <c r="K2753" s="127"/>
      <c r="L2753" s="144"/>
      <c r="M2753" s="22" t="s">
        <v>8396</v>
      </c>
      <c r="N2753" s="84" t="str">
        <f>HYPERLINK("#N"&amp;ROW(N2755),"_x0005_`BDCOD|B05096_x0007_`POSS|"&amp;ROW(N2754)&amp;"_x0007_`POSE|"&amp;ROW(N2755)&amp;"_x0007_`")</f>
        <v>_x0005_`BDCOD|B05096_x0007_`POSS|2754_x0007_`POSE|2755_x0007_`</v>
      </c>
      <c r="O2753" s="7" t="s">
        <v>8397</v>
      </c>
    </row>
    <row r="2754" spans="1:26" ht="28.7" customHeight="1" x14ac:dyDescent="0.3">
      <c r="A2754" s="10" t="s">
        <v>1952</v>
      </c>
      <c r="B2754" s="10" t="s">
        <v>1953</v>
      </c>
      <c r="C2754" s="75">
        <v>1</v>
      </c>
      <c r="D2754" s="31" t="s">
        <v>515</v>
      </c>
      <c r="E2754" s="55">
        <f>I2754+G2754+K2754</f>
        <v>18710</v>
      </c>
      <c r="F2754" s="76">
        <f>J2754+H2754+L2754</f>
        <v>18710</v>
      </c>
      <c r="G2754" s="78">
        <f>일위대가목록표!F755</f>
        <v>18344</v>
      </c>
      <c r="H2754" s="80">
        <f>IF(C2754=0,0,ROUNDDOWN(G2754*C2754,1))</f>
        <v>18344</v>
      </c>
      <c r="I2754" s="78">
        <f>일위대가목록표!G755</f>
        <v>0</v>
      </c>
      <c r="J2754" s="80">
        <f>IF(C2754=0,0,ROUNDDOWN(I2754*C2754,1))</f>
        <v>0</v>
      </c>
      <c r="K2754" s="78">
        <f>일위대가목록표!H755</f>
        <v>366</v>
      </c>
      <c r="L2754" s="80">
        <f>IF(C2754=0,0,ROUNDDOWN(K2754*C2754,1))</f>
        <v>366</v>
      </c>
      <c r="M2754" s="22" t="s">
        <v>8381</v>
      </c>
      <c r="N2754" s="17" t="s">
        <v>8379</v>
      </c>
      <c r="O2754" s="7" t="s">
        <v>8380</v>
      </c>
      <c r="P2754" s="7" t="s">
        <v>6406</v>
      </c>
      <c r="Z2754" s="3" t="str">
        <f ca="1">HYPERLINK("#"&amp;일위대가목록표!J2&amp;"!A"&amp;ROW(일위대가목록표!A755),"대가752 →")</f>
        <v>대가752 →</v>
      </c>
    </row>
    <row r="2755" spans="1:26" ht="28.7" customHeight="1" x14ac:dyDescent="0.3">
      <c r="A2755" s="10" t="s">
        <v>2218</v>
      </c>
      <c r="B2755" s="10" t="s">
        <v>2241</v>
      </c>
      <c r="C2755" s="75">
        <v>1</v>
      </c>
      <c r="D2755" s="31" t="s">
        <v>1010</v>
      </c>
      <c r="E2755" s="55">
        <f>I2755+G2755+K2755</f>
        <v>27000</v>
      </c>
      <c r="F2755" s="77">
        <f>J2755+H2755+L2755</f>
        <v>27000</v>
      </c>
      <c r="G2755" s="51">
        <v>0</v>
      </c>
      <c r="H2755" s="76">
        <f>IF(C2755=0,0,ROUNDDOWN(G2755*C2755,1))</f>
        <v>0</v>
      </c>
      <c r="I2755" s="78">
        <f>재료비목록표!E74</f>
        <v>27000</v>
      </c>
      <c r="J2755" s="81">
        <f>IF(C2755=0,0,ROUNDDOWN(I2755*C2755,1))</f>
        <v>27000</v>
      </c>
      <c r="K2755" s="51">
        <v>0</v>
      </c>
      <c r="L2755" s="76">
        <f>IF(C2755=0,0,ROUNDDOWN(K2755*C2755,1))</f>
        <v>0</v>
      </c>
      <c r="M2755" s="22" t="s">
        <v>8399</v>
      </c>
      <c r="N2755" s="17" t="s">
        <v>8398</v>
      </c>
      <c r="O2755" s="7" t="s">
        <v>6255</v>
      </c>
      <c r="P2755" s="7" t="s">
        <v>6406</v>
      </c>
      <c r="Z2755" s="3" t="str">
        <f ca="1">HYPERLINK("#"&amp;재료비목록표!G2&amp;"!A"&amp;ROW(재료비목록표!A74),"자재71 →")</f>
        <v>자재71 →</v>
      </c>
    </row>
    <row r="2756" spans="1:26" ht="28.7" customHeight="1" x14ac:dyDescent="0.3">
      <c r="A2756" s="22" t="s">
        <v>6</v>
      </c>
      <c r="B2756" s="74"/>
      <c r="C2756" s="74"/>
      <c r="D2756" s="74"/>
      <c r="E2756" s="74"/>
      <c r="F2756" s="48">
        <f>J2756+H2756+L2756</f>
        <v>45710</v>
      </c>
      <c r="G2756" s="74"/>
      <c r="H2756" s="48">
        <f>ROUNDDOWN(SUMIF(P2754:P2755,O2756,H2754:H2755),0)</f>
        <v>18344</v>
      </c>
      <c r="I2756" s="74"/>
      <c r="J2756" s="48">
        <f>ROUNDDOWN(SUMIF(P2754:P2755,O2756,J2754:J2755),0)</f>
        <v>27000</v>
      </c>
      <c r="K2756" s="74"/>
      <c r="L2756" s="48">
        <f>ROUNDDOWN(SUMIF(P2754:P2755,O2756,L2754:L2755),0)</f>
        <v>366</v>
      </c>
      <c r="M2756" s="74"/>
      <c r="O2756" s="7" t="s">
        <v>6406</v>
      </c>
    </row>
    <row r="2757" spans="1:26" ht="28.7" customHeight="1" x14ac:dyDescent="0.3">
      <c r="A2757" s="73"/>
      <c r="B2757" s="73"/>
      <c r="C2757" s="73"/>
      <c r="D2757" s="73"/>
      <c r="E2757" s="73"/>
      <c r="F2757" s="73"/>
      <c r="G2757" s="73"/>
      <c r="H2757" s="73"/>
      <c r="I2757" s="73"/>
      <c r="J2757" s="73"/>
      <c r="K2757" s="73"/>
      <c r="L2757" s="73"/>
      <c r="M2757" s="73"/>
    </row>
    <row r="2758" spans="1:26" ht="28.7" customHeight="1" x14ac:dyDescent="0.3">
      <c r="A2758" s="136" t="s">
        <v>1563</v>
      </c>
      <c r="B2758" s="127"/>
      <c r="C2758" s="127"/>
      <c r="D2758" s="127"/>
      <c r="E2758" s="127"/>
      <c r="F2758" s="127"/>
      <c r="G2758" s="127"/>
      <c r="H2758" s="127"/>
      <c r="I2758" s="127"/>
      <c r="J2758" s="127"/>
      <c r="K2758" s="127"/>
      <c r="L2758" s="144"/>
      <c r="M2758" s="22" t="s">
        <v>8400</v>
      </c>
      <c r="N2758" s="84" t="str">
        <f>HYPERLINK("#N"&amp;ROW(N2760),"_x0005_`BDCOD|B05097_x0007_`POSS|"&amp;ROW(N2759)&amp;"_x0007_`POSE|"&amp;ROW(N2760)&amp;"_x0007_`")</f>
        <v>_x0005_`BDCOD|B05097_x0007_`POSS|2759_x0007_`POSE|2760_x0007_`</v>
      </c>
      <c r="O2758" s="7" t="s">
        <v>8401</v>
      </c>
    </row>
    <row r="2759" spans="1:26" ht="28.7" customHeight="1" x14ac:dyDescent="0.3">
      <c r="A2759" s="10" t="s">
        <v>1952</v>
      </c>
      <c r="B2759" s="10" t="s">
        <v>1543</v>
      </c>
      <c r="C2759" s="75">
        <v>1</v>
      </c>
      <c r="D2759" s="31" t="s">
        <v>515</v>
      </c>
      <c r="E2759" s="55">
        <f>I2759+G2759+K2759</f>
        <v>50219</v>
      </c>
      <c r="F2759" s="76">
        <f>J2759+H2759+L2759</f>
        <v>50219</v>
      </c>
      <c r="G2759" s="78">
        <f>일위대가목록표!F756</f>
        <v>49235</v>
      </c>
      <c r="H2759" s="80">
        <f>IF(C2759=0,0,ROUNDDOWN(G2759*C2759,1))</f>
        <v>49235</v>
      </c>
      <c r="I2759" s="78">
        <f>일위대가목록표!G756</f>
        <v>0</v>
      </c>
      <c r="J2759" s="80">
        <f>IF(C2759=0,0,ROUNDDOWN(I2759*C2759,1))</f>
        <v>0</v>
      </c>
      <c r="K2759" s="78">
        <f>일위대가목록표!H756</f>
        <v>984</v>
      </c>
      <c r="L2759" s="80">
        <f>IF(C2759=0,0,ROUNDDOWN(K2759*C2759,1))</f>
        <v>984</v>
      </c>
      <c r="M2759" s="22" t="s">
        <v>8404</v>
      </c>
      <c r="N2759" s="17" t="s">
        <v>8402</v>
      </c>
      <c r="O2759" s="7" t="s">
        <v>8403</v>
      </c>
      <c r="P2759" s="7" t="s">
        <v>6406</v>
      </c>
      <c r="Z2759" s="3" t="str">
        <f ca="1">HYPERLINK("#"&amp;일위대가목록표!J2&amp;"!A"&amp;ROW(일위대가목록표!A756),"대가753 →")</f>
        <v>대가753 →</v>
      </c>
    </row>
    <row r="2760" spans="1:26" ht="28.7" customHeight="1" x14ac:dyDescent="0.3">
      <c r="A2760" s="10" t="s">
        <v>2218</v>
      </c>
      <c r="B2760" s="10" t="s">
        <v>2244</v>
      </c>
      <c r="C2760" s="75">
        <v>1</v>
      </c>
      <c r="D2760" s="31" t="s">
        <v>1010</v>
      </c>
      <c r="E2760" s="55">
        <f>I2760+G2760+K2760</f>
        <v>47000</v>
      </c>
      <c r="F2760" s="77">
        <f>J2760+H2760+L2760</f>
        <v>47000</v>
      </c>
      <c r="G2760" s="51">
        <v>0</v>
      </c>
      <c r="H2760" s="76">
        <f>IF(C2760=0,0,ROUNDDOWN(G2760*C2760,1))</f>
        <v>0</v>
      </c>
      <c r="I2760" s="78">
        <f>재료비목록표!E75</f>
        <v>47000</v>
      </c>
      <c r="J2760" s="81">
        <f>IF(C2760=0,0,ROUNDDOWN(I2760*C2760,1))</f>
        <v>47000</v>
      </c>
      <c r="K2760" s="51">
        <v>0</v>
      </c>
      <c r="L2760" s="76">
        <f>IF(C2760=0,0,ROUNDDOWN(K2760*C2760,1))</f>
        <v>0</v>
      </c>
      <c r="M2760" s="22" t="s">
        <v>8406</v>
      </c>
      <c r="N2760" s="17" t="s">
        <v>8405</v>
      </c>
      <c r="O2760" s="7" t="s">
        <v>6258</v>
      </c>
      <c r="P2760" s="7" t="s">
        <v>6406</v>
      </c>
      <c r="Z2760" s="3" t="str">
        <f ca="1">HYPERLINK("#"&amp;재료비목록표!G2&amp;"!A"&amp;ROW(재료비목록표!A75),"자재72 →")</f>
        <v>자재72 →</v>
      </c>
    </row>
    <row r="2761" spans="1:26" ht="28.7" customHeight="1" x14ac:dyDescent="0.3">
      <c r="A2761" s="22" t="s">
        <v>6</v>
      </c>
      <c r="B2761" s="74"/>
      <c r="C2761" s="74"/>
      <c r="D2761" s="74"/>
      <c r="E2761" s="74"/>
      <c r="F2761" s="48">
        <f>J2761+H2761+L2761</f>
        <v>97219</v>
      </c>
      <c r="G2761" s="74"/>
      <c r="H2761" s="48">
        <f>ROUNDDOWN(SUMIF(P2759:P2760,O2761,H2759:H2760),0)</f>
        <v>49235</v>
      </c>
      <c r="I2761" s="74"/>
      <c r="J2761" s="48">
        <f>ROUNDDOWN(SUMIF(P2759:P2760,O2761,J2759:J2760),0)</f>
        <v>47000</v>
      </c>
      <c r="K2761" s="74"/>
      <c r="L2761" s="48">
        <f>ROUNDDOWN(SUMIF(P2759:P2760,O2761,L2759:L2760),0)</f>
        <v>984</v>
      </c>
      <c r="M2761" s="74"/>
      <c r="O2761" s="7" t="s">
        <v>6406</v>
      </c>
    </row>
    <row r="2762" spans="1:26" ht="28.7" customHeight="1" x14ac:dyDescent="0.3">
      <c r="A2762" s="73"/>
      <c r="B2762" s="73"/>
      <c r="C2762" s="73"/>
      <c r="D2762" s="73"/>
      <c r="E2762" s="73"/>
      <c r="F2762" s="73"/>
      <c r="G2762" s="73"/>
      <c r="H2762" s="73"/>
      <c r="I2762" s="73"/>
      <c r="J2762" s="73"/>
      <c r="K2762" s="73"/>
      <c r="L2762" s="73"/>
      <c r="M2762" s="73"/>
    </row>
    <row r="2763" spans="1:26" ht="28.7" customHeight="1" x14ac:dyDescent="0.3">
      <c r="A2763" s="136" t="s">
        <v>1565</v>
      </c>
      <c r="B2763" s="127"/>
      <c r="C2763" s="127"/>
      <c r="D2763" s="127"/>
      <c r="E2763" s="127"/>
      <c r="F2763" s="127"/>
      <c r="G2763" s="127"/>
      <c r="H2763" s="127"/>
      <c r="I2763" s="127"/>
      <c r="J2763" s="127"/>
      <c r="K2763" s="127"/>
      <c r="L2763" s="144"/>
      <c r="M2763" s="22" t="s">
        <v>8407</v>
      </c>
      <c r="N2763" s="84" t="str">
        <f>HYPERLINK("#N"&amp;ROW(N2765),"_x0005_`BDCOD|B05098_x0007_`POSS|"&amp;ROW(N2764)&amp;"_x0007_`POSE|"&amp;ROW(N2765)&amp;"_x0007_`")</f>
        <v>_x0005_`BDCOD|B05098_x0007_`POSS|2764_x0007_`POSE|2765_x0007_`</v>
      </c>
      <c r="O2763" s="7" t="s">
        <v>8408</v>
      </c>
    </row>
    <row r="2764" spans="1:26" ht="28.7" customHeight="1" x14ac:dyDescent="0.3">
      <c r="A2764" s="10" t="s">
        <v>1952</v>
      </c>
      <c r="B2764" s="10" t="s">
        <v>1546</v>
      </c>
      <c r="C2764" s="75">
        <v>1</v>
      </c>
      <c r="D2764" s="31" t="s">
        <v>515</v>
      </c>
      <c r="E2764" s="55">
        <f>I2764+G2764+K2764</f>
        <v>72539</v>
      </c>
      <c r="F2764" s="76">
        <f>J2764+H2764+L2764</f>
        <v>72539</v>
      </c>
      <c r="G2764" s="78">
        <f>일위대가목록표!F757</f>
        <v>71117</v>
      </c>
      <c r="H2764" s="80">
        <f>IF(C2764=0,0,ROUNDDOWN(G2764*C2764,1))</f>
        <v>71117</v>
      </c>
      <c r="I2764" s="78">
        <f>일위대가목록표!G757</f>
        <v>0</v>
      </c>
      <c r="J2764" s="80">
        <f>IF(C2764=0,0,ROUNDDOWN(I2764*C2764,1))</f>
        <v>0</v>
      </c>
      <c r="K2764" s="78">
        <f>일위대가목록표!H757</f>
        <v>1422</v>
      </c>
      <c r="L2764" s="80">
        <f>IF(C2764=0,0,ROUNDDOWN(K2764*C2764,1))</f>
        <v>1422</v>
      </c>
      <c r="M2764" s="22" t="s">
        <v>8411</v>
      </c>
      <c r="N2764" s="17" t="s">
        <v>8409</v>
      </c>
      <c r="O2764" s="7" t="s">
        <v>8410</v>
      </c>
      <c r="P2764" s="7" t="s">
        <v>6406</v>
      </c>
      <c r="Z2764" s="3" t="str">
        <f ca="1">HYPERLINK("#"&amp;일위대가목록표!J2&amp;"!A"&amp;ROW(일위대가목록표!A757),"대가754 →")</f>
        <v>대가754 →</v>
      </c>
    </row>
    <row r="2765" spans="1:26" ht="28.7" customHeight="1" x14ac:dyDescent="0.3">
      <c r="A2765" s="10" t="s">
        <v>2218</v>
      </c>
      <c r="B2765" s="10" t="s">
        <v>2219</v>
      </c>
      <c r="C2765" s="75">
        <v>1</v>
      </c>
      <c r="D2765" s="31" t="s">
        <v>1010</v>
      </c>
      <c r="E2765" s="55">
        <f>I2765+G2765+K2765</f>
        <v>54000</v>
      </c>
      <c r="F2765" s="77">
        <f>J2765+H2765+L2765</f>
        <v>54000</v>
      </c>
      <c r="G2765" s="51">
        <v>0</v>
      </c>
      <c r="H2765" s="76">
        <f>IF(C2765=0,0,ROUNDDOWN(G2765*C2765,1))</f>
        <v>0</v>
      </c>
      <c r="I2765" s="78">
        <f>재료비목록표!E66</f>
        <v>54000</v>
      </c>
      <c r="J2765" s="81">
        <f>IF(C2765=0,0,ROUNDDOWN(I2765*C2765,1))</f>
        <v>54000</v>
      </c>
      <c r="K2765" s="51">
        <v>0</v>
      </c>
      <c r="L2765" s="76">
        <f>IF(C2765=0,0,ROUNDDOWN(K2765*C2765,1))</f>
        <v>0</v>
      </c>
      <c r="M2765" s="22" t="s">
        <v>8413</v>
      </c>
      <c r="N2765" s="17" t="s">
        <v>8412</v>
      </c>
      <c r="O2765" s="7" t="s">
        <v>6261</v>
      </c>
      <c r="P2765" s="7" t="s">
        <v>6406</v>
      </c>
      <c r="Z2765" s="3" t="str">
        <f ca="1">HYPERLINK("#"&amp;재료비목록표!G2&amp;"!A"&amp;ROW(재료비목록표!A66),"자재63 →")</f>
        <v>자재63 →</v>
      </c>
    </row>
    <row r="2766" spans="1:26" ht="28.7" customHeight="1" x14ac:dyDescent="0.3">
      <c r="A2766" s="22" t="s">
        <v>6</v>
      </c>
      <c r="B2766" s="74"/>
      <c r="C2766" s="74"/>
      <c r="D2766" s="74"/>
      <c r="E2766" s="74"/>
      <c r="F2766" s="48">
        <f>J2766+H2766+L2766</f>
        <v>126539</v>
      </c>
      <c r="G2766" s="74"/>
      <c r="H2766" s="48">
        <f>ROUNDDOWN(SUMIF(P2764:P2765,O2766,H2764:H2765),0)</f>
        <v>71117</v>
      </c>
      <c r="I2766" s="74"/>
      <c r="J2766" s="48">
        <f>ROUNDDOWN(SUMIF(P2764:P2765,O2766,J2764:J2765),0)</f>
        <v>54000</v>
      </c>
      <c r="K2766" s="74"/>
      <c r="L2766" s="48">
        <f>ROUNDDOWN(SUMIF(P2764:P2765,O2766,L2764:L2765),0)</f>
        <v>1422</v>
      </c>
      <c r="M2766" s="74"/>
      <c r="O2766" s="7" t="s">
        <v>6406</v>
      </c>
    </row>
    <row r="2767" spans="1:26" ht="28.7" customHeight="1" x14ac:dyDescent="0.3">
      <c r="A2767" s="73"/>
      <c r="B2767" s="73"/>
      <c r="C2767" s="73"/>
      <c r="D2767" s="73"/>
      <c r="E2767" s="73"/>
      <c r="F2767" s="73"/>
      <c r="G2767" s="73"/>
      <c r="H2767" s="73"/>
      <c r="I2767" s="73"/>
      <c r="J2767" s="73"/>
      <c r="K2767" s="73"/>
      <c r="L2767" s="73"/>
      <c r="M2767" s="73"/>
    </row>
    <row r="2768" spans="1:26" ht="28.7" customHeight="1" x14ac:dyDescent="0.3">
      <c r="A2768" s="136" t="s">
        <v>1567</v>
      </c>
      <c r="B2768" s="127"/>
      <c r="C2768" s="127"/>
      <c r="D2768" s="127"/>
      <c r="E2768" s="127"/>
      <c r="F2768" s="127"/>
      <c r="G2768" s="127"/>
      <c r="H2768" s="127"/>
      <c r="I2768" s="127"/>
      <c r="J2768" s="127"/>
      <c r="K2768" s="127"/>
      <c r="L2768" s="144"/>
      <c r="M2768" s="22" t="s">
        <v>8414</v>
      </c>
      <c r="N2768" s="84" t="str">
        <f>HYPERLINK("#N"&amp;ROW(N2770),"_x0005_`BDCOD|B05099_x0007_`POSS|"&amp;ROW(N2769)&amp;"_x0007_`POSE|"&amp;ROW(N2770)&amp;"_x0007_`")</f>
        <v>_x0005_`BDCOD|B05099_x0007_`POSS|2769_x0007_`POSE|2770_x0007_`</v>
      </c>
      <c r="O2768" s="7" t="s">
        <v>8415</v>
      </c>
    </row>
    <row r="2769" spans="1:26" ht="28.7" customHeight="1" x14ac:dyDescent="0.3">
      <c r="A2769" s="10" t="s">
        <v>1952</v>
      </c>
      <c r="B2769" s="10" t="s">
        <v>1569</v>
      </c>
      <c r="C2769" s="75">
        <v>1</v>
      </c>
      <c r="D2769" s="31" t="s">
        <v>515</v>
      </c>
      <c r="E2769" s="55">
        <f>I2769+G2769+K2769</f>
        <v>112528</v>
      </c>
      <c r="F2769" s="76">
        <f>J2769+H2769+L2769</f>
        <v>112528</v>
      </c>
      <c r="G2769" s="78">
        <f>일위대가목록표!F758</f>
        <v>110322</v>
      </c>
      <c r="H2769" s="80">
        <f>IF(C2769=0,0,ROUNDDOWN(G2769*C2769,1))</f>
        <v>110322</v>
      </c>
      <c r="I2769" s="78">
        <f>일위대가목록표!G758</f>
        <v>0</v>
      </c>
      <c r="J2769" s="80">
        <f>IF(C2769=0,0,ROUNDDOWN(I2769*C2769,1))</f>
        <v>0</v>
      </c>
      <c r="K2769" s="78">
        <f>일위대가목록표!H758</f>
        <v>2206</v>
      </c>
      <c r="L2769" s="80">
        <f>IF(C2769=0,0,ROUNDDOWN(K2769*C2769,1))</f>
        <v>2206</v>
      </c>
      <c r="M2769" s="22" t="s">
        <v>8418</v>
      </c>
      <c r="N2769" s="17" t="s">
        <v>8416</v>
      </c>
      <c r="O2769" s="7" t="s">
        <v>8417</v>
      </c>
      <c r="P2769" s="7" t="s">
        <v>6406</v>
      </c>
      <c r="Z2769" s="3" t="str">
        <f ca="1">HYPERLINK("#"&amp;일위대가목록표!J2&amp;"!A"&amp;ROW(일위대가목록표!A758),"대가755 →")</f>
        <v>대가755 →</v>
      </c>
    </row>
    <row r="2770" spans="1:26" ht="28.7" customHeight="1" x14ac:dyDescent="0.3">
      <c r="A2770" s="10" t="s">
        <v>2218</v>
      </c>
      <c r="B2770" s="10" t="s">
        <v>2222</v>
      </c>
      <c r="C2770" s="75">
        <v>1</v>
      </c>
      <c r="D2770" s="31" t="s">
        <v>1010</v>
      </c>
      <c r="E2770" s="55">
        <f>I2770+G2770+K2770</f>
        <v>76000</v>
      </c>
      <c r="F2770" s="77">
        <f>J2770+H2770+L2770</f>
        <v>76000</v>
      </c>
      <c r="G2770" s="51">
        <v>0</v>
      </c>
      <c r="H2770" s="76">
        <f>IF(C2770=0,0,ROUNDDOWN(G2770*C2770,1))</f>
        <v>0</v>
      </c>
      <c r="I2770" s="78">
        <f>재료비목록표!E67</f>
        <v>76000</v>
      </c>
      <c r="J2770" s="81">
        <f>IF(C2770=0,0,ROUNDDOWN(I2770*C2770,1))</f>
        <v>76000</v>
      </c>
      <c r="K2770" s="51">
        <v>0</v>
      </c>
      <c r="L2770" s="76">
        <f>IF(C2770=0,0,ROUNDDOWN(K2770*C2770,1))</f>
        <v>0</v>
      </c>
      <c r="M2770" s="22" t="s">
        <v>8420</v>
      </c>
      <c r="N2770" s="17" t="s">
        <v>8419</v>
      </c>
      <c r="O2770" s="7" t="s">
        <v>6264</v>
      </c>
      <c r="P2770" s="7" t="s">
        <v>6406</v>
      </c>
      <c r="Z2770" s="3" t="str">
        <f ca="1">HYPERLINK("#"&amp;재료비목록표!G2&amp;"!A"&amp;ROW(재료비목록표!A67),"자재64 →")</f>
        <v>자재64 →</v>
      </c>
    </row>
    <row r="2771" spans="1:26" ht="28.7" customHeight="1" x14ac:dyDescent="0.3">
      <c r="A2771" s="22" t="s">
        <v>6</v>
      </c>
      <c r="B2771" s="74"/>
      <c r="C2771" s="74"/>
      <c r="D2771" s="74"/>
      <c r="E2771" s="74"/>
      <c r="F2771" s="48">
        <f>J2771+H2771+L2771</f>
        <v>188528</v>
      </c>
      <c r="G2771" s="74"/>
      <c r="H2771" s="48">
        <f>ROUNDDOWN(SUMIF(P2769:P2770,O2771,H2769:H2770),0)</f>
        <v>110322</v>
      </c>
      <c r="I2771" s="74"/>
      <c r="J2771" s="48">
        <f>ROUNDDOWN(SUMIF(P2769:P2770,O2771,J2769:J2770),0)</f>
        <v>76000</v>
      </c>
      <c r="K2771" s="74"/>
      <c r="L2771" s="48">
        <f>ROUNDDOWN(SUMIF(P2769:P2770,O2771,L2769:L2770),0)</f>
        <v>2206</v>
      </c>
      <c r="M2771" s="74"/>
      <c r="O2771" s="7" t="s">
        <v>6406</v>
      </c>
    </row>
    <row r="2772" spans="1:26" ht="28.7" customHeight="1" x14ac:dyDescent="0.3">
      <c r="A2772" s="73"/>
      <c r="B2772" s="73"/>
      <c r="C2772" s="73"/>
      <c r="D2772" s="73"/>
      <c r="E2772" s="73"/>
      <c r="F2772" s="73"/>
      <c r="G2772" s="73"/>
      <c r="H2772" s="73"/>
      <c r="I2772" s="73"/>
      <c r="J2772" s="73"/>
      <c r="K2772" s="73"/>
      <c r="L2772" s="73"/>
      <c r="M2772" s="73"/>
    </row>
    <row r="2773" spans="1:26" ht="28.7" customHeight="1" x14ac:dyDescent="0.3">
      <c r="A2773" s="136" t="s">
        <v>1570</v>
      </c>
      <c r="B2773" s="127"/>
      <c r="C2773" s="127"/>
      <c r="D2773" s="127"/>
      <c r="E2773" s="127"/>
      <c r="F2773" s="127"/>
      <c r="G2773" s="127"/>
      <c r="H2773" s="127"/>
      <c r="I2773" s="127"/>
      <c r="J2773" s="127"/>
      <c r="K2773" s="127"/>
      <c r="L2773" s="144"/>
      <c r="M2773" s="22" t="s">
        <v>8421</v>
      </c>
      <c r="N2773" s="84" t="str">
        <f>HYPERLINK("#N"&amp;ROW(N2775),"_x0005_`BDCOD|B05100_x0007_`POSS|"&amp;ROW(N2774)&amp;"_x0007_`POSE|"&amp;ROW(N2775)&amp;"_x0007_`")</f>
        <v>_x0005_`BDCOD|B05100_x0007_`POSS|2774_x0007_`POSE|2775_x0007_`</v>
      </c>
      <c r="O2773" s="7" t="s">
        <v>8422</v>
      </c>
    </row>
    <row r="2774" spans="1:26" ht="28.7" customHeight="1" x14ac:dyDescent="0.3">
      <c r="A2774" s="10" t="s">
        <v>1952</v>
      </c>
      <c r="B2774" s="10" t="s">
        <v>1572</v>
      </c>
      <c r="C2774" s="75">
        <v>1</v>
      </c>
      <c r="D2774" s="31" t="s">
        <v>515</v>
      </c>
      <c r="E2774" s="55">
        <f>I2774+G2774+K2774</f>
        <v>152090</v>
      </c>
      <c r="F2774" s="76">
        <f>J2774+H2774+L2774</f>
        <v>152090</v>
      </c>
      <c r="G2774" s="78">
        <f>일위대가목록표!F759</f>
        <v>149108</v>
      </c>
      <c r="H2774" s="80">
        <f>IF(C2774=0,0,ROUNDDOWN(G2774*C2774,1))</f>
        <v>149108</v>
      </c>
      <c r="I2774" s="78">
        <f>일위대가목록표!G759</f>
        <v>0</v>
      </c>
      <c r="J2774" s="80">
        <f>IF(C2774=0,0,ROUNDDOWN(I2774*C2774,1))</f>
        <v>0</v>
      </c>
      <c r="K2774" s="78">
        <f>일위대가목록표!H759</f>
        <v>2982</v>
      </c>
      <c r="L2774" s="80">
        <f>IF(C2774=0,0,ROUNDDOWN(K2774*C2774,1))</f>
        <v>2982</v>
      </c>
      <c r="M2774" s="22" t="s">
        <v>8425</v>
      </c>
      <c r="N2774" s="17" t="s">
        <v>8423</v>
      </c>
      <c r="O2774" s="7" t="s">
        <v>8424</v>
      </c>
      <c r="P2774" s="7" t="s">
        <v>6406</v>
      </c>
      <c r="Z2774" s="3" t="str">
        <f ca="1">HYPERLINK("#"&amp;일위대가목록표!J2&amp;"!A"&amp;ROW(일위대가목록표!A759),"대가756 →")</f>
        <v>대가756 →</v>
      </c>
    </row>
    <row r="2775" spans="1:26" ht="28.7" customHeight="1" x14ac:dyDescent="0.3">
      <c r="A2775" s="10" t="s">
        <v>2218</v>
      </c>
      <c r="B2775" s="10" t="s">
        <v>2228</v>
      </c>
      <c r="C2775" s="75">
        <v>1</v>
      </c>
      <c r="D2775" s="31" t="s">
        <v>1010</v>
      </c>
      <c r="E2775" s="55">
        <f>I2775+G2775+K2775</f>
        <v>141000</v>
      </c>
      <c r="F2775" s="77">
        <f>J2775+H2775+L2775</f>
        <v>141000</v>
      </c>
      <c r="G2775" s="51">
        <v>0</v>
      </c>
      <c r="H2775" s="76">
        <f>IF(C2775=0,0,ROUNDDOWN(G2775*C2775,1))</f>
        <v>0</v>
      </c>
      <c r="I2775" s="78">
        <f>재료비목록표!E69</f>
        <v>141000</v>
      </c>
      <c r="J2775" s="81">
        <f>IF(C2775=0,0,ROUNDDOWN(I2775*C2775,1))</f>
        <v>141000</v>
      </c>
      <c r="K2775" s="51">
        <v>0</v>
      </c>
      <c r="L2775" s="76">
        <f>IF(C2775=0,0,ROUNDDOWN(K2775*C2775,1))</f>
        <v>0</v>
      </c>
      <c r="M2775" s="22" t="s">
        <v>8427</v>
      </c>
      <c r="N2775" s="17" t="s">
        <v>8426</v>
      </c>
      <c r="O2775" s="7" t="s">
        <v>6267</v>
      </c>
      <c r="P2775" s="7" t="s">
        <v>6406</v>
      </c>
      <c r="Z2775" s="3" t="str">
        <f ca="1">HYPERLINK("#"&amp;재료비목록표!G2&amp;"!A"&amp;ROW(재료비목록표!A69),"자재66 →")</f>
        <v>자재66 →</v>
      </c>
    </row>
    <row r="2776" spans="1:26" ht="28.7" customHeight="1" x14ac:dyDescent="0.3">
      <c r="A2776" s="22" t="s">
        <v>6</v>
      </c>
      <c r="B2776" s="74"/>
      <c r="C2776" s="74"/>
      <c r="D2776" s="74"/>
      <c r="E2776" s="74"/>
      <c r="F2776" s="48">
        <f>J2776+H2776+L2776</f>
        <v>293090</v>
      </c>
      <c r="G2776" s="74"/>
      <c r="H2776" s="48">
        <f>ROUNDDOWN(SUMIF(P2774:P2775,O2776,H2774:H2775),0)</f>
        <v>149108</v>
      </c>
      <c r="I2776" s="74"/>
      <c r="J2776" s="48">
        <f>ROUNDDOWN(SUMIF(P2774:P2775,O2776,J2774:J2775),0)</f>
        <v>141000</v>
      </c>
      <c r="K2776" s="74"/>
      <c r="L2776" s="48">
        <f>ROUNDDOWN(SUMIF(P2774:P2775,O2776,L2774:L2775),0)</f>
        <v>2982</v>
      </c>
      <c r="M2776" s="74"/>
      <c r="O2776" s="7" t="s">
        <v>6406</v>
      </c>
    </row>
    <row r="2777" spans="1:26" ht="28.7" customHeight="1" x14ac:dyDescent="0.3">
      <c r="A2777" s="73"/>
      <c r="B2777" s="73"/>
      <c r="C2777" s="73"/>
      <c r="D2777" s="73"/>
      <c r="E2777" s="73"/>
      <c r="F2777" s="73"/>
      <c r="G2777" s="73"/>
      <c r="H2777" s="73"/>
      <c r="I2777" s="73"/>
      <c r="J2777" s="73"/>
      <c r="K2777" s="73"/>
      <c r="L2777" s="73"/>
      <c r="M2777" s="73"/>
    </row>
    <row r="2778" spans="1:26" ht="28.7" customHeight="1" x14ac:dyDescent="0.3">
      <c r="A2778" s="136" t="s">
        <v>1573</v>
      </c>
      <c r="B2778" s="127"/>
      <c r="C2778" s="127"/>
      <c r="D2778" s="127"/>
      <c r="E2778" s="127"/>
      <c r="F2778" s="127"/>
      <c r="G2778" s="127"/>
      <c r="H2778" s="127"/>
      <c r="I2778" s="127"/>
      <c r="J2778" s="127"/>
      <c r="K2778" s="127"/>
      <c r="L2778" s="144"/>
      <c r="M2778" s="22" t="s">
        <v>8428</v>
      </c>
      <c r="N2778" s="84" t="str">
        <f>HYPERLINK("#N"&amp;ROW(N2781),"_x0005_`BDCOD|B04861_x0007_`POSS|"&amp;ROW(N2779)&amp;"_x0007_`POSE|"&amp;ROW(N2781)&amp;"_x0007_`")</f>
        <v>_x0005_`BDCOD|B04861_x0007_`POSS|2779_x0007_`POSE|2781_x0007_`</v>
      </c>
      <c r="O2778" s="7" t="s">
        <v>8429</v>
      </c>
    </row>
    <row r="2779" spans="1:26" ht="28.7" customHeight="1" x14ac:dyDescent="0.3">
      <c r="A2779" s="10"/>
      <c r="B2779" s="10" t="s">
        <v>8430</v>
      </c>
      <c r="C2779" s="75">
        <v>0</v>
      </c>
      <c r="D2779" s="31"/>
      <c r="E2779" s="33">
        <v>0</v>
      </c>
      <c r="F2779" s="11">
        <v>0</v>
      </c>
      <c r="G2779" s="42"/>
      <c r="H2779" s="11">
        <v>0</v>
      </c>
      <c r="I2779" s="42"/>
      <c r="J2779" s="33">
        <v>0</v>
      </c>
      <c r="K2779" s="46"/>
      <c r="L2779" s="33">
        <v>0</v>
      </c>
      <c r="M2779" s="22" t="s">
        <v>6509</v>
      </c>
      <c r="N2779" s="17" t="s">
        <v>6507</v>
      </c>
      <c r="O2779" s="7" t="s">
        <v>6508</v>
      </c>
      <c r="P2779" s="7" t="s">
        <v>6508</v>
      </c>
    </row>
    <row r="2780" spans="1:26" ht="28.7" customHeight="1" x14ac:dyDescent="0.3">
      <c r="A2780" s="10" t="s">
        <v>3086</v>
      </c>
      <c r="B2780" s="10"/>
      <c r="C2780" s="75">
        <v>0.05</v>
      </c>
      <c r="D2780" s="31" t="s">
        <v>3074</v>
      </c>
      <c r="E2780" s="55">
        <f>I2780+G2780+K2780</f>
        <v>247897</v>
      </c>
      <c r="F2780" s="76">
        <f>J2780+H2780+L2780</f>
        <v>12394.8</v>
      </c>
      <c r="G2780" s="78">
        <f>노무비목록표!E10</f>
        <v>247897</v>
      </c>
      <c r="H2780" s="81">
        <f>IF(C2780=0,0,ROUNDDOWN(G2780*C2780,1))</f>
        <v>12394.8</v>
      </c>
      <c r="I2780" s="51">
        <v>0</v>
      </c>
      <c r="J2780" s="77">
        <f>IF(C2780=0,0,ROUNDDOWN(I2780*C2780,1))</f>
        <v>0</v>
      </c>
      <c r="K2780" s="51">
        <v>0</v>
      </c>
      <c r="L2780" s="76">
        <f>IF(C2780=0,0,ROUNDDOWN(K2780*C2780,1))</f>
        <v>0</v>
      </c>
      <c r="M2780" s="22" t="s">
        <v>8367</v>
      </c>
      <c r="N2780" s="17" t="s">
        <v>8365</v>
      </c>
      <c r="O2780" s="7" t="s">
        <v>8366</v>
      </c>
      <c r="P2780" s="7" t="s">
        <v>6406</v>
      </c>
      <c r="Q2780" s="7" t="s">
        <v>7061</v>
      </c>
      <c r="Z2780" s="3" t="str">
        <f ca="1">HYPERLINK("#"&amp;노무비목록표!G2&amp;"!A"&amp;ROW(노무비목록표!A10),"노무7 →")</f>
        <v>노무7 →</v>
      </c>
    </row>
    <row r="2781" spans="1:26" ht="28.7" customHeight="1" x14ac:dyDescent="0.3">
      <c r="A2781" s="10" t="s">
        <v>8348</v>
      </c>
      <c r="B2781" s="10" t="s">
        <v>7063</v>
      </c>
      <c r="C2781" s="75">
        <v>2</v>
      </c>
      <c r="D2781" s="31" t="s">
        <v>7064</v>
      </c>
      <c r="E2781" s="55">
        <f>I2781+G2781+K2781</f>
        <v>12394.8</v>
      </c>
      <c r="F2781" s="77">
        <f>J2781+H2781+L2781</f>
        <v>247.8</v>
      </c>
      <c r="G2781" s="13">
        <v>0</v>
      </c>
      <c r="H2781" s="77">
        <f>IF(C2781=0,0,ROUNDDOWN(G2781*C2781/100,1))</f>
        <v>0</v>
      </c>
      <c r="I2781" s="13">
        <v>0</v>
      </c>
      <c r="J2781" s="76">
        <f>IF(C2781=0,0,ROUNDDOWN(I2781*C2781/100,1))</f>
        <v>0</v>
      </c>
      <c r="K2781" s="82">
        <f>H2780</f>
        <v>12394.8</v>
      </c>
      <c r="L2781" s="76">
        <f>IF(C2781=0,0,ROUNDDOWN(K2781*C2781/100,1))</f>
        <v>247.8</v>
      </c>
      <c r="M2781" s="22"/>
      <c r="N2781" s="17" t="s">
        <v>7065</v>
      </c>
      <c r="O2781" s="7" t="s">
        <v>7066</v>
      </c>
      <c r="P2781" s="7" t="s">
        <v>6406</v>
      </c>
    </row>
    <row r="2782" spans="1:26" ht="28.7" customHeight="1" x14ac:dyDescent="0.3">
      <c r="A2782" s="22" t="s">
        <v>6</v>
      </c>
      <c r="B2782" s="74"/>
      <c r="C2782" s="74"/>
      <c r="D2782" s="74"/>
      <c r="E2782" s="74"/>
      <c r="F2782" s="48">
        <f>J2782+H2782+L2782</f>
        <v>12641</v>
      </c>
      <c r="G2782" s="74"/>
      <c r="H2782" s="48">
        <f>ROUNDDOWN(SUMIF(P2779:P2781,O2782,H2779:H2781),0)</f>
        <v>12394</v>
      </c>
      <c r="I2782" s="74"/>
      <c r="J2782" s="48">
        <f>ROUNDDOWN(SUMIF(P2779:P2781,O2782,J2779:J2781),0)</f>
        <v>0</v>
      </c>
      <c r="K2782" s="74"/>
      <c r="L2782" s="48">
        <f>ROUNDDOWN(SUMIF(P2779:P2781,O2782,L2779:L2781),0)</f>
        <v>247</v>
      </c>
      <c r="M2782" s="74"/>
      <c r="O2782" s="7" t="s">
        <v>6406</v>
      </c>
    </row>
    <row r="2783" spans="1:26" ht="28.7" customHeight="1" x14ac:dyDescent="0.3">
      <c r="A2783" s="73"/>
      <c r="B2783" s="73"/>
      <c r="C2783" s="73"/>
      <c r="D2783" s="73"/>
      <c r="E2783" s="73"/>
      <c r="F2783" s="73"/>
      <c r="G2783" s="73"/>
      <c r="H2783" s="73"/>
      <c r="I2783" s="73"/>
      <c r="J2783" s="73"/>
      <c r="K2783" s="73"/>
      <c r="L2783" s="73"/>
      <c r="M2783" s="73"/>
    </row>
    <row r="2784" spans="1:26" ht="28.7" customHeight="1" x14ac:dyDescent="0.3">
      <c r="A2784" s="136" t="s">
        <v>1576</v>
      </c>
      <c r="B2784" s="127"/>
      <c r="C2784" s="127"/>
      <c r="D2784" s="127"/>
      <c r="E2784" s="127"/>
      <c r="F2784" s="127"/>
      <c r="G2784" s="127"/>
      <c r="H2784" s="127"/>
      <c r="I2784" s="127"/>
      <c r="J2784" s="127"/>
      <c r="K2784" s="127"/>
      <c r="L2784" s="144"/>
      <c r="M2784" s="22" t="s">
        <v>8431</v>
      </c>
      <c r="N2784" s="84" t="str">
        <f>HYPERLINK("#N"&amp;ROW(N2787),"_x0005_`BDCOD|B04860_x0007_`POSS|"&amp;ROW(N2785)&amp;"_x0007_`POSE|"&amp;ROW(N2787)&amp;"_x0007_`")</f>
        <v>_x0005_`BDCOD|B04860_x0007_`POSS|2785_x0007_`POSE|2787_x0007_`</v>
      </c>
      <c r="O2784" s="7" t="s">
        <v>8432</v>
      </c>
    </row>
    <row r="2785" spans="1:26" ht="28.7" customHeight="1" x14ac:dyDescent="0.3">
      <c r="A2785" s="10"/>
      <c r="B2785" s="10" t="s">
        <v>8430</v>
      </c>
      <c r="C2785" s="75">
        <v>0</v>
      </c>
      <c r="D2785" s="31"/>
      <c r="E2785" s="33">
        <v>0</v>
      </c>
      <c r="F2785" s="11">
        <v>0</v>
      </c>
      <c r="G2785" s="42"/>
      <c r="H2785" s="11">
        <v>0</v>
      </c>
      <c r="I2785" s="42"/>
      <c r="J2785" s="33">
        <v>0</v>
      </c>
      <c r="K2785" s="46"/>
      <c r="L2785" s="33">
        <v>0</v>
      </c>
      <c r="M2785" s="22" t="s">
        <v>6509</v>
      </c>
      <c r="N2785" s="17" t="s">
        <v>6507</v>
      </c>
      <c r="O2785" s="7" t="s">
        <v>6508</v>
      </c>
      <c r="P2785" s="7" t="s">
        <v>6508</v>
      </c>
    </row>
    <row r="2786" spans="1:26" ht="28.7" customHeight="1" x14ac:dyDescent="0.3">
      <c r="A2786" s="10" t="s">
        <v>3086</v>
      </c>
      <c r="B2786" s="10"/>
      <c r="C2786" s="75">
        <v>7.3999999999999996E-2</v>
      </c>
      <c r="D2786" s="31" t="s">
        <v>3074</v>
      </c>
      <c r="E2786" s="55">
        <f>I2786+G2786+K2786</f>
        <v>247897</v>
      </c>
      <c r="F2786" s="76">
        <f>J2786+H2786+L2786</f>
        <v>18344.3</v>
      </c>
      <c r="G2786" s="78">
        <f>노무비목록표!E10</f>
        <v>247897</v>
      </c>
      <c r="H2786" s="81">
        <f>IF(C2786=0,0,ROUNDDOWN(G2786*C2786,1))</f>
        <v>18344.3</v>
      </c>
      <c r="I2786" s="51">
        <v>0</v>
      </c>
      <c r="J2786" s="77">
        <f>IF(C2786=0,0,ROUNDDOWN(I2786*C2786,1))</f>
        <v>0</v>
      </c>
      <c r="K2786" s="51">
        <v>0</v>
      </c>
      <c r="L2786" s="76">
        <f>IF(C2786=0,0,ROUNDDOWN(K2786*C2786,1))</f>
        <v>0</v>
      </c>
      <c r="M2786" s="22" t="s">
        <v>8367</v>
      </c>
      <c r="N2786" s="17" t="s">
        <v>8365</v>
      </c>
      <c r="O2786" s="7" t="s">
        <v>8366</v>
      </c>
      <c r="P2786" s="7" t="s">
        <v>6406</v>
      </c>
      <c r="Q2786" s="7" t="s">
        <v>7061</v>
      </c>
      <c r="Z2786" s="3" t="str">
        <f ca="1">HYPERLINK("#"&amp;노무비목록표!G2&amp;"!A"&amp;ROW(노무비목록표!A10),"노무7 →")</f>
        <v>노무7 →</v>
      </c>
    </row>
    <row r="2787" spans="1:26" ht="28.7" customHeight="1" x14ac:dyDescent="0.3">
      <c r="A2787" s="10" t="s">
        <v>8348</v>
      </c>
      <c r="B2787" s="10" t="s">
        <v>7063</v>
      </c>
      <c r="C2787" s="75">
        <v>2</v>
      </c>
      <c r="D2787" s="31" t="s">
        <v>7064</v>
      </c>
      <c r="E2787" s="55">
        <f>I2787+G2787+K2787</f>
        <v>18344.3</v>
      </c>
      <c r="F2787" s="77">
        <f>J2787+H2787+L2787</f>
        <v>366.8</v>
      </c>
      <c r="G2787" s="13">
        <v>0</v>
      </c>
      <c r="H2787" s="77">
        <f>IF(C2787=0,0,ROUNDDOWN(G2787*C2787/100,1))</f>
        <v>0</v>
      </c>
      <c r="I2787" s="13">
        <v>0</v>
      </c>
      <c r="J2787" s="76">
        <f>IF(C2787=0,0,ROUNDDOWN(I2787*C2787/100,1))</f>
        <v>0</v>
      </c>
      <c r="K2787" s="82">
        <f>H2786</f>
        <v>18344.3</v>
      </c>
      <c r="L2787" s="76">
        <f>IF(C2787=0,0,ROUNDDOWN(K2787*C2787/100,1))</f>
        <v>366.8</v>
      </c>
      <c r="M2787" s="22"/>
      <c r="N2787" s="17" t="s">
        <v>7065</v>
      </c>
      <c r="O2787" s="7" t="s">
        <v>7066</v>
      </c>
      <c r="P2787" s="7" t="s">
        <v>6406</v>
      </c>
    </row>
    <row r="2788" spans="1:26" ht="28.7" customHeight="1" x14ac:dyDescent="0.3">
      <c r="A2788" s="22" t="s">
        <v>6</v>
      </c>
      <c r="B2788" s="74"/>
      <c r="C2788" s="74"/>
      <c r="D2788" s="74"/>
      <c r="E2788" s="74"/>
      <c r="F2788" s="48">
        <f>J2788+H2788+L2788</f>
        <v>18710</v>
      </c>
      <c r="G2788" s="74"/>
      <c r="H2788" s="48">
        <f>ROUNDDOWN(SUMIF(P2785:P2787,O2788,H2785:H2787),0)</f>
        <v>18344</v>
      </c>
      <c r="I2788" s="74"/>
      <c r="J2788" s="48">
        <f>ROUNDDOWN(SUMIF(P2785:P2787,O2788,J2785:J2787),0)</f>
        <v>0</v>
      </c>
      <c r="K2788" s="74"/>
      <c r="L2788" s="48">
        <f>ROUNDDOWN(SUMIF(P2785:P2787,O2788,L2785:L2787),0)</f>
        <v>366</v>
      </c>
      <c r="M2788" s="74"/>
      <c r="O2788" s="7" t="s">
        <v>6406</v>
      </c>
    </row>
    <row r="2789" spans="1:26" ht="28.7" customHeight="1" x14ac:dyDescent="0.3">
      <c r="A2789" s="73"/>
      <c r="B2789" s="73"/>
      <c r="C2789" s="73"/>
      <c r="D2789" s="73"/>
      <c r="E2789" s="73"/>
      <c r="F2789" s="73"/>
      <c r="G2789" s="73"/>
      <c r="H2789" s="73"/>
      <c r="I2789" s="73"/>
      <c r="J2789" s="73"/>
      <c r="K2789" s="73"/>
      <c r="L2789" s="73"/>
      <c r="M2789" s="73"/>
    </row>
    <row r="2790" spans="1:26" ht="28.7" customHeight="1" x14ac:dyDescent="0.3">
      <c r="A2790" s="136" t="s">
        <v>1579</v>
      </c>
      <c r="B2790" s="127"/>
      <c r="C2790" s="127"/>
      <c r="D2790" s="127"/>
      <c r="E2790" s="127"/>
      <c r="F2790" s="127"/>
      <c r="G2790" s="127"/>
      <c r="H2790" s="127"/>
      <c r="I2790" s="127"/>
      <c r="J2790" s="127"/>
      <c r="K2790" s="127"/>
      <c r="L2790" s="144"/>
      <c r="M2790" s="22" t="s">
        <v>8433</v>
      </c>
      <c r="N2790" s="84" t="str">
        <f>HYPERLINK("#N"&amp;ROW(N2794),"_x0005_`BDCOD|B04862_x0007_`POSS|"&amp;ROW(N2791)&amp;"_x0007_`POSE|"&amp;ROW(N2794)&amp;"_x0007_`")</f>
        <v>_x0005_`BDCOD|B04862_x0007_`POSS|2791_x0007_`POSE|2794_x0007_`</v>
      </c>
      <c r="O2790" s="7" t="s">
        <v>8434</v>
      </c>
    </row>
    <row r="2791" spans="1:26" ht="28.7" customHeight="1" x14ac:dyDescent="0.3">
      <c r="A2791" s="10"/>
      <c r="B2791" s="10" t="s">
        <v>8430</v>
      </c>
      <c r="C2791" s="75">
        <v>0</v>
      </c>
      <c r="D2791" s="31"/>
      <c r="E2791" s="33">
        <v>0</v>
      </c>
      <c r="F2791" s="11">
        <v>0</v>
      </c>
      <c r="G2791" s="42"/>
      <c r="H2791" s="11">
        <v>0</v>
      </c>
      <c r="I2791" s="42"/>
      <c r="J2791" s="33">
        <v>0</v>
      </c>
      <c r="K2791" s="46"/>
      <c r="L2791" s="33">
        <v>0</v>
      </c>
      <c r="M2791" s="22" t="s">
        <v>6509</v>
      </c>
      <c r="N2791" s="17" t="s">
        <v>6507</v>
      </c>
      <c r="O2791" s="7" t="s">
        <v>6508</v>
      </c>
      <c r="P2791" s="7" t="s">
        <v>6508</v>
      </c>
    </row>
    <row r="2792" spans="1:26" ht="28.7" customHeight="1" x14ac:dyDescent="0.3">
      <c r="A2792" s="10" t="s">
        <v>3086</v>
      </c>
      <c r="B2792" s="10"/>
      <c r="C2792" s="75">
        <v>0.14099999999999999</v>
      </c>
      <c r="D2792" s="31" t="s">
        <v>3074</v>
      </c>
      <c r="E2792" s="55">
        <f t="shared" ref="E2792:F2794" si="16">I2792+G2792+K2792</f>
        <v>247897</v>
      </c>
      <c r="F2792" s="76">
        <f t="shared" si="16"/>
        <v>34953.4</v>
      </c>
      <c r="G2792" s="78">
        <f>노무비목록표!E10</f>
        <v>247897</v>
      </c>
      <c r="H2792" s="81">
        <f>IF(C2792=0,0,ROUNDDOWN(G2792*C2792,1))</f>
        <v>34953.4</v>
      </c>
      <c r="I2792" s="51">
        <v>0</v>
      </c>
      <c r="J2792" s="77">
        <f>IF(C2792=0,0,ROUNDDOWN(I2792*C2792,1))</f>
        <v>0</v>
      </c>
      <c r="K2792" s="51">
        <v>0</v>
      </c>
      <c r="L2792" s="76">
        <f>IF(C2792=0,0,ROUNDDOWN(K2792*C2792,1))</f>
        <v>0</v>
      </c>
      <c r="M2792" s="22" t="s">
        <v>8367</v>
      </c>
      <c r="N2792" s="17" t="s">
        <v>8365</v>
      </c>
      <c r="O2792" s="7" t="s">
        <v>8366</v>
      </c>
      <c r="P2792" s="7" t="s">
        <v>6406</v>
      </c>
      <c r="Q2792" s="7" t="s">
        <v>7061</v>
      </c>
      <c r="Z2792" s="3" t="str">
        <f ca="1">HYPERLINK("#"&amp;노무비목록표!G2&amp;"!A"&amp;ROW(노무비목록표!A10),"노무7 →")</f>
        <v>노무7 →</v>
      </c>
    </row>
    <row r="2793" spans="1:26" ht="28.7" customHeight="1" x14ac:dyDescent="0.3">
      <c r="A2793" s="10" t="s">
        <v>3090</v>
      </c>
      <c r="B2793" s="10"/>
      <c r="C2793" s="75">
        <v>8.3000000000000004E-2</v>
      </c>
      <c r="D2793" s="31" t="s">
        <v>3074</v>
      </c>
      <c r="E2793" s="55">
        <f t="shared" si="16"/>
        <v>172068</v>
      </c>
      <c r="F2793" s="76">
        <f t="shared" si="16"/>
        <v>14281.6</v>
      </c>
      <c r="G2793" s="78">
        <f>노무비목록표!E12</f>
        <v>172068</v>
      </c>
      <c r="H2793" s="81">
        <f>IF(C2793=0,0,ROUNDDOWN(G2793*C2793,1))</f>
        <v>14281.6</v>
      </c>
      <c r="I2793" s="51">
        <v>0</v>
      </c>
      <c r="J2793" s="77">
        <f>IF(C2793=0,0,ROUNDDOWN(I2793*C2793,1))</f>
        <v>0</v>
      </c>
      <c r="K2793" s="51">
        <v>0</v>
      </c>
      <c r="L2793" s="76">
        <f>IF(C2793=0,0,ROUNDDOWN(K2793*C2793,1))</f>
        <v>0</v>
      </c>
      <c r="M2793" s="22" t="s">
        <v>8262</v>
      </c>
      <c r="N2793" s="17" t="s">
        <v>8260</v>
      </c>
      <c r="O2793" s="7" t="s">
        <v>8261</v>
      </c>
      <c r="P2793" s="7" t="s">
        <v>6406</v>
      </c>
      <c r="Q2793" s="7" t="s">
        <v>7061</v>
      </c>
      <c r="Z2793" s="3" t="str">
        <f ca="1">HYPERLINK("#"&amp;노무비목록표!G2&amp;"!A"&amp;ROW(노무비목록표!A12),"노무9 →")</f>
        <v>노무9 →</v>
      </c>
    </row>
    <row r="2794" spans="1:26" ht="28.7" customHeight="1" x14ac:dyDescent="0.3">
      <c r="A2794" s="10" t="s">
        <v>8348</v>
      </c>
      <c r="B2794" s="10" t="s">
        <v>7063</v>
      </c>
      <c r="C2794" s="75">
        <v>2</v>
      </c>
      <c r="D2794" s="31" t="s">
        <v>7064</v>
      </c>
      <c r="E2794" s="55">
        <f t="shared" si="16"/>
        <v>49235</v>
      </c>
      <c r="F2794" s="77">
        <f t="shared" si="16"/>
        <v>984.7</v>
      </c>
      <c r="G2794" s="13">
        <v>0</v>
      </c>
      <c r="H2794" s="77">
        <f>IF(C2794=0,0,ROUNDDOWN(G2794*C2794/100,1))</f>
        <v>0</v>
      </c>
      <c r="I2794" s="13">
        <v>0</v>
      </c>
      <c r="J2794" s="76">
        <f>IF(C2794=0,0,ROUNDDOWN(I2794*C2794/100,1))</f>
        <v>0</v>
      </c>
      <c r="K2794" s="82">
        <f>H2792+H2793</f>
        <v>49235</v>
      </c>
      <c r="L2794" s="76">
        <f>IF(C2794=0,0,ROUNDDOWN(K2794*C2794/100,1))</f>
        <v>984.7</v>
      </c>
      <c r="M2794" s="22"/>
      <c r="N2794" s="17" t="s">
        <v>7065</v>
      </c>
      <c r="O2794" s="7" t="s">
        <v>7066</v>
      </c>
      <c r="P2794" s="7" t="s">
        <v>6406</v>
      </c>
    </row>
    <row r="2795" spans="1:26" ht="28.7" customHeight="1" x14ac:dyDescent="0.3">
      <c r="A2795" s="22" t="s">
        <v>6</v>
      </c>
      <c r="B2795" s="74"/>
      <c r="C2795" s="74"/>
      <c r="D2795" s="74"/>
      <c r="E2795" s="74"/>
      <c r="F2795" s="48">
        <f>J2795+H2795+L2795</f>
        <v>50219</v>
      </c>
      <c r="G2795" s="74"/>
      <c r="H2795" s="48">
        <f>ROUNDDOWN(SUMIF(P2791:P2794,O2795,H2791:H2794),0)</f>
        <v>49235</v>
      </c>
      <c r="I2795" s="74"/>
      <c r="J2795" s="48">
        <f>ROUNDDOWN(SUMIF(P2791:P2794,O2795,J2791:J2794),0)</f>
        <v>0</v>
      </c>
      <c r="K2795" s="74"/>
      <c r="L2795" s="48">
        <f>ROUNDDOWN(SUMIF(P2791:P2794,O2795,L2791:L2794),0)</f>
        <v>984</v>
      </c>
      <c r="M2795" s="74"/>
      <c r="O2795" s="7" t="s">
        <v>6406</v>
      </c>
    </row>
    <row r="2796" spans="1:26" ht="28.7" customHeight="1" x14ac:dyDescent="0.3">
      <c r="A2796" s="73"/>
      <c r="B2796" s="73"/>
      <c r="C2796" s="73"/>
      <c r="D2796" s="73"/>
      <c r="E2796" s="73"/>
      <c r="F2796" s="73"/>
      <c r="G2796" s="73"/>
      <c r="H2796" s="73"/>
      <c r="I2796" s="73"/>
      <c r="J2796" s="73"/>
      <c r="K2796" s="73"/>
      <c r="L2796" s="73"/>
      <c r="M2796" s="73"/>
    </row>
    <row r="2797" spans="1:26" ht="28.7" customHeight="1" x14ac:dyDescent="0.3">
      <c r="A2797" s="136" t="s">
        <v>1581</v>
      </c>
      <c r="B2797" s="127"/>
      <c r="C2797" s="127"/>
      <c r="D2797" s="127"/>
      <c r="E2797" s="127"/>
      <c r="F2797" s="127"/>
      <c r="G2797" s="127"/>
      <c r="H2797" s="127"/>
      <c r="I2797" s="127"/>
      <c r="J2797" s="127"/>
      <c r="K2797" s="127"/>
      <c r="L2797" s="144"/>
      <c r="M2797" s="22" t="s">
        <v>8435</v>
      </c>
      <c r="N2797" s="84" t="str">
        <f>HYPERLINK("#N"&amp;ROW(N2799),"_x0005_`BDCOD|B04863_x0007_`POSS|"&amp;ROW(N2798)&amp;"_x0007_`POSE|"&amp;ROW(N2799)&amp;"_x0007_`")</f>
        <v>_x0005_`BDCOD|B04863_x0007_`POSS|2798_x0007_`POSE|2799_x0007_`</v>
      </c>
      <c r="O2797" s="7" t="s">
        <v>8436</v>
      </c>
    </row>
    <row r="2798" spans="1:26" ht="28.7" customHeight="1" x14ac:dyDescent="0.3">
      <c r="A2798" s="10"/>
      <c r="B2798" s="10" t="s">
        <v>8437</v>
      </c>
      <c r="C2798" s="75">
        <v>0</v>
      </c>
      <c r="D2798" s="31"/>
      <c r="E2798" s="33">
        <v>0</v>
      </c>
      <c r="F2798" s="11">
        <v>0</v>
      </c>
      <c r="G2798" s="42"/>
      <c r="H2798" s="11">
        <v>0</v>
      </c>
      <c r="I2798" s="42"/>
      <c r="J2798" s="33">
        <v>0</v>
      </c>
      <c r="K2798" s="46"/>
      <c r="L2798" s="33">
        <v>0</v>
      </c>
      <c r="M2798" s="22" t="s">
        <v>6509</v>
      </c>
      <c r="N2798" s="17" t="s">
        <v>6507</v>
      </c>
      <c r="O2798" s="7" t="s">
        <v>6508</v>
      </c>
      <c r="P2798" s="7" t="s">
        <v>6508</v>
      </c>
    </row>
    <row r="2799" spans="1:26" ht="28.7" customHeight="1" x14ac:dyDescent="0.3">
      <c r="A2799" s="10" t="s">
        <v>3099</v>
      </c>
      <c r="B2799" s="10"/>
      <c r="C2799" s="75">
        <v>0.08</v>
      </c>
      <c r="D2799" s="31" t="s">
        <v>3074</v>
      </c>
      <c r="E2799" s="55">
        <f>I2799+G2799+K2799</f>
        <v>252641</v>
      </c>
      <c r="F2799" s="76">
        <f>J2799+H2799+L2799</f>
        <v>20211.2</v>
      </c>
      <c r="G2799" s="78">
        <f>노무비목록표!E17</f>
        <v>252641</v>
      </c>
      <c r="H2799" s="81">
        <f>IF(C2799=0,0,ROUNDDOWN(G2799*C2799,1))</f>
        <v>20211.2</v>
      </c>
      <c r="I2799" s="51">
        <v>0</v>
      </c>
      <c r="J2799" s="77">
        <f>IF(C2799=0,0,ROUNDDOWN(I2799*C2799,1))</f>
        <v>0</v>
      </c>
      <c r="K2799" s="51">
        <v>0</v>
      </c>
      <c r="L2799" s="76">
        <f>IF(C2799=0,0,ROUNDDOWN(K2799*C2799,1))</f>
        <v>0</v>
      </c>
      <c r="M2799" s="22" t="s">
        <v>8440</v>
      </c>
      <c r="N2799" s="17" t="s">
        <v>8438</v>
      </c>
      <c r="O2799" s="7" t="s">
        <v>8439</v>
      </c>
      <c r="P2799" s="7" t="s">
        <v>6406</v>
      </c>
      <c r="Z2799" s="3" t="str">
        <f ca="1">HYPERLINK("#"&amp;노무비목록표!G2&amp;"!A"&amp;ROW(노무비목록표!A17),"노무14 →")</f>
        <v>노무14 →</v>
      </c>
    </row>
    <row r="2800" spans="1:26" ht="28.7" customHeight="1" x14ac:dyDescent="0.3">
      <c r="A2800" s="22" t="s">
        <v>6</v>
      </c>
      <c r="B2800" s="74"/>
      <c r="C2800" s="74"/>
      <c r="D2800" s="74"/>
      <c r="E2800" s="74"/>
      <c r="F2800" s="48">
        <f>J2800+H2800+L2800</f>
        <v>20211</v>
      </c>
      <c r="G2800" s="74"/>
      <c r="H2800" s="48">
        <f>ROUNDDOWN(SUMIF(P2798:P2799,O2800,H2798:H2799),0)</f>
        <v>20211</v>
      </c>
      <c r="I2800" s="74"/>
      <c r="J2800" s="48">
        <f>ROUNDDOWN(SUMIF(P2798:P2799,O2800,J2798:J2799),0)</f>
        <v>0</v>
      </c>
      <c r="K2800" s="74"/>
      <c r="L2800" s="48">
        <f>ROUNDDOWN(SUMIF(P2798:P2799,O2800,L2798:L2799),0)</f>
        <v>0</v>
      </c>
      <c r="M2800" s="74"/>
      <c r="O2800" s="7" t="s">
        <v>6406</v>
      </c>
    </row>
    <row r="2801" spans="1:26" ht="28.7" customHeight="1" x14ac:dyDescent="0.3">
      <c r="A2801" s="73"/>
      <c r="B2801" s="73"/>
      <c r="C2801" s="73"/>
      <c r="D2801" s="73"/>
      <c r="E2801" s="73"/>
      <c r="F2801" s="73"/>
      <c r="G2801" s="73"/>
      <c r="H2801" s="73"/>
      <c r="I2801" s="73"/>
      <c r="J2801" s="73"/>
      <c r="K2801" s="73"/>
      <c r="L2801" s="73"/>
      <c r="M2801" s="73"/>
    </row>
    <row r="2802" spans="1:26" ht="28.7" customHeight="1" x14ac:dyDescent="0.3">
      <c r="A2802" s="136" t="s">
        <v>1585</v>
      </c>
      <c r="B2802" s="127"/>
      <c r="C2802" s="127"/>
      <c r="D2802" s="127"/>
      <c r="E2802" s="127"/>
      <c r="F2802" s="127"/>
      <c r="G2802" s="127"/>
      <c r="H2802" s="127"/>
      <c r="I2802" s="127"/>
      <c r="J2802" s="127"/>
      <c r="K2802" s="127"/>
      <c r="L2802" s="144"/>
      <c r="M2802" s="22" t="s">
        <v>8441</v>
      </c>
      <c r="N2802" s="84" t="str">
        <f>HYPERLINK("#N"&amp;ROW(N2809),"_x0005_`BDCOD|B04864_x0007_`POSS|"&amp;ROW(N2803)&amp;"_x0007_`POSE|"&amp;ROW(N2809)&amp;"_x0007_`")</f>
        <v>_x0005_`BDCOD|B04864_x0007_`POSS|2803_x0007_`POSE|2809_x0007_`</v>
      </c>
      <c r="O2802" s="7" t="s">
        <v>8442</v>
      </c>
    </row>
    <row r="2803" spans="1:26" ht="28.7" customHeight="1" x14ac:dyDescent="0.3">
      <c r="A2803" s="10"/>
      <c r="B2803" s="10" t="s">
        <v>8443</v>
      </c>
      <c r="C2803" s="75">
        <v>0</v>
      </c>
      <c r="D2803" s="31"/>
      <c r="E2803" s="33">
        <v>0</v>
      </c>
      <c r="F2803" s="11">
        <v>0</v>
      </c>
      <c r="G2803" s="42"/>
      <c r="H2803" s="11">
        <v>0</v>
      </c>
      <c r="I2803" s="42"/>
      <c r="J2803" s="33">
        <v>0</v>
      </c>
      <c r="K2803" s="46"/>
      <c r="L2803" s="33">
        <v>0</v>
      </c>
      <c r="M2803" s="22" t="s">
        <v>6509</v>
      </c>
      <c r="N2803" s="17" t="s">
        <v>6507</v>
      </c>
      <c r="O2803" s="7" t="s">
        <v>6508</v>
      </c>
      <c r="P2803" s="7" t="s">
        <v>6508</v>
      </c>
    </row>
    <row r="2804" spans="1:26" ht="28.7" customHeight="1" x14ac:dyDescent="0.3">
      <c r="A2804" s="10" t="s">
        <v>3078</v>
      </c>
      <c r="B2804" s="10" t="s">
        <v>3079</v>
      </c>
      <c r="C2804" s="75">
        <v>0.5</v>
      </c>
      <c r="D2804" s="31" t="s">
        <v>3074</v>
      </c>
      <c r="E2804" s="55">
        <f t="shared" ref="E2804:F2809" si="17">I2804+G2804+K2804</f>
        <v>235459</v>
      </c>
      <c r="F2804" s="76">
        <f t="shared" si="17"/>
        <v>117729.5</v>
      </c>
      <c r="G2804" s="78">
        <f>노무비목록표!E6</f>
        <v>235459</v>
      </c>
      <c r="H2804" s="81">
        <f>IF(C2804=0,0,ROUNDDOWN(G2804*C2804,1))</f>
        <v>117729.5</v>
      </c>
      <c r="I2804" s="51">
        <v>0</v>
      </c>
      <c r="J2804" s="77">
        <f>IF(C2804=0,0,ROUNDDOWN(I2804*C2804,1))</f>
        <v>0</v>
      </c>
      <c r="K2804" s="51">
        <v>0</v>
      </c>
      <c r="L2804" s="76">
        <f>IF(C2804=0,0,ROUNDDOWN(K2804*C2804,1))</f>
        <v>0</v>
      </c>
      <c r="M2804" s="22" t="s">
        <v>8446</v>
      </c>
      <c r="N2804" s="17" t="s">
        <v>8444</v>
      </c>
      <c r="O2804" s="7" t="s">
        <v>8445</v>
      </c>
      <c r="P2804" s="7" t="s">
        <v>6406</v>
      </c>
      <c r="Q2804" s="7" t="s">
        <v>7061</v>
      </c>
      <c r="Z2804" s="3" t="str">
        <f ca="1">HYPERLINK("#"&amp;노무비목록표!G2&amp;"!A"&amp;ROW(노무비목록표!A6),"노무3 →")</f>
        <v>노무3 →</v>
      </c>
    </row>
    <row r="2805" spans="1:26" ht="28.7" customHeight="1" x14ac:dyDescent="0.3">
      <c r="A2805" s="10" t="s">
        <v>3081</v>
      </c>
      <c r="B2805" s="10"/>
      <c r="C2805" s="75">
        <v>7.24</v>
      </c>
      <c r="D2805" s="31" t="s">
        <v>3074</v>
      </c>
      <c r="E2805" s="55">
        <f t="shared" si="17"/>
        <v>241698</v>
      </c>
      <c r="F2805" s="76">
        <f t="shared" si="17"/>
        <v>1749893.5</v>
      </c>
      <c r="G2805" s="78">
        <f>노무비목록표!E7</f>
        <v>241698</v>
      </c>
      <c r="H2805" s="81">
        <f>IF(C2805=0,0,ROUNDDOWN(G2805*C2805,1))</f>
        <v>1749893.5</v>
      </c>
      <c r="I2805" s="51">
        <v>0</v>
      </c>
      <c r="J2805" s="77">
        <f>IF(C2805=0,0,ROUNDDOWN(I2805*C2805,1))</f>
        <v>0</v>
      </c>
      <c r="K2805" s="51">
        <v>0</v>
      </c>
      <c r="L2805" s="76">
        <f>IF(C2805=0,0,ROUNDDOWN(K2805*C2805,1))</f>
        <v>0</v>
      </c>
      <c r="M2805" s="22" t="s">
        <v>8449</v>
      </c>
      <c r="N2805" s="17" t="s">
        <v>8447</v>
      </c>
      <c r="O2805" s="7" t="s">
        <v>8448</v>
      </c>
      <c r="P2805" s="7" t="s">
        <v>6406</v>
      </c>
      <c r="Q2805" s="7" t="s">
        <v>7061</v>
      </c>
      <c r="Z2805" s="3" t="str">
        <f ca="1">HYPERLINK("#"&amp;노무비목록표!G2&amp;"!A"&amp;ROW(노무비목록표!A7),"노무4 →")</f>
        <v>노무4 →</v>
      </c>
    </row>
    <row r="2806" spans="1:26" ht="28.7" customHeight="1" x14ac:dyDescent="0.3">
      <c r="A2806" s="10" t="s">
        <v>3092</v>
      </c>
      <c r="B2806" s="10"/>
      <c r="C2806" s="75">
        <v>2.86</v>
      </c>
      <c r="D2806" s="31" t="s">
        <v>3074</v>
      </c>
      <c r="E2806" s="55">
        <f t="shared" si="17"/>
        <v>281939</v>
      </c>
      <c r="F2806" s="76">
        <f t="shared" si="17"/>
        <v>806345.5</v>
      </c>
      <c r="G2806" s="78">
        <f>노무비목록표!E13</f>
        <v>281939</v>
      </c>
      <c r="H2806" s="81">
        <f>IF(C2806=0,0,ROUNDDOWN(G2806*C2806,1))</f>
        <v>806345.5</v>
      </c>
      <c r="I2806" s="51">
        <v>0</v>
      </c>
      <c r="J2806" s="77">
        <f>IF(C2806=0,0,ROUNDDOWN(I2806*C2806,1))</f>
        <v>0</v>
      </c>
      <c r="K2806" s="51">
        <v>0</v>
      </c>
      <c r="L2806" s="76">
        <f>IF(C2806=0,0,ROUNDDOWN(K2806*C2806,1))</f>
        <v>0</v>
      </c>
      <c r="M2806" s="22" t="s">
        <v>8452</v>
      </c>
      <c r="N2806" s="17" t="s">
        <v>8450</v>
      </c>
      <c r="O2806" s="7" t="s">
        <v>8451</v>
      </c>
      <c r="P2806" s="7" t="s">
        <v>6406</v>
      </c>
      <c r="Q2806" s="7" t="s">
        <v>7061</v>
      </c>
      <c r="Z2806" s="3" t="str">
        <f ca="1">HYPERLINK("#"&amp;노무비목록표!G2&amp;"!A"&amp;ROW(노무비목록표!A13),"노무10 →")</f>
        <v>노무10 →</v>
      </c>
    </row>
    <row r="2807" spans="1:26" ht="28.7" customHeight="1" x14ac:dyDescent="0.3">
      <c r="A2807" s="10" t="s">
        <v>3094</v>
      </c>
      <c r="B2807" s="10"/>
      <c r="C2807" s="75">
        <v>0.95</v>
      </c>
      <c r="D2807" s="31" t="s">
        <v>3074</v>
      </c>
      <c r="E2807" s="55">
        <f t="shared" si="17"/>
        <v>282536</v>
      </c>
      <c r="F2807" s="76">
        <f t="shared" si="17"/>
        <v>268409.2</v>
      </c>
      <c r="G2807" s="78">
        <f>노무비목록표!E14</f>
        <v>282536</v>
      </c>
      <c r="H2807" s="81">
        <f>IF(C2807=0,0,ROUNDDOWN(G2807*C2807,1))</f>
        <v>268409.2</v>
      </c>
      <c r="I2807" s="51">
        <v>0</v>
      </c>
      <c r="J2807" s="77">
        <f>IF(C2807=0,0,ROUNDDOWN(I2807*C2807,1))</f>
        <v>0</v>
      </c>
      <c r="K2807" s="51">
        <v>0</v>
      </c>
      <c r="L2807" s="76">
        <f>IF(C2807=0,0,ROUNDDOWN(K2807*C2807,1))</f>
        <v>0</v>
      </c>
      <c r="M2807" s="22" t="s">
        <v>8341</v>
      </c>
      <c r="N2807" s="17" t="s">
        <v>8339</v>
      </c>
      <c r="O2807" s="7" t="s">
        <v>8340</v>
      </c>
      <c r="P2807" s="7" t="s">
        <v>6406</v>
      </c>
      <c r="Q2807" s="7" t="s">
        <v>7061</v>
      </c>
      <c r="Z2807" s="3" t="str">
        <f ca="1">HYPERLINK("#"&amp;노무비목록표!G2&amp;"!A"&amp;ROW(노무비목록표!A14),"노무11 →")</f>
        <v>노무11 →</v>
      </c>
    </row>
    <row r="2808" spans="1:26" ht="28.7" customHeight="1" x14ac:dyDescent="0.3">
      <c r="A2808" s="10" t="s">
        <v>3105</v>
      </c>
      <c r="B2808" s="10"/>
      <c r="C2808" s="75">
        <v>3.9</v>
      </c>
      <c r="D2808" s="31" t="s">
        <v>3074</v>
      </c>
      <c r="E2808" s="55">
        <f t="shared" si="17"/>
        <v>226122</v>
      </c>
      <c r="F2808" s="76">
        <f t="shared" si="17"/>
        <v>881875.8</v>
      </c>
      <c r="G2808" s="78">
        <f>노무비목록표!E20</f>
        <v>226122</v>
      </c>
      <c r="H2808" s="81">
        <f>IF(C2808=0,0,ROUNDDOWN(G2808*C2808,1))</f>
        <v>881875.8</v>
      </c>
      <c r="I2808" s="51">
        <v>0</v>
      </c>
      <c r="J2808" s="77">
        <f>IF(C2808=0,0,ROUNDDOWN(I2808*C2808,1))</f>
        <v>0</v>
      </c>
      <c r="K2808" s="51">
        <v>0</v>
      </c>
      <c r="L2808" s="76">
        <f>IF(C2808=0,0,ROUNDDOWN(K2808*C2808,1))</f>
        <v>0</v>
      </c>
      <c r="M2808" s="22" t="s">
        <v>8455</v>
      </c>
      <c r="N2808" s="17" t="s">
        <v>8453</v>
      </c>
      <c r="O2808" s="7" t="s">
        <v>8454</v>
      </c>
      <c r="P2808" s="7" t="s">
        <v>6406</v>
      </c>
      <c r="Q2808" s="7" t="s">
        <v>7061</v>
      </c>
      <c r="Z2808" s="3" t="str">
        <f ca="1">HYPERLINK("#"&amp;노무비목록표!G2&amp;"!A"&amp;ROW(노무비목록표!A20),"노무17 →")</f>
        <v>노무17 →</v>
      </c>
    </row>
    <row r="2809" spans="1:26" ht="28.7" customHeight="1" x14ac:dyDescent="0.3">
      <c r="A2809" s="10" t="s">
        <v>8456</v>
      </c>
      <c r="B2809" s="10" t="s">
        <v>7063</v>
      </c>
      <c r="C2809" s="75">
        <v>10</v>
      </c>
      <c r="D2809" s="31" t="s">
        <v>7064</v>
      </c>
      <c r="E2809" s="55">
        <f t="shared" si="17"/>
        <v>3824253.5</v>
      </c>
      <c r="F2809" s="77">
        <f t="shared" si="17"/>
        <v>382425.3</v>
      </c>
      <c r="G2809" s="79">
        <f>H2804+H2805+H2806+H2807+H2808</f>
        <v>3824253.5</v>
      </c>
      <c r="H2809" s="77">
        <f>IF(C2809=0,0,ROUNDDOWN(G2809*C2809/100,1))</f>
        <v>382425.3</v>
      </c>
      <c r="I2809" s="13">
        <v>0</v>
      </c>
      <c r="J2809" s="76">
        <f>IF(C2809=0,0,ROUNDDOWN(I2809*C2809/100,1))</f>
        <v>0</v>
      </c>
      <c r="K2809" s="33">
        <v>0</v>
      </c>
      <c r="L2809" s="76">
        <f>IF(C2809=0,0,ROUNDDOWN(K2809*C2809/100,1))</f>
        <v>0</v>
      </c>
      <c r="M2809" s="22"/>
      <c r="N2809" s="17" t="s">
        <v>8457</v>
      </c>
      <c r="O2809" s="7" t="s">
        <v>7066</v>
      </c>
      <c r="P2809" s="7" t="s">
        <v>6406</v>
      </c>
      <c r="Q2809" s="7" t="s">
        <v>7061</v>
      </c>
    </row>
    <row r="2810" spans="1:26" ht="28.7" customHeight="1" x14ac:dyDescent="0.3">
      <c r="A2810" s="22" t="s">
        <v>6</v>
      </c>
      <c r="B2810" s="74"/>
      <c r="C2810" s="74"/>
      <c r="D2810" s="74"/>
      <c r="E2810" s="74"/>
      <c r="F2810" s="48">
        <f>J2810+H2810+L2810</f>
        <v>4206678</v>
      </c>
      <c r="G2810" s="74"/>
      <c r="H2810" s="48">
        <f>ROUNDDOWN(SUMIF(P2803:P2809,O2810,H2803:H2809),0)</f>
        <v>4206678</v>
      </c>
      <c r="I2810" s="74"/>
      <c r="J2810" s="48">
        <f>ROUNDDOWN(SUMIF(P2803:P2809,O2810,J2803:J2809),0)</f>
        <v>0</v>
      </c>
      <c r="K2810" s="74"/>
      <c r="L2810" s="48">
        <f>ROUNDDOWN(SUMIF(P2803:P2809,O2810,L2803:L2809),0)</f>
        <v>0</v>
      </c>
      <c r="M2810" s="74"/>
      <c r="O2810" s="7" t="s">
        <v>6406</v>
      </c>
    </row>
    <row r="2811" spans="1:26" ht="28.7" customHeight="1" x14ac:dyDescent="0.3">
      <c r="A2811" s="73"/>
      <c r="B2811" s="73"/>
      <c r="C2811" s="73"/>
      <c r="D2811" s="73"/>
      <c r="E2811" s="73"/>
      <c r="F2811" s="73"/>
      <c r="G2811" s="73"/>
      <c r="H2811" s="73"/>
      <c r="I2811" s="73"/>
      <c r="J2811" s="73"/>
      <c r="K2811" s="73"/>
      <c r="L2811" s="73"/>
      <c r="M2811" s="73"/>
    </row>
    <row r="2812" spans="1:26" ht="28.7" customHeight="1" x14ac:dyDescent="0.3">
      <c r="A2812" s="136" t="s">
        <v>1589</v>
      </c>
      <c r="B2812" s="127"/>
      <c r="C2812" s="127"/>
      <c r="D2812" s="127"/>
      <c r="E2812" s="127"/>
      <c r="F2812" s="127"/>
      <c r="G2812" s="127"/>
      <c r="H2812" s="127"/>
      <c r="I2812" s="127"/>
      <c r="J2812" s="127"/>
      <c r="K2812" s="127"/>
      <c r="L2812" s="144"/>
      <c r="M2812" s="22" t="s">
        <v>8458</v>
      </c>
      <c r="N2812" s="84" t="str">
        <f>HYPERLINK("#N"&amp;ROW(N2819),"_x0005_`BDCOD|B00014_x0007_`POSS|"&amp;ROW(N2813)&amp;"_x0007_`POSE|"&amp;ROW(N2819)&amp;"_x0007_`")</f>
        <v>_x0005_`BDCOD|B00014_x0007_`POSS|2813_x0007_`POSE|2819_x0007_`</v>
      </c>
      <c r="O2812" s="7" t="s">
        <v>8459</v>
      </c>
    </row>
    <row r="2813" spans="1:26" ht="28.7" customHeight="1" x14ac:dyDescent="0.3">
      <c r="A2813" s="10"/>
      <c r="B2813" s="10" t="s">
        <v>8460</v>
      </c>
      <c r="C2813" s="75">
        <v>0</v>
      </c>
      <c r="D2813" s="31"/>
      <c r="E2813" s="33">
        <v>0</v>
      </c>
      <c r="F2813" s="11">
        <v>0</v>
      </c>
      <c r="G2813" s="42"/>
      <c r="H2813" s="11">
        <v>0</v>
      </c>
      <c r="I2813" s="42"/>
      <c r="J2813" s="33">
        <v>0</v>
      </c>
      <c r="K2813" s="46"/>
      <c r="L2813" s="33">
        <v>0</v>
      </c>
      <c r="M2813" s="22" t="s">
        <v>6509</v>
      </c>
      <c r="N2813" s="17" t="s">
        <v>6507</v>
      </c>
      <c r="O2813" s="7" t="s">
        <v>6508</v>
      </c>
      <c r="P2813" s="7" t="s">
        <v>6508</v>
      </c>
    </row>
    <row r="2814" spans="1:26" ht="28.7" customHeight="1" x14ac:dyDescent="0.3">
      <c r="A2814" s="10" t="s">
        <v>3101</v>
      </c>
      <c r="B2814" s="10"/>
      <c r="C2814" s="75">
        <v>2.85</v>
      </c>
      <c r="D2814" s="31" t="s">
        <v>3074</v>
      </c>
      <c r="E2814" s="55">
        <f t="shared" ref="E2814:F2819" si="18">I2814+G2814+K2814</f>
        <v>239808</v>
      </c>
      <c r="F2814" s="76">
        <f t="shared" si="18"/>
        <v>683452.8</v>
      </c>
      <c r="G2814" s="78">
        <f>노무비목록표!E18</f>
        <v>239808</v>
      </c>
      <c r="H2814" s="81">
        <f>IF(C2814=0,0,ROUNDDOWN(G2814*C2814,1))</f>
        <v>683452.8</v>
      </c>
      <c r="I2814" s="51">
        <v>0</v>
      </c>
      <c r="J2814" s="77">
        <f>IF(C2814=0,0,ROUNDDOWN(I2814*C2814,1))</f>
        <v>0</v>
      </c>
      <c r="K2814" s="51">
        <v>0</v>
      </c>
      <c r="L2814" s="76">
        <f>IF(C2814=0,0,ROUNDDOWN(K2814*C2814,1))</f>
        <v>0</v>
      </c>
      <c r="M2814" s="22" t="s">
        <v>8463</v>
      </c>
      <c r="N2814" s="17" t="s">
        <v>8461</v>
      </c>
      <c r="O2814" s="7" t="s">
        <v>8462</v>
      </c>
      <c r="P2814" s="7" t="s">
        <v>6406</v>
      </c>
      <c r="Q2814" s="7" t="s">
        <v>7061</v>
      </c>
      <c r="Z2814" s="3" t="str">
        <f ca="1">HYPERLINK("#"&amp;노무비목록표!G2&amp;"!A"&amp;ROW(노무비목록표!A18),"노무15 →")</f>
        <v>노무15 →</v>
      </c>
    </row>
    <row r="2815" spans="1:26" ht="28.7" customHeight="1" x14ac:dyDescent="0.3">
      <c r="A2815" s="10" t="s">
        <v>3094</v>
      </c>
      <c r="B2815" s="10"/>
      <c r="C2815" s="75">
        <v>1.04</v>
      </c>
      <c r="D2815" s="31" t="s">
        <v>3074</v>
      </c>
      <c r="E2815" s="55">
        <f t="shared" si="18"/>
        <v>282536</v>
      </c>
      <c r="F2815" s="76">
        <f t="shared" si="18"/>
        <v>293837.40000000002</v>
      </c>
      <c r="G2815" s="78">
        <f>노무비목록표!E15</f>
        <v>282536</v>
      </c>
      <c r="H2815" s="81">
        <f>IF(C2815=0,0,ROUNDDOWN(G2815*C2815,1))</f>
        <v>293837.40000000002</v>
      </c>
      <c r="I2815" s="51">
        <v>0</v>
      </c>
      <c r="J2815" s="77">
        <f>IF(C2815=0,0,ROUNDDOWN(I2815*C2815,1))</f>
        <v>0</v>
      </c>
      <c r="K2815" s="51">
        <v>0</v>
      </c>
      <c r="L2815" s="76">
        <f>IF(C2815=0,0,ROUNDDOWN(K2815*C2815,1))</f>
        <v>0</v>
      </c>
      <c r="M2815" s="22" t="s">
        <v>8466</v>
      </c>
      <c r="N2815" s="17" t="s">
        <v>8464</v>
      </c>
      <c r="O2815" s="7" t="s">
        <v>8465</v>
      </c>
      <c r="P2815" s="7" t="s">
        <v>6406</v>
      </c>
      <c r="Q2815" s="7" t="s">
        <v>7061</v>
      </c>
      <c r="Z2815" s="3" t="str">
        <f ca="1">HYPERLINK("#"&amp;노무비목록표!G2&amp;"!A"&amp;ROW(노무비목록표!A15),"노무12 →")</f>
        <v>노무12 →</v>
      </c>
    </row>
    <row r="2816" spans="1:26" ht="28.7" customHeight="1" x14ac:dyDescent="0.3">
      <c r="A2816" s="10" t="s">
        <v>3105</v>
      </c>
      <c r="B2816" s="10"/>
      <c r="C2816" s="75">
        <v>0.78</v>
      </c>
      <c r="D2816" s="31" t="s">
        <v>3074</v>
      </c>
      <c r="E2816" s="55">
        <f t="shared" si="18"/>
        <v>226122</v>
      </c>
      <c r="F2816" s="76">
        <f t="shared" si="18"/>
        <v>176375.1</v>
      </c>
      <c r="G2816" s="78">
        <f>노무비목록표!E20</f>
        <v>226122</v>
      </c>
      <c r="H2816" s="81">
        <f>IF(C2816=0,0,ROUNDDOWN(G2816*C2816,1))</f>
        <v>176375.1</v>
      </c>
      <c r="I2816" s="51">
        <v>0</v>
      </c>
      <c r="J2816" s="77">
        <f>IF(C2816=0,0,ROUNDDOWN(I2816*C2816,1))</f>
        <v>0</v>
      </c>
      <c r="K2816" s="51">
        <v>0</v>
      </c>
      <c r="L2816" s="76">
        <f>IF(C2816=0,0,ROUNDDOWN(K2816*C2816,1))</f>
        <v>0</v>
      </c>
      <c r="M2816" s="22" t="s">
        <v>8455</v>
      </c>
      <c r="N2816" s="17" t="s">
        <v>8453</v>
      </c>
      <c r="O2816" s="7" t="s">
        <v>8454</v>
      </c>
      <c r="P2816" s="7" t="s">
        <v>6406</v>
      </c>
      <c r="Q2816" s="7" t="s">
        <v>7061</v>
      </c>
      <c r="Z2816" s="3" t="str">
        <f ca="1">HYPERLINK("#"&amp;노무비목록표!G2&amp;"!A"&amp;ROW(노무비목록표!A20),"노무17 →")</f>
        <v>노무17 →</v>
      </c>
    </row>
    <row r="2817" spans="1:26" ht="28.7" customHeight="1" x14ac:dyDescent="0.3">
      <c r="A2817" s="10" t="s">
        <v>3090</v>
      </c>
      <c r="B2817" s="10"/>
      <c r="C2817" s="75">
        <v>0.52</v>
      </c>
      <c r="D2817" s="31" t="s">
        <v>3074</v>
      </c>
      <c r="E2817" s="55">
        <f t="shared" si="18"/>
        <v>172068</v>
      </c>
      <c r="F2817" s="76">
        <f t="shared" si="18"/>
        <v>89475.3</v>
      </c>
      <c r="G2817" s="78">
        <f>노무비목록표!E12</f>
        <v>172068</v>
      </c>
      <c r="H2817" s="81">
        <f>IF(C2817=0,0,ROUNDDOWN(G2817*C2817,1))</f>
        <v>89475.3</v>
      </c>
      <c r="I2817" s="51">
        <v>0</v>
      </c>
      <c r="J2817" s="77">
        <f>IF(C2817=0,0,ROUNDDOWN(I2817*C2817,1))</f>
        <v>0</v>
      </c>
      <c r="K2817" s="51">
        <v>0</v>
      </c>
      <c r="L2817" s="76">
        <f>IF(C2817=0,0,ROUNDDOWN(K2817*C2817,1))</f>
        <v>0</v>
      </c>
      <c r="M2817" s="22" t="s">
        <v>8262</v>
      </c>
      <c r="N2817" s="17" t="s">
        <v>8260</v>
      </c>
      <c r="O2817" s="7" t="s">
        <v>8261</v>
      </c>
      <c r="P2817" s="7" t="s">
        <v>6406</v>
      </c>
      <c r="Q2817" s="7" t="s">
        <v>7061</v>
      </c>
      <c r="Z2817" s="3" t="str">
        <f ca="1">HYPERLINK("#"&amp;노무비목록표!G2&amp;"!A"&amp;ROW(노무비목록표!A12),"노무9 →")</f>
        <v>노무9 →</v>
      </c>
    </row>
    <row r="2818" spans="1:26" ht="28.7" customHeight="1" x14ac:dyDescent="0.3">
      <c r="A2818" s="10" t="s">
        <v>8467</v>
      </c>
      <c r="B2818" s="10" t="s">
        <v>7063</v>
      </c>
      <c r="C2818" s="75">
        <v>5</v>
      </c>
      <c r="D2818" s="31" t="s">
        <v>7064</v>
      </c>
      <c r="E2818" s="55">
        <f t="shared" si="18"/>
        <v>1243140.6000000001</v>
      </c>
      <c r="F2818" s="77">
        <f t="shared" si="18"/>
        <v>62157</v>
      </c>
      <c r="G2818" s="13">
        <v>0</v>
      </c>
      <c r="H2818" s="77">
        <f>IF(C2818=0,0,ROUNDDOWN(G2818*C2818/100,1))</f>
        <v>0</v>
      </c>
      <c r="I2818" s="13">
        <v>0</v>
      </c>
      <c r="J2818" s="76">
        <f>IF(C2818=0,0,ROUNDDOWN(I2818*C2818/100,1))</f>
        <v>0</v>
      </c>
      <c r="K2818" s="82">
        <f>H2814+H2815+H2816+H2817</f>
        <v>1243140.6000000001</v>
      </c>
      <c r="L2818" s="76">
        <f>IF(C2818=0,0,ROUNDDOWN(K2818*C2818/100,1))</f>
        <v>62157</v>
      </c>
      <c r="M2818" s="22"/>
      <c r="N2818" s="17" t="s">
        <v>7065</v>
      </c>
      <c r="O2818" s="7" t="s">
        <v>7066</v>
      </c>
      <c r="P2818" s="7" t="s">
        <v>6406</v>
      </c>
    </row>
    <row r="2819" spans="1:26" ht="28.7" customHeight="1" x14ac:dyDescent="0.3">
      <c r="A2819" s="10" t="s">
        <v>8468</v>
      </c>
      <c r="B2819" s="10" t="s">
        <v>7063</v>
      </c>
      <c r="C2819" s="75">
        <v>3</v>
      </c>
      <c r="D2819" s="31" t="s">
        <v>7064</v>
      </c>
      <c r="E2819" s="55">
        <f t="shared" si="18"/>
        <v>1243140.6000000001</v>
      </c>
      <c r="F2819" s="77">
        <f t="shared" si="18"/>
        <v>37294.199999999997</v>
      </c>
      <c r="G2819" s="13">
        <v>0</v>
      </c>
      <c r="H2819" s="77">
        <f>IF(C2819=0,0,ROUNDDOWN(G2819*C2819/100,1))</f>
        <v>0</v>
      </c>
      <c r="I2819" s="79">
        <f>H2814+H2815+H2816+H2817</f>
        <v>1243140.6000000001</v>
      </c>
      <c r="J2819" s="76">
        <f>IF(C2819=0,0,ROUNDDOWN(I2819*C2819/100,1))</f>
        <v>37294.199999999997</v>
      </c>
      <c r="K2819" s="33">
        <v>0</v>
      </c>
      <c r="L2819" s="76">
        <f>IF(C2819=0,0,ROUNDDOWN(K2819*C2819/100,1))</f>
        <v>0</v>
      </c>
      <c r="M2819" s="22"/>
      <c r="N2819" s="17" t="s">
        <v>8469</v>
      </c>
      <c r="O2819" s="7" t="s">
        <v>7066</v>
      </c>
      <c r="P2819" s="7" t="s">
        <v>6406</v>
      </c>
    </row>
    <row r="2820" spans="1:26" ht="28.7" customHeight="1" x14ac:dyDescent="0.3">
      <c r="A2820" s="22" t="s">
        <v>6</v>
      </c>
      <c r="B2820" s="74"/>
      <c r="C2820" s="74"/>
      <c r="D2820" s="74"/>
      <c r="E2820" s="74"/>
      <c r="F2820" s="48">
        <f>J2820+H2820+L2820</f>
        <v>1342591</v>
      </c>
      <c r="G2820" s="74"/>
      <c r="H2820" s="48">
        <f>ROUNDDOWN(SUMIF(P2813:P2819,O2820,H2813:H2819),0)</f>
        <v>1243140</v>
      </c>
      <c r="I2820" s="74"/>
      <c r="J2820" s="48">
        <f>ROUNDDOWN(SUMIF(P2813:P2819,O2820,J2813:J2819),0)</f>
        <v>37294</v>
      </c>
      <c r="K2820" s="74"/>
      <c r="L2820" s="48">
        <f>ROUNDDOWN(SUMIF(P2813:P2819,O2820,L2813:L2819),0)</f>
        <v>62157</v>
      </c>
      <c r="M2820" s="74"/>
      <c r="O2820" s="7" t="s">
        <v>6406</v>
      </c>
    </row>
    <row r="2821" spans="1:26" ht="28.7" customHeight="1" x14ac:dyDescent="0.3">
      <c r="A2821" s="73"/>
      <c r="B2821" s="73"/>
      <c r="C2821" s="73"/>
      <c r="D2821" s="73"/>
      <c r="E2821" s="73"/>
      <c r="F2821" s="73"/>
      <c r="G2821" s="73"/>
      <c r="H2821" s="73"/>
      <c r="I2821" s="73"/>
      <c r="J2821" s="73"/>
      <c r="K2821" s="73"/>
      <c r="L2821" s="73"/>
      <c r="M2821" s="73"/>
    </row>
    <row r="2822" spans="1:26" ht="28.7" customHeight="1" x14ac:dyDescent="0.3">
      <c r="A2822" s="136" t="s">
        <v>1594</v>
      </c>
      <c r="B2822" s="127"/>
      <c r="C2822" s="127"/>
      <c r="D2822" s="127"/>
      <c r="E2822" s="127"/>
      <c r="F2822" s="127"/>
      <c r="G2822" s="127"/>
      <c r="H2822" s="127"/>
      <c r="I2822" s="127"/>
      <c r="J2822" s="127"/>
      <c r="K2822" s="127"/>
      <c r="L2822" s="144"/>
      <c r="M2822" s="22" t="s">
        <v>8470</v>
      </c>
      <c r="N2822" s="84" t="str">
        <f>HYPERLINK("#N"&amp;ROW(N2838),"_x0005_`BDCOD|B04866_x0007_`POSS|"&amp;ROW(N2823)&amp;"_x0007_`POSE|"&amp;ROW(N2838)&amp;"_x0007_`")</f>
        <v>_x0005_`BDCOD|B04866_x0007_`POSS|2823_x0007_`POSE|2838_x0007_`</v>
      </c>
      <c r="O2822" s="7" t="s">
        <v>8471</v>
      </c>
    </row>
    <row r="2823" spans="1:26" ht="28.7" customHeight="1" x14ac:dyDescent="0.3">
      <c r="A2823" s="10" t="s">
        <v>3105</v>
      </c>
      <c r="B2823" s="10"/>
      <c r="C2823" s="75">
        <v>0.4</v>
      </c>
      <c r="D2823" s="31" t="s">
        <v>3074</v>
      </c>
      <c r="E2823" s="55">
        <f t="shared" ref="E2823:E2838" si="19">I2823+G2823+K2823</f>
        <v>226122</v>
      </c>
      <c r="F2823" s="76">
        <f t="shared" ref="F2823:F2838" si="20">J2823+H2823+L2823</f>
        <v>90448.8</v>
      </c>
      <c r="G2823" s="78">
        <f>노무비목록표!E20</f>
        <v>226122</v>
      </c>
      <c r="H2823" s="81">
        <f t="shared" ref="H2823:H2838" si="21">IF(C2823=0,0,ROUNDDOWN(G2823*C2823,1))</f>
        <v>90448.8</v>
      </c>
      <c r="I2823" s="51">
        <v>0</v>
      </c>
      <c r="J2823" s="77">
        <f t="shared" ref="J2823:J2838" si="22">IF(C2823=0,0,ROUNDDOWN(I2823*C2823,1))</f>
        <v>0</v>
      </c>
      <c r="K2823" s="51">
        <v>0</v>
      </c>
      <c r="L2823" s="76">
        <f t="shared" ref="L2823:L2838" si="23">IF(C2823=0,0,ROUNDDOWN(K2823*C2823,1))</f>
        <v>0</v>
      </c>
      <c r="M2823" s="22" t="s">
        <v>8455</v>
      </c>
      <c r="N2823" s="17" t="s">
        <v>8472</v>
      </c>
      <c r="O2823" s="7" t="s">
        <v>8454</v>
      </c>
      <c r="P2823" s="7" t="s">
        <v>6406</v>
      </c>
      <c r="Z2823" s="3" t="str">
        <f ca="1">HYPERLINK("#"&amp;노무비목록표!G2&amp;"!A"&amp;ROW(노무비목록표!A20),"노무17 →")</f>
        <v>노무17 →</v>
      </c>
    </row>
    <row r="2824" spans="1:26" ht="28.7" customHeight="1" x14ac:dyDescent="0.3">
      <c r="A2824" s="10" t="s">
        <v>3090</v>
      </c>
      <c r="B2824" s="10"/>
      <c r="C2824" s="75">
        <v>0.15</v>
      </c>
      <c r="D2824" s="31" t="s">
        <v>3074</v>
      </c>
      <c r="E2824" s="55">
        <f t="shared" si="19"/>
        <v>172068</v>
      </c>
      <c r="F2824" s="76">
        <f t="shared" si="20"/>
        <v>25810.2</v>
      </c>
      <c r="G2824" s="78">
        <f>노무비목록표!E12</f>
        <v>172068</v>
      </c>
      <c r="H2824" s="81">
        <f t="shared" si="21"/>
        <v>25810.2</v>
      </c>
      <c r="I2824" s="51">
        <v>0</v>
      </c>
      <c r="J2824" s="77">
        <f t="shared" si="22"/>
        <v>0</v>
      </c>
      <c r="K2824" s="51">
        <v>0</v>
      </c>
      <c r="L2824" s="76">
        <f t="shared" si="23"/>
        <v>0</v>
      </c>
      <c r="M2824" s="22" t="s">
        <v>8262</v>
      </c>
      <c r="N2824" s="17" t="s">
        <v>8473</v>
      </c>
      <c r="O2824" s="7" t="s">
        <v>8261</v>
      </c>
      <c r="P2824" s="7" t="s">
        <v>6406</v>
      </c>
      <c r="Z2824" s="3" t="str">
        <f ca="1">HYPERLINK("#"&amp;노무비목록표!G2&amp;"!A"&amp;ROW(노무비목록표!A12),"노무9 →")</f>
        <v>노무9 →</v>
      </c>
    </row>
    <row r="2825" spans="1:26" ht="28.7" customHeight="1" x14ac:dyDescent="0.3">
      <c r="A2825" s="10" t="s">
        <v>1964</v>
      </c>
      <c r="B2825" s="10" t="s">
        <v>1965</v>
      </c>
      <c r="C2825" s="75">
        <v>3.1E-2</v>
      </c>
      <c r="D2825" s="31" t="s">
        <v>1603</v>
      </c>
      <c r="E2825" s="55">
        <f t="shared" si="19"/>
        <v>487337</v>
      </c>
      <c r="F2825" s="76">
        <f t="shared" si="20"/>
        <v>15107.3</v>
      </c>
      <c r="G2825" s="78">
        <f>일위대가목록표!F760</f>
        <v>401047</v>
      </c>
      <c r="H2825" s="80">
        <f t="shared" si="21"/>
        <v>12432.4</v>
      </c>
      <c r="I2825" s="78">
        <f>일위대가목록표!G760</f>
        <v>86290</v>
      </c>
      <c r="J2825" s="80">
        <f t="shared" si="22"/>
        <v>2674.9</v>
      </c>
      <c r="K2825" s="78">
        <f>일위대가목록표!H760</f>
        <v>0</v>
      </c>
      <c r="L2825" s="80">
        <f t="shared" si="23"/>
        <v>0</v>
      </c>
      <c r="M2825" s="22" t="s">
        <v>8476</v>
      </c>
      <c r="N2825" s="17" t="s">
        <v>8474</v>
      </c>
      <c r="O2825" s="7" t="s">
        <v>8475</v>
      </c>
      <c r="P2825" s="7" t="s">
        <v>6406</v>
      </c>
      <c r="Z2825" s="3" t="str">
        <f ca="1">HYPERLINK("#"&amp;일위대가목록표!J2&amp;"!A"&amp;ROW(일위대가목록표!A760),"대가757 →")</f>
        <v>대가757 →</v>
      </c>
    </row>
    <row r="2826" spans="1:26" ht="28.7" customHeight="1" x14ac:dyDescent="0.3">
      <c r="A2826" s="10" t="s">
        <v>1968</v>
      </c>
      <c r="B2826" s="10" t="s">
        <v>1969</v>
      </c>
      <c r="C2826" s="75">
        <v>0.48</v>
      </c>
      <c r="D2826" s="31" t="s">
        <v>1676</v>
      </c>
      <c r="E2826" s="55">
        <f t="shared" si="19"/>
        <v>48340</v>
      </c>
      <c r="F2826" s="76">
        <f t="shared" si="20"/>
        <v>23203.1</v>
      </c>
      <c r="G2826" s="78">
        <f>일위대가목록표!F761</f>
        <v>34461</v>
      </c>
      <c r="H2826" s="80">
        <f t="shared" si="21"/>
        <v>16541.2</v>
      </c>
      <c r="I2826" s="78">
        <f>일위대가목록표!G761</f>
        <v>13535</v>
      </c>
      <c r="J2826" s="80">
        <f t="shared" si="22"/>
        <v>6496.8</v>
      </c>
      <c r="K2826" s="78">
        <f>일위대가목록표!H761</f>
        <v>344</v>
      </c>
      <c r="L2826" s="80">
        <f t="shared" si="23"/>
        <v>165.1</v>
      </c>
      <c r="M2826" s="22" t="s">
        <v>8479</v>
      </c>
      <c r="N2826" s="17" t="s">
        <v>8477</v>
      </c>
      <c r="O2826" s="7" t="s">
        <v>8478</v>
      </c>
      <c r="P2826" s="7" t="s">
        <v>6406</v>
      </c>
      <c r="Z2826" s="3" t="str">
        <f ca="1">HYPERLINK("#"&amp;일위대가목록표!J2&amp;"!A"&amp;ROW(일위대가목록표!A761),"대가758 →")</f>
        <v>대가758 →</v>
      </c>
    </row>
    <row r="2827" spans="1:26" ht="28.7" customHeight="1" x14ac:dyDescent="0.3">
      <c r="A2827" s="10" t="s">
        <v>1601</v>
      </c>
      <c r="B2827" s="10" t="s">
        <v>1972</v>
      </c>
      <c r="C2827" s="75">
        <v>0.12</v>
      </c>
      <c r="D2827" s="31" t="s">
        <v>1603</v>
      </c>
      <c r="E2827" s="55">
        <f t="shared" si="19"/>
        <v>62811</v>
      </c>
      <c r="F2827" s="76">
        <f t="shared" si="20"/>
        <v>7537.3</v>
      </c>
      <c r="G2827" s="78">
        <f>일위대가목록표!F762</f>
        <v>62811</v>
      </c>
      <c r="H2827" s="80">
        <f t="shared" si="21"/>
        <v>7537.3</v>
      </c>
      <c r="I2827" s="78">
        <f>일위대가목록표!G762</f>
        <v>0</v>
      </c>
      <c r="J2827" s="80">
        <f t="shared" si="22"/>
        <v>0</v>
      </c>
      <c r="K2827" s="78">
        <f>일위대가목록표!H762</f>
        <v>0</v>
      </c>
      <c r="L2827" s="80">
        <f t="shared" si="23"/>
        <v>0</v>
      </c>
      <c r="M2827" s="22" t="s">
        <v>8482</v>
      </c>
      <c r="N2827" s="17" t="s">
        <v>8480</v>
      </c>
      <c r="O2827" s="7" t="s">
        <v>8481</v>
      </c>
      <c r="P2827" s="7" t="s">
        <v>6406</v>
      </c>
      <c r="Z2827" s="3" t="str">
        <f ca="1">HYPERLINK("#"&amp;일위대가목록표!J2&amp;"!A"&amp;ROW(일위대가목록표!A762),"대가759 →")</f>
        <v>대가759 →</v>
      </c>
    </row>
    <row r="2828" spans="1:26" ht="28.7" customHeight="1" x14ac:dyDescent="0.3">
      <c r="A2828" s="10" t="s">
        <v>1975</v>
      </c>
      <c r="B2828" s="10" t="s">
        <v>1976</v>
      </c>
      <c r="C2828" s="75">
        <v>8.8999999999999996E-2</v>
      </c>
      <c r="D2828" s="31" t="s">
        <v>1603</v>
      </c>
      <c r="E2828" s="55">
        <f t="shared" si="19"/>
        <v>17206</v>
      </c>
      <c r="F2828" s="76">
        <f t="shared" si="20"/>
        <v>1531.3</v>
      </c>
      <c r="G2828" s="78">
        <f>일위대가목록표!F763</f>
        <v>17206</v>
      </c>
      <c r="H2828" s="80">
        <f t="shared" si="21"/>
        <v>1531.3</v>
      </c>
      <c r="I2828" s="78">
        <f>일위대가목록표!G763</f>
        <v>0</v>
      </c>
      <c r="J2828" s="80">
        <f t="shared" si="22"/>
        <v>0</v>
      </c>
      <c r="K2828" s="78">
        <f>일위대가목록표!H763</f>
        <v>0</v>
      </c>
      <c r="L2828" s="80">
        <f t="shared" si="23"/>
        <v>0</v>
      </c>
      <c r="M2828" s="22" t="s">
        <v>8485</v>
      </c>
      <c r="N2828" s="17" t="s">
        <v>8483</v>
      </c>
      <c r="O2828" s="7" t="s">
        <v>8484</v>
      </c>
      <c r="P2828" s="7" t="s">
        <v>6406</v>
      </c>
      <c r="Z2828" s="3" t="str">
        <f ca="1">HYPERLINK("#"&amp;일위대가목록표!J2&amp;"!A"&amp;ROW(일위대가목록표!A763),"대가760 →")</f>
        <v>대가760 →</v>
      </c>
    </row>
    <row r="2829" spans="1:26" ht="28.7" customHeight="1" x14ac:dyDescent="0.3">
      <c r="A2829" s="10" t="s">
        <v>1979</v>
      </c>
      <c r="B2829" s="10" t="s">
        <v>1980</v>
      </c>
      <c r="C2829" s="75">
        <v>3.1E-2</v>
      </c>
      <c r="D2829" s="31" t="s">
        <v>1603</v>
      </c>
      <c r="E2829" s="55">
        <f t="shared" si="19"/>
        <v>34413</v>
      </c>
      <c r="F2829" s="76">
        <f t="shared" si="20"/>
        <v>1066.8</v>
      </c>
      <c r="G2829" s="78">
        <f>일위대가목록표!F764</f>
        <v>34413</v>
      </c>
      <c r="H2829" s="80">
        <f t="shared" si="21"/>
        <v>1066.8</v>
      </c>
      <c r="I2829" s="78">
        <f>일위대가목록표!G764</f>
        <v>0</v>
      </c>
      <c r="J2829" s="80">
        <f t="shared" si="22"/>
        <v>0</v>
      </c>
      <c r="K2829" s="78">
        <f>일위대가목록표!H764</f>
        <v>0</v>
      </c>
      <c r="L2829" s="80">
        <f t="shared" si="23"/>
        <v>0</v>
      </c>
      <c r="M2829" s="22" t="s">
        <v>8488</v>
      </c>
      <c r="N2829" s="17" t="s">
        <v>8486</v>
      </c>
      <c r="O2829" s="7" t="s">
        <v>8487</v>
      </c>
      <c r="P2829" s="7" t="s">
        <v>6406</v>
      </c>
      <c r="Z2829" s="3" t="str">
        <f ca="1">HYPERLINK("#"&amp;일위대가목록표!J2&amp;"!A"&amp;ROW(일위대가목록표!A764),"대가761 →")</f>
        <v>대가761 →</v>
      </c>
    </row>
    <row r="2830" spans="1:26" ht="28.7" customHeight="1" x14ac:dyDescent="0.3">
      <c r="A2830" s="10" t="s">
        <v>2867</v>
      </c>
      <c r="B2830" s="10" t="s">
        <v>2868</v>
      </c>
      <c r="C2830" s="75">
        <v>2.4</v>
      </c>
      <c r="D2830" s="31" t="s">
        <v>1939</v>
      </c>
      <c r="E2830" s="55">
        <f t="shared" si="19"/>
        <v>41210</v>
      </c>
      <c r="F2830" s="77">
        <f t="shared" si="20"/>
        <v>98904</v>
      </c>
      <c r="G2830" s="51">
        <v>0</v>
      </c>
      <c r="H2830" s="76">
        <f t="shared" si="21"/>
        <v>0</v>
      </c>
      <c r="I2830" s="78">
        <f>재료비목록표!E303</f>
        <v>41210</v>
      </c>
      <c r="J2830" s="81">
        <f t="shared" si="22"/>
        <v>98904</v>
      </c>
      <c r="K2830" s="51">
        <v>0</v>
      </c>
      <c r="L2830" s="76">
        <f t="shared" si="23"/>
        <v>0</v>
      </c>
      <c r="M2830" s="22" t="s">
        <v>8491</v>
      </c>
      <c r="N2830" s="17" t="s">
        <v>8489</v>
      </c>
      <c r="O2830" s="7" t="s">
        <v>8490</v>
      </c>
      <c r="P2830" s="7" t="s">
        <v>6406</v>
      </c>
      <c r="Z2830" s="3" t="str">
        <f ca="1">HYPERLINK("#"&amp;재료비목록표!G2&amp;"!A"&amp;ROW(재료비목록표!A303),"자재300 →")</f>
        <v>자재300 →</v>
      </c>
    </row>
    <row r="2831" spans="1:26" ht="28.7" customHeight="1" x14ac:dyDescent="0.3">
      <c r="A2831" s="10" t="s">
        <v>2871</v>
      </c>
      <c r="B2831" s="10" t="s">
        <v>2872</v>
      </c>
      <c r="C2831" s="75">
        <v>1</v>
      </c>
      <c r="D2831" s="31" t="s">
        <v>1939</v>
      </c>
      <c r="E2831" s="55">
        <f t="shared" si="19"/>
        <v>3270</v>
      </c>
      <c r="F2831" s="77">
        <f t="shared" si="20"/>
        <v>3270</v>
      </c>
      <c r="G2831" s="51">
        <v>0</v>
      </c>
      <c r="H2831" s="76">
        <f t="shared" si="21"/>
        <v>0</v>
      </c>
      <c r="I2831" s="78">
        <f>재료비목록표!E304</f>
        <v>3270</v>
      </c>
      <c r="J2831" s="81">
        <f t="shared" si="22"/>
        <v>3270</v>
      </c>
      <c r="K2831" s="51">
        <v>0</v>
      </c>
      <c r="L2831" s="76">
        <f t="shared" si="23"/>
        <v>0</v>
      </c>
      <c r="M2831" s="22" t="s">
        <v>8494</v>
      </c>
      <c r="N2831" s="17" t="s">
        <v>8492</v>
      </c>
      <c r="O2831" s="7" t="s">
        <v>8493</v>
      </c>
      <c r="P2831" s="7" t="s">
        <v>6406</v>
      </c>
      <c r="Z2831" s="3" t="str">
        <f ca="1">HYPERLINK("#"&amp;재료비목록표!G2&amp;"!A"&amp;ROW(재료비목록표!A304),"자재301 →")</f>
        <v>자재301 →</v>
      </c>
    </row>
    <row r="2832" spans="1:26" ht="28.7" customHeight="1" x14ac:dyDescent="0.3">
      <c r="A2832" s="10" t="s">
        <v>2247</v>
      </c>
      <c r="B2832" s="10" t="s">
        <v>2248</v>
      </c>
      <c r="C2832" s="75">
        <v>1</v>
      </c>
      <c r="D2832" s="31" t="s">
        <v>1676</v>
      </c>
      <c r="E2832" s="55">
        <f t="shared" si="19"/>
        <v>22000</v>
      </c>
      <c r="F2832" s="77">
        <f t="shared" si="20"/>
        <v>22000</v>
      </c>
      <c r="G2832" s="51">
        <v>0</v>
      </c>
      <c r="H2832" s="76">
        <f t="shared" si="21"/>
        <v>0</v>
      </c>
      <c r="I2832" s="78">
        <f>재료비목록표!E76</f>
        <v>22000</v>
      </c>
      <c r="J2832" s="81">
        <f t="shared" si="22"/>
        <v>22000</v>
      </c>
      <c r="K2832" s="51">
        <v>0</v>
      </c>
      <c r="L2832" s="76">
        <f t="shared" si="23"/>
        <v>0</v>
      </c>
      <c r="M2832" s="22" t="s">
        <v>8497</v>
      </c>
      <c r="N2832" s="17" t="s">
        <v>8495</v>
      </c>
      <c r="O2832" s="7" t="s">
        <v>8496</v>
      </c>
      <c r="P2832" s="7" t="s">
        <v>6406</v>
      </c>
      <c r="Z2832" s="3" t="str">
        <f ca="1">HYPERLINK("#"&amp;재료비목록표!G2&amp;"!A"&amp;ROW(재료비목록표!A76),"자재73 →")</f>
        <v>자재73 →</v>
      </c>
    </row>
    <row r="2833" spans="1:26" ht="28.7" customHeight="1" x14ac:dyDescent="0.3">
      <c r="A2833" s="10" t="s">
        <v>2725</v>
      </c>
      <c r="B2833" s="10" t="s">
        <v>2726</v>
      </c>
      <c r="C2833" s="75">
        <v>4</v>
      </c>
      <c r="D2833" s="31" t="s">
        <v>1010</v>
      </c>
      <c r="E2833" s="55">
        <f t="shared" si="19"/>
        <v>2500</v>
      </c>
      <c r="F2833" s="77">
        <f t="shared" si="20"/>
        <v>10000</v>
      </c>
      <c r="G2833" s="51">
        <v>0</v>
      </c>
      <c r="H2833" s="76">
        <f t="shared" si="21"/>
        <v>0</v>
      </c>
      <c r="I2833" s="78">
        <f>재료비목록표!E248</f>
        <v>2500</v>
      </c>
      <c r="J2833" s="81">
        <f t="shared" si="22"/>
        <v>10000</v>
      </c>
      <c r="K2833" s="51">
        <v>0</v>
      </c>
      <c r="L2833" s="76">
        <f t="shared" si="23"/>
        <v>0</v>
      </c>
      <c r="M2833" s="22" t="s">
        <v>8500</v>
      </c>
      <c r="N2833" s="17" t="s">
        <v>8498</v>
      </c>
      <c r="O2833" s="7" t="s">
        <v>8499</v>
      </c>
      <c r="P2833" s="7" t="s">
        <v>6406</v>
      </c>
      <c r="Z2833" s="3" t="str">
        <f ca="1">HYPERLINK("#"&amp;재료비목록표!G2&amp;"!A"&amp;ROW(재료비목록표!A248),"자재245 →")</f>
        <v>자재245 →</v>
      </c>
    </row>
    <row r="2834" spans="1:26" ht="28.7" customHeight="1" x14ac:dyDescent="0.3">
      <c r="A2834" s="10" t="s">
        <v>3066</v>
      </c>
      <c r="B2834" s="10" t="s">
        <v>3070</v>
      </c>
      <c r="C2834" s="75">
        <v>4</v>
      </c>
      <c r="D2834" s="31" t="s">
        <v>1010</v>
      </c>
      <c r="E2834" s="55">
        <f t="shared" si="19"/>
        <v>540</v>
      </c>
      <c r="F2834" s="77">
        <f t="shared" si="20"/>
        <v>2160</v>
      </c>
      <c r="G2834" s="51">
        <v>0</v>
      </c>
      <c r="H2834" s="76">
        <f t="shared" si="21"/>
        <v>0</v>
      </c>
      <c r="I2834" s="78">
        <f>재료비목록표!E370</f>
        <v>540</v>
      </c>
      <c r="J2834" s="81">
        <f t="shared" si="22"/>
        <v>2160</v>
      </c>
      <c r="K2834" s="51">
        <v>0</v>
      </c>
      <c r="L2834" s="76">
        <f t="shared" si="23"/>
        <v>0</v>
      </c>
      <c r="M2834" s="22" t="s">
        <v>8503</v>
      </c>
      <c r="N2834" s="17" t="s">
        <v>8501</v>
      </c>
      <c r="O2834" s="7" t="s">
        <v>8502</v>
      </c>
      <c r="P2834" s="7" t="s">
        <v>6406</v>
      </c>
      <c r="Z2834" s="3" t="str">
        <f ca="1">HYPERLINK("#"&amp;재료비목록표!G2&amp;"!A"&amp;ROW(재료비목록표!A370),"자재367 →")</f>
        <v>자재367 →</v>
      </c>
    </row>
    <row r="2835" spans="1:26" ht="28.7" customHeight="1" x14ac:dyDescent="0.3">
      <c r="A2835" s="10" t="s">
        <v>3066</v>
      </c>
      <c r="B2835" s="10" t="s">
        <v>3067</v>
      </c>
      <c r="C2835" s="75">
        <v>16</v>
      </c>
      <c r="D2835" s="31" t="s">
        <v>1010</v>
      </c>
      <c r="E2835" s="55">
        <f t="shared" si="19"/>
        <v>320</v>
      </c>
      <c r="F2835" s="77">
        <f t="shared" si="20"/>
        <v>5120</v>
      </c>
      <c r="G2835" s="51">
        <v>0</v>
      </c>
      <c r="H2835" s="76">
        <f t="shared" si="21"/>
        <v>0</v>
      </c>
      <c r="I2835" s="78">
        <f>재료비목록표!E369</f>
        <v>320</v>
      </c>
      <c r="J2835" s="81">
        <f t="shared" si="22"/>
        <v>5120</v>
      </c>
      <c r="K2835" s="51">
        <v>0</v>
      </c>
      <c r="L2835" s="76">
        <f t="shared" si="23"/>
        <v>0</v>
      </c>
      <c r="M2835" s="22" t="s">
        <v>8506</v>
      </c>
      <c r="N2835" s="17" t="s">
        <v>8504</v>
      </c>
      <c r="O2835" s="7" t="s">
        <v>8505</v>
      </c>
      <c r="P2835" s="7" t="s">
        <v>6406</v>
      </c>
      <c r="Z2835" s="3" t="str">
        <f ca="1">HYPERLINK("#"&amp;재료비목록표!G2&amp;"!A"&amp;ROW(재료비목록표!A369),"자재366 →")</f>
        <v>자재366 →</v>
      </c>
    </row>
    <row r="2836" spans="1:26" ht="28.7" customHeight="1" x14ac:dyDescent="0.3">
      <c r="A2836" s="10" t="s">
        <v>2383</v>
      </c>
      <c r="B2836" s="10" t="s">
        <v>2376</v>
      </c>
      <c r="C2836" s="75">
        <v>0.36</v>
      </c>
      <c r="D2836" s="31" t="s">
        <v>1010</v>
      </c>
      <c r="E2836" s="55">
        <f t="shared" si="19"/>
        <v>16000</v>
      </c>
      <c r="F2836" s="77">
        <f t="shared" si="20"/>
        <v>5760</v>
      </c>
      <c r="G2836" s="51">
        <v>0</v>
      </c>
      <c r="H2836" s="76">
        <f t="shared" si="21"/>
        <v>0</v>
      </c>
      <c r="I2836" s="78">
        <f>재료비목록표!E117</f>
        <v>16000</v>
      </c>
      <c r="J2836" s="81">
        <f t="shared" si="22"/>
        <v>5760</v>
      </c>
      <c r="K2836" s="51">
        <v>0</v>
      </c>
      <c r="L2836" s="76">
        <f t="shared" si="23"/>
        <v>0</v>
      </c>
      <c r="M2836" s="22" t="s">
        <v>8509</v>
      </c>
      <c r="N2836" s="17" t="s">
        <v>8507</v>
      </c>
      <c r="O2836" s="7" t="s">
        <v>8508</v>
      </c>
      <c r="P2836" s="7" t="s">
        <v>6406</v>
      </c>
      <c r="Z2836" s="3" t="str">
        <f ca="1">HYPERLINK("#"&amp;재료비목록표!G2&amp;"!A"&amp;ROW(재료비목록표!A117),"자재114 →")</f>
        <v>자재114 →</v>
      </c>
    </row>
    <row r="2837" spans="1:26" ht="28.7" customHeight="1" x14ac:dyDescent="0.3">
      <c r="A2837" s="10" t="s">
        <v>2375</v>
      </c>
      <c r="B2837" s="10" t="s">
        <v>2376</v>
      </c>
      <c r="C2837" s="75">
        <v>0</v>
      </c>
      <c r="D2837" s="31" t="s">
        <v>1010</v>
      </c>
      <c r="E2837" s="55">
        <f t="shared" si="19"/>
        <v>2500</v>
      </c>
      <c r="F2837" s="77">
        <f t="shared" si="20"/>
        <v>0</v>
      </c>
      <c r="G2837" s="51">
        <v>0</v>
      </c>
      <c r="H2837" s="76">
        <f t="shared" si="21"/>
        <v>0</v>
      </c>
      <c r="I2837" s="78">
        <f>재료비목록표!E115</f>
        <v>2500</v>
      </c>
      <c r="J2837" s="81">
        <f t="shared" si="22"/>
        <v>0</v>
      </c>
      <c r="K2837" s="51">
        <v>0</v>
      </c>
      <c r="L2837" s="76">
        <f t="shared" si="23"/>
        <v>0</v>
      </c>
      <c r="M2837" s="22" t="s">
        <v>8512</v>
      </c>
      <c r="N2837" s="17" t="s">
        <v>8510</v>
      </c>
      <c r="O2837" s="7" t="s">
        <v>8511</v>
      </c>
      <c r="P2837" s="7" t="s">
        <v>6406</v>
      </c>
      <c r="Z2837" s="3" t="str">
        <f ca="1">HYPERLINK("#"&amp;재료비목록표!G2&amp;"!A"&amp;ROW(재료비목록표!A115),"자재112 →")</f>
        <v>자재112 →</v>
      </c>
    </row>
    <row r="2838" spans="1:26" ht="28.7" customHeight="1" x14ac:dyDescent="0.3">
      <c r="A2838" s="10" t="s">
        <v>2379</v>
      </c>
      <c r="B2838" s="10" t="s">
        <v>2380</v>
      </c>
      <c r="C2838" s="75">
        <v>0.2</v>
      </c>
      <c r="D2838" s="31" t="s">
        <v>1010</v>
      </c>
      <c r="E2838" s="55">
        <f t="shared" si="19"/>
        <v>1400</v>
      </c>
      <c r="F2838" s="77">
        <f t="shared" si="20"/>
        <v>280</v>
      </c>
      <c r="G2838" s="51">
        <v>0</v>
      </c>
      <c r="H2838" s="76">
        <f t="shared" si="21"/>
        <v>0</v>
      </c>
      <c r="I2838" s="78">
        <f>재료비목록표!E116</f>
        <v>1400</v>
      </c>
      <c r="J2838" s="81">
        <f t="shared" si="22"/>
        <v>280</v>
      </c>
      <c r="K2838" s="51">
        <v>0</v>
      </c>
      <c r="L2838" s="76">
        <f t="shared" si="23"/>
        <v>0</v>
      </c>
      <c r="M2838" s="22" t="s">
        <v>8515</v>
      </c>
      <c r="N2838" s="17" t="s">
        <v>8513</v>
      </c>
      <c r="O2838" s="7" t="s">
        <v>8514</v>
      </c>
      <c r="P2838" s="7" t="s">
        <v>6406</v>
      </c>
      <c r="Z2838" s="3" t="str">
        <f ca="1">HYPERLINK("#"&amp;재료비목록표!G2&amp;"!A"&amp;ROW(재료비목록표!A116),"자재113 →")</f>
        <v>자재113 →</v>
      </c>
    </row>
    <row r="2839" spans="1:26" ht="28.7" customHeight="1" x14ac:dyDescent="0.3">
      <c r="A2839" s="22" t="s">
        <v>6</v>
      </c>
      <c r="B2839" s="74"/>
      <c r="C2839" s="74"/>
      <c r="D2839" s="74"/>
      <c r="E2839" s="74"/>
      <c r="F2839" s="48">
        <f>J2839+H2839+L2839</f>
        <v>312198</v>
      </c>
      <c r="G2839" s="74"/>
      <c r="H2839" s="48">
        <f>ROUNDDOWN(SUMIF(P2823:P2838,O2839,H2823:H2838),0)</f>
        <v>155368</v>
      </c>
      <c r="I2839" s="74"/>
      <c r="J2839" s="48">
        <f>ROUNDDOWN(SUMIF(P2823:P2838,O2839,J2823:J2838),0)</f>
        <v>156665</v>
      </c>
      <c r="K2839" s="74"/>
      <c r="L2839" s="48">
        <f>ROUNDDOWN(SUMIF(P2823:P2838,O2839,L2823:L2838),0)</f>
        <v>165</v>
      </c>
      <c r="M2839" s="74"/>
      <c r="O2839" s="7" t="s">
        <v>6406</v>
      </c>
    </row>
    <row r="2840" spans="1:26" ht="28.7" customHeight="1" x14ac:dyDescent="0.3">
      <c r="A2840" s="73"/>
      <c r="B2840" s="73"/>
      <c r="C2840" s="73"/>
      <c r="D2840" s="73"/>
      <c r="E2840" s="73"/>
      <c r="F2840" s="73"/>
      <c r="G2840" s="73"/>
      <c r="H2840" s="73"/>
      <c r="I2840" s="73"/>
      <c r="J2840" s="73"/>
      <c r="K2840" s="73"/>
      <c r="L2840" s="73"/>
      <c r="M2840" s="73"/>
    </row>
    <row r="2841" spans="1:26" ht="28.7" customHeight="1" x14ac:dyDescent="0.3">
      <c r="A2841" s="136" t="s">
        <v>1599</v>
      </c>
      <c r="B2841" s="127"/>
      <c r="C2841" s="127"/>
      <c r="D2841" s="127"/>
      <c r="E2841" s="127"/>
      <c r="F2841" s="127"/>
      <c r="G2841" s="127"/>
      <c r="H2841" s="127"/>
      <c r="I2841" s="127"/>
      <c r="J2841" s="127"/>
      <c r="K2841" s="127"/>
      <c r="L2841" s="144"/>
      <c r="M2841" s="22" t="s">
        <v>8516</v>
      </c>
      <c r="N2841" s="84" t="str">
        <f>HYPERLINK("#N"&amp;ROW(N2842),"_x0005_`BDCOD|B04868_x0007_`POSS|"&amp;ROW(N2842)&amp;"_x0007_`POSE|"&amp;ROW(N2842)&amp;"_x0007_`")</f>
        <v>_x0005_`BDCOD|B04868_x0007_`POSS|2842_x0007_`POSE|2842_x0007_`</v>
      </c>
      <c r="O2841" s="7" t="s">
        <v>8517</v>
      </c>
    </row>
    <row r="2842" spans="1:26" ht="28.7" customHeight="1" x14ac:dyDescent="0.3">
      <c r="A2842" s="10" t="s">
        <v>2005</v>
      </c>
      <c r="B2842" s="10" t="s">
        <v>2001</v>
      </c>
      <c r="C2842" s="75">
        <v>1</v>
      </c>
      <c r="D2842" s="31" t="s">
        <v>1603</v>
      </c>
      <c r="E2842" s="55">
        <f>I2842+G2842+K2842</f>
        <v>83748</v>
      </c>
      <c r="F2842" s="76">
        <f>J2842+H2842+L2842</f>
        <v>83748</v>
      </c>
      <c r="G2842" s="78">
        <f>단가산출근거목록표!F14</f>
        <v>83748</v>
      </c>
      <c r="H2842" s="80">
        <f>IF(C2842=0,0,ROUNDDOWN(G2842*C2842,1))</f>
        <v>83748</v>
      </c>
      <c r="I2842" s="78">
        <f>단가산출근거목록표!G14</f>
        <v>0</v>
      </c>
      <c r="J2842" s="80">
        <f>IF(C2842=0,0,ROUNDDOWN(I2842*C2842,1))</f>
        <v>0</v>
      </c>
      <c r="K2842" s="78">
        <f>단가산출근거목록표!H14</f>
        <v>0</v>
      </c>
      <c r="L2842" s="80">
        <f>IF(C2842=0,0,ROUNDDOWN(K2842*C2842,1))</f>
        <v>0</v>
      </c>
      <c r="M2842" s="22" t="s">
        <v>8520</v>
      </c>
      <c r="N2842" s="17" t="s">
        <v>8518</v>
      </c>
      <c r="O2842" s="7" t="s">
        <v>8519</v>
      </c>
      <c r="P2842" s="7" t="s">
        <v>6406</v>
      </c>
      <c r="Z2842" s="3" t="str">
        <f ca="1">HYPERLINK("#"&amp;단가산출근거목록표!J2&amp;"!A"&amp;ROW(단가산출근거목록표!A14),"산근11 →")</f>
        <v>산근11 →</v>
      </c>
    </row>
    <row r="2843" spans="1:26" ht="28.7" customHeight="1" x14ac:dyDescent="0.3">
      <c r="A2843" s="22" t="s">
        <v>6</v>
      </c>
      <c r="B2843" s="74"/>
      <c r="C2843" s="74"/>
      <c r="D2843" s="74"/>
      <c r="E2843" s="74"/>
      <c r="F2843" s="48">
        <f>J2843+H2843+L2843</f>
        <v>83748</v>
      </c>
      <c r="G2843" s="74"/>
      <c r="H2843" s="48">
        <f>ROUNDDOWN(SUMIF(P2842:P2842,O2843,H2842:H2842),0)</f>
        <v>83748</v>
      </c>
      <c r="I2843" s="74"/>
      <c r="J2843" s="48">
        <f>ROUNDDOWN(SUMIF(P2842:P2842,O2843,J2842:J2842),0)</f>
        <v>0</v>
      </c>
      <c r="K2843" s="74"/>
      <c r="L2843" s="48">
        <f>ROUNDDOWN(SUMIF(P2842:P2842,O2843,L2842:L2842),0)</f>
        <v>0</v>
      </c>
      <c r="M2843" s="74"/>
      <c r="O2843" s="7" t="s">
        <v>6406</v>
      </c>
    </row>
    <row r="2844" spans="1:26" ht="28.7" customHeight="1" x14ac:dyDescent="0.3">
      <c r="A2844" s="73"/>
      <c r="B2844" s="73"/>
      <c r="C2844" s="73"/>
      <c r="D2844" s="73"/>
      <c r="E2844" s="73"/>
      <c r="F2844" s="73"/>
      <c r="G2844" s="73"/>
      <c r="H2844" s="73"/>
      <c r="I2844" s="73"/>
      <c r="J2844" s="73"/>
      <c r="K2844" s="73"/>
      <c r="L2844" s="73"/>
      <c r="M2844" s="73"/>
    </row>
    <row r="2845" spans="1:26" ht="28.7" customHeight="1" x14ac:dyDescent="0.3">
      <c r="A2845" s="136" t="s">
        <v>1604</v>
      </c>
      <c r="B2845" s="127"/>
      <c r="C2845" s="127"/>
      <c r="D2845" s="127"/>
      <c r="E2845" s="127"/>
      <c r="F2845" s="127"/>
      <c r="G2845" s="127"/>
      <c r="H2845" s="127"/>
      <c r="I2845" s="127"/>
      <c r="J2845" s="127"/>
      <c r="K2845" s="127"/>
      <c r="L2845" s="144"/>
      <c r="M2845" s="22" t="s">
        <v>8521</v>
      </c>
      <c r="N2845" s="84" t="str">
        <f>HYPERLINK("#N"&amp;ROW(N2846),"_x0005_`BDCOD|B03019_x0007_`POSS|"&amp;ROW(N2846)&amp;"_x0007_`POSE|"&amp;ROW(N2846)&amp;"_x0007_`")</f>
        <v>_x0005_`BDCOD|B03019_x0007_`POSS|2846_x0007_`POSE|2846_x0007_`</v>
      </c>
      <c r="O2845" s="7" t="s">
        <v>8522</v>
      </c>
    </row>
    <row r="2846" spans="1:26" ht="28.7" customHeight="1" x14ac:dyDescent="0.3">
      <c r="A2846" s="10" t="s">
        <v>2005</v>
      </c>
      <c r="B2846" s="10" t="s">
        <v>2001</v>
      </c>
      <c r="C2846" s="75">
        <v>1</v>
      </c>
      <c r="D2846" s="31" t="s">
        <v>1603</v>
      </c>
      <c r="E2846" s="55">
        <f>I2846+G2846+K2846</f>
        <v>83748</v>
      </c>
      <c r="F2846" s="76">
        <f>J2846+H2846+L2846</f>
        <v>83748</v>
      </c>
      <c r="G2846" s="78">
        <f>단가산출근거목록표!F14</f>
        <v>83748</v>
      </c>
      <c r="H2846" s="80">
        <f>IF(C2846=0,0,ROUNDDOWN(G2846*C2846,1))</f>
        <v>83748</v>
      </c>
      <c r="I2846" s="78">
        <f>단가산출근거목록표!G14</f>
        <v>0</v>
      </c>
      <c r="J2846" s="80">
        <f>IF(C2846=0,0,ROUNDDOWN(I2846*C2846,1))</f>
        <v>0</v>
      </c>
      <c r="K2846" s="78">
        <f>단가산출근거목록표!H14</f>
        <v>0</v>
      </c>
      <c r="L2846" s="80">
        <f>IF(C2846=0,0,ROUNDDOWN(K2846*C2846,1))</f>
        <v>0</v>
      </c>
      <c r="M2846" s="22" t="s">
        <v>8520</v>
      </c>
      <c r="N2846" s="17" t="s">
        <v>8518</v>
      </c>
      <c r="O2846" s="7" t="s">
        <v>8519</v>
      </c>
      <c r="P2846" s="7" t="s">
        <v>6406</v>
      </c>
      <c r="Z2846" s="3" t="str">
        <f ca="1">HYPERLINK("#"&amp;단가산출근거목록표!J2&amp;"!A"&amp;ROW(단가산출근거목록표!A14),"산근11 →")</f>
        <v>산근11 →</v>
      </c>
    </row>
    <row r="2847" spans="1:26" ht="28.7" customHeight="1" x14ac:dyDescent="0.3">
      <c r="A2847" s="22" t="s">
        <v>6</v>
      </c>
      <c r="B2847" s="74"/>
      <c r="C2847" s="74"/>
      <c r="D2847" s="74"/>
      <c r="E2847" s="74"/>
      <c r="F2847" s="48">
        <f>J2847+H2847+L2847</f>
        <v>83748</v>
      </c>
      <c r="G2847" s="74"/>
      <c r="H2847" s="48">
        <f>ROUNDDOWN(SUMIF(P2846:P2846,O2847,H2846:H2846),0)</f>
        <v>83748</v>
      </c>
      <c r="I2847" s="74"/>
      <c r="J2847" s="48">
        <f>ROUNDDOWN(SUMIF(P2846:P2846,O2847,J2846:J2846),0)</f>
        <v>0</v>
      </c>
      <c r="K2847" s="74"/>
      <c r="L2847" s="48">
        <f>ROUNDDOWN(SUMIF(P2846:P2846,O2847,L2846:L2846),0)</f>
        <v>0</v>
      </c>
      <c r="M2847" s="74"/>
      <c r="O2847" s="7" t="s">
        <v>6406</v>
      </c>
    </row>
    <row r="2848" spans="1:26" ht="28.7" customHeight="1" x14ac:dyDescent="0.3">
      <c r="A2848" s="73"/>
      <c r="B2848" s="73"/>
      <c r="C2848" s="73"/>
      <c r="D2848" s="73"/>
      <c r="E2848" s="73"/>
      <c r="F2848" s="73"/>
      <c r="G2848" s="73"/>
      <c r="H2848" s="73"/>
      <c r="I2848" s="73"/>
      <c r="J2848" s="73"/>
      <c r="K2848" s="73"/>
      <c r="L2848" s="73"/>
      <c r="M2848" s="73"/>
    </row>
    <row r="2849" spans="1:26" ht="28.7" customHeight="1" x14ac:dyDescent="0.3">
      <c r="A2849" s="136" t="s">
        <v>1606</v>
      </c>
      <c r="B2849" s="127"/>
      <c r="C2849" s="127"/>
      <c r="D2849" s="127"/>
      <c r="E2849" s="127"/>
      <c r="F2849" s="127"/>
      <c r="G2849" s="127"/>
      <c r="H2849" s="127"/>
      <c r="I2849" s="127"/>
      <c r="J2849" s="127"/>
      <c r="K2849" s="127"/>
      <c r="L2849" s="144"/>
      <c r="M2849" s="22" t="s">
        <v>8523</v>
      </c>
      <c r="N2849" s="84" t="str">
        <f>HYPERLINK("#N"&amp;ROW(N2853),"_x0005_`BDCOD|B04870_x0007_`POSS|"&amp;ROW(N2850)&amp;"_x0007_`POSE|"&amp;ROW(N2853)&amp;"_x0007_`")</f>
        <v>_x0005_`BDCOD|B04870_x0007_`POSS|2850_x0007_`POSE|2853_x0007_`</v>
      </c>
      <c r="O2849" s="7" t="s">
        <v>8524</v>
      </c>
    </row>
    <row r="2850" spans="1:26" ht="28.7" customHeight="1" x14ac:dyDescent="0.3">
      <c r="A2850" s="10"/>
      <c r="B2850" s="10" t="s">
        <v>8525</v>
      </c>
      <c r="C2850" s="75">
        <v>0</v>
      </c>
      <c r="D2850" s="31"/>
      <c r="E2850" s="33">
        <v>0</v>
      </c>
      <c r="F2850" s="11">
        <v>0</v>
      </c>
      <c r="G2850" s="42"/>
      <c r="H2850" s="11">
        <v>0</v>
      </c>
      <c r="I2850" s="42"/>
      <c r="J2850" s="33">
        <v>0</v>
      </c>
      <c r="K2850" s="46"/>
      <c r="L2850" s="33">
        <v>0</v>
      </c>
      <c r="M2850" s="22" t="s">
        <v>6509</v>
      </c>
      <c r="N2850" s="17" t="s">
        <v>6507</v>
      </c>
      <c r="O2850" s="7" t="s">
        <v>6508</v>
      </c>
      <c r="P2850" s="7" t="s">
        <v>6508</v>
      </c>
    </row>
    <row r="2851" spans="1:26" ht="28.7" customHeight="1" x14ac:dyDescent="0.3">
      <c r="A2851" s="10" t="s">
        <v>3097</v>
      </c>
      <c r="B2851" s="10"/>
      <c r="C2851" s="75">
        <v>0.36799999999999999</v>
      </c>
      <c r="D2851" s="31" t="s">
        <v>3074</v>
      </c>
      <c r="E2851" s="55">
        <f t="shared" ref="E2851:F2853" si="24">I2851+G2851+K2851</f>
        <v>222306</v>
      </c>
      <c r="F2851" s="76">
        <f t="shared" si="24"/>
        <v>81808.600000000006</v>
      </c>
      <c r="G2851" s="78">
        <f>노무비목록표!E16</f>
        <v>222306</v>
      </c>
      <c r="H2851" s="81">
        <f>IF(C2851=0,0,ROUNDDOWN(G2851*C2851,1))</f>
        <v>81808.600000000006</v>
      </c>
      <c r="I2851" s="51">
        <v>0</v>
      </c>
      <c r="J2851" s="77">
        <f>IF(C2851=0,0,ROUNDDOWN(I2851*C2851,1))</f>
        <v>0</v>
      </c>
      <c r="K2851" s="51">
        <v>0</v>
      </c>
      <c r="L2851" s="76">
        <f>IF(C2851=0,0,ROUNDDOWN(K2851*C2851,1))</f>
        <v>0</v>
      </c>
      <c r="M2851" s="22" t="s">
        <v>8528</v>
      </c>
      <c r="N2851" s="17" t="s">
        <v>8526</v>
      </c>
      <c r="O2851" s="7" t="s">
        <v>8527</v>
      </c>
      <c r="P2851" s="7" t="s">
        <v>6406</v>
      </c>
      <c r="Z2851" s="3" t="str">
        <f ca="1">HYPERLINK("#"&amp;노무비목록표!G2&amp;"!A"&amp;ROW(노무비목록표!A16),"노무13 →")</f>
        <v>노무13 →</v>
      </c>
    </row>
    <row r="2852" spans="1:26" ht="28.7" customHeight="1" x14ac:dyDescent="0.3">
      <c r="A2852" s="10" t="s">
        <v>3090</v>
      </c>
      <c r="B2852" s="10"/>
      <c r="C2852" s="75">
        <v>0.36799999999999999</v>
      </c>
      <c r="D2852" s="31" t="s">
        <v>3074</v>
      </c>
      <c r="E2852" s="55">
        <f t="shared" si="24"/>
        <v>172068</v>
      </c>
      <c r="F2852" s="76">
        <f t="shared" si="24"/>
        <v>63321</v>
      </c>
      <c r="G2852" s="78">
        <f>노무비목록표!E12</f>
        <v>172068</v>
      </c>
      <c r="H2852" s="81">
        <f>IF(C2852=0,0,ROUNDDOWN(G2852*C2852,1))</f>
        <v>63321</v>
      </c>
      <c r="I2852" s="51">
        <v>0</v>
      </c>
      <c r="J2852" s="77">
        <f>IF(C2852=0,0,ROUNDDOWN(I2852*C2852,1))</f>
        <v>0</v>
      </c>
      <c r="K2852" s="51">
        <v>0</v>
      </c>
      <c r="L2852" s="76">
        <f>IF(C2852=0,0,ROUNDDOWN(K2852*C2852,1))</f>
        <v>0</v>
      </c>
      <c r="M2852" s="22" t="s">
        <v>8262</v>
      </c>
      <c r="N2852" s="17" t="s">
        <v>8473</v>
      </c>
      <c r="O2852" s="7" t="s">
        <v>8261</v>
      </c>
      <c r="P2852" s="7" t="s">
        <v>6406</v>
      </c>
      <c r="Z2852" s="3" t="str">
        <f ca="1">HYPERLINK("#"&amp;노무비목록표!G2&amp;"!A"&amp;ROW(노무비목록표!A12),"노무9 →")</f>
        <v>노무9 →</v>
      </c>
    </row>
    <row r="2853" spans="1:26" ht="28.7" customHeight="1" x14ac:dyDescent="0.3">
      <c r="A2853" s="10" t="s">
        <v>2026</v>
      </c>
      <c r="B2853" s="10" t="s">
        <v>2027</v>
      </c>
      <c r="C2853" s="75">
        <v>1.87</v>
      </c>
      <c r="D2853" s="31" t="s">
        <v>2015</v>
      </c>
      <c r="E2853" s="55">
        <f t="shared" si="24"/>
        <v>472</v>
      </c>
      <c r="F2853" s="76">
        <f t="shared" si="24"/>
        <v>882.6</v>
      </c>
      <c r="G2853" s="78">
        <f>중기목록표!F7</f>
        <v>0</v>
      </c>
      <c r="H2853" s="80">
        <f>IF(C2853=0,0,ROUNDDOWN(G2853*C2853,1))</f>
        <v>0</v>
      </c>
      <c r="I2853" s="78">
        <f>중기목록표!G7</f>
        <v>0</v>
      </c>
      <c r="J2853" s="80">
        <f>IF(C2853=0,0,ROUNDDOWN(I2853*C2853,1))</f>
        <v>0</v>
      </c>
      <c r="K2853" s="78">
        <f>중기목록표!H7</f>
        <v>472</v>
      </c>
      <c r="L2853" s="80">
        <f>IF(C2853=0,0,ROUNDDOWN(K2853*C2853,1))</f>
        <v>882.6</v>
      </c>
      <c r="M2853" s="22" t="s">
        <v>8531</v>
      </c>
      <c r="N2853" s="17" t="s">
        <v>8529</v>
      </c>
      <c r="O2853" s="7" t="s">
        <v>8530</v>
      </c>
      <c r="P2853" s="7" t="s">
        <v>6406</v>
      </c>
      <c r="Z2853" s="3" t="str">
        <f ca="1">HYPERLINK("#"&amp;중기목록표!J2&amp;"!A"&amp;ROW(중기목록표!A7),"중기4 →")</f>
        <v>중기4 →</v>
      </c>
    </row>
    <row r="2854" spans="1:26" ht="28.7" customHeight="1" x14ac:dyDescent="0.3">
      <c r="A2854" s="22" t="s">
        <v>6</v>
      </c>
      <c r="B2854" s="74"/>
      <c r="C2854" s="74"/>
      <c r="D2854" s="74"/>
      <c r="E2854" s="74"/>
      <c r="F2854" s="48">
        <f>J2854+H2854+L2854</f>
        <v>146011</v>
      </c>
      <c r="G2854" s="74"/>
      <c r="H2854" s="48">
        <f>ROUNDDOWN(SUMIF(P2850:P2853,O2854,H2850:H2853),0)</f>
        <v>145129</v>
      </c>
      <c r="I2854" s="74"/>
      <c r="J2854" s="48">
        <f>ROUNDDOWN(SUMIF(P2850:P2853,O2854,J2850:J2853),0)</f>
        <v>0</v>
      </c>
      <c r="K2854" s="74"/>
      <c r="L2854" s="48">
        <f>ROUNDDOWN(SUMIF(P2850:P2853,O2854,L2850:L2853),0)</f>
        <v>882</v>
      </c>
      <c r="M2854" s="74"/>
      <c r="O2854" s="7" t="s">
        <v>6406</v>
      </c>
    </row>
    <row r="2855" spans="1:26" ht="28.7" customHeight="1" x14ac:dyDescent="0.3">
      <c r="A2855" s="73"/>
      <c r="B2855" s="73"/>
      <c r="C2855" s="73"/>
      <c r="D2855" s="73"/>
      <c r="E2855" s="73"/>
      <c r="F2855" s="73"/>
      <c r="G2855" s="73"/>
      <c r="H2855" s="73"/>
      <c r="I2855" s="73"/>
      <c r="J2855" s="73"/>
      <c r="K2855" s="73"/>
      <c r="L2855" s="73"/>
      <c r="M2855" s="73"/>
    </row>
    <row r="2856" spans="1:26" ht="28.7" customHeight="1" x14ac:dyDescent="0.3">
      <c r="A2856" s="136" t="s">
        <v>1610</v>
      </c>
      <c r="B2856" s="127"/>
      <c r="C2856" s="127"/>
      <c r="D2856" s="127"/>
      <c r="E2856" s="127"/>
      <c r="F2856" s="127"/>
      <c r="G2856" s="127"/>
      <c r="H2856" s="127"/>
      <c r="I2856" s="127"/>
      <c r="J2856" s="127"/>
      <c r="K2856" s="127"/>
      <c r="L2856" s="144"/>
      <c r="M2856" s="22" t="s">
        <v>8532</v>
      </c>
      <c r="N2856" s="84" t="str">
        <f>HYPERLINK("#N"&amp;ROW(N2860),"_x0005_`BDCOD|B04871_x0007_`POSS|"&amp;ROW(N2857)&amp;"_x0007_`POSE|"&amp;ROW(N2860)&amp;"_x0007_`")</f>
        <v>_x0005_`BDCOD|B04871_x0007_`POSS|2857_x0007_`POSE|2860_x0007_`</v>
      </c>
      <c r="O2856" s="7" t="s">
        <v>8533</v>
      </c>
    </row>
    <row r="2857" spans="1:26" ht="28.7" customHeight="1" x14ac:dyDescent="0.3">
      <c r="A2857" s="10"/>
      <c r="B2857" s="10" t="s">
        <v>8525</v>
      </c>
      <c r="C2857" s="75">
        <v>0</v>
      </c>
      <c r="D2857" s="31"/>
      <c r="E2857" s="33">
        <v>0</v>
      </c>
      <c r="F2857" s="11">
        <v>0</v>
      </c>
      <c r="G2857" s="42"/>
      <c r="H2857" s="11">
        <v>0</v>
      </c>
      <c r="I2857" s="42"/>
      <c r="J2857" s="33">
        <v>0</v>
      </c>
      <c r="K2857" s="46"/>
      <c r="L2857" s="33">
        <v>0</v>
      </c>
      <c r="M2857" s="22" t="s">
        <v>6509</v>
      </c>
      <c r="N2857" s="17" t="s">
        <v>6507</v>
      </c>
      <c r="O2857" s="7" t="s">
        <v>6508</v>
      </c>
      <c r="P2857" s="7" t="s">
        <v>6508</v>
      </c>
    </row>
    <row r="2858" spans="1:26" ht="28.7" customHeight="1" x14ac:dyDescent="0.3">
      <c r="A2858" s="10" t="s">
        <v>3097</v>
      </c>
      <c r="B2858" s="10"/>
      <c r="C2858" s="75">
        <v>0.46899999999999997</v>
      </c>
      <c r="D2858" s="31" t="s">
        <v>3074</v>
      </c>
      <c r="E2858" s="55">
        <f t="shared" ref="E2858:F2860" si="25">I2858+G2858+K2858</f>
        <v>222306</v>
      </c>
      <c r="F2858" s="76">
        <f t="shared" si="25"/>
        <v>104261.5</v>
      </c>
      <c r="G2858" s="78">
        <f>노무비목록표!E16</f>
        <v>222306</v>
      </c>
      <c r="H2858" s="81">
        <f>IF(C2858=0,0,ROUNDDOWN(G2858*C2858,1))</f>
        <v>104261.5</v>
      </c>
      <c r="I2858" s="51">
        <v>0</v>
      </c>
      <c r="J2858" s="77">
        <f>IF(C2858=0,0,ROUNDDOWN(I2858*C2858,1))</f>
        <v>0</v>
      </c>
      <c r="K2858" s="51">
        <v>0</v>
      </c>
      <c r="L2858" s="76">
        <f>IF(C2858=0,0,ROUNDDOWN(K2858*C2858,1))</f>
        <v>0</v>
      </c>
      <c r="M2858" s="22" t="s">
        <v>8528</v>
      </c>
      <c r="N2858" s="17" t="s">
        <v>8526</v>
      </c>
      <c r="O2858" s="7" t="s">
        <v>8527</v>
      </c>
      <c r="P2858" s="7" t="s">
        <v>6406</v>
      </c>
      <c r="Z2858" s="3" t="str">
        <f ca="1">HYPERLINK("#"&amp;노무비목록표!G2&amp;"!A"&amp;ROW(노무비목록표!A16),"노무13 →")</f>
        <v>노무13 →</v>
      </c>
    </row>
    <row r="2859" spans="1:26" ht="28.7" customHeight="1" x14ac:dyDescent="0.3">
      <c r="A2859" s="10" t="s">
        <v>3090</v>
      </c>
      <c r="B2859" s="10"/>
      <c r="C2859" s="75">
        <v>0.46899999999999997</v>
      </c>
      <c r="D2859" s="31" t="s">
        <v>3074</v>
      </c>
      <c r="E2859" s="55">
        <f t="shared" si="25"/>
        <v>172068</v>
      </c>
      <c r="F2859" s="76">
        <f t="shared" si="25"/>
        <v>80699.8</v>
      </c>
      <c r="G2859" s="78">
        <f>노무비목록표!E12</f>
        <v>172068</v>
      </c>
      <c r="H2859" s="81">
        <f>IF(C2859=0,0,ROUNDDOWN(G2859*C2859,1))</f>
        <v>80699.8</v>
      </c>
      <c r="I2859" s="51">
        <v>0</v>
      </c>
      <c r="J2859" s="77">
        <f>IF(C2859=0,0,ROUNDDOWN(I2859*C2859,1))</f>
        <v>0</v>
      </c>
      <c r="K2859" s="51">
        <v>0</v>
      </c>
      <c r="L2859" s="76">
        <f>IF(C2859=0,0,ROUNDDOWN(K2859*C2859,1))</f>
        <v>0</v>
      </c>
      <c r="M2859" s="22" t="s">
        <v>8262</v>
      </c>
      <c r="N2859" s="17" t="s">
        <v>8473</v>
      </c>
      <c r="O2859" s="7" t="s">
        <v>8261</v>
      </c>
      <c r="P2859" s="7" t="s">
        <v>6406</v>
      </c>
      <c r="Z2859" s="3" t="str">
        <f ca="1">HYPERLINK("#"&amp;노무비목록표!G2&amp;"!A"&amp;ROW(노무비목록표!A12),"노무9 →")</f>
        <v>노무9 →</v>
      </c>
    </row>
    <row r="2860" spans="1:26" ht="28.7" customHeight="1" x14ac:dyDescent="0.3">
      <c r="A2860" s="10" t="s">
        <v>2026</v>
      </c>
      <c r="B2860" s="10" t="s">
        <v>2027</v>
      </c>
      <c r="C2860" s="75">
        <v>2.64</v>
      </c>
      <c r="D2860" s="31" t="s">
        <v>2015</v>
      </c>
      <c r="E2860" s="55">
        <f t="shared" si="25"/>
        <v>472</v>
      </c>
      <c r="F2860" s="76">
        <f t="shared" si="25"/>
        <v>1246</v>
      </c>
      <c r="G2860" s="78">
        <f>중기목록표!F7</f>
        <v>0</v>
      </c>
      <c r="H2860" s="80">
        <f>IF(C2860=0,0,ROUNDDOWN(G2860*C2860,1))</f>
        <v>0</v>
      </c>
      <c r="I2860" s="78">
        <f>중기목록표!G7</f>
        <v>0</v>
      </c>
      <c r="J2860" s="80">
        <f>IF(C2860=0,0,ROUNDDOWN(I2860*C2860,1))</f>
        <v>0</v>
      </c>
      <c r="K2860" s="78">
        <f>중기목록표!H7</f>
        <v>472</v>
      </c>
      <c r="L2860" s="80">
        <f>IF(C2860=0,0,ROUNDDOWN(K2860*C2860,1))</f>
        <v>1246</v>
      </c>
      <c r="M2860" s="22" t="s">
        <v>8531</v>
      </c>
      <c r="N2860" s="17" t="s">
        <v>8529</v>
      </c>
      <c r="O2860" s="7" t="s">
        <v>8530</v>
      </c>
      <c r="P2860" s="7" t="s">
        <v>6406</v>
      </c>
      <c r="Z2860" s="3" t="str">
        <f ca="1">HYPERLINK("#"&amp;중기목록표!J2&amp;"!A"&amp;ROW(중기목록표!A7),"중기4 →")</f>
        <v>중기4 →</v>
      </c>
    </row>
    <row r="2861" spans="1:26" ht="28.7" customHeight="1" x14ac:dyDescent="0.3">
      <c r="A2861" s="22" t="s">
        <v>6</v>
      </c>
      <c r="B2861" s="74"/>
      <c r="C2861" s="74"/>
      <c r="D2861" s="74"/>
      <c r="E2861" s="74"/>
      <c r="F2861" s="48">
        <f>J2861+H2861+L2861</f>
        <v>186207</v>
      </c>
      <c r="G2861" s="74"/>
      <c r="H2861" s="48">
        <f>ROUNDDOWN(SUMIF(P2857:P2860,O2861,H2857:H2860),0)</f>
        <v>184961</v>
      </c>
      <c r="I2861" s="74"/>
      <c r="J2861" s="48">
        <f>ROUNDDOWN(SUMIF(P2857:P2860,O2861,J2857:J2860),0)</f>
        <v>0</v>
      </c>
      <c r="K2861" s="74"/>
      <c r="L2861" s="48">
        <f>ROUNDDOWN(SUMIF(P2857:P2860,O2861,L2857:L2860),0)</f>
        <v>1246</v>
      </c>
      <c r="M2861" s="74"/>
      <c r="O2861" s="7" t="s">
        <v>6406</v>
      </c>
    </row>
    <row r="2862" spans="1:26" ht="28.7" customHeight="1" x14ac:dyDescent="0.3">
      <c r="A2862" s="73"/>
      <c r="B2862" s="73"/>
      <c r="C2862" s="73"/>
      <c r="D2862" s="73"/>
      <c r="E2862" s="73"/>
      <c r="F2862" s="73"/>
      <c r="G2862" s="73"/>
      <c r="H2862" s="73"/>
      <c r="I2862" s="73"/>
      <c r="J2862" s="73"/>
      <c r="K2862" s="73"/>
      <c r="L2862" s="73"/>
      <c r="M2862" s="73"/>
    </row>
    <row r="2863" spans="1:26" ht="28.7" customHeight="1" x14ac:dyDescent="0.3">
      <c r="A2863" s="136" t="s">
        <v>1613</v>
      </c>
      <c r="B2863" s="127"/>
      <c r="C2863" s="127"/>
      <c r="D2863" s="127"/>
      <c r="E2863" s="127"/>
      <c r="F2863" s="127"/>
      <c r="G2863" s="127"/>
      <c r="H2863" s="127"/>
      <c r="I2863" s="127"/>
      <c r="J2863" s="127"/>
      <c r="K2863" s="127"/>
      <c r="L2863" s="144"/>
      <c r="M2863" s="22" t="s">
        <v>8534</v>
      </c>
      <c r="N2863" s="84" t="str">
        <f>HYPERLINK("#N"&amp;ROW(N2867),"_x0005_`BDCOD|B04872_x0007_`POSS|"&amp;ROW(N2864)&amp;"_x0007_`POSE|"&amp;ROW(N2867)&amp;"_x0007_`")</f>
        <v>_x0005_`BDCOD|B04872_x0007_`POSS|2864_x0007_`POSE|2867_x0007_`</v>
      </c>
      <c r="O2863" s="7" t="s">
        <v>8535</v>
      </c>
    </row>
    <row r="2864" spans="1:26" ht="28.7" customHeight="1" x14ac:dyDescent="0.3">
      <c r="A2864" s="10"/>
      <c r="B2864" s="10" t="s">
        <v>8525</v>
      </c>
      <c r="C2864" s="75">
        <v>0</v>
      </c>
      <c r="D2864" s="31"/>
      <c r="E2864" s="33">
        <v>0</v>
      </c>
      <c r="F2864" s="11">
        <v>0</v>
      </c>
      <c r="G2864" s="42"/>
      <c r="H2864" s="11">
        <v>0</v>
      </c>
      <c r="I2864" s="42"/>
      <c r="J2864" s="33">
        <v>0</v>
      </c>
      <c r="K2864" s="46"/>
      <c r="L2864" s="33">
        <v>0</v>
      </c>
      <c r="M2864" s="22" t="s">
        <v>6509</v>
      </c>
      <c r="N2864" s="17" t="s">
        <v>6507</v>
      </c>
      <c r="O2864" s="7" t="s">
        <v>6508</v>
      </c>
      <c r="P2864" s="7" t="s">
        <v>6508</v>
      </c>
    </row>
    <row r="2865" spans="1:26" ht="28.7" customHeight="1" x14ac:dyDescent="0.3">
      <c r="A2865" s="10" t="s">
        <v>3097</v>
      </c>
      <c r="B2865" s="10"/>
      <c r="C2865" s="75">
        <v>0.56999999999999995</v>
      </c>
      <c r="D2865" s="31" t="s">
        <v>3074</v>
      </c>
      <c r="E2865" s="55">
        <f t="shared" ref="E2865:F2867" si="26">I2865+G2865+K2865</f>
        <v>222306</v>
      </c>
      <c r="F2865" s="76">
        <f t="shared" si="26"/>
        <v>126714.4</v>
      </c>
      <c r="G2865" s="78">
        <f>노무비목록표!E16</f>
        <v>222306</v>
      </c>
      <c r="H2865" s="81">
        <f>IF(C2865=0,0,ROUNDDOWN(G2865*C2865,1))</f>
        <v>126714.4</v>
      </c>
      <c r="I2865" s="51">
        <v>0</v>
      </c>
      <c r="J2865" s="77">
        <f>IF(C2865=0,0,ROUNDDOWN(I2865*C2865,1))</f>
        <v>0</v>
      </c>
      <c r="K2865" s="51">
        <v>0</v>
      </c>
      <c r="L2865" s="76">
        <f>IF(C2865=0,0,ROUNDDOWN(K2865*C2865,1))</f>
        <v>0</v>
      </c>
      <c r="M2865" s="22" t="s">
        <v>8528</v>
      </c>
      <c r="N2865" s="17" t="s">
        <v>8526</v>
      </c>
      <c r="O2865" s="7" t="s">
        <v>8527</v>
      </c>
      <c r="P2865" s="7" t="s">
        <v>6406</v>
      </c>
      <c r="Z2865" s="3" t="str">
        <f ca="1">HYPERLINK("#"&amp;노무비목록표!G2&amp;"!A"&amp;ROW(노무비목록표!A16),"노무13 →")</f>
        <v>노무13 →</v>
      </c>
    </row>
    <row r="2866" spans="1:26" ht="28.7" customHeight="1" x14ac:dyDescent="0.3">
      <c r="A2866" s="10" t="s">
        <v>3090</v>
      </c>
      <c r="B2866" s="10"/>
      <c r="C2866" s="75">
        <v>0.56999999999999995</v>
      </c>
      <c r="D2866" s="31" t="s">
        <v>3074</v>
      </c>
      <c r="E2866" s="55">
        <f t="shared" si="26"/>
        <v>172068</v>
      </c>
      <c r="F2866" s="76">
        <f t="shared" si="26"/>
        <v>98078.7</v>
      </c>
      <c r="G2866" s="78">
        <f>노무비목록표!E12</f>
        <v>172068</v>
      </c>
      <c r="H2866" s="81">
        <f>IF(C2866=0,0,ROUNDDOWN(G2866*C2866,1))</f>
        <v>98078.7</v>
      </c>
      <c r="I2866" s="51">
        <v>0</v>
      </c>
      <c r="J2866" s="77">
        <f>IF(C2866=0,0,ROUNDDOWN(I2866*C2866,1))</f>
        <v>0</v>
      </c>
      <c r="K2866" s="51">
        <v>0</v>
      </c>
      <c r="L2866" s="76">
        <f>IF(C2866=0,0,ROUNDDOWN(K2866*C2866,1))</f>
        <v>0</v>
      </c>
      <c r="M2866" s="22" t="s">
        <v>8262</v>
      </c>
      <c r="N2866" s="17" t="s">
        <v>8473</v>
      </c>
      <c r="O2866" s="7" t="s">
        <v>8261</v>
      </c>
      <c r="P2866" s="7" t="s">
        <v>6406</v>
      </c>
      <c r="Z2866" s="3" t="str">
        <f ca="1">HYPERLINK("#"&amp;노무비목록표!G2&amp;"!A"&amp;ROW(노무비목록표!A12),"노무9 →")</f>
        <v>노무9 →</v>
      </c>
    </row>
    <row r="2867" spans="1:26" ht="28.7" customHeight="1" x14ac:dyDescent="0.3">
      <c r="A2867" s="10" t="s">
        <v>2026</v>
      </c>
      <c r="B2867" s="10" t="s">
        <v>2027</v>
      </c>
      <c r="C2867" s="75">
        <v>3.4</v>
      </c>
      <c r="D2867" s="31" t="s">
        <v>2015</v>
      </c>
      <c r="E2867" s="55">
        <f t="shared" si="26"/>
        <v>472</v>
      </c>
      <c r="F2867" s="76">
        <f t="shared" si="26"/>
        <v>1604.8</v>
      </c>
      <c r="G2867" s="78">
        <f>중기목록표!F7</f>
        <v>0</v>
      </c>
      <c r="H2867" s="80">
        <f>IF(C2867=0,0,ROUNDDOWN(G2867*C2867,1))</f>
        <v>0</v>
      </c>
      <c r="I2867" s="78">
        <f>중기목록표!G7</f>
        <v>0</v>
      </c>
      <c r="J2867" s="80">
        <f>IF(C2867=0,0,ROUNDDOWN(I2867*C2867,1))</f>
        <v>0</v>
      </c>
      <c r="K2867" s="78">
        <f>중기목록표!H7</f>
        <v>472</v>
      </c>
      <c r="L2867" s="80">
        <f>IF(C2867=0,0,ROUNDDOWN(K2867*C2867,1))</f>
        <v>1604.8</v>
      </c>
      <c r="M2867" s="22" t="s">
        <v>8531</v>
      </c>
      <c r="N2867" s="17" t="s">
        <v>8529</v>
      </c>
      <c r="O2867" s="7" t="s">
        <v>8530</v>
      </c>
      <c r="P2867" s="7" t="s">
        <v>6406</v>
      </c>
      <c r="Z2867" s="3" t="str">
        <f ca="1">HYPERLINK("#"&amp;중기목록표!J2&amp;"!A"&amp;ROW(중기목록표!A7),"중기4 →")</f>
        <v>중기4 →</v>
      </c>
    </row>
    <row r="2868" spans="1:26" ht="28.7" customHeight="1" x14ac:dyDescent="0.3">
      <c r="A2868" s="22" t="s">
        <v>6</v>
      </c>
      <c r="B2868" s="74"/>
      <c r="C2868" s="74"/>
      <c r="D2868" s="74"/>
      <c r="E2868" s="74"/>
      <c r="F2868" s="48">
        <f>J2868+H2868+L2868</f>
        <v>226397</v>
      </c>
      <c r="G2868" s="74"/>
      <c r="H2868" s="48">
        <f>ROUNDDOWN(SUMIF(P2864:P2867,O2868,H2864:H2867),0)</f>
        <v>224793</v>
      </c>
      <c r="I2868" s="74"/>
      <c r="J2868" s="48">
        <f>ROUNDDOWN(SUMIF(P2864:P2867,O2868,J2864:J2867),0)</f>
        <v>0</v>
      </c>
      <c r="K2868" s="74"/>
      <c r="L2868" s="48">
        <f>ROUNDDOWN(SUMIF(P2864:P2867,O2868,L2864:L2867),0)</f>
        <v>1604</v>
      </c>
      <c r="M2868" s="74"/>
      <c r="O2868" s="7" t="s">
        <v>6406</v>
      </c>
    </row>
    <row r="2869" spans="1:26" ht="28.7" customHeight="1" x14ac:dyDescent="0.3">
      <c r="A2869" s="73"/>
      <c r="B2869" s="73"/>
      <c r="C2869" s="73"/>
      <c r="D2869" s="73"/>
      <c r="E2869" s="73"/>
      <c r="F2869" s="73"/>
      <c r="G2869" s="73"/>
      <c r="H2869" s="73"/>
      <c r="I2869" s="73"/>
      <c r="J2869" s="73"/>
      <c r="K2869" s="73"/>
      <c r="L2869" s="73"/>
      <c r="M2869" s="73"/>
    </row>
    <row r="2870" spans="1:26" ht="28.7" customHeight="1" x14ac:dyDescent="0.3">
      <c r="A2870" s="136" t="s">
        <v>1616</v>
      </c>
      <c r="B2870" s="127"/>
      <c r="C2870" s="127"/>
      <c r="D2870" s="127"/>
      <c r="E2870" s="127"/>
      <c r="F2870" s="127"/>
      <c r="G2870" s="127"/>
      <c r="H2870" s="127"/>
      <c r="I2870" s="127"/>
      <c r="J2870" s="127"/>
      <c r="K2870" s="127"/>
      <c r="L2870" s="144"/>
      <c r="M2870" s="22" t="s">
        <v>8536</v>
      </c>
      <c r="N2870" s="84" t="str">
        <f>HYPERLINK("#N"&amp;ROW(N2874),"_x0005_`BDCOD|B04869_x0007_`POSS|"&amp;ROW(N2871)&amp;"_x0007_`POSE|"&amp;ROW(N2874)&amp;"_x0007_`")</f>
        <v>_x0005_`BDCOD|B04869_x0007_`POSS|2871_x0007_`POSE|2874_x0007_`</v>
      </c>
      <c r="O2870" s="7" t="s">
        <v>8537</v>
      </c>
    </row>
    <row r="2871" spans="1:26" ht="28.7" customHeight="1" x14ac:dyDescent="0.3">
      <c r="A2871" s="10"/>
      <c r="B2871" s="10" t="s">
        <v>8525</v>
      </c>
      <c r="C2871" s="75">
        <v>0</v>
      </c>
      <c r="D2871" s="31"/>
      <c r="E2871" s="33">
        <v>0</v>
      </c>
      <c r="F2871" s="11">
        <v>0</v>
      </c>
      <c r="G2871" s="42"/>
      <c r="H2871" s="11">
        <v>0</v>
      </c>
      <c r="I2871" s="42"/>
      <c r="J2871" s="33">
        <v>0</v>
      </c>
      <c r="K2871" s="46"/>
      <c r="L2871" s="33">
        <v>0</v>
      </c>
      <c r="M2871" s="22" t="s">
        <v>6509</v>
      </c>
      <c r="N2871" s="17" t="s">
        <v>6507</v>
      </c>
      <c r="O2871" s="7" t="s">
        <v>6508</v>
      </c>
      <c r="P2871" s="7" t="s">
        <v>6508</v>
      </c>
    </row>
    <row r="2872" spans="1:26" ht="28.7" customHeight="1" x14ac:dyDescent="0.3">
      <c r="A2872" s="10" t="s">
        <v>3097</v>
      </c>
      <c r="B2872" s="10"/>
      <c r="C2872" s="75">
        <v>0.26600000000000001</v>
      </c>
      <c r="D2872" s="31" t="s">
        <v>3074</v>
      </c>
      <c r="E2872" s="55">
        <f t="shared" ref="E2872:F2874" si="27">I2872+G2872+K2872</f>
        <v>222306</v>
      </c>
      <c r="F2872" s="76">
        <f t="shared" si="27"/>
        <v>59133.3</v>
      </c>
      <c r="G2872" s="78">
        <f>노무비목록표!E16</f>
        <v>222306</v>
      </c>
      <c r="H2872" s="81">
        <f>IF(C2872=0,0,ROUNDDOWN(G2872*C2872,1))</f>
        <v>59133.3</v>
      </c>
      <c r="I2872" s="51">
        <v>0</v>
      </c>
      <c r="J2872" s="77">
        <f>IF(C2872=0,0,ROUNDDOWN(I2872*C2872,1))</f>
        <v>0</v>
      </c>
      <c r="K2872" s="51">
        <v>0</v>
      </c>
      <c r="L2872" s="76">
        <f>IF(C2872=0,0,ROUNDDOWN(K2872*C2872,1))</f>
        <v>0</v>
      </c>
      <c r="M2872" s="22" t="s">
        <v>8528</v>
      </c>
      <c r="N2872" s="17" t="s">
        <v>8526</v>
      </c>
      <c r="O2872" s="7" t="s">
        <v>8527</v>
      </c>
      <c r="P2872" s="7" t="s">
        <v>6406</v>
      </c>
      <c r="Z2872" s="3" t="str">
        <f ca="1">HYPERLINK("#"&amp;노무비목록표!G2&amp;"!A"&amp;ROW(노무비목록표!A16),"노무13 →")</f>
        <v>노무13 →</v>
      </c>
    </row>
    <row r="2873" spans="1:26" ht="28.7" customHeight="1" x14ac:dyDescent="0.3">
      <c r="A2873" s="10" t="s">
        <v>3090</v>
      </c>
      <c r="B2873" s="10"/>
      <c r="C2873" s="75">
        <v>0.26600000000000001</v>
      </c>
      <c r="D2873" s="31" t="s">
        <v>3074</v>
      </c>
      <c r="E2873" s="55">
        <f t="shared" si="27"/>
        <v>172068</v>
      </c>
      <c r="F2873" s="76">
        <f t="shared" si="27"/>
        <v>45770</v>
      </c>
      <c r="G2873" s="78">
        <f>노무비목록표!E12</f>
        <v>172068</v>
      </c>
      <c r="H2873" s="81">
        <f>IF(C2873=0,0,ROUNDDOWN(G2873*C2873,1))</f>
        <v>45770</v>
      </c>
      <c r="I2873" s="51">
        <v>0</v>
      </c>
      <c r="J2873" s="77">
        <f>IF(C2873=0,0,ROUNDDOWN(I2873*C2873,1))</f>
        <v>0</v>
      </c>
      <c r="K2873" s="51">
        <v>0</v>
      </c>
      <c r="L2873" s="76">
        <f>IF(C2873=0,0,ROUNDDOWN(K2873*C2873,1))</f>
        <v>0</v>
      </c>
      <c r="M2873" s="22" t="s">
        <v>8262</v>
      </c>
      <c r="N2873" s="17" t="s">
        <v>8473</v>
      </c>
      <c r="O2873" s="7" t="s">
        <v>8261</v>
      </c>
      <c r="P2873" s="7" t="s">
        <v>6406</v>
      </c>
      <c r="Z2873" s="3" t="str">
        <f ca="1">HYPERLINK("#"&amp;노무비목록표!G2&amp;"!A"&amp;ROW(노무비목록표!A12),"노무9 →")</f>
        <v>노무9 →</v>
      </c>
    </row>
    <row r="2874" spans="1:26" ht="28.7" customHeight="1" x14ac:dyDescent="0.3">
      <c r="A2874" s="10" t="s">
        <v>2026</v>
      </c>
      <c r="B2874" s="10" t="s">
        <v>2027</v>
      </c>
      <c r="C2874" s="75">
        <v>1.1000000000000001</v>
      </c>
      <c r="D2874" s="31" t="s">
        <v>2015</v>
      </c>
      <c r="E2874" s="55">
        <f t="shared" si="27"/>
        <v>472</v>
      </c>
      <c r="F2874" s="76">
        <f t="shared" si="27"/>
        <v>519.20000000000005</v>
      </c>
      <c r="G2874" s="78">
        <f>중기목록표!F7</f>
        <v>0</v>
      </c>
      <c r="H2874" s="80">
        <f>IF(C2874=0,0,ROUNDDOWN(G2874*C2874,1))</f>
        <v>0</v>
      </c>
      <c r="I2874" s="78">
        <f>중기목록표!G7</f>
        <v>0</v>
      </c>
      <c r="J2874" s="80">
        <f>IF(C2874=0,0,ROUNDDOWN(I2874*C2874,1))</f>
        <v>0</v>
      </c>
      <c r="K2874" s="78">
        <f>중기목록표!H7</f>
        <v>472</v>
      </c>
      <c r="L2874" s="80">
        <f>IF(C2874=0,0,ROUNDDOWN(K2874*C2874,1))</f>
        <v>519.20000000000005</v>
      </c>
      <c r="M2874" s="22" t="s">
        <v>8531</v>
      </c>
      <c r="N2874" s="17" t="s">
        <v>8529</v>
      </c>
      <c r="O2874" s="7" t="s">
        <v>8530</v>
      </c>
      <c r="P2874" s="7" t="s">
        <v>6406</v>
      </c>
      <c r="Z2874" s="3" t="str">
        <f ca="1">HYPERLINK("#"&amp;중기목록표!J2&amp;"!A"&amp;ROW(중기목록표!A7),"중기4 →")</f>
        <v>중기4 →</v>
      </c>
    </row>
    <row r="2875" spans="1:26" ht="28.7" customHeight="1" x14ac:dyDescent="0.3">
      <c r="A2875" s="22" t="s">
        <v>6</v>
      </c>
      <c r="B2875" s="74"/>
      <c r="C2875" s="74"/>
      <c r="D2875" s="74"/>
      <c r="E2875" s="74"/>
      <c r="F2875" s="48">
        <f>J2875+H2875+L2875</f>
        <v>105422</v>
      </c>
      <c r="G2875" s="74"/>
      <c r="H2875" s="48">
        <f>ROUNDDOWN(SUMIF(P2871:P2874,O2875,H2871:H2874),0)</f>
        <v>104903</v>
      </c>
      <c r="I2875" s="74"/>
      <c r="J2875" s="48">
        <f>ROUNDDOWN(SUMIF(P2871:P2874,O2875,J2871:J2874),0)</f>
        <v>0</v>
      </c>
      <c r="K2875" s="74"/>
      <c r="L2875" s="48">
        <f>ROUNDDOWN(SUMIF(P2871:P2874,O2875,L2871:L2874),0)</f>
        <v>519</v>
      </c>
      <c r="M2875" s="74"/>
      <c r="O2875" s="7" t="s">
        <v>6406</v>
      </c>
    </row>
    <row r="2876" spans="1:26" ht="28.7" customHeight="1" x14ac:dyDescent="0.3">
      <c r="A2876" s="73"/>
      <c r="B2876" s="73"/>
      <c r="C2876" s="73"/>
      <c r="D2876" s="73"/>
      <c r="E2876" s="73"/>
      <c r="F2876" s="73"/>
      <c r="G2876" s="73"/>
      <c r="H2876" s="73"/>
      <c r="I2876" s="73"/>
      <c r="J2876" s="73"/>
      <c r="K2876" s="73"/>
      <c r="L2876" s="73"/>
      <c r="M2876" s="73"/>
    </row>
    <row r="2877" spans="1:26" ht="28.7" customHeight="1" x14ac:dyDescent="0.3">
      <c r="A2877" s="136" t="s">
        <v>1619</v>
      </c>
      <c r="B2877" s="127"/>
      <c r="C2877" s="127"/>
      <c r="D2877" s="127"/>
      <c r="E2877" s="127"/>
      <c r="F2877" s="127"/>
      <c r="G2877" s="127"/>
      <c r="H2877" s="127"/>
      <c r="I2877" s="127"/>
      <c r="J2877" s="127"/>
      <c r="K2877" s="127"/>
      <c r="L2877" s="144"/>
      <c r="M2877" s="22" t="s">
        <v>8538</v>
      </c>
      <c r="N2877" s="84" t="str">
        <f>HYPERLINK("#N"&amp;ROW(N2881),"_x0005_`BDCOD|B05077_x0007_`POSS|"&amp;ROW(N2878)&amp;"_x0007_`POSE|"&amp;ROW(N2881)&amp;"_x0007_`")</f>
        <v>_x0005_`BDCOD|B05077_x0007_`POSS|2878_x0007_`POSE|2881_x0007_`</v>
      </c>
      <c r="O2877" s="7" t="s">
        <v>8539</v>
      </c>
    </row>
    <row r="2878" spans="1:26" ht="28.7" customHeight="1" x14ac:dyDescent="0.3">
      <c r="A2878" s="10"/>
      <c r="B2878" s="10" t="s">
        <v>8540</v>
      </c>
      <c r="C2878" s="75">
        <v>0</v>
      </c>
      <c r="D2878" s="31"/>
      <c r="E2878" s="33">
        <v>0</v>
      </c>
      <c r="F2878" s="11">
        <v>0</v>
      </c>
      <c r="G2878" s="42"/>
      <c r="H2878" s="11">
        <v>0</v>
      </c>
      <c r="I2878" s="42"/>
      <c r="J2878" s="33">
        <v>0</v>
      </c>
      <c r="K2878" s="46"/>
      <c r="L2878" s="33">
        <v>0</v>
      </c>
      <c r="M2878" s="22" t="s">
        <v>6509</v>
      </c>
      <c r="N2878" s="17" t="s">
        <v>6507</v>
      </c>
      <c r="O2878" s="7" t="s">
        <v>6508</v>
      </c>
      <c r="P2878" s="7" t="s">
        <v>6508</v>
      </c>
    </row>
    <row r="2879" spans="1:26" ht="28.7" customHeight="1" x14ac:dyDescent="0.3">
      <c r="A2879" s="10" t="s">
        <v>840</v>
      </c>
      <c r="B2879" s="10" t="s">
        <v>841</v>
      </c>
      <c r="C2879" s="75">
        <v>1</v>
      </c>
      <c r="D2879" s="31" t="s">
        <v>14</v>
      </c>
      <c r="E2879" s="55">
        <f>I2879+G2879+K2879</f>
        <v>207713</v>
      </c>
      <c r="F2879" s="76">
        <f>J2879+H2879+L2879</f>
        <v>207713</v>
      </c>
      <c r="G2879" s="78">
        <f>일위대가목록표!F347</f>
        <v>207713</v>
      </c>
      <c r="H2879" s="80">
        <f>IF(C2879=0,0,ROUNDDOWN(G2879*C2879,1))</f>
        <v>207713</v>
      </c>
      <c r="I2879" s="78">
        <f>일위대가목록표!G347</f>
        <v>0</v>
      </c>
      <c r="J2879" s="80">
        <f>IF(C2879=0,0,ROUNDDOWN(I2879*C2879,1))</f>
        <v>0</v>
      </c>
      <c r="K2879" s="78">
        <f>일위대가목록표!H347</f>
        <v>0</v>
      </c>
      <c r="L2879" s="80">
        <f>IF(C2879=0,0,ROUNDDOWN(K2879*C2879,1))</f>
        <v>0</v>
      </c>
      <c r="M2879" s="22" t="s">
        <v>4375</v>
      </c>
      <c r="N2879" s="17" t="s">
        <v>8541</v>
      </c>
      <c r="O2879" s="7" t="s">
        <v>4373</v>
      </c>
      <c r="P2879" s="7" t="s">
        <v>8226</v>
      </c>
      <c r="Q2879" s="7" t="s">
        <v>7061</v>
      </c>
      <c r="Z2879" s="3" t="str">
        <f ca="1">HYPERLINK("#"&amp;일위대가목록표!J2&amp;"!A"&amp;ROW(일위대가목록표!A347),"대가344 →")</f>
        <v>대가344 →</v>
      </c>
    </row>
    <row r="2880" spans="1:26" ht="28.7" customHeight="1" x14ac:dyDescent="0.3">
      <c r="A2880" s="10" t="s">
        <v>8224</v>
      </c>
      <c r="B2880" s="10"/>
      <c r="C2880" s="75">
        <v>0</v>
      </c>
      <c r="D2880" s="31"/>
      <c r="E2880" s="33">
        <v>0</v>
      </c>
      <c r="F2880" s="77">
        <f>J2880+H2880+L2880</f>
        <v>207713</v>
      </c>
      <c r="G2880" s="42"/>
      <c r="H2880" s="77">
        <f>SUMIF(P2878:P2879,O2880,H2878:H2879)</f>
        <v>207713</v>
      </c>
      <c r="I2880" s="42"/>
      <c r="J2880" s="76">
        <f>SUMIF(P2878:P2879,O2880,J2878:J2879)</f>
        <v>0</v>
      </c>
      <c r="K2880" s="46"/>
      <c r="L2880" s="76">
        <f>SUMIF(P2878:P2879,O2880,L2878:L2879)</f>
        <v>0</v>
      </c>
      <c r="M2880" s="22"/>
      <c r="N2880" s="17" t="s">
        <v>8225</v>
      </c>
      <c r="O2880" s="7" t="s">
        <v>8226</v>
      </c>
    </row>
    <row r="2881" spans="1:26" ht="28.7" customHeight="1" x14ac:dyDescent="0.3">
      <c r="A2881" s="10" t="s">
        <v>1621</v>
      </c>
      <c r="B2881" s="10" t="s">
        <v>7063</v>
      </c>
      <c r="C2881" s="75">
        <v>135</v>
      </c>
      <c r="D2881" s="31" t="s">
        <v>7064</v>
      </c>
      <c r="E2881" s="55">
        <f>I2881+G2881+K2881</f>
        <v>207713</v>
      </c>
      <c r="F2881" s="77">
        <f>J2881+H2881+L2881</f>
        <v>280412.5</v>
      </c>
      <c r="G2881" s="79">
        <f>H2879</f>
        <v>207713</v>
      </c>
      <c r="H2881" s="77">
        <f>IF(C2881=0,0,ROUNDDOWN(G2881*C2881/100,1))</f>
        <v>280412.5</v>
      </c>
      <c r="I2881" s="13">
        <v>0</v>
      </c>
      <c r="J2881" s="76">
        <f>IF(C2881=0,0,ROUNDDOWN(I2881*C2881/100,1))</f>
        <v>0</v>
      </c>
      <c r="K2881" s="33">
        <v>0</v>
      </c>
      <c r="L2881" s="76">
        <f>IF(C2881=0,0,ROUNDDOWN(K2881*C2881/100,1))</f>
        <v>0</v>
      </c>
      <c r="M2881" s="22"/>
      <c r="N2881" s="17" t="s">
        <v>8228</v>
      </c>
      <c r="O2881" s="7" t="s">
        <v>7066</v>
      </c>
      <c r="P2881" s="7" t="s">
        <v>6406</v>
      </c>
    </row>
    <row r="2882" spans="1:26" ht="28.7" customHeight="1" x14ac:dyDescent="0.3">
      <c r="A2882" s="22" t="s">
        <v>6</v>
      </c>
      <c r="B2882" s="74"/>
      <c r="C2882" s="74"/>
      <c r="D2882" s="74"/>
      <c r="E2882" s="74"/>
      <c r="F2882" s="48">
        <f>J2882+H2882+L2882</f>
        <v>280412</v>
      </c>
      <c r="G2882" s="74"/>
      <c r="H2882" s="48">
        <f>ROUNDDOWN(SUMIF(P2878:P2881,O2882,H2878:H2881),0)</f>
        <v>280412</v>
      </c>
      <c r="I2882" s="74"/>
      <c r="J2882" s="48">
        <f>ROUNDDOWN(SUMIF(P2878:P2881,O2882,J2878:J2881),0)</f>
        <v>0</v>
      </c>
      <c r="K2882" s="74"/>
      <c r="L2882" s="48">
        <f>ROUNDDOWN(SUMIF(P2878:P2881,O2882,L2878:L2881),0)</f>
        <v>0</v>
      </c>
      <c r="M2882" s="74"/>
      <c r="O2882" s="7" t="s">
        <v>6406</v>
      </c>
    </row>
    <row r="2883" spans="1:26" ht="28.7" customHeight="1" x14ac:dyDescent="0.3">
      <c r="A2883" s="73"/>
      <c r="B2883" s="73"/>
      <c r="C2883" s="73"/>
      <c r="D2883" s="73"/>
      <c r="E2883" s="73"/>
      <c r="F2883" s="73"/>
      <c r="G2883" s="73"/>
      <c r="H2883" s="73"/>
      <c r="I2883" s="73"/>
      <c r="J2883" s="73"/>
      <c r="K2883" s="73"/>
      <c r="L2883" s="73"/>
      <c r="M2883" s="73"/>
    </row>
    <row r="2884" spans="1:26" ht="28.7" customHeight="1" x14ac:dyDescent="0.3">
      <c r="A2884" s="136" t="s">
        <v>1623</v>
      </c>
      <c r="B2884" s="127"/>
      <c r="C2884" s="127"/>
      <c r="D2884" s="127"/>
      <c r="E2884" s="127"/>
      <c r="F2884" s="127"/>
      <c r="G2884" s="127"/>
      <c r="H2884" s="127"/>
      <c r="I2884" s="127"/>
      <c r="J2884" s="127"/>
      <c r="K2884" s="127"/>
      <c r="L2884" s="144"/>
      <c r="M2884" s="22" t="s">
        <v>8542</v>
      </c>
      <c r="N2884" s="84" t="str">
        <f>HYPERLINK("#N"&amp;ROW(N2888),"_x0005_`BDCOD|B05079_x0007_`POSS|"&amp;ROW(N2885)&amp;"_x0007_`POSE|"&amp;ROW(N2888)&amp;"_x0007_`")</f>
        <v>_x0005_`BDCOD|B05079_x0007_`POSS|2885_x0007_`POSE|2888_x0007_`</v>
      </c>
      <c r="O2884" s="7" t="s">
        <v>8543</v>
      </c>
    </row>
    <row r="2885" spans="1:26" ht="28.7" customHeight="1" x14ac:dyDescent="0.3">
      <c r="A2885" s="10"/>
      <c r="B2885" s="10" t="s">
        <v>8540</v>
      </c>
      <c r="C2885" s="75">
        <v>0</v>
      </c>
      <c r="D2885" s="31"/>
      <c r="E2885" s="33">
        <v>0</v>
      </c>
      <c r="F2885" s="11">
        <v>0</v>
      </c>
      <c r="G2885" s="42"/>
      <c r="H2885" s="11">
        <v>0</v>
      </c>
      <c r="I2885" s="42"/>
      <c r="J2885" s="33">
        <v>0</v>
      </c>
      <c r="K2885" s="46"/>
      <c r="L2885" s="33">
        <v>0</v>
      </c>
      <c r="M2885" s="22" t="s">
        <v>6509</v>
      </c>
      <c r="N2885" s="17" t="s">
        <v>6507</v>
      </c>
      <c r="O2885" s="7" t="s">
        <v>6508</v>
      </c>
      <c r="P2885" s="7" t="s">
        <v>6508</v>
      </c>
    </row>
    <row r="2886" spans="1:26" ht="28.7" customHeight="1" x14ac:dyDescent="0.3">
      <c r="A2886" s="10" t="s">
        <v>840</v>
      </c>
      <c r="B2886" s="10" t="s">
        <v>841</v>
      </c>
      <c r="C2886" s="75">
        <v>1</v>
      </c>
      <c r="D2886" s="31" t="s">
        <v>14</v>
      </c>
      <c r="E2886" s="55">
        <f>I2886+G2886+K2886</f>
        <v>207713</v>
      </c>
      <c r="F2886" s="76">
        <f>J2886+H2886+L2886</f>
        <v>207713</v>
      </c>
      <c r="G2886" s="78">
        <f>일위대가목록표!F347</f>
        <v>207713</v>
      </c>
      <c r="H2886" s="80">
        <f>IF(C2886=0,0,ROUNDDOWN(G2886*C2886,1))</f>
        <v>207713</v>
      </c>
      <c r="I2886" s="78">
        <f>일위대가목록표!G347</f>
        <v>0</v>
      </c>
      <c r="J2886" s="80">
        <f>IF(C2886=0,0,ROUNDDOWN(I2886*C2886,1))</f>
        <v>0</v>
      </c>
      <c r="K2886" s="78">
        <f>일위대가목록표!H347</f>
        <v>0</v>
      </c>
      <c r="L2886" s="80">
        <f>IF(C2886=0,0,ROUNDDOWN(K2886*C2886,1))</f>
        <v>0</v>
      </c>
      <c r="M2886" s="22" t="s">
        <v>4375</v>
      </c>
      <c r="N2886" s="17" t="s">
        <v>8541</v>
      </c>
      <c r="O2886" s="7" t="s">
        <v>4373</v>
      </c>
      <c r="P2886" s="7" t="s">
        <v>8226</v>
      </c>
      <c r="Q2886" s="7" t="s">
        <v>7061</v>
      </c>
      <c r="Z2886" s="3" t="str">
        <f ca="1">HYPERLINK("#"&amp;일위대가목록표!J2&amp;"!A"&amp;ROW(일위대가목록표!A347),"대가344 →")</f>
        <v>대가344 →</v>
      </c>
    </row>
    <row r="2887" spans="1:26" ht="28.7" customHeight="1" x14ac:dyDescent="0.3">
      <c r="A2887" s="10" t="s">
        <v>8224</v>
      </c>
      <c r="B2887" s="10"/>
      <c r="C2887" s="75">
        <v>0</v>
      </c>
      <c r="D2887" s="31"/>
      <c r="E2887" s="33">
        <v>0</v>
      </c>
      <c r="F2887" s="77">
        <f>J2887+H2887+L2887</f>
        <v>207713</v>
      </c>
      <c r="G2887" s="42"/>
      <c r="H2887" s="77">
        <f>SUMIF(P2885:P2886,O2887,H2885:H2886)</f>
        <v>207713</v>
      </c>
      <c r="I2887" s="42"/>
      <c r="J2887" s="76">
        <f>SUMIF(P2885:P2886,O2887,J2885:J2886)</f>
        <v>0</v>
      </c>
      <c r="K2887" s="46"/>
      <c r="L2887" s="76">
        <f>SUMIF(P2885:P2886,O2887,L2885:L2886)</f>
        <v>0</v>
      </c>
      <c r="M2887" s="22"/>
      <c r="N2887" s="17" t="s">
        <v>8225</v>
      </c>
      <c r="O2887" s="7" t="s">
        <v>8226</v>
      </c>
    </row>
    <row r="2888" spans="1:26" ht="28.7" customHeight="1" x14ac:dyDescent="0.3">
      <c r="A2888" s="10" t="s">
        <v>1621</v>
      </c>
      <c r="B2888" s="10" t="s">
        <v>7063</v>
      </c>
      <c r="C2888" s="75">
        <v>135</v>
      </c>
      <c r="D2888" s="31" t="s">
        <v>7064</v>
      </c>
      <c r="E2888" s="55">
        <f>I2888+G2888+K2888</f>
        <v>207713</v>
      </c>
      <c r="F2888" s="77">
        <f>J2888+H2888+L2888</f>
        <v>280412.5</v>
      </c>
      <c r="G2888" s="79">
        <f>H2886</f>
        <v>207713</v>
      </c>
      <c r="H2888" s="77">
        <f>IF(C2888=0,0,ROUNDDOWN(G2888*C2888/100,1))</f>
        <v>280412.5</v>
      </c>
      <c r="I2888" s="13">
        <v>0</v>
      </c>
      <c r="J2888" s="76">
        <f>IF(C2888=0,0,ROUNDDOWN(I2888*C2888/100,1))</f>
        <v>0</v>
      </c>
      <c r="K2888" s="33">
        <v>0</v>
      </c>
      <c r="L2888" s="76">
        <f>IF(C2888=0,0,ROUNDDOWN(K2888*C2888/100,1))</f>
        <v>0</v>
      </c>
      <c r="M2888" s="22"/>
      <c r="N2888" s="17" t="s">
        <v>8228</v>
      </c>
      <c r="O2888" s="7" t="s">
        <v>7066</v>
      </c>
      <c r="P2888" s="7" t="s">
        <v>6406</v>
      </c>
    </row>
    <row r="2889" spans="1:26" ht="28.7" customHeight="1" x14ac:dyDescent="0.3">
      <c r="A2889" s="22" t="s">
        <v>6</v>
      </c>
      <c r="B2889" s="74"/>
      <c r="C2889" s="74"/>
      <c r="D2889" s="74"/>
      <c r="E2889" s="74"/>
      <c r="F2889" s="48">
        <f>J2889+H2889+L2889</f>
        <v>280412</v>
      </c>
      <c r="G2889" s="74"/>
      <c r="H2889" s="48">
        <f>ROUNDDOWN(SUMIF(P2885:P2888,O2889,H2885:H2888),0)</f>
        <v>280412</v>
      </c>
      <c r="I2889" s="74"/>
      <c r="J2889" s="48">
        <f>ROUNDDOWN(SUMIF(P2885:P2888,O2889,J2885:J2888),0)</f>
        <v>0</v>
      </c>
      <c r="K2889" s="74"/>
      <c r="L2889" s="48">
        <f>ROUNDDOWN(SUMIF(P2885:P2888,O2889,L2885:L2888),0)</f>
        <v>0</v>
      </c>
      <c r="M2889" s="74"/>
      <c r="O2889" s="7" t="s">
        <v>6406</v>
      </c>
    </row>
    <row r="2890" spans="1:26" ht="28.7" customHeight="1" x14ac:dyDescent="0.3">
      <c r="A2890" s="73"/>
      <c r="B2890" s="73"/>
      <c r="C2890" s="73"/>
      <c r="D2890" s="73"/>
      <c r="E2890" s="73"/>
      <c r="F2890" s="73"/>
      <c r="G2890" s="73"/>
      <c r="H2890" s="73"/>
      <c r="I2890" s="73"/>
      <c r="J2890" s="73"/>
      <c r="K2890" s="73"/>
      <c r="L2890" s="73"/>
      <c r="M2890" s="73"/>
    </row>
    <row r="2891" spans="1:26" ht="28.7" customHeight="1" x14ac:dyDescent="0.3">
      <c r="A2891" s="136" t="s">
        <v>1625</v>
      </c>
      <c r="B2891" s="127"/>
      <c r="C2891" s="127"/>
      <c r="D2891" s="127"/>
      <c r="E2891" s="127"/>
      <c r="F2891" s="127"/>
      <c r="G2891" s="127"/>
      <c r="H2891" s="127"/>
      <c r="I2891" s="127"/>
      <c r="J2891" s="127"/>
      <c r="K2891" s="127"/>
      <c r="L2891" s="144"/>
      <c r="M2891" s="22" t="s">
        <v>8544</v>
      </c>
      <c r="N2891" s="84" t="str">
        <f>HYPERLINK("#N"&amp;ROW(N2895),"_x0005_`BDCOD|B05080_x0007_`POSS|"&amp;ROW(N2892)&amp;"_x0007_`POSE|"&amp;ROW(N2895)&amp;"_x0007_`")</f>
        <v>_x0005_`BDCOD|B05080_x0007_`POSS|2892_x0007_`POSE|2895_x0007_`</v>
      </c>
      <c r="O2891" s="7" t="s">
        <v>8545</v>
      </c>
    </row>
    <row r="2892" spans="1:26" ht="28.7" customHeight="1" x14ac:dyDescent="0.3">
      <c r="A2892" s="10"/>
      <c r="B2892" s="10" t="s">
        <v>8540</v>
      </c>
      <c r="C2892" s="75">
        <v>0</v>
      </c>
      <c r="D2892" s="31"/>
      <c r="E2892" s="33">
        <v>0</v>
      </c>
      <c r="F2892" s="11">
        <v>0</v>
      </c>
      <c r="G2892" s="42"/>
      <c r="H2892" s="11">
        <v>0</v>
      </c>
      <c r="I2892" s="42"/>
      <c r="J2892" s="33">
        <v>0</v>
      </c>
      <c r="K2892" s="46"/>
      <c r="L2892" s="33">
        <v>0</v>
      </c>
      <c r="M2892" s="22" t="s">
        <v>6509</v>
      </c>
      <c r="N2892" s="17" t="s">
        <v>6507</v>
      </c>
      <c r="O2892" s="7" t="s">
        <v>6508</v>
      </c>
      <c r="P2892" s="7" t="s">
        <v>6508</v>
      </c>
    </row>
    <row r="2893" spans="1:26" ht="28.7" customHeight="1" x14ac:dyDescent="0.3">
      <c r="A2893" s="10" t="s">
        <v>840</v>
      </c>
      <c r="B2893" s="10" t="s">
        <v>841</v>
      </c>
      <c r="C2893" s="75">
        <v>1</v>
      </c>
      <c r="D2893" s="31" t="s">
        <v>14</v>
      </c>
      <c r="E2893" s="55">
        <f>I2893+G2893+K2893</f>
        <v>207713</v>
      </c>
      <c r="F2893" s="76">
        <f>J2893+H2893+L2893</f>
        <v>207713</v>
      </c>
      <c r="G2893" s="78">
        <f>일위대가목록표!F347</f>
        <v>207713</v>
      </c>
      <c r="H2893" s="80">
        <f>IF(C2893=0,0,ROUNDDOWN(G2893*C2893,1))</f>
        <v>207713</v>
      </c>
      <c r="I2893" s="78">
        <f>일위대가목록표!G347</f>
        <v>0</v>
      </c>
      <c r="J2893" s="80">
        <f>IF(C2893=0,0,ROUNDDOWN(I2893*C2893,1))</f>
        <v>0</v>
      </c>
      <c r="K2893" s="78">
        <f>일위대가목록표!H347</f>
        <v>0</v>
      </c>
      <c r="L2893" s="80">
        <f>IF(C2893=0,0,ROUNDDOWN(K2893*C2893,1))</f>
        <v>0</v>
      </c>
      <c r="M2893" s="22" t="s">
        <v>4375</v>
      </c>
      <c r="N2893" s="17" t="s">
        <v>8541</v>
      </c>
      <c r="O2893" s="7" t="s">
        <v>4373</v>
      </c>
      <c r="P2893" s="7" t="s">
        <v>8226</v>
      </c>
      <c r="Q2893" s="7" t="s">
        <v>7061</v>
      </c>
      <c r="Z2893" s="3" t="str">
        <f ca="1">HYPERLINK("#"&amp;일위대가목록표!J2&amp;"!A"&amp;ROW(일위대가목록표!A347),"대가344 →")</f>
        <v>대가344 →</v>
      </c>
    </row>
    <row r="2894" spans="1:26" ht="28.7" customHeight="1" x14ac:dyDescent="0.3">
      <c r="A2894" s="10" t="s">
        <v>8224</v>
      </c>
      <c r="B2894" s="10"/>
      <c r="C2894" s="75">
        <v>0</v>
      </c>
      <c r="D2894" s="31"/>
      <c r="E2894" s="33">
        <v>0</v>
      </c>
      <c r="F2894" s="77">
        <f>J2894+H2894+L2894</f>
        <v>207713</v>
      </c>
      <c r="G2894" s="42"/>
      <c r="H2894" s="77">
        <f>SUMIF(P2892:P2893,O2894,H2892:H2893)</f>
        <v>207713</v>
      </c>
      <c r="I2894" s="42"/>
      <c r="J2894" s="76">
        <f>SUMIF(P2892:P2893,O2894,J2892:J2893)</f>
        <v>0</v>
      </c>
      <c r="K2894" s="46"/>
      <c r="L2894" s="76">
        <f>SUMIF(P2892:P2893,O2894,L2892:L2893)</f>
        <v>0</v>
      </c>
      <c r="M2894" s="22"/>
      <c r="N2894" s="17" t="s">
        <v>8225</v>
      </c>
      <c r="O2894" s="7" t="s">
        <v>8226</v>
      </c>
    </row>
    <row r="2895" spans="1:26" ht="28.7" customHeight="1" x14ac:dyDescent="0.3">
      <c r="A2895" s="10" t="s">
        <v>1621</v>
      </c>
      <c r="B2895" s="10" t="s">
        <v>7063</v>
      </c>
      <c r="C2895" s="75">
        <v>135</v>
      </c>
      <c r="D2895" s="31" t="s">
        <v>7064</v>
      </c>
      <c r="E2895" s="55">
        <f>I2895+G2895+K2895</f>
        <v>207713</v>
      </c>
      <c r="F2895" s="77">
        <f>J2895+H2895+L2895</f>
        <v>280412.5</v>
      </c>
      <c r="G2895" s="79">
        <f>H2893</f>
        <v>207713</v>
      </c>
      <c r="H2895" s="77">
        <f>IF(C2895=0,0,ROUNDDOWN(G2895*C2895/100,1))</f>
        <v>280412.5</v>
      </c>
      <c r="I2895" s="13">
        <v>0</v>
      </c>
      <c r="J2895" s="76">
        <f>IF(C2895=0,0,ROUNDDOWN(I2895*C2895/100,1))</f>
        <v>0</v>
      </c>
      <c r="K2895" s="33">
        <v>0</v>
      </c>
      <c r="L2895" s="76">
        <f>IF(C2895=0,0,ROUNDDOWN(K2895*C2895/100,1))</f>
        <v>0</v>
      </c>
      <c r="M2895" s="22"/>
      <c r="N2895" s="17" t="s">
        <v>8228</v>
      </c>
      <c r="O2895" s="7" t="s">
        <v>7066</v>
      </c>
      <c r="P2895" s="7" t="s">
        <v>6406</v>
      </c>
    </row>
    <row r="2896" spans="1:26" ht="28.7" customHeight="1" x14ac:dyDescent="0.3">
      <c r="A2896" s="22" t="s">
        <v>6</v>
      </c>
      <c r="B2896" s="74"/>
      <c r="C2896" s="74"/>
      <c r="D2896" s="74"/>
      <c r="E2896" s="74"/>
      <c r="F2896" s="48">
        <f>J2896+H2896+L2896</f>
        <v>280412</v>
      </c>
      <c r="G2896" s="74"/>
      <c r="H2896" s="48">
        <f>ROUNDDOWN(SUMIF(P2892:P2895,O2896,H2892:H2895),0)</f>
        <v>280412</v>
      </c>
      <c r="I2896" s="74"/>
      <c r="J2896" s="48">
        <f>ROUNDDOWN(SUMIF(P2892:P2895,O2896,J2892:J2895),0)</f>
        <v>0</v>
      </c>
      <c r="K2896" s="74"/>
      <c r="L2896" s="48">
        <f>ROUNDDOWN(SUMIF(P2892:P2895,O2896,L2892:L2895),0)</f>
        <v>0</v>
      </c>
      <c r="M2896" s="74"/>
      <c r="O2896" s="7" t="s">
        <v>6406</v>
      </c>
    </row>
    <row r="2897" spans="1:26" ht="28.7" customHeight="1" x14ac:dyDescent="0.3">
      <c r="A2897" s="73"/>
      <c r="B2897" s="73"/>
      <c r="C2897" s="73"/>
      <c r="D2897" s="73"/>
      <c r="E2897" s="73"/>
      <c r="F2897" s="73"/>
      <c r="G2897" s="73"/>
      <c r="H2897" s="73"/>
      <c r="I2897" s="73"/>
      <c r="J2897" s="73"/>
      <c r="K2897" s="73"/>
      <c r="L2897" s="73"/>
      <c r="M2897" s="73"/>
    </row>
    <row r="2898" spans="1:26" ht="28.7" customHeight="1" x14ac:dyDescent="0.3">
      <c r="A2898" s="136" t="s">
        <v>1627</v>
      </c>
      <c r="B2898" s="127"/>
      <c r="C2898" s="127"/>
      <c r="D2898" s="127"/>
      <c r="E2898" s="127"/>
      <c r="F2898" s="127"/>
      <c r="G2898" s="127"/>
      <c r="H2898" s="127"/>
      <c r="I2898" s="127"/>
      <c r="J2898" s="127"/>
      <c r="K2898" s="127"/>
      <c r="L2898" s="144"/>
      <c r="M2898" s="22" t="s">
        <v>8546</v>
      </c>
      <c r="N2898" s="84" t="str">
        <f>HYPERLINK("#N"&amp;ROW(N2902),"_x0005_`BDCOD|B05081_x0007_`POSS|"&amp;ROW(N2899)&amp;"_x0007_`POSE|"&amp;ROW(N2902)&amp;"_x0007_`")</f>
        <v>_x0005_`BDCOD|B05081_x0007_`POSS|2899_x0007_`POSE|2902_x0007_`</v>
      </c>
      <c r="O2898" s="7" t="s">
        <v>8547</v>
      </c>
    </row>
    <row r="2899" spans="1:26" ht="28.7" customHeight="1" x14ac:dyDescent="0.3">
      <c r="A2899" s="10"/>
      <c r="B2899" s="10" t="s">
        <v>8540</v>
      </c>
      <c r="C2899" s="75">
        <v>0</v>
      </c>
      <c r="D2899" s="31"/>
      <c r="E2899" s="33">
        <v>0</v>
      </c>
      <c r="F2899" s="11">
        <v>0</v>
      </c>
      <c r="G2899" s="42"/>
      <c r="H2899" s="11">
        <v>0</v>
      </c>
      <c r="I2899" s="42"/>
      <c r="J2899" s="33">
        <v>0</v>
      </c>
      <c r="K2899" s="46"/>
      <c r="L2899" s="33">
        <v>0</v>
      </c>
      <c r="M2899" s="22" t="s">
        <v>6509</v>
      </c>
      <c r="N2899" s="17" t="s">
        <v>6507</v>
      </c>
      <c r="O2899" s="7" t="s">
        <v>6508</v>
      </c>
      <c r="P2899" s="7" t="s">
        <v>6508</v>
      </c>
    </row>
    <row r="2900" spans="1:26" ht="28.7" customHeight="1" x14ac:dyDescent="0.3">
      <c r="A2900" s="10" t="s">
        <v>840</v>
      </c>
      <c r="B2900" s="10" t="s">
        <v>844</v>
      </c>
      <c r="C2900" s="75">
        <v>1</v>
      </c>
      <c r="D2900" s="31" t="s">
        <v>14</v>
      </c>
      <c r="E2900" s="55">
        <f>I2900+G2900+K2900</f>
        <v>249256</v>
      </c>
      <c r="F2900" s="76">
        <f>J2900+H2900+L2900</f>
        <v>249256</v>
      </c>
      <c r="G2900" s="78">
        <f>일위대가목록표!F348</f>
        <v>249256</v>
      </c>
      <c r="H2900" s="80">
        <f>IF(C2900=0,0,ROUNDDOWN(G2900*C2900,1))</f>
        <v>249256</v>
      </c>
      <c r="I2900" s="78">
        <f>일위대가목록표!G348</f>
        <v>0</v>
      </c>
      <c r="J2900" s="80">
        <f>IF(C2900=0,0,ROUNDDOWN(I2900*C2900,1))</f>
        <v>0</v>
      </c>
      <c r="K2900" s="78">
        <f>일위대가목록표!H348</f>
        <v>0</v>
      </c>
      <c r="L2900" s="80">
        <f>IF(C2900=0,0,ROUNDDOWN(K2900*C2900,1))</f>
        <v>0</v>
      </c>
      <c r="M2900" s="22" t="s">
        <v>4378</v>
      </c>
      <c r="N2900" s="17" t="s">
        <v>8548</v>
      </c>
      <c r="O2900" s="7" t="s">
        <v>4376</v>
      </c>
      <c r="P2900" s="7" t="s">
        <v>8226</v>
      </c>
      <c r="Q2900" s="7" t="s">
        <v>7061</v>
      </c>
      <c r="Z2900" s="3" t="str">
        <f ca="1">HYPERLINK("#"&amp;일위대가목록표!J2&amp;"!A"&amp;ROW(일위대가목록표!A348),"대가345 →")</f>
        <v>대가345 →</v>
      </c>
    </row>
    <row r="2901" spans="1:26" ht="28.7" customHeight="1" x14ac:dyDescent="0.3">
      <c r="A2901" s="10" t="s">
        <v>8224</v>
      </c>
      <c r="B2901" s="10"/>
      <c r="C2901" s="75">
        <v>0</v>
      </c>
      <c r="D2901" s="31"/>
      <c r="E2901" s="33">
        <v>0</v>
      </c>
      <c r="F2901" s="77">
        <f>J2901+H2901+L2901</f>
        <v>249256</v>
      </c>
      <c r="G2901" s="42"/>
      <c r="H2901" s="77">
        <f>SUMIF(P2899:P2900,O2901,H2899:H2900)</f>
        <v>249256</v>
      </c>
      <c r="I2901" s="42"/>
      <c r="J2901" s="76">
        <f>SUMIF(P2899:P2900,O2901,J2899:J2900)</f>
        <v>0</v>
      </c>
      <c r="K2901" s="46"/>
      <c r="L2901" s="76">
        <f>SUMIF(P2899:P2900,O2901,L2899:L2900)</f>
        <v>0</v>
      </c>
      <c r="M2901" s="22"/>
      <c r="N2901" s="17" t="s">
        <v>8225</v>
      </c>
      <c r="O2901" s="7" t="s">
        <v>8226</v>
      </c>
    </row>
    <row r="2902" spans="1:26" ht="28.7" customHeight="1" x14ac:dyDescent="0.3">
      <c r="A2902" s="10" t="s">
        <v>1621</v>
      </c>
      <c r="B2902" s="10" t="s">
        <v>7063</v>
      </c>
      <c r="C2902" s="75">
        <v>135</v>
      </c>
      <c r="D2902" s="31" t="s">
        <v>7064</v>
      </c>
      <c r="E2902" s="55">
        <f>I2902+G2902+K2902</f>
        <v>249256</v>
      </c>
      <c r="F2902" s="77">
        <f>J2902+H2902+L2902</f>
        <v>336495.6</v>
      </c>
      <c r="G2902" s="79">
        <f>H2900</f>
        <v>249256</v>
      </c>
      <c r="H2902" s="77">
        <f>IF(C2902=0,0,ROUNDDOWN(G2902*C2902/100,1))</f>
        <v>336495.6</v>
      </c>
      <c r="I2902" s="13">
        <v>0</v>
      </c>
      <c r="J2902" s="76">
        <f>IF(C2902=0,0,ROUNDDOWN(I2902*C2902/100,1))</f>
        <v>0</v>
      </c>
      <c r="K2902" s="33">
        <v>0</v>
      </c>
      <c r="L2902" s="76">
        <f>IF(C2902=0,0,ROUNDDOWN(K2902*C2902/100,1))</f>
        <v>0</v>
      </c>
      <c r="M2902" s="22"/>
      <c r="N2902" s="17" t="s">
        <v>8228</v>
      </c>
      <c r="O2902" s="7" t="s">
        <v>7066</v>
      </c>
      <c r="P2902" s="7" t="s">
        <v>6406</v>
      </c>
    </row>
    <row r="2903" spans="1:26" ht="28.7" customHeight="1" x14ac:dyDescent="0.3">
      <c r="A2903" s="22" t="s">
        <v>6</v>
      </c>
      <c r="B2903" s="74"/>
      <c r="C2903" s="74"/>
      <c r="D2903" s="74"/>
      <c r="E2903" s="74"/>
      <c r="F2903" s="48">
        <f>J2903+H2903+L2903</f>
        <v>336495</v>
      </c>
      <c r="G2903" s="74"/>
      <c r="H2903" s="48">
        <f>ROUNDDOWN(SUMIF(P2899:P2902,O2903,H2899:H2902),0)</f>
        <v>336495</v>
      </c>
      <c r="I2903" s="74"/>
      <c r="J2903" s="48">
        <f>ROUNDDOWN(SUMIF(P2899:P2902,O2903,J2899:J2902),0)</f>
        <v>0</v>
      </c>
      <c r="K2903" s="74"/>
      <c r="L2903" s="48">
        <f>ROUNDDOWN(SUMIF(P2899:P2902,O2903,L2899:L2902),0)</f>
        <v>0</v>
      </c>
      <c r="M2903" s="74"/>
      <c r="O2903" s="7" t="s">
        <v>6406</v>
      </c>
    </row>
    <row r="2904" spans="1:26" ht="28.7" customHeight="1" x14ac:dyDescent="0.3">
      <c r="A2904" s="73"/>
      <c r="B2904" s="73"/>
      <c r="C2904" s="73"/>
      <c r="D2904" s="73"/>
      <c r="E2904" s="73"/>
      <c r="F2904" s="73"/>
      <c r="G2904" s="73"/>
      <c r="H2904" s="73"/>
      <c r="I2904" s="73"/>
      <c r="J2904" s="73"/>
      <c r="K2904" s="73"/>
      <c r="L2904" s="73"/>
      <c r="M2904" s="73"/>
    </row>
    <row r="2905" spans="1:26" ht="28.7" customHeight="1" x14ac:dyDescent="0.3">
      <c r="A2905" s="136" t="s">
        <v>1630</v>
      </c>
      <c r="B2905" s="127"/>
      <c r="C2905" s="127"/>
      <c r="D2905" s="127"/>
      <c r="E2905" s="127"/>
      <c r="F2905" s="127"/>
      <c r="G2905" s="127"/>
      <c r="H2905" s="127"/>
      <c r="I2905" s="127"/>
      <c r="J2905" s="127"/>
      <c r="K2905" s="127"/>
      <c r="L2905" s="144"/>
      <c r="M2905" s="22" t="s">
        <v>8549</v>
      </c>
      <c r="N2905" s="84" t="str">
        <f>HYPERLINK("#N"&amp;ROW(N2909),"_x0005_`BDCOD|B05082_x0007_`POSS|"&amp;ROW(N2906)&amp;"_x0007_`POSE|"&amp;ROW(N2909)&amp;"_x0007_`")</f>
        <v>_x0005_`BDCOD|B05082_x0007_`POSS|2906_x0007_`POSE|2909_x0007_`</v>
      </c>
      <c r="O2905" s="7" t="s">
        <v>8550</v>
      </c>
    </row>
    <row r="2906" spans="1:26" ht="28.7" customHeight="1" x14ac:dyDescent="0.3">
      <c r="A2906" s="10"/>
      <c r="B2906" s="10" t="s">
        <v>8540</v>
      </c>
      <c r="C2906" s="75">
        <v>0</v>
      </c>
      <c r="D2906" s="31"/>
      <c r="E2906" s="33">
        <v>0</v>
      </c>
      <c r="F2906" s="11">
        <v>0</v>
      </c>
      <c r="G2906" s="42"/>
      <c r="H2906" s="11">
        <v>0</v>
      </c>
      <c r="I2906" s="42"/>
      <c r="J2906" s="33">
        <v>0</v>
      </c>
      <c r="K2906" s="46"/>
      <c r="L2906" s="33">
        <v>0</v>
      </c>
      <c r="M2906" s="22" t="s">
        <v>6509</v>
      </c>
      <c r="N2906" s="17" t="s">
        <v>6507</v>
      </c>
      <c r="O2906" s="7" t="s">
        <v>6508</v>
      </c>
      <c r="P2906" s="7" t="s">
        <v>6508</v>
      </c>
    </row>
    <row r="2907" spans="1:26" ht="28.7" customHeight="1" x14ac:dyDescent="0.3">
      <c r="A2907" s="10" t="s">
        <v>840</v>
      </c>
      <c r="B2907" s="10" t="s">
        <v>847</v>
      </c>
      <c r="C2907" s="75">
        <v>1</v>
      </c>
      <c r="D2907" s="31" t="s">
        <v>14</v>
      </c>
      <c r="E2907" s="55">
        <f>I2907+G2907+K2907</f>
        <v>290799</v>
      </c>
      <c r="F2907" s="76">
        <f>J2907+H2907+L2907</f>
        <v>290799</v>
      </c>
      <c r="G2907" s="78">
        <f>일위대가목록표!F349</f>
        <v>290799</v>
      </c>
      <c r="H2907" s="80">
        <f>IF(C2907=0,0,ROUNDDOWN(G2907*C2907,1))</f>
        <v>290799</v>
      </c>
      <c r="I2907" s="78">
        <f>일위대가목록표!G349</f>
        <v>0</v>
      </c>
      <c r="J2907" s="80">
        <f>IF(C2907=0,0,ROUNDDOWN(I2907*C2907,1))</f>
        <v>0</v>
      </c>
      <c r="K2907" s="78">
        <f>일위대가목록표!H349</f>
        <v>0</v>
      </c>
      <c r="L2907" s="80">
        <f>IF(C2907=0,0,ROUNDDOWN(K2907*C2907,1))</f>
        <v>0</v>
      </c>
      <c r="M2907" s="22" t="s">
        <v>4381</v>
      </c>
      <c r="N2907" s="17" t="s">
        <v>8551</v>
      </c>
      <c r="O2907" s="7" t="s">
        <v>4379</v>
      </c>
      <c r="P2907" s="7" t="s">
        <v>8226</v>
      </c>
      <c r="Q2907" s="7" t="s">
        <v>7061</v>
      </c>
      <c r="Z2907" s="3" t="str">
        <f ca="1">HYPERLINK("#"&amp;일위대가목록표!J2&amp;"!A"&amp;ROW(일위대가목록표!A349),"대가346 →")</f>
        <v>대가346 →</v>
      </c>
    </row>
    <row r="2908" spans="1:26" ht="28.7" customHeight="1" x14ac:dyDescent="0.3">
      <c r="A2908" s="10" t="s">
        <v>8224</v>
      </c>
      <c r="B2908" s="10"/>
      <c r="C2908" s="75">
        <v>0</v>
      </c>
      <c r="D2908" s="31"/>
      <c r="E2908" s="33">
        <v>0</v>
      </c>
      <c r="F2908" s="77">
        <f>J2908+H2908+L2908</f>
        <v>290799</v>
      </c>
      <c r="G2908" s="42"/>
      <c r="H2908" s="77">
        <f>SUMIF(P2906:P2907,O2908,H2906:H2907)</f>
        <v>290799</v>
      </c>
      <c r="I2908" s="42"/>
      <c r="J2908" s="76">
        <f>SUMIF(P2906:P2907,O2908,J2906:J2907)</f>
        <v>0</v>
      </c>
      <c r="K2908" s="46"/>
      <c r="L2908" s="76">
        <f>SUMIF(P2906:P2907,O2908,L2906:L2907)</f>
        <v>0</v>
      </c>
      <c r="M2908" s="22"/>
      <c r="N2908" s="17" t="s">
        <v>8225</v>
      </c>
      <c r="O2908" s="7" t="s">
        <v>8226</v>
      </c>
    </row>
    <row r="2909" spans="1:26" ht="28.7" customHeight="1" x14ac:dyDescent="0.3">
      <c r="A2909" s="10" t="s">
        <v>1621</v>
      </c>
      <c r="B2909" s="10" t="s">
        <v>7063</v>
      </c>
      <c r="C2909" s="75">
        <v>135</v>
      </c>
      <c r="D2909" s="31" t="s">
        <v>7064</v>
      </c>
      <c r="E2909" s="55">
        <f>I2909+G2909+K2909</f>
        <v>290799</v>
      </c>
      <c r="F2909" s="77">
        <f>J2909+H2909+L2909</f>
        <v>392578.6</v>
      </c>
      <c r="G2909" s="79">
        <f>H2907</f>
        <v>290799</v>
      </c>
      <c r="H2909" s="77">
        <f>IF(C2909=0,0,ROUNDDOWN(G2909*C2909/100,1))</f>
        <v>392578.6</v>
      </c>
      <c r="I2909" s="13">
        <v>0</v>
      </c>
      <c r="J2909" s="76">
        <f>IF(C2909=0,0,ROUNDDOWN(I2909*C2909/100,1))</f>
        <v>0</v>
      </c>
      <c r="K2909" s="33">
        <v>0</v>
      </c>
      <c r="L2909" s="76">
        <f>IF(C2909=0,0,ROUNDDOWN(K2909*C2909/100,1))</f>
        <v>0</v>
      </c>
      <c r="M2909" s="22"/>
      <c r="N2909" s="17" t="s">
        <v>8228</v>
      </c>
      <c r="O2909" s="7" t="s">
        <v>7066</v>
      </c>
      <c r="P2909" s="7" t="s">
        <v>6406</v>
      </c>
    </row>
    <row r="2910" spans="1:26" ht="28.7" customHeight="1" x14ac:dyDescent="0.3">
      <c r="A2910" s="22" t="s">
        <v>6</v>
      </c>
      <c r="B2910" s="74"/>
      <c r="C2910" s="74"/>
      <c r="D2910" s="74"/>
      <c r="E2910" s="74"/>
      <c r="F2910" s="48">
        <f>J2910+H2910+L2910</f>
        <v>392578</v>
      </c>
      <c r="G2910" s="74"/>
      <c r="H2910" s="48">
        <f>ROUNDDOWN(SUMIF(P2906:P2909,O2910,H2906:H2909),0)</f>
        <v>392578</v>
      </c>
      <c r="I2910" s="74"/>
      <c r="J2910" s="48">
        <f>ROUNDDOWN(SUMIF(P2906:P2909,O2910,J2906:J2909),0)</f>
        <v>0</v>
      </c>
      <c r="K2910" s="74"/>
      <c r="L2910" s="48">
        <f>ROUNDDOWN(SUMIF(P2906:P2909,O2910,L2906:L2909),0)</f>
        <v>0</v>
      </c>
      <c r="M2910" s="74"/>
      <c r="O2910" s="7" t="s">
        <v>6406</v>
      </c>
    </row>
    <row r="2911" spans="1:26" ht="28.7" customHeight="1" x14ac:dyDescent="0.3">
      <c r="A2911" s="73"/>
      <c r="B2911" s="73"/>
      <c r="C2911" s="73"/>
      <c r="D2911" s="73"/>
      <c r="E2911" s="73"/>
      <c r="F2911" s="73"/>
      <c r="G2911" s="73"/>
      <c r="H2911" s="73"/>
      <c r="I2911" s="73"/>
      <c r="J2911" s="73"/>
      <c r="K2911" s="73"/>
      <c r="L2911" s="73"/>
      <c r="M2911" s="73"/>
    </row>
    <row r="2912" spans="1:26" ht="28.7" customHeight="1" x14ac:dyDescent="0.3">
      <c r="A2912" s="136" t="s">
        <v>1633</v>
      </c>
      <c r="B2912" s="127"/>
      <c r="C2912" s="127"/>
      <c r="D2912" s="127"/>
      <c r="E2912" s="127"/>
      <c r="F2912" s="127"/>
      <c r="G2912" s="127"/>
      <c r="H2912" s="127"/>
      <c r="I2912" s="127"/>
      <c r="J2912" s="127"/>
      <c r="K2912" s="127"/>
      <c r="L2912" s="144"/>
      <c r="M2912" s="22" t="s">
        <v>8552</v>
      </c>
      <c r="N2912" s="84" t="str">
        <f>HYPERLINK("#N"&amp;ROW(N2916),"_x0005_`BDCOD|B05083_x0007_`POSS|"&amp;ROW(N2913)&amp;"_x0007_`POSE|"&amp;ROW(N2916)&amp;"_x0007_`")</f>
        <v>_x0005_`BDCOD|B05083_x0007_`POSS|2913_x0007_`POSE|2916_x0007_`</v>
      </c>
      <c r="O2912" s="7" t="s">
        <v>8553</v>
      </c>
    </row>
    <row r="2913" spans="1:26" ht="28.7" customHeight="1" x14ac:dyDescent="0.3">
      <c r="A2913" s="10"/>
      <c r="B2913" s="10" t="s">
        <v>8540</v>
      </c>
      <c r="C2913" s="75">
        <v>0</v>
      </c>
      <c r="D2913" s="31"/>
      <c r="E2913" s="33">
        <v>0</v>
      </c>
      <c r="F2913" s="11">
        <v>0</v>
      </c>
      <c r="G2913" s="42"/>
      <c r="H2913" s="11">
        <v>0</v>
      </c>
      <c r="I2913" s="42"/>
      <c r="J2913" s="33">
        <v>0</v>
      </c>
      <c r="K2913" s="46"/>
      <c r="L2913" s="33">
        <v>0</v>
      </c>
      <c r="M2913" s="22" t="s">
        <v>6509</v>
      </c>
      <c r="N2913" s="17" t="s">
        <v>6507</v>
      </c>
      <c r="O2913" s="7" t="s">
        <v>6508</v>
      </c>
      <c r="P2913" s="7" t="s">
        <v>6508</v>
      </c>
    </row>
    <row r="2914" spans="1:26" ht="28.7" customHeight="1" x14ac:dyDescent="0.3">
      <c r="A2914" s="10" t="s">
        <v>840</v>
      </c>
      <c r="B2914" s="10" t="s">
        <v>850</v>
      </c>
      <c r="C2914" s="75">
        <v>1</v>
      </c>
      <c r="D2914" s="31" t="s">
        <v>14</v>
      </c>
      <c r="E2914" s="55">
        <f>I2914+G2914+K2914</f>
        <v>373885</v>
      </c>
      <c r="F2914" s="76">
        <f>J2914+H2914+L2914</f>
        <v>373885</v>
      </c>
      <c r="G2914" s="78">
        <f>일위대가목록표!F350</f>
        <v>373885</v>
      </c>
      <c r="H2914" s="80">
        <f>IF(C2914=0,0,ROUNDDOWN(G2914*C2914,1))</f>
        <v>373885</v>
      </c>
      <c r="I2914" s="78">
        <f>일위대가목록표!G350</f>
        <v>0</v>
      </c>
      <c r="J2914" s="80">
        <f>IF(C2914=0,0,ROUNDDOWN(I2914*C2914,1))</f>
        <v>0</v>
      </c>
      <c r="K2914" s="78">
        <f>일위대가목록표!H350</f>
        <v>0</v>
      </c>
      <c r="L2914" s="80">
        <f>IF(C2914=0,0,ROUNDDOWN(K2914*C2914,1))</f>
        <v>0</v>
      </c>
      <c r="M2914" s="22" t="s">
        <v>4384</v>
      </c>
      <c r="N2914" s="17" t="s">
        <v>8554</v>
      </c>
      <c r="O2914" s="7" t="s">
        <v>4382</v>
      </c>
      <c r="P2914" s="7" t="s">
        <v>8226</v>
      </c>
      <c r="Q2914" s="7" t="s">
        <v>7061</v>
      </c>
      <c r="Z2914" s="3" t="str">
        <f ca="1">HYPERLINK("#"&amp;일위대가목록표!J2&amp;"!A"&amp;ROW(일위대가목록표!A350),"대가347 →")</f>
        <v>대가347 →</v>
      </c>
    </row>
    <row r="2915" spans="1:26" ht="28.7" customHeight="1" x14ac:dyDescent="0.3">
      <c r="A2915" s="10" t="s">
        <v>8224</v>
      </c>
      <c r="B2915" s="10"/>
      <c r="C2915" s="75">
        <v>0</v>
      </c>
      <c r="D2915" s="31"/>
      <c r="E2915" s="33">
        <v>0</v>
      </c>
      <c r="F2915" s="77">
        <f>J2915+H2915+L2915</f>
        <v>373885</v>
      </c>
      <c r="G2915" s="42"/>
      <c r="H2915" s="77">
        <f>SUMIF(P2913:P2914,O2915,H2913:H2914)</f>
        <v>373885</v>
      </c>
      <c r="I2915" s="42"/>
      <c r="J2915" s="76">
        <f>SUMIF(P2913:P2914,O2915,J2913:J2914)</f>
        <v>0</v>
      </c>
      <c r="K2915" s="46"/>
      <c r="L2915" s="76">
        <f>SUMIF(P2913:P2914,O2915,L2913:L2914)</f>
        <v>0</v>
      </c>
      <c r="M2915" s="22"/>
      <c r="N2915" s="17" t="s">
        <v>8225</v>
      </c>
      <c r="O2915" s="7" t="s">
        <v>8226</v>
      </c>
    </row>
    <row r="2916" spans="1:26" ht="28.7" customHeight="1" x14ac:dyDescent="0.3">
      <c r="A2916" s="10" t="s">
        <v>1621</v>
      </c>
      <c r="B2916" s="10" t="s">
        <v>7063</v>
      </c>
      <c r="C2916" s="75">
        <v>135</v>
      </c>
      <c r="D2916" s="31" t="s">
        <v>7064</v>
      </c>
      <c r="E2916" s="55">
        <f>I2916+G2916+K2916</f>
        <v>373885</v>
      </c>
      <c r="F2916" s="77">
        <f>J2916+H2916+L2916</f>
        <v>504744.7</v>
      </c>
      <c r="G2916" s="79">
        <f>H2914</f>
        <v>373885</v>
      </c>
      <c r="H2916" s="77">
        <f>IF(C2916=0,0,ROUNDDOWN(G2916*C2916/100,1))</f>
        <v>504744.7</v>
      </c>
      <c r="I2916" s="13">
        <v>0</v>
      </c>
      <c r="J2916" s="76">
        <f>IF(C2916=0,0,ROUNDDOWN(I2916*C2916/100,1))</f>
        <v>0</v>
      </c>
      <c r="K2916" s="33">
        <v>0</v>
      </c>
      <c r="L2916" s="76">
        <f>IF(C2916=0,0,ROUNDDOWN(K2916*C2916/100,1))</f>
        <v>0</v>
      </c>
      <c r="M2916" s="22"/>
      <c r="N2916" s="17" t="s">
        <v>8228</v>
      </c>
      <c r="O2916" s="7" t="s">
        <v>7066</v>
      </c>
      <c r="P2916" s="7" t="s">
        <v>6406</v>
      </c>
    </row>
    <row r="2917" spans="1:26" ht="28.7" customHeight="1" x14ac:dyDescent="0.3">
      <c r="A2917" s="22" t="s">
        <v>6</v>
      </c>
      <c r="B2917" s="74"/>
      <c r="C2917" s="74"/>
      <c r="D2917" s="74"/>
      <c r="E2917" s="74"/>
      <c r="F2917" s="48">
        <f>J2917+H2917+L2917</f>
        <v>504744</v>
      </c>
      <c r="G2917" s="74"/>
      <c r="H2917" s="48">
        <f>ROUNDDOWN(SUMIF(P2913:P2916,O2917,H2913:H2916),0)</f>
        <v>504744</v>
      </c>
      <c r="I2917" s="74"/>
      <c r="J2917" s="48">
        <f>ROUNDDOWN(SUMIF(P2913:P2916,O2917,J2913:J2916),0)</f>
        <v>0</v>
      </c>
      <c r="K2917" s="74"/>
      <c r="L2917" s="48">
        <f>ROUNDDOWN(SUMIF(P2913:P2916,O2917,L2913:L2916),0)</f>
        <v>0</v>
      </c>
      <c r="M2917" s="74"/>
      <c r="O2917" s="7" t="s">
        <v>6406</v>
      </c>
    </row>
    <row r="2918" spans="1:26" ht="28.7" customHeight="1" x14ac:dyDescent="0.3">
      <c r="A2918" s="73"/>
      <c r="B2918" s="73"/>
      <c r="C2918" s="73"/>
      <c r="D2918" s="73"/>
      <c r="E2918" s="73"/>
      <c r="F2918" s="73"/>
      <c r="G2918" s="73"/>
      <c r="H2918" s="73"/>
      <c r="I2918" s="73"/>
      <c r="J2918" s="73"/>
      <c r="K2918" s="73"/>
      <c r="L2918" s="73"/>
      <c r="M2918" s="73"/>
    </row>
    <row r="2919" spans="1:26" ht="28.7" customHeight="1" x14ac:dyDescent="0.3">
      <c r="A2919" s="136" t="s">
        <v>1636</v>
      </c>
      <c r="B2919" s="127"/>
      <c r="C2919" s="127"/>
      <c r="D2919" s="127"/>
      <c r="E2919" s="127"/>
      <c r="F2919" s="127"/>
      <c r="G2919" s="127"/>
      <c r="H2919" s="127"/>
      <c r="I2919" s="127"/>
      <c r="J2919" s="127"/>
      <c r="K2919" s="127"/>
      <c r="L2919" s="144"/>
      <c r="M2919" s="22" t="s">
        <v>8555</v>
      </c>
      <c r="N2919" s="84" t="str">
        <f>HYPERLINK("#N"&amp;ROW(N2923),"_x0005_`BDCOD|B05084_x0007_`POSS|"&amp;ROW(N2920)&amp;"_x0007_`POSE|"&amp;ROW(N2923)&amp;"_x0007_`")</f>
        <v>_x0005_`BDCOD|B05084_x0007_`POSS|2920_x0007_`POSE|2923_x0007_`</v>
      </c>
      <c r="O2919" s="7" t="s">
        <v>8556</v>
      </c>
    </row>
    <row r="2920" spans="1:26" ht="28.7" customHeight="1" x14ac:dyDescent="0.3">
      <c r="A2920" s="10"/>
      <c r="B2920" s="10" t="s">
        <v>8540</v>
      </c>
      <c r="C2920" s="75">
        <v>0</v>
      </c>
      <c r="D2920" s="31"/>
      <c r="E2920" s="33">
        <v>0</v>
      </c>
      <c r="F2920" s="11">
        <v>0</v>
      </c>
      <c r="G2920" s="42"/>
      <c r="H2920" s="11">
        <v>0</v>
      </c>
      <c r="I2920" s="42"/>
      <c r="J2920" s="33">
        <v>0</v>
      </c>
      <c r="K2920" s="46"/>
      <c r="L2920" s="33">
        <v>0</v>
      </c>
      <c r="M2920" s="22" t="s">
        <v>6509</v>
      </c>
      <c r="N2920" s="17" t="s">
        <v>6507</v>
      </c>
      <c r="O2920" s="7" t="s">
        <v>6508</v>
      </c>
      <c r="P2920" s="7" t="s">
        <v>6508</v>
      </c>
    </row>
    <row r="2921" spans="1:26" ht="28.7" customHeight="1" x14ac:dyDescent="0.3">
      <c r="A2921" s="10" t="s">
        <v>840</v>
      </c>
      <c r="B2921" s="10" t="s">
        <v>853</v>
      </c>
      <c r="C2921" s="75">
        <v>1</v>
      </c>
      <c r="D2921" s="31" t="s">
        <v>14</v>
      </c>
      <c r="E2921" s="55">
        <f>I2921+G2921+K2921</f>
        <v>456971</v>
      </c>
      <c r="F2921" s="76">
        <f>J2921+H2921+L2921</f>
        <v>456971</v>
      </c>
      <c r="G2921" s="78">
        <f>일위대가목록표!F351</f>
        <v>456971</v>
      </c>
      <c r="H2921" s="80">
        <f>IF(C2921=0,0,ROUNDDOWN(G2921*C2921,1))</f>
        <v>456971</v>
      </c>
      <c r="I2921" s="78">
        <f>일위대가목록표!G351</f>
        <v>0</v>
      </c>
      <c r="J2921" s="80">
        <f>IF(C2921=0,0,ROUNDDOWN(I2921*C2921,1))</f>
        <v>0</v>
      </c>
      <c r="K2921" s="78">
        <f>일위대가목록표!H351</f>
        <v>0</v>
      </c>
      <c r="L2921" s="80">
        <f>IF(C2921=0,0,ROUNDDOWN(K2921*C2921,1))</f>
        <v>0</v>
      </c>
      <c r="M2921" s="22" t="s">
        <v>4387</v>
      </c>
      <c r="N2921" s="17" t="s">
        <v>8557</v>
      </c>
      <c r="O2921" s="7" t="s">
        <v>4385</v>
      </c>
      <c r="P2921" s="7" t="s">
        <v>8226</v>
      </c>
      <c r="Q2921" s="7" t="s">
        <v>7061</v>
      </c>
      <c r="Z2921" s="3" t="str">
        <f ca="1">HYPERLINK("#"&amp;일위대가목록표!J2&amp;"!A"&amp;ROW(일위대가목록표!A351),"대가348 →")</f>
        <v>대가348 →</v>
      </c>
    </row>
    <row r="2922" spans="1:26" ht="28.7" customHeight="1" x14ac:dyDescent="0.3">
      <c r="A2922" s="10" t="s">
        <v>8224</v>
      </c>
      <c r="B2922" s="10"/>
      <c r="C2922" s="75">
        <v>0</v>
      </c>
      <c r="D2922" s="31"/>
      <c r="E2922" s="33">
        <v>0</v>
      </c>
      <c r="F2922" s="77">
        <f>J2922+H2922+L2922</f>
        <v>456971</v>
      </c>
      <c r="G2922" s="42"/>
      <c r="H2922" s="77">
        <f>SUMIF(P2920:P2921,O2922,H2920:H2921)</f>
        <v>456971</v>
      </c>
      <c r="I2922" s="42"/>
      <c r="J2922" s="76">
        <f>SUMIF(P2920:P2921,O2922,J2920:J2921)</f>
        <v>0</v>
      </c>
      <c r="K2922" s="46"/>
      <c r="L2922" s="76">
        <f>SUMIF(P2920:P2921,O2922,L2920:L2921)</f>
        <v>0</v>
      </c>
      <c r="M2922" s="22"/>
      <c r="N2922" s="17" t="s">
        <v>8225</v>
      </c>
      <c r="O2922" s="7" t="s">
        <v>8226</v>
      </c>
    </row>
    <row r="2923" spans="1:26" ht="28.7" customHeight="1" x14ac:dyDescent="0.3">
      <c r="A2923" s="10" t="s">
        <v>1621</v>
      </c>
      <c r="B2923" s="10" t="s">
        <v>7063</v>
      </c>
      <c r="C2923" s="75">
        <v>135</v>
      </c>
      <c r="D2923" s="31" t="s">
        <v>7064</v>
      </c>
      <c r="E2923" s="55">
        <f>I2923+G2923+K2923</f>
        <v>456971</v>
      </c>
      <c r="F2923" s="77">
        <f>J2923+H2923+L2923</f>
        <v>616910.80000000005</v>
      </c>
      <c r="G2923" s="79">
        <f>H2921</f>
        <v>456971</v>
      </c>
      <c r="H2923" s="77">
        <f>IF(C2923=0,0,ROUNDDOWN(G2923*C2923/100,1))</f>
        <v>616910.80000000005</v>
      </c>
      <c r="I2923" s="13">
        <v>0</v>
      </c>
      <c r="J2923" s="76">
        <f>IF(C2923=0,0,ROUNDDOWN(I2923*C2923/100,1))</f>
        <v>0</v>
      </c>
      <c r="K2923" s="33">
        <v>0</v>
      </c>
      <c r="L2923" s="76">
        <f>IF(C2923=0,0,ROUNDDOWN(K2923*C2923/100,1))</f>
        <v>0</v>
      </c>
      <c r="M2923" s="22"/>
      <c r="N2923" s="17" t="s">
        <v>8228</v>
      </c>
      <c r="O2923" s="7" t="s">
        <v>7066</v>
      </c>
      <c r="P2923" s="7" t="s">
        <v>6406</v>
      </c>
    </row>
    <row r="2924" spans="1:26" ht="28.7" customHeight="1" x14ac:dyDescent="0.3">
      <c r="A2924" s="22" t="s">
        <v>6</v>
      </c>
      <c r="B2924" s="74"/>
      <c r="C2924" s="74"/>
      <c r="D2924" s="74"/>
      <c r="E2924" s="74"/>
      <c r="F2924" s="48">
        <f>J2924+H2924+L2924</f>
        <v>616910</v>
      </c>
      <c r="G2924" s="74"/>
      <c r="H2924" s="48">
        <f>ROUNDDOWN(SUMIF(P2920:P2923,O2924,H2920:H2923),0)</f>
        <v>616910</v>
      </c>
      <c r="I2924" s="74"/>
      <c r="J2924" s="48">
        <f>ROUNDDOWN(SUMIF(P2920:P2923,O2924,J2920:J2923),0)</f>
        <v>0</v>
      </c>
      <c r="K2924" s="74"/>
      <c r="L2924" s="48">
        <f>ROUNDDOWN(SUMIF(P2920:P2923,O2924,L2920:L2923),0)</f>
        <v>0</v>
      </c>
      <c r="M2924" s="74"/>
      <c r="O2924" s="7" t="s">
        <v>6406</v>
      </c>
    </row>
    <row r="2925" spans="1:26" ht="28.7" customHeight="1" x14ac:dyDescent="0.3">
      <c r="A2925" s="73"/>
      <c r="B2925" s="73"/>
      <c r="C2925" s="73"/>
      <c r="D2925" s="73"/>
      <c r="E2925" s="73"/>
      <c r="F2925" s="73"/>
      <c r="G2925" s="73"/>
      <c r="H2925" s="73"/>
      <c r="I2925" s="73"/>
      <c r="J2925" s="73"/>
      <c r="K2925" s="73"/>
      <c r="L2925" s="73"/>
      <c r="M2925" s="73"/>
    </row>
    <row r="2926" spans="1:26" ht="28.7" customHeight="1" x14ac:dyDescent="0.3">
      <c r="A2926" s="136" t="s">
        <v>1639</v>
      </c>
      <c r="B2926" s="127"/>
      <c r="C2926" s="127"/>
      <c r="D2926" s="127"/>
      <c r="E2926" s="127"/>
      <c r="F2926" s="127"/>
      <c r="G2926" s="127"/>
      <c r="H2926" s="127"/>
      <c r="I2926" s="127"/>
      <c r="J2926" s="127"/>
      <c r="K2926" s="127"/>
      <c r="L2926" s="144"/>
      <c r="M2926" s="22" t="s">
        <v>8558</v>
      </c>
      <c r="N2926" s="84" t="str">
        <f>HYPERLINK("#N"&amp;ROW(N2930),"_x0005_`BDCOD|B05085_x0007_`POSS|"&amp;ROW(N2927)&amp;"_x0007_`POSE|"&amp;ROW(N2930)&amp;"_x0007_`")</f>
        <v>_x0005_`BDCOD|B05085_x0007_`POSS|2927_x0007_`POSE|2930_x0007_`</v>
      </c>
      <c r="O2926" s="7" t="s">
        <v>8559</v>
      </c>
    </row>
    <row r="2927" spans="1:26" ht="28.7" customHeight="1" x14ac:dyDescent="0.3">
      <c r="A2927" s="10"/>
      <c r="B2927" s="10" t="s">
        <v>8540</v>
      </c>
      <c r="C2927" s="75">
        <v>0</v>
      </c>
      <c r="D2927" s="31"/>
      <c r="E2927" s="33">
        <v>0</v>
      </c>
      <c r="F2927" s="11">
        <v>0</v>
      </c>
      <c r="G2927" s="42"/>
      <c r="H2927" s="11">
        <v>0</v>
      </c>
      <c r="I2927" s="42"/>
      <c r="J2927" s="33">
        <v>0</v>
      </c>
      <c r="K2927" s="46"/>
      <c r="L2927" s="33">
        <v>0</v>
      </c>
      <c r="M2927" s="22" t="s">
        <v>6509</v>
      </c>
      <c r="N2927" s="17" t="s">
        <v>6507</v>
      </c>
      <c r="O2927" s="7" t="s">
        <v>6508</v>
      </c>
      <c r="P2927" s="7" t="s">
        <v>6508</v>
      </c>
    </row>
    <row r="2928" spans="1:26" ht="28.7" customHeight="1" x14ac:dyDescent="0.3">
      <c r="A2928" s="10" t="s">
        <v>840</v>
      </c>
      <c r="B2928" s="10" t="s">
        <v>856</v>
      </c>
      <c r="C2928" s="75">
        <v>1</v>
      </c>
      <c r="D2928" s="31" t="s">
        <v>14</v>
      </c>
      <c r="E2928" s="55">
        <f>I2928+G2928+K2928</f>
        <v>581599</v>
      </c>
      <c r="F2928" s="76">
        <f>J2928+H2928+L2928</f>
        <v>581599</v>
      </c>
      <c r="G2928" s="78">
        <f>일위대가목록표!F352</f>
        <v>581599</v>
      </c>
      <c r="H2928" s="80">
        <f>IF(C2928=0,0,ROUNDDOWN(G2928*C2928,1))</f>
        <v>581599</v>
      </c>
      <c r="I2928" s="78">
        <f>일위대가목록표!G352</f>
        <v>0</v>
      </c>
      <c r="J2928" s="80">
        <f>IF(C2928=0,0,ROUNDDOWN(I2928*C2928,1))</f>
        <v>0</v>
      </c>
      <c r="K2928" s="78">
        <f>일위대가목록표!H352</f>
        <v>0</v>
      </c>
      <c r="L2928" s="80">
        <f>IF(C2928=0,0,ROUNDDOWN(K2928*C2928,1))</f>
        <v>0</v>
      </c>
      <c r="M2928" s="22" t="s">
        <v>4390</v>
      </c>
      <c r="N2928" s="17" t="s">
        <v>8560</v>
      </c>
      <c r="O2928" s="7" t="s">
        <v>4388</v>
      </c>
      <c r="P2928" s="7" t="s">
        <v>8226</v>
      </c>
      <c r="Q2928" s="7" t="s">
        <v>7061</v>
      </c>
      <c r="Z2928" s="3" t="str">
        <f ca="1">HYPERLINK("#"&amp;일위대가목록표!J2&amp;"!A"&amp;ROW(일위대가목록표!A352),"대가349 →")</f>
        <v>대가349 →</v>
      </c>
    </row>
    <row r="2929" spans="1:26" ht="28.7" customHeight="1" x14ac:dyDescent="0.3">
      <c r="A2929" s="10" t="s">
        <v>8224</v>
      </c>
      <c r="B2929" s="10"/>
      <c r="C2929" s="75">
        <v>0</v>
      </c>
      <c r="D2929" s="31"/>
      <c r="E2929" s="33">
        <v>0</v>
      </c>
      <c r="F2929" s="77">
        <f>J2929+H2929+L2929</f>
        <v>581599</v>
      </c>
      <c r="G2929" s="42"/>
      <c r="H2929" s="77">
        <f>SUMIF(P2927:P2928,O2929,H2927:H2928)</f>
        <v>581599</v>
      </c>
      <c r="I2929" s="42"/>
      <c r="J2929" s="76">
        <f>SUMIF(P2927:P2928,O2929,J2927:J2928)</f>
        <v>0</v>
      </c>
      <c r="K2929" s="46"/>
      <c r="L2929" s="76">
        <f>SUMIF(P2927:P2928,O2929,L2927:L2928)</f>
        <v>0</v>
      </c>
      <c r="M2929" s="22"/>
      <c r="N2929" s="17" t="s">
        <v>8225</v>
      </c>
      <c r="O2929" s="7" t="s">
        <v>8226</v>
      </c>
    </row>
    <row r="2930" spans="1:26" ht="28.7" customHeight="1" x14ac:dyDescent="0.3">
      <c r="A2930" s="10" t="s">
        <v>1621</v>
      </c>
      <c r="B2930" s="10" t="s">
        <v>7063</v>
      </c>
      <c r="C2930" s="75">
        <v>135</v>
      </c>
      <c r="D2930" s="31" t="s">
        <v>7064</v>
      </c>
      <c r="E2930" s="55">
        <f>I2930+G2930+K2930</f>
        <v>581599</v>
      </c>
      <c r="F2930" s="77">
        <f>J2930+H2930+L2930</f>
        <v>785158.6</v>
      </c>
      <c r="G2930" s="79">
        <f>H2928</f>
        <v>581599</v>
      </c>
      <c r="H2930" s="77">
        <f>IF(C2930=0,0,ROUNDDOWN(G2930*C2930/100,1))</f>
        <v>785158.6</v>
      </c>
      <c r="I2930" s="13">
        <v>0</v>
      </c>
      <c r="J2930" s="76">
        <f>IF(C2930=0,0,ROUNDDOWN(I2930*C2930/100,1))</f>
        <v>0</v>
      </c>
      <c r="K2930" s="33">
        <v>0</v>
      </c>
      <c r="L2930" s="76">
        <f>IF(C2930=0,0,ROUNDDOWN(K2930*C2930/100,1))</f>
        <v>0</v>
      </c>
      <c r="M2930" s="22"/>
      <c r="N2930" s="17" t="s">
        <v>8228</v>
      </c>
      <c r="O2930" s="7" t="s">
        <v>7066</v>
      </c>
      <c r="P2930" s="7" t="s">
        <v>6406</v>
      </c>
    </row>
    <row r="2931" spans="1:26" ht="28.7" customHeight="1" x14ac:dyDescent="0.3">
      <c r="A2931" s="22" t="s">
        <v>6</v>
      </c>
      <c r="B2931" s="74"/>
      <c r="C2931" s="74"/>
      <c r="D2931" s="74"/>
      <c r="E2931" s="74"/>
      <c r="F2931" s="48">
        <f>J2931+H2931+L2931</f>
        <v>785158</v>
      </c>
      <c r="G2931" s="74"/>
      <c r="H2931" s="48">
        <f>ROUNDDOWN(SUMIF(P2927:P2930,O2931,H2927:H2930),0)</f>
        <v>785158</v>
      </c>
      <c r="I2931" s="74"/>
      <c r="J2931" s="48">
        <f>ROUNDDOWN(SUMIF(P2927:P2930,O2931,J2927:J2930),0)</f>
        <v>0</v>
      </c>
      <c r="K2931" s="74"/>
      <c r="L2931" s="48">
        <f>ROUNDDOWN(SUMIF(P2927:P2930,O2931,L2927:L2930),0)</f>
        <v>0</v>
      </c>
      <c r="M2931" s="74"/>
      <c r="O2931" s="7" t="s">
        <v>6406</v>
      </c>
    </row>
    <row r="2932" spans="1:26" ht="28.7" customHeight="1" x14ac:dyDescent="0.3">
      <c r="A2932" s="73"/>
      <c r="B2932" s="73"/>
      <c r="C2932" s="73"/>
      <c r="D2932" s="73"/>
      <c r="E2932" s="73"/>
      <c r="F2932" s="73"/>
      <c r="G2932" s="73"/>
      <c r="H2932" s="73"/>
      <c r="I2932" s="73"/>
      <c r="J2932" s="73"/>
      <c r="K2932" s="73"/>
      <c r="L2932" s="73"/>
      <c r="M2932" s="73"/>
    </row>
    <row r="2933" spans="1:26" ht="28.7" customHeight="1" x14ac:dyDescent="0.3">
      <c r="A2933" s="136" t="s">
        <v>1642</v>
      </c>
      <c r="B2933" s="127"/>
      <c r="C2933" s="127"/>
      <c r="D2933" s="127"/>
      <c r="E2933" s="127"/>
      <c r="F2933" s="127"/>
      <c r="G2933" s="127"/>
      <c r="H2933" s="127"/>
      <c r="I2933" s="127"/>
      <c r="J2933" s="127"/>
      <c r="K2933" s="127"/>
      <c r="L2933" s="144"/>
      <c r="M2933" s="22" t="s">
        <v>8561</v>
      </c>
      <c r="N2933" s="84" t="str">
        <f>HYPERLINK("#N"&amp;ROW(N2937),"_x0005_`BDCOD|B05086_x0007_`POSS|"&amp;ROW(N2934)&amp;"_x0007_`POSE|"&amp;ROW(N2937)&amp;"_x0007_`")</f>
        <v>_x0005_`BDCOD|B05086_x0007_`POSS|2934_x0007_`POSE|2937_x0007_`</v>
      </c>
      <c r="O2933" s="7" t="s">
        <v>8562</v>
      </c>
    </row>
    <row r="2934" spans="1:26" ht="28.7" customHeight="1" x14ac:dyDescent="0.3">
      <c r="A2934" s="10"/>
      <c r="B2934" s="10" t="s">
        <v>8540</v>
      </c>
      <c r="C2934" s="75">
        <v>0</v>
      </c>
      <c r="D2934" s="31"/>
      <c r="E2934" s="33">
        <v>0</v>
      </c>
      <c r="F2934" s="11">
        <v>0</v>
      </c>
      <c r="G2934" s="42"/>
      <c r="H2934" s="11">
        <v>0</v>
      </c>
      <c r="I2934" s="42"/>
      <c r="J2934" s="33">
        <v>0</v>
      </c>
      <c r="K2934" s="46"/>
      <c r="L2934" s="33">
        <v>0</v>
      </c>
      <c r="M2934" s="22" t="s">
        <v>6509</v>
      </c>
      <c r="N2934" s="17" t="s">
        <v>6507</v>
      </c>
      <c r="O2934" s="7" t="s">
        <v>6508</v>
      </c>
      <c r="P2934" s="7" t="s">
        <v>6508</v>
      </c>
    </row>
    <row r="2935" spans="1:26" ht="28.7" customHeight="1" x14ac:dyDescent="0.3">
      <c r="A2935" s="10" t="s">
        <v>840</v>
      </c>
      <c r="B2935" s="10" t="s">
        <v>856</v>
      </c>
      <c r="C2935" s="75">
        <v>1</v>
      </c>
      <c r="D2935" s="31" t="s">
        <v>14</v>
      </c>
      <c r="E2935" s="55">
        <f>I2935+G2935+K2935</f>
        <v>581599</v>
      </c>
      <c r="F2935" s="76">
        <f>J2935+H2935+L2935</f>
        <v>581599</v>
      </c>
      <c r="G2935" s="78">
        <f>일위대가목록표!F352</f>
        <v>581599</v>
      </c>
      <c r="H2935" s="80">
        <f>IF(C2935=0,0,ROUNDDOWN(G2935*C2935,1))</f>
        <v>581599</v>
      </c>
      <c r="I2935" s="78">
        <f>일위대가목록표!G352</f>
        <v>0</v>
      </c>
      <c r="J2935" s="80">
        <f>IF(C2935=0,0,ROUNDDOWN(I2935*C2935,1))</f>
        <v>0</v>
      </c>
      <c r="K2935" s="78">
        <f>일위대가목록표!H352</f>
        <v>0</v>
      </c>
      <c r="L2935" s="80">
        <f>IF(C2935=0,0,ROUNDDOWN(K2935*C2935,1))</f>
        <v>0</v>
      </c>
      <c r="M2935" s="22" t="s">
        <v>4390</v>
      </c>
      <c r="N2935" s="17" t="s">
        <v>8560</v>
      </c>
      <c r="O2935" s="7" t="s">
        <v>4388</v>
      </c>
      <c r="P2935" s="7" t="s">
        <v>8226</v>
      </c>
      <c r="Q2935" s="7" t="s">
        <v>7061</v>
      </c>
      <c r="Z2935" s="3" t="str">
        <f ca="1">HYPERLINK("#"&amp;일위대가목록표!J2&amp;"!A"&amp;ROW(일위대가목록표!A352),"대가349 →")</f>
        <v>대가349 →</v>
      </c>
    </row>
    <row r="2936" spans="1:26" ht="28.7" customHeight="1" x14ac:dyDescent="0.3">
      <c r="A2936" s="10" t="s">
        <v>8224</v>
      </c>
      <c r="B2936" s="10"/>
      <c r="C2936" s="75">
        <v>0</v>
      </c>
      <c r="D2936" s="31"/>
      <c r="E2936" s="33">
        <v>0</v>
      </c>
      <c r="F2936" s="77">
        <f>J2936+H2936+L2936</f>
        <v>581599</v>
      </c>
      <c r="G2936" s="42"/>
      <c r="H2936" s="77">
        <f>SUMIF(P2934:P2935,O2936,H2934:H2935)</f>
        <v>581599</v>
      </c>
      <c r="I2936" s="42"/>
      <c r="J2936" s="76">
        <f>SUMIF(P2934:P2935,O2936,J2934:J2935)</f>
        <v>0</v>
      </c>
      <c r="K2936" s="46"/>
      <c r="L2936" s="76">
        <f>SUMIF(P2934:P2935,O2936,L2934:L2935)</f>
        <v>0</v>
      </c>
      <c r="M2936" s="22"/>
      <c r="N2936" s="17" t="s">
        <v>8225</v>
      </c>
      <c r="O2936" s="7" t="s">
        <v>8226</v>
      </c>
    </row>
    <row r="2937" spans="1:26" ht="28.7" customHeight="1" x14ac:dyDescent="0.3">
      <c r="A2937" s="10" t="s">
        <v>1621</v>
      </c>
      <c r="B2937" s="10" t="s">
        <v>7063</v>
      </c>
      <c r="C2937" s="75">
        <v>135</v>
      </c>
      <c r="D2937" s="31" t="s">
        <v>7064</v>
      </c>
      <c r="E2937" s="55">
        <f>I2937+G2937+K2937</f>
        <v>581599</v>
      </c>
      <c r="F2937" s="77">
        <f>J2937+H2937+L2937</f>
        <v>785158.6</v>
      </c>
      <c r="G2937" s="79">
        <f>H2935</f>
        <v>581599</v>
      </c>
      <c r="H2937" s="77">
        <f>IF(C2937=0,0,ROUNDDOWN(G2937*C2937/100,1))</f>
        <v>785158.6</v>
      </c>
      <c r="I2937" s="13">
        <v>0</v>
      </c>
      <c r="J2937" s="76">
        <f>IF(C2937=0,0,ROUNDDOWN(I2937*C2937/100,1))</f>
        <v>0</v>
      </c>
      <c r="K2937" s="33">
        <v>0</v>
      </c>
      <c r="L2937" s="76">
        <f>IF(C2937=0,0,ROUNDDOWN(K2937*C2937/100,1))</f>
        <v>0</v>
      </c>
      <c r="M2937" s="22"/>
      <c r="N2937" s="17" t="s">
        <v>8228</v>
      </c>
      <c r="O2937" s="7" t="s">
        <v>7066</v>
      </c>
      <c r="P2937" s="7" t="s">
        <v>6406</v>
      </c>
    </row>
    <row r="2938" spans="1:26" ht="28.7" customHeight="1" x14ac:dyDescent="0.3">
      <c r="A2938" s="22" t="s">
        <v>6</v>
      </c>
      <c r="B2938" s="74"/>
      <c r="C2938" s="74"/>
      <c r="D2938" s="74"/>
      <c r="E2938" s="74"/>
      <c r="F2938" s="48">
        <f>J2938+H2938+L2938</f>
        <v>785158</v>
      </c>
      <c r="G2938" s="74"/>
      <c r="H2938" s="48">
        <f>ROUNDDOWN(SUMIF(P2934:P2937,O2938,H2934:H2937),0)</f>
        <v>785158</v>
      </c>
      <c r="I2938" s="74"/>
      <c r="J2938" s="48">
        <f>ROUNDDOWN(SUMIF(P2934:P2937,O2938,J2934:J2937),0)</f>
        <v>0</v>
      </c>
      <c r="K2938" s="74"/>
      <c r="L2938" s="48">
        <f>ROUNDDOWN(SUMIF(P2934:P2937,O2938,L2934:L2937),0)</f>
        <v>0</v>
      </c>
      <c r="M2938" s="74"/>
      <c r="O2938" s="7" t="s">
        <v>6406</v>
      </c>
    </row>
    <row r="2939" spans="1:26" ht="28.7" customHeight="1" x14ac:dyDescent="0.3">
      <c r="A2939" s="73"/>
      <c r="B2939" s="73"/>
      <c r="C2939" s="73"/>
      <c r="D2939" s="73"/>
      <c r="E2939" s="73"/>
      <c r="F2939" s="73"/>
      <c r="G2939" s="73"/>
      <c r="H2939" s="73"/>
      <c r="I2939" s="73"/>
      <c r="J2939" s="73"/>
      <c r="K2939" s="73"/>
      <c r="L2939" s="73"/>
      <c r="M2939" s="73"/>
    </row>
    <row r="2940" spans="1:26" ht="28.7" customHeight="1" x14ac:dyDescent="0.3">
      <c r="A2940" s="136" t="s">
        <v>1645</v>
      </c>
      <c r="B2940" s="127"/>
      <c r="C2940" s="127"/>
      <c r="D2940" s="127"/>
      <c r="E2940" s="127"/>
      <c r="F2940" s="127"/>
      <c r="G2940" s="127"/>
      <c r="H2940" s="127"/>
      <c r="I2940" s="127"/>
      <c r="J2940" s="127"/>
      <c r="K2940" s="127"/>
      <c r="L2940" s="144"/>
      <c r="M2940" s="22" t="s">
        <v>8563</v>
      </c>
      <c r="N2940" s="84" t="str">
        <f>HYPERLINK("#N"&amp;ROW(N2944),"_x0005_`BDCOD|B05087_x0007_`POSS|"&amp;ROW(N2941)&amp;"_x0007_`POSE|"&amp;ROW(N2944)&amp;"_x0007_`")</f>
        <v>_x0005_`BDCOD|B05087_x0007_`POSS|2941_x0007_`POSE|2944_x0007_`</v>
      </c>
      <c r="O2940" s="7" t="s">
        <v>8564</v>
      </c>
    </row>
    <row r="2941" spans="1:26" ht="28.7" customHeight="1" x14ac:dyDescent="0.3">
      <c r="A2941" s="10"/>
      <c r="B2941" s="10" t="s">
        <v>8540</v>
      </c>
      <c r="C2941" s="75">
        <v>0</v>
      </c>
      <c r="D2941" s="31"/>
      <c r="E2941" s="33">
        <v>0</v>
      </c>
      <c r="F2941" s="11">
        <v>0</v>
      </c>
      <c r="G2941" s="42"/>
      <c r="H2941" s="11">
        <v>0</v>
      </c>
      <c r="I2941" s="42"/>
      <c r="J2941" s="33">
        <v>0</v>
      </c>
      <c r="K2941" s="46"/>
      <c r="L2941" s="33">
        <v>0</v>
      </c>
      <c r="M2941" s="22" t="s">
        <v>6509</v>
      </c>
      <c r="N2941" s="17" t="s">
        <v>6507</v>
      </c>
      <c r="O2941" s="7" t="s">
        <v>6508</v>
      </c>
      <c r="P2941" s="7" t="s">
        <v>6508</v>
      </c>
    </row>
    <row r="2942" spans="1:26" ht="28.7" customHeight="1" x14ac:dyDescent="0.3">
      <c r="A2942" s="10" t="s">
        <v>840</v>
      </c>
      <c r="B2942" s="10" t="s">
        <v>859</v>
      </c>
      <c r="C2942" s="75">
        <v>1</v>
      </c>
      <c r="D2942" s="31" t="s">
        <v>14</v>
      </c>
      <c r="E2942" s="55">
        <f>I2942+G2942+K2942</f>
        <v>827080</v>
      </c>
      <c r="F2942" s="76">
        <f>J2942+H2942+L2942</f>
        <v>827080</v>
      </c>
      <c r="G2942" s="78">
        <f>일위대가목록표!F353</f>
        <v>827080</v>
      </c>
      <c r="H2942" s="80">
        <f>IF(C2942=0,0,ROUNDDOWN(G2942*C2942,1))</f>
        <v>827080</v>
      </c>
      <c r="I2942" s="78">
        <f>일위대가목록표!G353</f>
        <v>0</v>
      </c>
      <c r="J2942" s="80">
        <f>IF(C2942=0,0,ROUNDDOWN(I2942*C2942,1))</f>
        <v>0</v>
      </c>
      <c r="K2942" s="78">
        <f>일위대가목록표!H353</f>
        <v>0</v>
      </c>
      <c r="L2942" s="80">
        <f>IF(C2942=0,0,ROUNDDOWN(K2942*C2942,1))</f>
        <v>0</v>
      </c>
      <c r="M2942" s="22" t="s">
        <v>4393</v>
      </c>
      <c r="N2942" s="17" t="s">
        <v>8565</v>
      </c>
      <c r="O2942" s="7" t="s">
        <v>4391</v>
      </c>
      <c r="P2942" s="7" t="s">
        <v>8226</v>
      </c>
      <c r="Q2942" s="7" t="s">
        <v>7061</v>
      </c>
      <c r="Z2942" s="3" t="str">
        <f ca="1">HYPERLINK("#"&amp;일위대가목록표!J2&amp;"!A"&amp;ROW(일위대가목록표!A353),"대가350 →")</f>
        <v>대가350 →</v>
      </c>
    </row>
    <row r="2943" spans="1:26" ht="28.7" customHeight="1" x14ac:dyDescent="0.3">
      <c r="A2943" s="10" t="s">
        <v>8224</v>
      </c>
      <c r="B2943" s="10"/>
      <c r="C2943" s="75">
        <v>0</v>
      </c>
      <c r="D2943" s="31"/>
      <c r="E2943" s="33">
        <v>0</v>
      </c>
      <c r="F2943" s="77">
        <f>J2943+H2943+L2943</f>
        <v>827080</v>
      </c>
      <c r="G2943" s="42"/>
      <c r="H2943" s="77">
        <f>SUMIF(P2941:P2942,O2943,H2941:H2942)</f>
        <v>827080</v>
      </c>
      <c r="I2943" s="42"/>
      <c r="J2943" s="76">
        <f>SUMIF(P2941:P2942,O2943,J2941:J2942)</f>
        <v>0</v>
      </c>
      <c r="K2943" s="46"/>
      <c r="L2943" s="76">
        <f>SUMIF(P2941:P2942,O2943,L2941:L2942)</f>
        <v>0</v>
      </c>
      <c r="M2943" s="22"/>
      <c r="N2943" s="17" t="s">
        <v>8225</v>
      </c>
      <c r="O2943" s="7" t="s">
        <v>8226</v>
      </c>
    </row>
    <row r="2944" spans="1:26" ht="28.7" customHeight="1" x14ac:dyDescent="0.3">
      <c r="A2944" s="10" t="s">
        <v>1621</v>
      </c>
      <c r="B2944" s="10" t="s">
        <v>7063</v>
      </c>
      <c r="C2944" s="75">
        <v>135</v>
      </c>
      <c r="D2944" s="31" t="s">
        <v>7064</v>
      </c>
      <c r="E2944" s="55">
        <f>I2944+G2944+K2944</f>
        <v>827080</v>
      </c>
      <c r="F2944" s="77">
        <f>J2944+H2944+L2944</f>
        <v>1116558</v>
      </c>
      <c r="G2944" s="79">
        <f>H2942</f>
        <v>827080</v>
      </c>
      <c r="H2944" s="77">
        <f>IF(C2944=0,0,ROUNDDOWN(G2944*C2944/100,1))</f>
        <v>1116558</v>
      </c>
      <c r="I2944" s="13">
        <v>0</v>
      </c>
      <c r="J2944" s="76">
        <f>IF(C2944=0,0,ROUNDDOWN(I2944*C2944/100,1))</f>
        <v>0</v>
      </c>
      <c r="K2944" s="33">
        <v>0</v>
      </c>
      <c r="L2944" s="76">
        <f>IF(C2944=0,0,ROUNDDOWN(K2944*C2944/100,1))</f>
        <v>0</v>
      </c>
      <c r="M2944" s="22"/>
      <c r="N2944" s="17" t="s">
        <v>8228</v>
      </c>
      <c r="O2944" s="7" t="s">
        <v>7066</v>
      </c>
      <c r="P2944" s="7" t="s">
        <v>6406</v>
      </c>
    </row>
    <row r="2945" spans="1:26" ht="28.7" customHeight="1" x14ac:dyDescent="0.3">
      <c r="A2945" s="22" t="s">
        <v>6</v>
      </c>
      <c r="B2945" s="74"/>
      <c r="C2945" s="74"/>
      <c r="D2945" s="74"/>
      <c r="E2945" s="74"/>
      <c r="F2945" s="48">
        <f>J2945+H2945+L2945</f>
        <v>1116558</v>
      </c>
      <c r="G2945" s="74"/>
      <c r="H2945" s="48">
        <f>ROUNDDOWN(SUMIF(P2941:P2944,O2945,H2941:H2944),0)</f>
        <v>1116558</v>
      </c>
      <c r="I2945" s="74"/>
      <c r="J2945" s="48">
        <f>ROUNDDOWN(SUMIF(P2941:P2944,O2945,J2941:J2944),0)</f>
        <v>0</v>
      </c>
      <c r="K2945" s="74"/>
      <c r="L2945" s="48">
        <f>ROUNDDOWN(SUMIF(P2941:P2944,O2945,L2941:L2944),0)</f>
        <v>0</v>
      </c>
      <c r="M2945" s="74"/>
      <c r="O2945" s="7" t="s">
        <v>6406</v>
      </c>
    </row>
    <row r="2946" spans="1:26" ht="28.7" customHeight="1" x14ac:dyDescent="0.3">
      <c r="A2946" s="73"/>
      <c r="B2946" s="73"/>
      <c r="C2946" s="73"/>
      <c r="D2946" s="73"/>
      <c r="E2946" s="73"/>
      <c r="F2946" s="73"/>
      <c r="G2946" s="73"/>
      <c r="H2946" s="73"/>
      <c r="I2946" s="73"/>
      <c r="J2946" s="73"/>
      <c r="K2946" s="73"/>
      <c r="L2946" s="73"/>
      <c r="M2946" s="73"/>
    </row>
    <row r="2947" spans="1:26" ht="28.7" customHeight="1" x14ac:dyDescent="0.3">
      <c r="A2947" s="136" t="s">
        <v>1648</v>
      </c>
      <c r="B2947" s="127"/>
      <c r="C2947" s="127"/>
      <c r="D2947" s="127"/>
      <c r="E2947" s="127"/>
      <c r="F2947" s="127"/>
      <c r="G2947" s="127"/>
      <c r="H2947" s="127"/>
      <c r="I2947" s="127"/>
      <c r="J2947" s="127"/>
      <c r="K2947" s="127"/>
      <c r="L2947" s="144"/>
      <c r="M2947" s="22" t="s">
        <v>8566</v>
      </c>
      <c r="N2947" s="84" t="str">
        <f>HYPERLINK("#N"&amp;ROW(N2951),"_x0005_`BDCOD|B05088_x0007_`POSS|"&amp;ROW(N2948)&amp;"_x0007_`POSE|"&amp;ROW(N2951)&amp;"_x0007_`")</f>
        <v>_x0005_`BDCOD|B05088_x0007_`POSS|2948_x0007_`POSE|2951_x0007_`</v>
      </c>
      <c r="O2947" s="7" t="s">
        <v>8567</v>
      </c>
    </row>
    <row r="2948" spans="1:26" ht="28.7" customHeight="1" x14ac:dyDescent="0.3">
      <c r="A2948" s="10"/>
      <c r="B2948" s="10" t="s">
        <v>8540</v>
      </c>
      <c r="C2948" s="75">
        <v>0</v>
      </c>
      <c r="D2948" s="31"/>
      <c r="E2948" s="33">
        <v>0</v>
      </c>
      <c r="F2948" s="11">
        <v>0</v>
      </c>
      <c r="G2948" s="42"/>
      <c r="H2948" s="11">
        <v>0</v>
      </c>
      <c r="I2948" s="42"/>
      <c r="J2948" s="33">
        <v>0</v>
      </c>
      <c r="K2948" s="46"/>
      <c r="L2948" s="33">
        <v>0</v>
      </c>
      <c r="M2948" s="22" t="s">
        <v>6509</v>
      </c>
      <c r="N2948" s="17" t="s">
        <v>6507</v>
      </c>
      <c r="O2948" s="7" t="s">
        <v>6508</v>
      </c>
      <c r="P2948" s="7" t="s">
        <v>6508</v>
      </c>
    </row>
    <row r="2949" spans="1:26" ht="28.7" customHeight="1" x14ac:dyDescent="0.3">
      <c r="A2949" s="10" t="s">
        <v>840</v>
      </c>
      <c r="B2949" s="10" t="s">
        <v>862</v>
      </c>
      <c r="C2949" s="75">
        <v>1</v>
      </c>
      <c r="D2949" s="31" t="s">
        <v>14</v>
      </c>
      <c r="E2949" s="55">
        <f>I2949+G2949+K2949</f>
        <v>1076338</v>
      </c>
      <c r="F2949" s="76">
        <f>J2949+H2949+L2949</f>
        <v>1076338</v>
      </c>
      <c r="G2949" s="78">
        <f>일위대가목록표!F354</f>
        <v>1076338</v>
      </c>
      <c r="H2949" s="80">
        <f>IF(C2949=0,0,ROUNDDOWN(G2949*C2949,1))</f>
        <v>1076338</v>
      </c>
      <c r="I2949" s="78">
        <f>일위대가목록표!G354</f>
        <v>0</v>
      </c>
      <c r="J2949" s="80">
        <f>IF(C2949=0,0,ROUNDDOWN(I2949*C2949,1))</f>
        <v>0</v>
      </c>
      <c r="K2949" s="78">
        <f>일위대가목록표!H354</f>
        <v>0</v>
      </c>
      <c r="L2949" s="80">
        <f>IF(C2949=0,0,ROUNDDOWN(K2949*C2949,1))</f>
        <v>0</v>
      </c>
      <c r="M2949" s="22" t="s">
        <v>4396</v>
      </c>
      <c r="N2949" s="17" t="s">
        <v>8568</v>
      </c>
      <c r="O2949" s="7" t="s">
        <v>4394</v>
      </c>
      <c r="P2949" s="7" t="s">
        <v>8226</v>
      </c>
      <c r="Q2949" s="7" t="s">
        <v>7061</v>
      </c>
      <c r="Z2949" s="3" t="str">
        <f ca="1">HYPERLINK("#"&amp;일위대가목록표!J2&amp;"!A"&amp;ROW(일위대가목록표!A354),"대가351 →")</f>
        <v>대가351 →</v>
      </c>
    </row>
    <row r="2950" spans="1:26" ht="28.7" customHeight="1" x14ac:dyDescent="0.3">
      <c r="A2950" s="10" t="s">
        <v>8224</v>
      </c>
      <c r="B2950" s="10"/>
      <c r="C2950" s="75">
        <v>0</v>
      </c>
      <c r="D2950" s="31"/>
      <c r="E2950" s="33">
        <v>0</v>
      </c>
      <c r="F2950" s="77">
        <f>J2950+H2950+L2950</f>
        <v>1076338</v>
      </c>
      <c r="G2950" s="42"/>
      <c r="H2950" s="77">
        <f>SUMIF(P2948:P2949,O2950,H2948:H2949)</f>
        <v>1076338</v>
      </c>
      <c r="I2950" s="42"/>
      <c r="J2950" s="76">
        <f>SUMIF(P2948:P2949,O2950,J2948:J2949)</f>
        <v>0</v>
      </c>
      <c r="K2950" s="46"/>
      <c r="L2950" s="76">
        <f>SUMIF(P2948:P2949,O2950,L2948:L2949)</f>
        <v>0</v>
      </c>
      <c r="M2950" s="22"/>
      <c r="N2950" s="17" t="s">
        <v>8225</v>
      </c>
      <c r="O2950" s="7" t="s">
        <v>8226</v>
      </c>
    </row>
    <row r="2951" spans="1:26" ht="28.7" customHeight="1" x14ac:dyDescent="0.3">
      <c r="A2951" s="10" t="s">
        <v>1621</v>
      </c>
      <c r="B2951" s="10" t="s">
        <v>7063</v>
      </c>
      <c r="C2951" s="75">
        <v>135</v>
      </c>
      <c r="D2951" s="31" t="s">
        <v>7064</v>
      </c>
      <c r="E2951" s="55">
        <f>I2951+G2951+K2951</f>
        <v>1076338</v>
      </c>
      <c r="F2951" s="77">
        <f>J2951+H2951+L2951</f>
        <v>1453056.3</v>
      </c>
      <c r="G2951" s="79">
        <f>H2949</f>
        <v>1076338</v>
      </c>
      <c r="H2951" s="77">
        <f>IF(C2951=0,0,ROUNDDOWN(G2951*C2951/100,1))</f>
        <v>1453056.3</v>
      </c>
      <c r="I2951" s="13">
        <v>0</v>
      </c>
      <c r="J2951" s="76">
        <f>IF(C2951=0,0,ROUNDDOWN(I2951*C2951/100,1))</f>
        <v>0</v>
      </c>
      <c r="K2951" s="33">
        <v>0</v>
      </c>
      <c r="L2951" s="76">
        <f>IF(C2951=0,0,ROUNDDOWN(K2951*C2951/100,1))</f>
        <v>0</v>
      </c>
      <c r="M2951" s="22"/>
      <c r="N2951" s="17" t="s">
        <v>8228</v>
      </c>
      <c r="O2951" s="7" t="s">
        <v>7066</v>
      </c>
      <c r="P2951" s="7" t="s">
        <v>6406</v>
      </c>
    </row>
    <row r="2952" spans="1:26" ht="28.7" customHeight="1" x14ac:dyDescent="0.3">
      <c r="A2952" s="22" t="s">
        <v>6</v>
      </c>
      <c r="B2952" s="74"/>
      <c r="C2952" s="74"/>
      <c r="D2952" s="74"/>
      <c r="E2952" s="74"/>
      <c r="F2952" s="48">
        <f>J2952+H2952+L2952</f>
        <v>1453056</v>
      </c>
      <c r="G2952" s="74"/>
      <c r="H2952" s="48">
        <f>ROUNDDOWN(SUMIF(P2948:P2951,O2952,H2948:H2951),0)</f>
        <v>1453056</v>
      </c>
      <c r="I2952" s="74"/>
      <c r="J2952" s="48">
        <f>ROUNDDOWN(SUMIF(P2948:P2951,O2952,J2948:J2951),0)</f>
        <v>0</v>
      </c>
      <c r="K2952" s="74"/>
      <c r="L2952" s="48">
        <f>ROUNDDOWN(SUMIF(P2948:P2951,O2952,L2948:L2951),0)</f>
        <v>0</v>
      </c>
      <c r="M2952" s="74"/>
      <c r="O2952" s="7" t="s">
        <v>6406</v>
      </c>
    </row>
    <row r="2953" spans="1:26" ht="28.7" customHeight="1" x14ac:dyDescent="0.3">
      <c r="A2953" s="73"/>
      <c r="B2953" s="73"/>
      <c r="C2953" s="73"/>
      <c r="D2953" s="73"/>
      <c r="E2953" s="73"/>
      <c r="F2953" s="73"/>
      <c r="G2953" s="73"/>
      <c r="H2953" s="73"/>
      <c r="I2953" s="73"/>
      <c r="J2953" s="73"/>
      <c r="K2953" s="73"/>
      <c r="L2953" s="73"/>
      <c r="M2953" s="73"/>
    </row>
    <row r="2954" spans="1:26" ht="28.7" customHeight="1" x14ac:dyDescent="0.3">
      <c r="A2954" s="136" t="s">
        <v>1651</v>
      </c>
      <c r="B2954" s="127"/>
      <c r="C2954" s="127"/>
      <c r="D2954" s="127"/>
      <c r="E2954" s="127"/>
      <c r="F2954" s="127"/>
      <c r="G2954" s="127"/>
      <c r="H2954" s="127"/>
      <c r="I2954" s="127"/>
      <c r="J2954" s="127"/>
      <c r="K2954" s="127"/>
      <c r="L2954" s="144"/>
      <c r="M2954" s="22" t="s">
        <v>8569</v>
      </c>
      <c r="N2954" s="84" t="str">
        <f>HYPERLINK("#N"&amp;ROW(N2958),"_x0005_`BDCOD|B05089_x0007_`POSS|"&amp;ROW(N2955)&amp;"_x0007_`POSE|"&amp;ROW(N2958)&amp;"_x0007_`")</f>
        <v>_x0005_`BDCOD|B05089_x0007_`POSS|2955_x0007_`POSE|2958_x0007_`</v>
      </c>
      <c r="O2954" s="7" t="s">
        <v>8570</v>
      </c>
    </row>
    <row r="2955" spans="1:26" ht="28.7" customHeight="1" x14ac:dyDescent="0.3">
      <c r="A2955" s="10"/>
      <c r="B2955" s="10" t="s">
        <v>8540</v>
      </c>
      <c r="C2955" s="75">
        <v>0</v>
      </c>
      <c r="D2955" s="31"/>
      <c r="E2955" s="33">
        <v>0</v>
      </c>
      <c r="F2955" s="11">
        <v>0</v>
      </c>
      <c r="G2955" s="42"/>
      <c r="H2955" s="11">
        <v>0</v>
      </c>
      <c r="I2955" s="42"/>
      <c r="J2955" s="33">
        <v>0</v>
      </c>
      <c r="K2955" s="46"/>
      <c r="L2955" s="33">
        <v>0</v>
      </c>
      <c r="M2955" s="22" t="s">
        <v>6509</v>
      </c>
      <c r="N2955" s="17" t="s">
        <v>6507</v>
      </c>
      <c r="O2955" s="7" t="s">
        <v>6508</v>
      </c>
      <c r="P2955" s="7" t="s">
        <v>6508</v>
      </c>
    </row>
    <row r="2956" spans="1:26" ht="28.7" customHeight="1" x14ac:dyDescent="0.3">
      <c r="A2956" s="10" t="s">
        <v>840</v>
      </c>
      <c r="B2956" s="10" t="s">
        <v>865</v>
      </c>
      <c r="C2956" s="75">
        <v>1</v>
      </c>
      <c r="D2956" s="31" t="s">
        <v>14</v>
      </c>
      <c r="E2956" s="55">
        <f>I2956+G2956+K2956</f>
        <v>1242509</v>
      </c>
      <c r="F2956" s="76">
        <f>J2956+H2956+L2956</f>
        <v>1242509</v>
      </c>
      <c r="G2956" s="78">
        <f>일위대가목록표!F355</f>
        <v>1242509</v>
      </c>
      <c r="H2956" s="80">
        <f>IF(C2956=0,0,ROUNDDOWN(G2956*C2956,1))</f>
        <v>1242509</v>
      </c>
      <c r="I2956" s="78">
        <f>일위대가목록표!G355</f>
        <v>0</v>
      </c>
      <c r="J2956" s="80">
        <f>IF(C2956=0,0,ROUNDDOWN(I2956*C2956,1))</f>
        <v>0</v>
      </c>
      <c r="K2956" s="78">
        <f>일위대가목록표!H355</f>
        <v>0</v>
      </c>
      <c r="L2956" s="80">
        <f>IF(C2956=0,0,ROUNDDOWN(K2956*C2956,1))</f>
        <v>0</v>
      </c>
      <c r="M2956" s="22" t="s">
        <v>4399</v>
      </c>
      <c r="N2956" s="17" t="s">
        <v>8571</v>
      </c>
      <c r="O2956" s="7" t="s">
        <v>4397</v>
      </c>
      <c r="P2956" s="7" t="s">
        <v>8226</v>
      </c>
      <c r="Q2956" s="7" t="s">
        <v>7061</v>
      </c>
      <c r="Z2956" s="3" t="str">
        <f ca="1">HYPERLINK("#"&amp;일위대가목록표!J2&amp;"!A"&amp;ROW(일위대가목록표!A355),"대가352 →")</f>
        <v>대가352 →</v>
      </c>
    </row>
    <row r="2957" spans="1:26" ht="28.7" customHeight="1" x14ac:dyDescent="0.3">
      <c r="A2957" s="10" t="s">
        <v>8224</v>
      </c>
      <c r="B2957" s="10"/>
      <c r="C2957" s="75">
        <v>0</v>
      </c>
      <c r="D2957" s="31"/>
      <c r="E2957" s="33">
        <v>0</v>
      </c>
      <c r="F2957" s="77">
        <f>J2957+H2957+L2957</f>
        <v>1242509</v>
      </c>
      <c r="G2957" s="42"/>
      <c r="H2957" s="77">
        <f>SUMIF(P2955:P2956,O2957,H2955:H2956)</f>
        <v>1242509</v>
      </c>
      <c r="I2957" s="42"/>
      <c r="J2957" s="76">
        <f>SUMIF(P2955:P2956,O2957,J2955:J2956)</f>
        <v>0</v>
      </c>
      <c r="K2957" s="46"/>
      <c r="L2957" s="76">
        <f>SUMIF(P2955:P2956,O2957,L2955:L2956)</f>
        <v>0</v>
      </c>
      <c r="M2957" s="22"/>
      <c r="N2957" s="17" t="s">
        <v>8225</v>
      </c>
      <c r="O2957" s="7" t="s">
        <v>8226</v>
      </c>
    </row>
    <row r="2958" spans="1:26" ht="28.7" customHeight="1" x14ac:dyDescent="0.3">
      <c r="A2958" s="10" t="s">
        <v>1621</v>
      </c>
      <c r="B2958" s="10" t="s">
        <v>7063</v>
      </c>
      <c r="C2958" s="75">
        <v>135</v>
      </c>
      <c r="D2958" s="31" t="s">
        <v>7064</v>
      </c>
      <c r="E2958" s="55">
        <f>I2958+G2958+K2958</f>
        <v>1242509</v>
      </c>
      <c r="F2958" s="77">
        <f>J2958+H2958+L2958</f>
        <v>1677387.1</v>
      </c>
      <c r="G2958" s="79">
        <f>H2956</f>
        <v>1242509</v>
      </c>
      <c r="H2958" s="77">
        <f>IF(C2958=0,0,ROUNDDOWN(G2958*C2958/100,1))</f>
        <v>1677387.1</v>
      </c>
      <c r="I2958" s="13">
        <v>0</v>
      </c>
      <c r="J2958" s="76">
        <f>IF(C2958=0,0,ROUNDDOWN(I2958*C2958/100,1))</f>
        <v>0</v>
      </c>
      <c r="K2958" s="33">
        <v>0</v>
      </c>
      <c r="L2958" s="76">
        <f>IF(C2958=0,0,ROUNDDOWN(K2958*C2958/100,1))</f>
        <v>0</v>
      </c>
      <c r="M2958" s="22"/>
      <c r="N2958" s="17" t="s">
        <v>8228</v>
      </c>
      <c r="O2958" s="7" t="s">
        <v>7066</v>
      </c>
      <c r="P2958" s="7" t="s">
        <v>6406</v>
      </c>
    </row>
    <row r="2959" spans="1:26" ht="28.7" customHeight="1" x14ac:dyDescent="0.3">
      <c r="A2959" s="22" t="s">
        <v>6</v>
      </c>
      <c r="B2959" s="74"/>
      <c r="C2959" s="74"/>
      <c r="D2959" s="74"/>
      <c r="E2959" s="74"/>
      <c r="F2959" s="48">
        <f>J2959+H2959+L2959</f>
        <v>1677387</v>
      </c>
      <c r="G2959" s="74"/>
      <c r="H2959" s="48">
        <f>ROUNDDOWN(SUMIF(P2955:P2958,O2959,H2955:H2958),0)</f>
        <v>1677387</v>
      </c>
      <c r="I2959" s="74"/>
      <c r="J2959" s="48">
        <f>ROUNDDOWN(SUMIF(P2955:P2958,O2959,J2955:J2958),0)</f>
        <v>0</v>
      </c>
      <c r="K2959" s="74"/>
      <c r="L2959" s="48">
        <f>ROUNDDOWN(SUMIF(P2955:P2958,O2959,L2955:L2958),0)</f>
        <v>0</v>
      </c>
      <c r="M2959" s="74"/>
      <c r="O2959" s="7" t="s">
        <v>6406</v>
      </c>
    </row>
    <row r="2960" spans="1:26" ht="28.7" customHeight="1" x14ac:dyDescent="0.3">
      <c r="A2960" s="73"/>
      <c r="B2960" s="73"/>
      <c r="C2960" s="73"/>
      <c r="D2960" s="73"/>
      <c r="E2960" s="73"/>
      <c r="F2960" s="73"/>
      <c r="G2960" s="73"/>
      <c r="H2960" s="73"/>
      <c r="I2960" s="73"/>
      <c r="J2960" s="73"/>
      <c r="K2960" s="73"/>
      <c r="L2960" s="73"/>
      <c r="M2960" s="73"/>
    </row>
    <row r="2961" spans="1:26" ht="28.7" customHeight="1" x14ac:dyDescent="0.3">
      <c r="A2961" s="136" t="s">
        <v>1654</v>
      </c>
      <c r="B2961" s="127"/>
      <c r="C2961" s="127"/>
      <c r="D2961" s="127"/>
      <c r="E2961" s="127"/>
      <c r="F2961" s="127"/>
      <c r="G2961" s="127"/>
      <c r="H2961" s="127"/>
      <c r="I2961" s="127"/>
      <c r="J2961" s="127"/>
      <c r="K2961" s="127"/>
      <c r="L2961" s="144"/>
      <c r="M2961" s="22" t="s">
        <v>8572</v>
      </c>
      <c r="N2961" s="84" t="str">
        <f>HYPERLINK("#N"&amp;ROW(N2965),"_x0005_`BDCOD|B05090_x0007_`POSS|"&amp;ROW(N2962)&amp;"_x0007_`POSE|"&amp;ROW(N2965)&amp;"_x0007_`")</f>
        <v>_x0005_`BDCOD|B05090_x0007_`POSS|2962_x0007_`POSE|2965_x0007_`</v>
      </c>
      <c r="O2961" s="7" t="s">
        <v>8573</v>
      </c>
    </row>
    <row r="2962" spans="1:26" ht="28.7" customHeight="1" x14ac:dyDescent="0.3">
      <c r="A2962" s="10"/>
      <c r="B2962" s="10" t="s">
        <v>8540</v>
      </c>
      <c r="C2962" s="75">
        <v>0</v>
      </c>
      <c r="D2962" s="31"/>
      <c r="E2962" s="33">
        <v>0</v>
      </c>
      <c r="F2962" s="11">
        <v>0</v>
      </c>
      <c r="G2962" s="42"/>
      <c r="H2962" s="11">
        <v>0</v>
      </c>
      <c r="I2962" s="42"/>
      <c r="J2962" s="33">
        <v>0</v>
      </c>
      <c r="K2962" s="46"/>
      <c r="L2962" s="33">
        <v>0</v>
      </c>
      <c r="M2962" s="22" t="s">
        <v>6509</v>
      </c>
      <c r="N2962" s="17" t="s">
        <v>6507</v>
      </c>
      <c r="O2962" s="7" t="s">
        <v>6508</v>
      </c>
      <c r="P2962" s="7" t="s">
        <v>6508</v>
      </c>
    </row>
    <row r="2963" spans="1:26" ht="28.7" customHeight="1" x14ac:dyDescent="0.3">
      <c r="A2963" s="10" t="s">
        <v>840</v>
      </c>
      <c r="B2963" s="10" t="s">
        <v>868</v>
      </c>
      <c r="C2963" s="75">
        <v>1</v>
      </c>
      <c r="D2963" s="31" t="s">
        <v>14</v>
      </c>
      <c r="E2963" s="55">
        <f>I2963+G2963+K2963</f>
        <v>1408681</v>
      </c>
      <c r="F2963" s="76">
        <f>J2963+H2963+L2963</f>
        <v>1408681</v>
      </c>
      <c r="G2963" s="78">
        <f>일위대가목록표!F356</f>
        <v>1408681</v>
      </c>
      <c r="H2963" s="80">
        <f>IF(C2963=0,0,ROUNDDOWN(G2963*C2963,1))</f>
        <v>1408681</v>
      </c>
      <c r="I2963" s="78">
        <f>일위대가목록표!G356</f>
        <v>0</v>
      </c>
      <c r="J2963" s="80">
        <f>IF(C2963=0,0,ROUNDDOWN(I2963*C2963,1))</f>
        <v>0</v>
      </c>
      <c r="K2963" s="78">
        <f>일위대가목록표!H356</f>
        <v>0</v>
      </c>
      <c r="L2963" s="80">
        <f>IF(C2963=0,0,ROUNDDOWN(K2963*C2963,1))</f>
        <v>0</v>
      </c>
      <c r="M2963" s="22" t="s">
        <v>4402</v>
      </c>
      <c r="N2963" s="17" t="s">
        <v>8574</v>
      </c>
      <c r="O2963" s="7" t="s">
        <v>4400</v>
      </c>
      <c r="P2963" s="7" t="s">
        <v>8226</v>
      </c>
      <c r="Q2963" s="7" t="s">
        <v>7061</v>
      </c>
      <c r="Z2963" s="3" t="str">
        <f ca="1">HYPERLINK("#"&amp;일위대가목록표!J2&amp;"!A"&amp;ROW(일위대가목록표!A356),"대가353 →")</f>
        <v>대가353 →</v>
      </c>
    </row>
    <row r="2964" spans="1:26" ht="28.7" customHeight="1" x14ac:dyDescent="0.3">
      <c r="A2964" s="10" t="s">
        <v>8224</v>
      </c>
      <c r="B2964" s="10"/>
      <c r="C2964" s="75">
        <v>0</v>
      </c>
      <c r="D2964" s="31"/>
      <c r="E2964" s="33">
        <v>0</v>
      </c>
      <c r="F2964" s="77">
        <f>J2964+H2964+L2964</f>
        <v>1408681</v>
      </c>
      <c r="G2964" s="42"/>
      <c r="H2964" s="77">
        <f>SUMIF(P2962:P2963,O2964,H2962:H2963)</f>
        <v>1408681</v>
      </c>
      <c r="I2964" s="42"/>
      <c r="J2964" s="76">
        <f>SUMIF(P2962:P2963,O2964,J2962:J2963)</f>
        <v>0</v>
      </c>
      <c r="K2964" s="46"/>
      <c r="L2964" s="76">
        <f>SUMIF(P2962:P2963,O2964,L2962:L2963)</f>
        <v>0</v>
      </c>
      <c r="M2964" s="22"/>
      <c r="N2964" s="17" t="s">
        <v>8225</v>
      </c>
      <c r="O2964" s="7" t="s">
        <v>8226</v>
      </c>
    </row>
    <row r="2965" spans="1:26" ht="28.7" customHeight="1" x14ac:dyDescent="0.3">
      <c r="A2965" s="10" t="s">
        <v>1621</v>
      </c>
      <c r="B2965" s="10" t="s">
        <v>7063</v>
      </c>
      <c r="C2965" s="75">
        <v>135</v>
      </c>
      <c r="D2965" s="31" t="s">
        <v>7064</v>
      </c>
      <c r="E2965" s="55">
        <f>I2965+G2965+K2965</f>
        <v>1408681</v>
      </c>
      <c r="F2965" s="77">
        <f>J2965+H2965+L2965</f>
        <v>1901719.3</v>
      </c>
      <c r="G2965" s="79">
        <f>H2963</f>
        <v>1408681</v>
      </c>
      <c r="H2965" s="77">
        <f>IF(C2965=0,0,ROUNDDOWN(G2965*C2965/100,1))</f>
        <v>1901719.3</v>
      </c>
      <c r="I2965" s="13">
        <v>0</v>
      </c>
      <c r="J2965" s="76">
        <f>IF(C2965=0,0,ROUNDDOWN(I2965*C2965/100,1))</f>
        <v>0</v>
      </c>
      <c r="K2965" s="33">
        <v>0</v>
      </c>
      <c r="L2965" s="76">
        <f>IF(C2965=0,0,ROUNDDOWN(K2965*C2965/100,1))</f>
        <v>0</v>
      </c>
      <c r="M2965" s="22"/>
      <c r="N2965" s="17" t="s">
        <v>8228</v>
      </c>
      <c r="O2965" s="7" t="s">
        <v>7066</v>
      </c>
      <c r="P2965" s="7" t="s">
        <v>6406</v>
      </c>
    </row>
    <row r="2966" spans="1:26" ht="28.7" customHeight="1" x14ac:dyDescent="0.3">
      <c r="A2966" s="22" t="s">
        <v>6</v>
      </c>
      <c r="B2966" s="74"/>
      <c r="C2966" s="74"/>
      <c r="D2966" s="74"/>
      <c r="E2966" s="74"/>
      <c r="F2966" s="48">
        <f>J2966+H2966+L2966</f>
        <v>1901719</v>
      </c>
      <c r="G2966" s="74"/>
      <c r="H2966" s="48">
        <f>ROUNDDOWN(SUMIF(P2962:P2965,O2966,H2962:H2965),0)</f>
        <v>1901719</v>
      </c>
      <c r="I2966" s="74"/>
      <c r="J2966" s="48">
        <f>ROUNDDOWN(SUMIF(P2962:P2965,O2966,J2962:J2965),0)</f>
        <v>0</v>
      </c>
      <c r="K2966" s="74"/>
      <c r="L2966" s="48">
        <f>ROUNDDOWN(SUMIF(P2962:P2965,O2966,L2962:L2965),0)</f>
        <v>0</v>
      </c>
      <c r="M2966" s="74"/>
      <c r="O2966" s="7" t="s">
        <v>6406</v>
      </c>
    </row>
    <row r="2967" spans="1:26" ht="28.7" customHeight="1" x14ac:dyDescent="0.3">
      <c r="A2967" s="73"/>
      <c r="B2967" s="73"/>
      <c r="C2967" s="73"/>
      <c r="D2967" s="73"/>
      <c r="E2967" s="73"/>
      <c r="F2967" s="73"/>
      <c r="G2967" s="73"/>
      <c r="H2967" s="73"/>
      <c r="I2967" s="73"/>
      <c r="J2967" s="73"/>
      <c r="K2967" s="73"/>
      <c r="L2967" s="73"/>
      <c r="M2967" s="73"/>
    </row>
    <row r="2968" spans="1:26" ht="28.7" customHeight="1" x14ac:dyDescent="0.3">
      <c r="A2968" s="136" t="s">
        <v>1657</v>
      </c>
      <c r="B2968" s="127"/>
      <c r="C2968" s="127"/>
      <c r="D2968" s="127"/>
      <c r="E2968" s="127"/>
      <c r="F2968" s="127"/>
      <c r="G2968" s="127"/>
      <c r="H2968" s="127"/>
      <c r="I2968" s="127"/>
      <c r="J2968" s="127"/>
      <c r="K2968" s="127"/>
      <c r="L2968" s="144"/>
      <c r="M2968" s="22" t="s">
        <v>8575</v>
      </c>
      <c r="N2968" s="84" t="str">
        <f>HYPERLINK("#N"&amp;ROW(N2972),"_x0005_`BDCOD|B05091_x0007_`POSS|"&amp;ROW(N2969)&amp;"_x0007_`POSE|"&amp;ROW(N2972)&amp;"_x0007_`")</f>
        <v>_x0005_`BDCOD|B05091_x0007_`POSS|2969_x0007_`POSE|2972_x0007_`</v>
      </c>
      <c r="O2968" s="7" t="s">
        <v>8576</v>
      </c>
    </row>
    <row r="2969" spans="1:26" ht="28.7" customHeight="1" x14ac:dyDescent="0.3">
      <c r="A2969" s="10"/>
      <c r="B2969" s="10" t="s">
        <v>8540</v>
      </c>
      <c r="C2969" s="75">
        <v>0</v>
      </c>
      <c r="D2969" s="31"/>
      <c r="E2969" s="33">
        <v>0</v>
      </c>
      <c r="F2969" s="11">
        <v>0</v>
      </c>
      <c r="G2969" s="42"/>
      <c r="H2969" s="11">
        <v>0</v>
      </c>
      <c r="I2969" s="42"/>
      <c r="J2969" s="33">
        <v>0</v>
      </c>
      <c r="K2969" s="46"/>
      <c r="L2969" s="33">
        <v>0</v>
      </c>
      <c r="M2969" s="22" t="s">
        <v>6509</v>
      </c>
      <c r="N2969" s="17" t="s">
        <v>6507</v>
      </c>
      <c r="O2969" s="7" t="s">
        <v>6508</v>
      </c>
      <c r="P2969" s="7" t="s">
        <v>6508</v>
      </c>
    </row>
    <row r="2970" spans="1:26" ht="28.7" customHeight="1" x14ac:dyDescent="0.3">
      <c r="A2970" s="10" t="s">
        <v>840</v>
      </c>
      <c r="B2970" s="10" t="s">
        <v>871</v>
      </c>
      <c r="C2970" s="75">
        <v>1</v>
      </c>
      <c r="D2970" s="31" t="s">
        <v>14</v>
      </c>
      <c r="E2970" s="55">
        <f>I2970+G2970+K2970</f>
        <v>2013211</v>
      </c>
      <c r="F2970" s="76">
        <f>J2970+H2970+L2970</f>
        <v>2013211</v>
      </c>
      <c r="G2970" s="78">
        <f>일위대가목록표!F357</f>
        <v>2013211</v>
      </c>
      <c r="H2970" s="80">
        <f>IF(C2970=0,0,ROUNDDOWN(G2970*C2970,1))</f>
        <v>2013211</v>
      </c>
      <c r="I2970" s="78">
        <f>일위대가목록표!G357</f>
        <v>0</v>
      </c>
      <c r="J2970" s="80">
        <f>IF(C2970=0,0,ROUNDDOWN(I2970*C2970,1))</f>
        <v>0</v>
      </c>
      <c r="K2970" s="78">
        <f>일위대가목록표!H357</f>
        <v>0</v>
      </c>
      <c r="L2970" s="80">
        <f>IF(C2970=0,0,ROUNDDOWN(K2970*C2970,1))</f>
        <v>0</v>
      </c>
      <c r="M2970" s="22" t="s">
        <v>4405</v>
      </c>
      <c r="N2970" s="17" t="s">
        <v>8577</v>
      </c>
      <c r="O2970" s="7" t="s">
        <v>4403</v>
      </c>
      <c r="P2970" s="7" t="s">
        <v>8226</v>
      </c>
      <c r="Q2970" s="7" t="s">
        <v>7061</v>
      </c>
      <c r="Z2970" s="3" t="str">
        <f ca="1">HYPERLINK("#"&amp;일위대가목록표!J2&amp;"!A"&amp;ROW(일위대가목록표!A357),"대가354 →")</f>
        <v>대가354 →</v>
      </c>
    </row>
    <row r="2971" spans="1:26" ht="28.7" customHeight="1" x14ac:dyDescent="0.3">
      <c r="A2971" s="10" t="s">
        <v>8224</v>
      </c>
      <c r="B2971" s="10"/>
      <c r="C2971" s="75">
        <v>0</v>
      </c>
      <c r="D2971" s="31"/>
      <c r="E2971" s="33">
        <v>0</v>
      </c>
      <c r="F2971" s="77">
        <f>J2971+H2971+L2971</f>
        <v>2013211</v>
      </c>
      <c r="G2971" s="42"/>
      <c r="H2971" s="77">
        <f>SUMIF(P2969:P2970,O2971,H2969:H2970)</f>
        <v>2013211</v>
      </c>
      <c r="I2971" s="42"/>
      <c r="J2971" s="76">
        <f>SUMIF(P2969:P2970,O2971,J2969:J2970)</f>
        <v>0</v>
      </c>
      <c r="K2971" s="46"/>
      <c r="L2971" s="76">
        <f>SUMIF(P2969:P2970,O2971,L2969:L2970)</f>
        <v>0</v>
      </c>
      <c r="M2971" s="22"/>
      <c r="N2971" s="17" t="s">
        <v>8225</v>
      </c>
      <c r="O2971" s="7" t="s">
        <v>8226</v>
      </c>
    </row>
    <row r="2972" spans="1:26" ht="28.7" customHeight="1" x14ac:dyDescent="0.3">
      <c r="A2972" s="10" t="s">
        <v>1621</v>
      </c>
      <c r="B2972" s="10" t="s">
        <v>7063</v>
      </c>
      <c r="C2972" s="75">
        <v>135</v>
      </c>
      <c r="D2972" s="31" t="s">
        <v>7064</v>
      </c>
      <c r="E2972" s="55">
        <f>I2972+G2972+K2972</f>
        <v>2013211</v>
      </c>
      <c r="F2972" s="77">
        <f>J2972+H2972+L2972</f>
        <v>2717834.8</v>
      </c>
      <c r="G2972" s="79">
        <f>H2970</f>
        <v>2013211</v>
      </c>
      <c r="H2972" s="77">
        <f>IF(C2972=0,0,ROUNDDOWN(G2972*C2972/100,1))</f>
        <v>2717834.8</v>
      </c>
      <c r="I2972" s="13">
        <v>0</v>
      </c>
      <c r="J2972" s="76">
        <f>IF(C2972=0,0,ROUNDDOWN(I2972*C2972/100,1))</f>
        <v>0</v>
      </c>
      <c r="K2972" s="33">
        <v>0</v>
      </c>
      <c r="L2972" s="76">
        <f>IF(C2972=0,0,ROUNDDOWN(K2972*C2972/100,1))</f>
        <v>0</v>
      </c>
      <c r="M2972" s="22"/>
      <c r="N2972" s="17" t="s">
        <v>8228</v>
      </c>
      <c r="O2972" s="7" t="s">
        <v>7066</v>
      </c>
      <c r="P2972" s="7" t="s">
        <v>6406</v>
      </c>
    </row>
    <row r="2973" spans="1:26" ht="28.7" customHeight="1" x14ac:dyDescent="0.3">
      <c r="A2973" s="22" t="s">
        <v>6</v>
      </c>
      <c r="B2973" s="74"/>
      <c r="C2973" s="74"/>
      <c r="D2973" s="74"/>
      <c r="E2973" s="74"/>
      <c r="F2973" s="48">
        <f>J2973+H2973+L2973</f>
        <v>2717834</v>
      </c>
      <c r="G2973" s="74"/>
      <c r="H2973" s="48">
        <f>ROUNDDOWN(SUMIF(P2969:P2972,O2973,H2969:H2972),0)</f>
        <v>2717834</v>
      </c>
      <c r="I2973" s="74"/>
      <c r="J2973" s="48">
        <f>ROUNDDOWN(SUMIF(P2969:P2972,O2973,J2969:J2972),0)</f>
        <v>0</v>
      </c>
      <c r="K2973" s="74"/>
      <c r="L2973" s="48">
        <f>ROUNDDOWN(SUMIF(P2969:P2972,O2973,L2969:L2972),0)</f>
        <v>0</v>
      </c>
      <c r="M2973" s="74"/>
      <c r="O2973" s="7" t="s">
        <v>6406</v>
      </c>
    </row>
    <row r="2974" spans="1:26" ht="28.7" customHeight="1" x14ac:dyDescent="0.3">
      <c r="A2974" s="73"/>
      <c r="B2974" s="73"/>
      <c r="C2974" s="73"/>
      <c r="D2974" s="73"/>
      <c r="E2974" s="73"/>
      <c r="F2974" s="73"/>
      <c r="G2974" s="73"/>
      <c r="H2974" s="73"/>
      <c r="I2974" s="73"/>
      <c r="J2974" s="73"/>
      <c r="K2974" s="73"/>
      <c r="L2974" s="73"/>
      <c r="M2974" s="73"/>
    </row>
    <row r="2975" spans="1:26" ht="28.7" customHeight="1" x14ac:dyDescent="0.3">
      <c r="A2975" s="136" t="s">
        <v>1660</v>
      </c>
      <c r="B2975" s="127"/>
      <c r="C2975" s="127"/>
      <c r="D2975" s="127"/>
      <c r="E2975" s="127"/>
      <c r="F2975" s="127"/>
      <c r="G2975" s="127"/>
      <c r="H2975" s="127"/>
      <c r="I2975" s="127"/>
      <c r="J2975" s="127"/>
      <c r="K2975" s="127"/>
      <c r="L2975" s="144"/>
      <c r="M2975" s="22" t="s">
        <v>8578</v>
      </c>
      <c r="N2975" s="84" t="str">
        <f>HYPERLINK("#N"&amp;ROW(N2979),"_x0005_`BDCOD|B05092_x0007_`POSS|"&amp;ROW(N2976)&amp;"_x0007_`POSE|"&amp;ROW(N2979)&amp;"_x0007_`")</f>
        <v>_x0005_`BDCOD|B05092_x0007_`POSS|2976_x0007_`POSE|2979_x0007_`</v>
      </c>
      <c r="O2975" s="7" t="s">
        <v>8579</v>
      </c>
    </row>
    <row r="2976" spans="1:26" ht="28.7" customHeight="1" x14ac:dyDescent="0.3">
      <c r="A2976" s="10"/>
      <c r="B2976" s="10" t="s">
        <v>8540</v>
      </c>
      <c r="C2976" s="75">
        <v>0</v>
      </c>
      <c r="D2976" s="31"/>
      <c r="E2976" s="33">
        <v>0</v>
      </c>
      <c r="F2976" s="11">
        <v>0</v>
      </c>
      <c r="G2976" s="42"/>
      <c r="H2976" s="11">
        <v>0</v>
      </c>
      <c r="I2976" s="42"/>
      <c r="J2976" s="33">
        <v>0</v>
      </c>
      <c r="K2976" s="46"/>
      <c r="L2976" s="33">
        <v>0</v>
      </c>
      <c r="M2976" s="22" t="s">
        <v>6509</v>
      </c>
      <c r="N2976" s="17" t="s">
        <v>6507</v>
      </c>
      <c r="O2976" s="7" t="s">
        <v>6508</v>
      </c>
      <c r="P2976" s="7" t="s">
        <v>6508</v>
      </c>
    </row>
    <row r="2977" spans="1:26" ht="28.7" customHeight="1" x14ac:dyDescent="0.3">
      <c r="A2977" s="10" t="s">
        <v>840</v>
      </c>
      <c r="B2977" s="10" t="s">
        <v>874</v>
      </c>
      <c r="C2977" s="75">
        <v>1</v>
      </c>
      <c r="D2977" s="31" t="s">
        <v>14</v>
      </c>
      <c r="E2977" s="55">
        <f>I2977+G2977+K2977</f>
        <v>2613964</v>
      </c>
      <c r="F2977" s="76">
        <f>J2977+H2977+L2977</f>
        <v>2613964</v>
      </c>
      <c r="G2977" s="78">
        <f>일위대가목록표!F358</f>
        <v>2613964</v>
      </c>
      <c r="H2977" s="80">
        <f>IF(C2977=0,0,ROUNDDOWN(G2977*C2977,1))</f>
        <v>2613964</v>
      </c>
      <c r="I2977" s="78">
        <f>일위대가목록표!G358</f>
        <v>0</v>
      </c>
      <c r="J2977" s="80">
        <f>IF(C2977=0,0,ROUNDDOWN(I2977*C2977,1))</f>
        <v>0</v>
      </c>
      <c r="K2977" s="78">
        <f>일위대가목록표!H358</f>
        <v>0</v>
      </c>
      <c r="L2977" s="80">
        <f>IF(C2977=0,0,ROUNDDOWN(K2977*C2977,1))</f>
        <v>0</v>
      </c>
      <c r="M2977" s="22" t="s">
        <v>4408</v>
      </c>
      <c r="N2977" s="17" t="s">
        <v>8580</v>
      </c>
      <c r="O2977" s="7" t="s">
        <v>4406</v>
      </c>
      <c r="P2977" s="7" t="s">
        <v>8226</v>
      </c>
      <c r="Q2977" s="7" t="s">
        <v>7061</v>
      </c>
      <c r="Z2977" s="3" t="str">
        <f ca="1">HYPERLINK("#"&amp;일위대가목록표!J2&amp;"!A"&amp;ROW(일위대가목록표!A358),"대가355 →")</f>
        <v>대가355 →</v>
      </c>
    </row>
    <row r="2978" spans="1:26" ht="28.7" customHeight="1" x14ac:dyDescent="0.3">
      <c r="A2978" s="10" t="s">
        <v>8224</v>
      </c>
      <c r="B2978" s="10"/>
      <c r="C2978" s="75">
        <v>0</v>
      </c>
      <c r="D2978" s="31"/>
      <c r="E2978" s="33">
        <v>0</v>
      </c>
      <c r="F2978" s="77">
        <f>J2978+H2978+L2978</f>
        <v>2613964</v>
      </c>
      <c r="G2978" s="42"/>
      <c r="H2978" s="77">
        <f>SUMIF(P2976:P2977,O2978,H2976:H2977)</f>
        <v>2613964</v>
      </c>
      <c r="I2978" s="42"/>
      <c r="J2978" s="76">
        <f>SUMIF(P2976:P2977,O2978,J2976:J2977)</f>
        <v>0</v>
      </c>
      <c r="K2978" s="46"/>
      <c r="L2978" s="76">
        <f>SUMIF(P2976:P2977,O2978,L2976:L2977)</f>
        <v>0</v>
      </c>
      <c r="M2978" s="22"/>
      <c r="N2978" s="17" t="s">
        <v>8225</v>
      </c>
      <c r="O2978" s="7" t="s">
        <v>8226</v>
      </c>
    </row>
    <row r="2979" spans="1:26" ht="28.7" customHeight="1" x14ac:dyDescent="0.3">
      <c r="A2979" s="10" t="s">
        <v>1621</v>
      </c>
      <c r="B2979" s="10" t="s">
        <v>7063</v>
      </c>
      <c r="C2979" s="75">
        <v>135</v>
      </c>
      <c r="D2979" s="31" t="s">
        <v>7064</v>
      </c>
      <c r="E2979" s="55">
        <f>I2979+G2979+K2979</f>
        <v>2613964</v>
      </c>
      <c r="F2979" s="77">
        <f>J2979+H2979+L2979</f>
        <v>3528851.4</v>
      </c>
      <c r="G2979" s="79">
        <f>H2977</f>
        <v>2613964</v>
      </c>
      <c r="H2979" s="77">
        <f>IF(C2979=0,0,ROUNDDOWN(G2979*C2979/100,1))</f>
        <v>3528851.4</v>
      </c>
      <c r="I2979" s="13">
        <v>0</v>
      </c>
      <c r="J2979" s="76">
        <f>IF(C2979=0,0,ROUNDDOWN(I2979*C2979/100,1))</f>
        <v>0</v>
      </c>
      <c r="K2979" s="33">
        <v>0</v>
      </c>
      <c r="L2979" s="76">
        <f>IF(C2979=0,0,ROUNDDOWN(K2979*C2979/100,1))</f>
        <v>0</v>
      </c>
      <c r="M2979" s="22"/>
      <c r="N2979" s="17" t="s">
        <v>8228</v>
      </c>
      <c r="O2979" s="7" t="s">
        <v>7066</v>
      </c>
      <c r="P2979" s="7" t="s">
        <v>6406</v>
      </c>
    </row>
    <row r="2980" spans="1:26" ht="28.7" customHeight="1" x14ac:dyDescent="0.3">
      <c r="A2980" s="22" t="s">
        <v>6</v>
      </c>
      <c r="B2980" s="74"/>
      <c r="C2980" s="74"/>
      <c r="D2980" s="74"/>
      <c r="E2980" s="74"/>
      <c r="F2980" s="48">
        <f>J2980+H2980+L2980</f>
        <v>3528851</v>
      </c>
      <c r="G2980" s="74"/>
      <c r="H2980" s="48">
        <f>ROUNDDOWN(SUMIF(P2976:P2979,O2980,H2976:H2979),0)</f>
        <v>3528851</v>
      </c>
      <c r="I2980" s="74"/>
      <c r="J2980" s="48">
        <f>ROUNDDOWN(SUMIF(P2976:P2979,O2980,J2976:J2979),0)</f>
        <v>0</v>
      </c>
      <c r="K2980" s="74"/>
      <c r="L2980" s="48">
        <f>ROUNDDOWN(SUMIF(P2976:P2979,O2980,L2976:L2979),0)</f>
        <v>0</v>
      </c>
      <c r="M2980" s="74"/>
      <c r="O2980" s="7" t="s">
        <v>6406</v>
      </c>
    </row>
    <row r="2981" spans="1:26" ht="28.7" customHeight="1" x14ac:dyDescent="0.3">
      <c r="A2981" s="73"/>
      <c r="B2981" s="73"/>
      <c r="C2981" s="73"/>
      <c r="D2981" s="73"/>
      <c r="E2981" s="73"/>
      <c r="F2981" s="73"/>
      <c r="G2981" s="73"/>
      <c r="H2981" s="73"/>
      <c r="I2981" s="73"/>
      <c r="J2981" s="73"/>
      <c r="K2981" s="73"/>
      <c r="L2981" s="73"/>
      <c r="M2981" s="73"/>
    </row>
    <row r="2982" spans="1:26" ht="28.7" customHeight="1" x14ac:dyDescent="0.3">
      <c r="A2982" s="136" t="s">
        <v>1663</v>
      </c>
      <c r="B2982" s="127"/>
      <c r="C2982" s="127"/>
      <c r="D2982" s="127"/>
      <c r="E2982" s="127"/>
      <c r="F2982" s="127"/>
      <c r="G2982" s="127"/>
      <c r="H2982" s="127"/>
      <c r="I2982" s="127"/>
      <c r="J2982" s="127"/>
      <c r="K2982" s="127"/>
      <c r="L2982" s="144"/>
      <c r="M2982" s="22" t="s">
        <v>8581</v>
      </c>
      <c r="N2982" s="84" t="str">
        <f>HYPERLINK("#N"&amp;ROW(N2985),"_x0005_`BDCOD|B04893_x0007_`POSS|"&amp;ROW(N2983)&amp;"_x0007_`POSE|"&amp;ROW(N2985)&amp;"_x0007_`")</f>
        <v>_x0005_`BDCOD|B04893_x0007_`POSS|2983_x0007_`POSE|2985_x0007_`</v>
      </c>
      <c r="O2982" s="7" t="s">
        <v>8582</v>
      </c>
    </row>
    <row r="2983" spans="1:26" ht="28.7" customHeight="1" x14ac:dyDescent="0.3">
      <c r="A2983" s="10"/>
      <c r="B2983" s="10" t="s">
        <v>8583</v>
      </c>
      <c r="C2983" s="75">
        <v>0</v>
      </c>
      <c r="D2983" s="31"/>
      <c r="E2983" s="33">
        <v>0</v>
      </c>
      <c r="F2983" s="11">
        <v>0</v>
      </c>
      <c r="G2983" s="42"/>
      <c r="H2983" s="11">
        <v>0</v>
      </c>
      <c r="I2983" s="42"/>
      <c r="J2983" s="33">
        <v>0</v>
      </c>
      <c r="K2983" s="46"/>
      <c r="L2983" s="33">
        <v>0</v>
      </c>
      <c r="M2983" s="22" t="s">
        <v>6509</v>
      </c>
      <c r="N2983" s="17" t="s">
        <v>6507</v>
      </c>
      <c r="O2983" s="7" t="s">
        <v>6508</v>
      </c>
      <c r="P2983" s="7" t="s">
        <v>6508</v>
      </c>
    </row>
    <row r="2984" spans="1:26" ht="28.7" customHeight="1" x14ac:dyDescent="0.3">
      <c r="A2984" s="10" t="s">
        <v>3084</v>
      </c>
      <c r="B2984" s="10"/>
      <c r="C2984" s="75">
        <v>0.62</v>
      </c>
      <c r="D2984" s="31" t="s">
        <v>3074</v>
      </c>
      <c r="E2984" s="55">
        <f>I2984+G2984+K2984</f>
        <v>273676</v>
      </c>
      <c r="F2984" s="76">
        <f>J2984+H2984+L2984</f>
        <v>169679.1</v>
      </c>
      <c r="G2984" s="78">
        <f>노무비목록표!E9</f>
        <v>273676</v>
      </c>
      <c r="H2984" s="81">
        <f>IF(C2984=0,0,ROUNDDOWN(G2984*C2984,1))</f>
        <v>169679.1</v>
      </c>
      <c r="I2984" s="51">
        <v>0</v>
      </c>
      <c r="J2984" s="77">
        <f>IF(C2984=0,0,ROUNDDOWN(I2984*C2984,1))</f>
        <v>0</v>
      </c>
      <c r="K2984" s="51">
        <v>0</v>
      </c>
      <c r="L2984" s="76">
        <f>IF(C2984=0,0,ROUNDDOWN(K2984*C2984,1))</f>
        <v>0</v>
      </c>
      <c r="M2984" s="22" t="s">
        <v>8586</v>
      </c>
      <c r="N2984" s="17" t="s">
        <v>8584</v>
      </c>
      <c r="O2984" s="7" t="s">
        <v>8585</v>
      </c>
      <c r="P2984" s="7" t="s">
        <v>6406</v>
      </c>
      <c r="Z2984" s="3" t="str">
        <f ca="1">HYPERLINK("#"&amp;노무비목록표!G2&amp;"!A"&amp;ROW(노무비목록표!A9),"노무6 →")</f>
        <v>노무6 →</v>
      </c>
    </row>
    <row r="2985" spans="1:26" ht="28.7" customHeight="1" x14ac:dyDescent="0.3">
      <c r="A2985" s="10" t="s">
        <v>3081</v>
      </c>
      <c r="B2985" s="10"/>
      <c r="C2985" s="75">
        <v>0.44</v>
      </c>
      <c r="D2985" s="31" t="s">
        <v>3074</v>
      </c>
      <c r="E2985" s="55">
        <f>I2985+G2985+K2985</f>
        <v>241698</v>
      </c>
      <c r="F2985" s="76">
        <f>J2985+H2985+L2985</f>
        <v>106347.1</v>
      </c>
      <c r="G2985" s="78">
        <f>노무비목록표!E7</f>
        <v>241698</v>
      </c>
      <c r="H2985" s="81">
        <f>IF(C2985=0,0,ROUNDDOWN(G2985*C2985,1))</f>
        <v>106347.1</v>
      </c>
      <c r="I2985" s="51">
        <v>0</v>
      </c>
      <c r="J2985" s="77">
        <f>IF(C2985=0,0,ROUNDDOWN(I2985*C2985,1))</f>
        <v>0</v>
      </c>
      <c r="K2985" s="51">
        <v>0</v>
      </c>
      <c r="L2985" s="76">
        <f>IF(C2985=0,0,ROUNDDOWN(K2985*C2985,1))</f>
        <v>0</v>
      </c>
      <c r="M2985" s="22" t="s">
        <v>8449</v>
      </c>
      <c r="N2985" s="17" t="s">
        <v>8587</v>
      </c>
      <c r="O2985" s="7" t="s">
        <v>8448</v>
      </c>
      <c r="P2985" s="7" t="s">
        <v>6406</v>
      </c>
      <c r="Z2985" s="3" t="str">
        <f ca="1">HYPERLINK("#"&amp;노무비목록표!G2&amp;"!A"&amp;ROW(노무비목록표!A7),"노무4 →")</f>
        <v>노무4 →</v>
      </c>
    </row>
    <row r="2986" spans="1:26" ht="28.7" customHeight="1" x14ac:dyDescent="0.3">
      <c r="A2986" s="22" t="s">
        <v>6</v>
      </c>
      <c r="B2986" s="74"/>
      <c r="C2986" s="74"/>
      <c r="D2986" s="74"/>
      <c r="E2986" s="74"/>
      <c r="F2986" s="48">
        <f>J2986+H2986+L2986</f>
        <v>276026</v>
      </c>
      <c r="G2986" s="74"/>
      <c r="H2986" s="48">
        <f>ROUNDDOWN(SUMIF(P2983:P2985,O2986,H2983:H2985),0)</f>
        <v>276026</v>
      </c>
      <c r="I2986" s="74"/>
      <c r="J2986" s="48">
        <f>ROUNDDOWN(SUMIF(P2983:P2985,O2986,J2983:J2985),0)</f>
        <v>0</v>
      </c>
      <c r="K2986" s="74"/>
      <c r="L2986" s="48">
        <f>ROUNDDOWN(SUMIF(P2983:P2985,O2986,L2983:L2985),0)</f>
        <v>0</v>
      </c>
      <c r="M2986" s="74"/>
      <c r="O2986" s="7" t="s">
        <v>6406</v>
      </c>
    </row>
    <row r="2987" spans="1:26" ht="28.7" customHeight="1" x14ac:dyDescent="0.3">
      <c r="A2987" s="73"/>
      <c r="B2987" s="73"/>
      <c r="C2987" s="73"/>
      <c r="D2987" s="73"/>
      <c r="E2987" s="73"/>
      <c r="F2987" s="73"/>
      <c r="G2987" s="73"/>
      <c r="H2987" s="73"/>
      <c r="I2987" s="73"/>
      <c r="J2987" s="73"/>
      <c r="K2987" s="73"/>
      <c r="L2987" s="73"/>
      <c r="M2987" s="73"/>
    </row>
    <row r="2988" spans="1:26" ht="28.7" customHeight="1" x14ac:dyDescent="0.3">
      <c r="A2988" s="136" t="s">
        <v>1666</v>
      </c>
      <c r="B2988" s="127"/>
      <c r="C2988" s="127"/>
      <c r="D2988" s="127"/>
      <c r="E2988" s="127"/>
      <c r="F2988" s="127"/>
      <c r="G2988" s="127"/>
      <c r="H2988" s="127"/>
      <c r="I2988" s="127"/>
      <c r="J2988" s="127"/>
      <c r="K2988" s="127"/>
      <c r="L2988" s="144"/>
      <c r="M2988" s="22" t="s">
        <v>8588</v>
      </c>
      <c r="N2988" s="84" t="str">
        <f>HYPERLINK("#N"&amp;ROW(N2989),"_x0005_`BDCOD|B04894_x0007_`POSS|"&amp;ROW(N2989)&amp;"_x0007_`POSE|"&amp;ROW(N2989)&amp;"_x0007_`")</f>
        <v>_x0005_`BDCOD|B04894_x0007_`POSS|2989_x0007_`POSE|2989_x0007_`</v>
      </c>
      <c r="O2988" s="7" t="s">
        <v>8589</v>
      </c>
    </row>
    <row r="2989" spans="1:26" ht="28.7" customHeight="1" x14ac:dyDescent="0.3">
      <c r="A2989" s="10" t="s">
        <v>3076</v>
      </c>
      <c r="B2989" s="10"/>
      <c r="C2989" s="75">
        <v>1</v>
      </c>
      <c r="D2989" s="31" t="s">
        <v>3074</v>
      </c>
      <c r="E2989" s="55">
        <f>I2989+G2989+K2989</f>
        <v>319449</v>
      </c>
      <c r="F2989" s="76">
        <f>J2989+H2989+L2989</f>
        <v>319449</v>
      </c>
      <c r="G2989" s="78">
        <f>노무비목록표!E5</f>
        <v>319449</v>
      </c>
      <c r="H2989" s="81">
        <f>IF(C2989=0,0,ROUNDDOWN(G2989*C2989,1))</f>
        <v>319449</v>
      </c>
      <c r="I2989" s="51">
        <v>0</v>
      </c>
      <c r="J2989" s="77">
        <f>IF(C2989=0,0,ROUNDDOWN(I2989*C2989,1))</f>
        <v>0</v>
      </c>
      <c r="K2989" s="51">
        <v>0</v>
      </c>
      <c r="L2989" s="76">
        <f>IF(C2989=0,0,ROUNDDOWN(K2989*C2989,1))</f>
        <v>0</v>
      </c>
      <c r="M2989" s="22" t="s">
        <v>8592</v>
      </c>
      <c r="N2989" s="17" t="s">
        <v>8590</v>
      </c>
      <c r="O2989" s="7" t="s">
        <v>8591</v>
      </c>
      <c r="P2989" s="7" t="s">
        <v>6406</v>
      </c>
      <c r="Z2989" s="3" t="str">
        <f ca="1">HYPERLINK("#"&amp;노무비목록표!G2&amp;"!A"&amp;ROW(노무비목록표!A5),"노무2 →")</f>
        <v>노무2 →</v>
      </c>
    </row>
    <row r="2990" spans="1:26" ht="28.7" customHeight="1" x14ac:dyDescent="0.3">
      <c r="A2990" s="22" t="s">
        <v>6</v>
      </c>
      <c r="B2990" s="74"/>
      <c r="C2990" s="74"/>
      <c r="D2990" s="74"/>
      <c r="E2990" s="74"/>
      <c r="F2990" s="48">
        <f>J2990+H2990+L2990</f>
        <v>319449</v>
      </c>
      <c r="G2990" s="74"/>
      <c r="H2990" s="48">
        <f>ROUNDDOWN(SUMIF(P2989:P2989,O2990,H2989:H2989),0)</f>
        <v>319449</v>
      </c>
      <c r="I2990" s="74"/>
      <c r="J2990" s="48">
        <f>ROUNDDOWN(SUMIF(P2989:P2989,O2990,J2989:J2989),0)</f>
        <v>0</v>
      </c>
      <c r="K2990" s="74"/>
      <c r="L2990" s="48">
        <f>ROUNDDOWN(SUMIF(P2989:P2989,O2990,L2989:L2989),0)</f>
        <v>0</v>
      </c>
      <c r="M2990" s="74"/>
      <c r="O2990" s="7" t="s">
        <v>6406</v>
      </c>
    </row>
    <row r="2991" spans="1:26" ht="28.7" customHeight="1" x14ac:dyDescent="0.3">
      <c r="A2991" s="73"/>
      <c r="B2991" s="73"/>
      <c r="C2991" s="73"/>
      <c r="D2991" s="73"/>
      <c r="E2991" s="73"/>
      <c r="F2991" s="73"/>
      <c r="G2991" s="73"/>
      <c r="H2991" s="73"/>
      <c r="I2991" s="73"/>
      <c r="J2991" s="73"/>
      <c r="K2991" s="73"/>
      <c r="L2991" s="73"/>
      <c r="M2991" s="73"/>
    </row>
    <row r="2992" spans="1:26" ht="28.7" customHeight="1" x14ac:dyDescent="0.3">
      <c r="A2992" s="136" t="s">
        <v>1669</v>
      </c>
      <c r="B2992" s="127"/>
      <c r="C2992" s="127"/>
      <c r="D2992" s="127"/>
      <c r="E2992" s="127"/>
      <c r="F2992" s="127"/>
      <c r="G2992" s="127"/>
      <c r="H2992" s="127"/>
      <c r="I2992" s="127"/>
      <c r="J2992" s="127"/>
      <c r="K2992" s="127"/>
      <c r="L2992" s="144"/>
      <c r="M2992" s="22" t="s">
        <v>8593</v>
      </c>
      <c r="N2992" s="84" t="str">
        <f>HYPERLINK("#N"&amp;ROW(N2993),"_x0005_`BDCOD|B04895_x0007_`POSS|"&amp;ROW(N2993)&amp;"_x0007_`POSE|"&amp;ROW(N2993)&amp;"_x0007_`")</f>
        <v>_x0005_`BDCOD|B04895_x0007_`POSS|2993_x0007_`POSE|2993_x0007_`</v>
      </c>
      <c r="O2992" s="7" t="s">
        <v>8594</v>
      </c>
    </row>
    <row r="2993" spans="1:26" ht="28.7" customHeight="1" x14ac:dyDescent="0.3">
      <c r="A2993" s="10" t="s">
        <v>3076</v>
      </c>
      <c r="B2993" s="10"/>
      <c r="C2993" s="75">
        <v>0.5</v>
      </c>
      <c r="D2993" s="31" t="s">
        <v>3074</v>
      </c>
      <c r="E2993" s="55">
        <f>I2993+G2993+K2993</f>
        <v>319449</v>
      </c>
      <c r="F2993" s="76">
        <f>J2993+H2993+L2993</f>
        <v>159724.5</v>
      </c>
      <c r="G2993" s="78">
        <f>노무비목록표!E5</f>
        <v>319449</v>
      </c>
      <c r="H2993" s="81">
        <f>IF(C2993=0,0,ROUNDDOWN(G2993*C2993,1))</f>
        <v>159724.5</v>
      </c>
      <c r="I2993" s="51">
        <v>0</v>
      </c>
      <c r="J2993" s="77">
        <f>IF(C2993=0,0,ROUNDDOWN(I2993*C2993,1))</f>
        <v>0</v>
      </c>
      <c r="K2993" s="51">
        <v>0</v>
      </c>
      <c r="L2993" s="76">
        <f>IF(C2993=0,0,ROUNDDOWN(K2993*C2993,1))</f>
        <v>0</v>
      </c>
      <c r="M2993" s="22" t="s">
        <v>8592</v>
      </c>
      <c r="N2993" s="17" t="s">
        <v>8590</v>
      </c>
      <c r="O2993" s="7" t="s">
        <v>8591</v>
      </c>
      <c r="P2993" s="7" t="s">
        <v>6406</v>
      </c>
      <c r="Z2993" s="3" t="str">
        <f ca="1">HYPERLINK("#"&amp;노무비목록표!G2&amp;"!A"&amp;ROW(노무비목록표!A5),"노무2 →")</f>
        <v>노무2 →</v>
      </c>
    </row>
    <row r="2994" spans="1:26" ht="28.7" customHeight="1" x14ac:dyDescent="0.3">
      <c r="A2994" s="22" t="s">
        <v>6</v>
      </c>
      <c r="B2994" s="74"/>
      <c r="C2994" s="74"/>
      <c r="D2994" s="74"/>
      <c r="E2994" s="74"/>
      <c r="F2994" s="48">
        <f>J2994+H2994+L2994</f>
        <v>159724</v>
      </c>
      <c r="G2994" s="74"/>
      <c r="H2994" s="48">
        <f>ROUNDDOWN(SUMIF(P2993:P2993,O2994,H2993:H2993),0)</f>
        <v>159724</v>
      </c>
      <c r="I2994" s="74"/>
      <c r="J2994" s="48">
        <f>ROUNDDOWN(SUMIF(P2993:P2993,O2994,J2993:J2993),0)</f>
        <v>0</v>
      </c>
      <c r="K2994" s="74"/>
      <c r="L2994" s="48">
        <f>ROUNDDOWN(SUMIF(P2993:P2993,O2994,L2993:L2993),0)</f>
        <v>0</v>
      </c>
      <c r="M2994" s="74"/>
      <c r="O2994" s="7" t="s">
        <v>6406</v>
      </c>
    </row>
    <row r="2995" spans="1:26" ht="28.7" customHeight="1" x14ac:dyDescent="0.3">
      <c r="A2995" s="73"/>
      <c r="B2995" s="73"/>
      <c r="C2995" s="73"/>
      <c r="D2995" s="73"/>
      <c r="E2995" s="73"/>
      <c r="F2995" s="73"/>
      <c r="G2995" s="73"/>
      <c r="H2995" s="73"/>
      <c r="I2995" s="73"/>
      <c r="J2995" s="73"/>
      <c r="K2995" s="73"/>
      <c r="L2995" s="73"/>
      <c r="M2995" s="73"/>
    </row>
    <row r="2996" spans="1:26" ht="28.7" customHeight="1" x14ac:dyDescent="0.3">
      <c r="A2996" s="136" t="s">
        <v>1672</v>
      </c>
      <c r="B2996" s="127"/>
      <c r="C2996" s="127"/>
      <c r="D2996" s="127"/>
      <c r="E2996" s="127"/>
      <c r="F2996" s="127"/>
      <c r="G2996" s="127"/>
      <c r="H2996" s="127"/>
      <c r="I2996" s="127"/>
      <c r="J2996" s="127"/>
      <c r="K2996" s="127"/>
      <c r="L2996" s="144"/>
      <c r="M2996" s="22" t="s">
        <v>8595</v>
      </c>
      <c r="N2996" s="84" t="str">
        <f>HYPERLINK("#N"&amp;ROW(N2998),"_x0005_`BDCOD|B00700_x0007_`POSS|"&amp;ROW(N2997)&amp;"_x0007_`POSE|"&amp;ROW(N2998)&amp;"_x0007_`")</f>
        <v>_x0005_`BDCOD|B00700_x0007_`POSS|2997_x0007_`POSE|2998_x0007_`</v>
      </c>
      <c r="O2996" s="7" t="s">
        <v>8596</v>
      </c>
    </row>
    <row r="2997" spans="1:26" ht="28.7" customHeight="1" x14ac:dyDescent="0.3">
      <c r="A2997" s="10"/>
      <c r="B2997" s="10" t="s">
        <v>8597</v>
      </c>
      <c r="C2997" s="75">
        <v>0</v>
      </c>
      <c r="D2997" s="31"/>
      <c r="E2997" s="33">
        <v>0</v>
      </c>
      <c r="F2997" s="11">
        <v>0</v>
      </c>
      <c r="G2997" s="42"/>
      <c r="H2997" s="11">
        <v>0</v>
      </c>
      <c r="I2997" s="42"/>
      <c r="J2997" s="33">
        <v>0</v>
      </c>
      <c r="K2997" s="46"/>
      <c r="L2997" s="33">
        <v>0</v>
      </c>
      <c r="M2997" s="22" t="s">
        <v>6509</v>
      </c>
      <c r="N2997" s="17" t="s">
        <v>6507</v>
      </c>
      <c r="O2997" s="7" t="s">
        <v>6508</v>
      </c>
      <c r="P2997" s="7" t="s">
        <v>6508</v>
      </c>
    </row>
    <row r="2998" spans="1:26" ht="28.7" customHeight="1" x14ac:dyDescent="0.3">
      <c r="A2998" s="10" t="s">
        <v>2007</v>
      </c>
      <c r="B2998" s="10" t="s">
        <v>2008</v>
      </c>
      <c r="C2998" s="75">
        <v>1</v>
      </c>
      <c r="D2998" s="31" t="s">
        <v>1676</v>
      </c>
      <c r="E2998" s="55">
        <f>I2998+G2998+K2998</f>
        <v>776</v>
      </c>
      <c r="F2998" s="76">
        <f>J2998+H2998+L2998</f>
        <v>776</v>
      </c>
      <c r="G2998" s="78">
        <f>단가산출근거목록표!F15</f>
        <v>776</v>
      </c>
      <c r="H2998" s="80">
        <f>IF(C2998=0,0,ROUNDDOWN(G2998*C2998,1))</f>
        <v>776</v>
      </c>
      <c r="I2998" s="78">
        <f>단가산출근거목록표!G15</f>
        <v>0</v>
      </c>
      <c r="J2998" s="80">
        <f>IF(C2998=0,0,ROUNDDOWN(I2998*C2998,1))</f>
        <v>0</v>
      </c>
      <c r="K2998" s="78">
        <f>단가산출근거목록표!H15</f>
        <v>0</v>
      </c>
      <c r="L2998" s="80">
        <f>IF(C2998=0,0,ROUNDDOWN(K2998*C2998,1))</f>
        <v>0</v>
      </c>
      <c r="M2998" s="22" t="s">
        <v>8600</v>
      </c>
      <c r="N2998" s="17" t="s">
        <v>8598</v>
      </c>
      <c r="O2998" s="7" t="s">
        <v>8599</v>
      </c>
      <c r="P2998" s="7" t="s">
        <v>6406</v>
      </c>
      <c r="Z2998" s="3" t="str">
        <f ca="1">HYPERLINK("#"&amp;단가산출근거목록표!J2&amp;"!A"&amp;ROW(단가산출근거목록표!A15),"산근12 →")</f>
        <v>산근12 →</v>
      </c>
    </row>
    <row r="2999" spans="1:26" ht="28.7" customHeight="1" x14ac:dyDescent="0.3">
      <c r="A2999" s="22" t="s">
        <v>6</v>
      </c>
      <c r="B2999" s="74"/>
      <c r="C2999" s="74"/>
      <c r="D2999" s="74"/>
      <c r="E2999" s="74"/>
      <c r="F2999" s="48">
        <f>J2999+H2999+L2999</f>
        <v>776</v>
      </c>
      <c r="G2999" s="74"/>
      <c r="H2999" s="48">
        <f>ROUNDDOWN(SUMIF(P2997:P2998,O2999,H2997:H2998),0)</f>
        <v>776</v>
      </c>
      <c r="I2999" s="74"/>
      <c r="J2999" s="48">
        <f>ROUNDDOWN(SUMIF(P2997:P2998,O2999,J2997:J2998),0)</f>
        <v>0</v>
      </c>
      <c r="K2999" s="74"/>
      <c r="L2999" s="48">
        <f>ROUNDDOWN(SUMIF(P2997:P2998,O2999,L2997:L2998),0)</f>
        <v>0</v>
      </c>
      <c r="M2999" s="74"/>
      <c r="O2999" s="7" t="s">
        <v>6406</v>
      </c>
    </row>
    <row r="3000" spans="1:26" ht="28.7" customHeight="1" x14ac:dyDescent="0.3">
      <c r="A3000" s="73"/>
      <c r="B3000" s="73"/>
      <c r="C3000" s="73"/>
      <c r="D3000" s="73"/>
      <c r="E3000" s="73"/>
      <c r="F3000" s="73"/>
      <c r="G3000" s="73"/>
      <c r="H3000" s="73"/>
      <c r="I3000" s="73"/>
      <c r="J3000" s="73"/>
      <c r="K3000" s="73"/>
      <c r="L3000" s="73"/>
      <c r="M3000" s="73"/>
    </row>
    <row r="3001" spans="1:26" ht="28.7" customHeight="1" x14ac:dyDescent="0.3">
      <c r="A3001" s="136" t="s">
        <v>1677</v>
      </c>
      <c r="B3001" s="127"/>
      <c r="C3001" s="127"/>
      <c r="D3001" s="127"/>
      <c r="E3001" s="127"/>
      <c r="F3001" s="127"/>
      <c r="G3001" s="127"/>
      <c r="H3001" s="127"/>
      <c r="I3001" s="127"/>
      <c r="J3001" s="127"/>
      <c r="K3001" s="127"/>
      <c r="L3001" s="144"/>
      <c r="M3001" s="22" t="s">
        <v>8601</v>
      </c>
      <c r="N3001" s="84" t="str">
        <f>HYPERLINK("#N"&amp;ROW(N3003),"_x0005_`BDCOD|B03778_x0007_`POSS|"&amp;ROW(N3002)&amp;"_x0007_`POSE|"&amp;ROW(N3003)&amp;"_x0007_`")</f>
        <v>_x0005_`BDCOD|B03778_x0007_`POSS|3002_x0007_`POSE|3003_x0007_`</v>
      </c>
      <c r="O3001" s="7" t="s">
        <v>8602</v>
      </c>
    </row>
    <row r="3002" spans="1:26" ht="28.7" customHeight="1" x14ac:dyDescent="0.3">
      <c r="A3002" s="10"/>
      <c r="B3002" s="10" t="s">
        <v>8603</v>
      </c>
      <c r="C3002" s="75">
        <v>0</v>
      </c>
      <c r="D3002" s="31"/>
      <c r="E3002" s="33">
        <v>0</v>
      </c>
      <c r="F3002" s="11">
        <v>0</v>
      </c>
      <c r="G3002" s="42"/>
      <c r="H3002" s="11">
        <v>0</v>
      </c>
      <c r="I3002" s="42"/>
      <c r="J3002" s="33">
        <v>0</v>
      </c>
      <c r="K3002" s="46"/>
      <c r="L3002" s="33">
        <v>0</v>
      </c>
      <c r="M3002" s="22" t="s">
        <v>6509</v>
      </c>
      <c r="N3002" s="17" t="s">
        <v>6507</v>
      </c>
      <c r="O3002" s="7" t="s">
        <v>6508</v>
      </c>
      <c r="P3002" s="7" t="s">
        <v>6508</v>
      </c>
    </row>
    <row r="3003" spans="1:26" ht="28.7" customHeight="1" x14ac:dyDescent="0.3">
      <c r="A3003" s="10" t="s">
        <v>2007</v>
      </c>
      <c r="B3003" s="10" t="s">
        <v>2010</v>
      </c>
      <c r="C3003" s="75">
        <v>1</v>
      </c>
      <c r="D3003" s="31" t="s">
        <v>1676</v>
      </c>
      <c r="E3003" s="55">
        <f>I3003+G3003+K3003</f>
        <v>1086</v>
      </c>
      <c r="F3003" s="76">
        <f>J3003+H3003+L3003</f>
        <v>1086</v>
      </c>
      <c r="G3003" s="78">
        <f>단가산출근거목록표!F16</f>
        <v>1086</v>
      </c>
      <c r="H3003" s="80">
        <f>IF(C3003=0,0,ROUNDDOWN(G3003*C3003,1))</f>
        <v>1086</v>
      </c>
      <c r="I3003" s="78">
        <f>단가산출근거목록표!G16</f>
        <v>0</v>
      </c>
      <c r="J3003" s="80">
        <f>IF(C3003=0,0,ROUNDDOWN(I3003*C3003,1))</f>
        <v>0</v>
      </c>
      <c r="K3003" s="78">
        <f>단가산출근거목록표!H16</f>
        <v>0</v>
      </c>
      <c r="L3003" s="80">
        <f>IF(C3003=0,0,ROUNDDOWN(K3003*C3003,1))</f>
        <v>0</v>
      </c>
      <c r="M3003" s="22" t="s">
        <v>8606</v>
      </c>
      <c r="N3003" s="17" t="s">
        <v>8604</v>
      </c>
      <c r="O3003" s="7" t="s">
        <v>8605</v>
      </c>
      <c r="P3003" s="7" t="s">
        <v>6406</v>
      </c>
      <c r="Z3003" s="3" t="str">
        <f ca="1">HYPERLINK("#"&amp;단가산출근거목록표!J2&amp;"!A"&amp;ROW(단가산출근거목록표!A16),"산근13 →")</f>
        <v>산근13 →</v>
      </c>
    </row>
    <row r="3004" spans="1:26" ht="28.7" customHeight="1" x14ac:dyDescent="0.3">
      <c r="A3004" s="22" t="s">
        <v>6</v>
      </c>
      <c r="B3004" s="74"/>
      <c r="C3004" s="74"/>
      <c r="D3004" s="74"/>
      <c r="E3004" s="74"/>
      <c r="F3004" s="48">
        <f>J3004+H3004+L3004</f>
        <v>1086</v>
      </c>
      <c r="G3004" s="74"/>
      <c r="H3004" s="48">
        <f>ROUNDDOWN(SUMIF(P3002:P3003,O3004,H3002:H3003),0)</f>
        <v>1086</v>
      </c>
      <c r="I3004" s="74"/>
      <c r="J3004" s="48">
        <f>ROUNDDOWN(SUMIF(P3002:P3003,O3004,J3002:J3003),0)</f>
        <v>0</v>
      </c>
      <c r="K3004" s="74"/>
      <c r="L3004" s="48">
        <f>ROUNDDOWN(SUMIF(P3002:P3003,O3004,L3002:L3003),0)</f>
        <v>0</v>
      </c>
      <c r="M3004" s="74"/>
      <c r="O3004" s="7" t="s">
        <v>6406</v>
      </c>
    </row>
    <row r="3005" spans="1:26" ht="28.7" customHeight="1" x14ac:dyDescent="0.3">
      <c r="A3005" s="73"/>
      <c r="B3005" s="73"/>
      <c r="C3005" s="73"/>
      <c r="D3005" s="73"/>
      <c r="E3005" s="73"/>
      <c r="F3005" s="73"/>
      <c r="G3005" s="73"/>
      <c r="H3005" s="73"/>
      <c r="I3005" s="73"/>
      <c r="J3005" s="73"/>
      <c r="K3005" s="73"/>
      <c r="L3005" s="73"/>
      <c r="M3005" s="73"/>
    </row>
    <row r="3006" spans="1:26" ht="28.7" customHeight="1" x14ac:dyDescent="0.3">
      <c r="A3006" s="136" t="s">
        <v>1680</v>
      </c>
      <c r="B3006" s="127"/>
      <c r="C3006" s="127"/>
      <c r="D3006" s="127"/>
      <c r="E3006" s="127"/>
      <c r="F3006" s="127"/>
      <c r="G3006" s="127"/>
      <c r="H3006" s="127"/>
      <c r="I3006" s="127"/>
      <c r="J3006" s="127"/>
      <c r="K3006" s="127"/>
      <c r="L3006" s="144"/>
      <c r="M3006" s="22" t="s">
        <v>8607</v>
      </c>
      <c r="N3006" s="84" t="str">
        <f>HYPERLINK("#N"&amp;ROW(N3009),"_x0005_`BDCOD|B04777_x0007_`POSS|"&amp;ROW(N3007)&amp;"_x0007_`POSE|"&amp;ROW(N3009)&amp;"_x0007_`")</f>
        <v>_x0005_`BDCOD|B04777_x0007_`POSS|3007_x0007_`POSE|3009_x0007_`</v>
      </c>
      <c r="O3006" s="7" t="s">
        <v>8608</v>
      </c>
    </row>
    <row r="3007" spans="1:26" ht="28.7" customHeight="1" x14ac:dyDescent="0.3">
      <c r="A3007" s="10"/>
      <c r="B3007" s="10" t="s">
        <v>6506</v>
      </c>
      <c r="C3007" s="75">
        <v>0</v>
      </c>
      <c r="D3007" s="31"/>
      <c r="E3007" s="33">
        <v>0</v>
      </c>
      <c r="F3007" s="11">
        <v>0</v>
      </c>
      <c r="G3007" s="42"/>
      <c r="H3007" s="11">
        <v>0</v>
      </c>
      <c r="I3007" s="42"/>
      <c r="J3007" s="33">
        <v>0</v>
      </c>
      <c r="K3007" s="46"/>
      <c r="L3007" s="33">
        <v>0</v>
      </c>
      <c r="M3007" s="22" t="s">
        <v>6509</v>
      </c>
      <c r="N3007" s="17" t="s">
        <v>6507</v>
      </c>
      <c r="O3007" s="7" t="s">
        <v>6508</v>
      </c>
      <c r="P3007" s="7" t="s">
        <v>6508</v>
      </c>
    </row>
    <row r="3008" spans="1:26" ht="28.7" customHeight="1" x14ac:dyDescent="0.3">
      <c r="A3008" s="10" t="s">
        <v>1686</v>
      </c>
      <c r="B3008" s="10" t="s">
        <v>1687</v>
      </c>
      <c r="C3008" s="75">
        <v>1</v>
      </c>
      <c r="D3008" s="31" t="s">
        <v>14</v>
      </c>
      <c r="E3008" s="55">
        <f>I3008+G3008+K3008</f>
        <v>104363</v>
      </c>
      <c r="F3008" s="76">
        <f>J3008+H3008+L3008</f>
        <v>104363</v>
      </c>
      <c r="G3008" s="78">
        <f>일위대가목록표!F659</f>
        <v>101324</v>
      </c>
      <c r="H3008" s="80">
        <f>IF(C3008=0,0,ROUNDDOWN(G3008*C3008,1))</f>
        <v>101324</v>
      </c>
      <c r="I3008" s="78">
        <f>일위대가목록표!G659</f>
        <v>0</v>
      </c>
      <c r="J3008" s="80">
        <f>IF(C3008=0,0,ROUNDDOWN(I3008*C3008,1))</f>
        <v>0</v>
      </c>
      <c r="K3008" s="78">
        <f>일위대가목록표!H659</f>
        <v>3039</v>
      </c>
      <c r="L3008" s="80">
        <f>IF(C3008=0,0,ROUNDDOWN(K3008*C3008,1))</f>
        <v>3039</v>
      </c>
      <c r="M3008" s="22" t="s">
        <v>6540</v>
      </c>
      <c r="N3008" s="17" t="s">
        <v>6538</v>
      </c>
      <c r="O3008" s="7" t="s">
        <v>6539</v>
      </c>
      <c r="P3008" s="7" t="s">
        <v>6406</v>
      </c>
      <c r="Z3008" s="3" t="str">
        <f ca="1">HYPERLINK("#"&amp;일위대가목록표!J2&amp;"!A"&amp;ROW(일위대가목록표!A659),"대가656 →")</f>
        <v>대가656 →</v>
      </c>
    </row>
    <row r="3009" spans="1:26" ht="28.7" customHeight="1" x14ac:dyDescent="0.3">
      <c r="A3009" s="10" t="s">
        <v>1690</v>
      </c>
      <c r="B3009" s="10" t="s">
        <v>1691</v>
      </c>
      <c r="C3009" s="75">
        <v>1</v>
      </c>
      <c r="D3009" s="31" t="s">
        <v>14</v>
      </c>
      <c r="E3009" s="55">
        <f>I3009+G3009+K3009</f>
        <v>260910</v>
      </c>
      <c r="F3009" s="76">
        <f>J3009+H3009+L3009</f>
        <v>260910</v>
      </c>
      <c r="G3009" s="78">
        <f>일위대가목록표!F660</f>
        <v>253311</v>
      </c>
      <c r="H3009" s="80">
        <f>IF(C3009=0,0,ROUNDDOWN(G3009*C3009,1))</f>
        <v>253311</v>
      </c>
      <c r="I3009" s="78">
        <f>일위대가목록표!G660</f>
        <v>0</v>
      </c>
      <c r="J3009" s="80">
        <f>IF(C3009=0,0,ROUNDDOWN(I3009*C3009,1))</f>
        <v>0</v>
      </c>
      <c r="K3009" s="78">
        <f>일위대가목록표!H660</f>
        <v>7599</v>
      </c>
      <c r="L3009" s="80">
        <f>IF(C3009=0,0,ROUNDDOWN(K3009*C3009,1))</f>
        <v>7599</v>
      </c>
      <c r="M3009" s="22" t="s">
        <v>6512</v>
      </c>
      <c r="N3009" s="17" t="s">
        <v>6510</v>
      </c>
      <c r="O3009" s="7" t="s">
        <v>6511</v>
      </c>
      <c r="P3009" s="7" t="s">
        <v>6406</v>
      </c>
      <c r="Z3009" s="3" t="str">
        <f ca="1">HYPERLINK("#"&amp;일위대가목록표!J2&amp;"!A"&amp;ROW(일위대가목록표!A660),"대가657 →")</f>
        <v>대가657 →</v>
      </c>
    </row>
    <row r="3010" spans="1:26" ht="28.7" customHeight="1" x14ac:dyDescent="0.3">
      <c r="A3010" s="22" t="s">
        <v>6</v>
      </c>
      <c r="B3010" s="74"/>
      <c r="C3010" s="74"/>
      <c r="D3010" s="74"/>
      <c r="E3010" s="74"/>
      <c r="F3010" s="48">
        <f>J3010+H3010+L3010</f>
        <v>365273</v>
      </c>
      <c r="G3010" s="74"/>
      <c r="H3010" s="48">
        <f>ROUNDDOWN(SUMIF(P3007:P3009,O3010,H3007:H3009),0)</f>
        <v>354635</v>
      </c>
      <c r="I3010" s="74"/>
      <c r="J3010" s="48">
        <f>ROUNDDOWN(SUMIF(P3007:P3009,O3010,J3007:J3009),0)</f>
        <v>0</v>
      </c>
      <c r="K3010" s="74"/>
      <c r="L3010" s="48">
        <f>ROUNDDOWN(SUMIF(P3007:P3009,O3010,L3007:L3009),0)</f>
        <v>10638</v>
      </c>
      <c r="M3010" s="74"/>
      <c r="O3010" s="7" t="s">
        <v>6406</v>
      </c>
    </row>
    <row r="3011" spans="1:26" ht="28.7" customHeight="1" x14ac:dyDescent="0.3">
      <c r="A3011" s="73"/>
      <c r="B3011" s="73"/>
      <c r="C3011" s="73"/>
      <c r="D3011" s="73"/>
      <c r="E3011" s="73"/>
      <c r="F3011" s="73"/>
      <c r="G3011" s="73"/>
      <c r="H3011" s="73"/>
      <c r="I3011" s="73"/>
      <c r="J3011" s="73"/>
      <c r="K3011" s="73"/>
      <c r="L3011" s="73"/>
      <c r="M3011" s="73"/>
    </row>
    <row r="3012" spans="1:26" ht="28.7" customHeight="1" x14ac:dyDescent="0.3">
      <c r="A3012" s="136" t="s">
        <v>1684</v>
      </c>
      <c r="B3012" s="127"/>
      <c r="C3012" s="127"/>
      <c r="D3012" s="127"/>
      <c r="E3012" s="127"/>
      <c r="F3012" s="127"/>
      <c r="G3012" s="127"/>
      <c r="H3012" s="127"/>
      <c r="I3012" s="127"/>
      <c r="J3012" s="127"/>
      <c r="K3012" s="127"/>
      <c r="L3012" s="144"/>
      <c r="M3012" s="22" t="s">
        <v>8609</v>
      </c>
      <c r="N3012" s="84" t="str">
        <f>HYPERLINK("#N"&amp;ROW(N3014),"_x0005_`BDCOD|B04765_x0007_`POSS|"&amp;ROW(N3013)&amp;"_x0007_`POSE|"&amp;ROW(N3014)&amp;"_x0007_`")</f>
        <v>_x0005_`BDCOD|B04765_x0007_`POSS|3013_x0007_`POSE|3014_x0007_`</v>
      </c>
      <c r="O3012" s="7" t="s">
        <v>8610</v>
      </c>
    </row>
    <row r="3013" spans="1:26" ht="28.7" customHeight="1" x14ac:dyDescent="0.3">
      <c r="A3013" s="10"/>
      <c r="B3013" s="10" t="s">
        <v>6506</v>
      </c>
      <c r="C3013" s="75">
        <v>0</v>
      </c>
      <c r="D3013" s="31"/>
      <c r="E3013" s="33">
        <v>0</v>
      </c>
      <c r="F3013" s="11">
        <v>0</v>
      </c>
      <c r="G3013" s="42"/>
      <c r="H3013" s="11">
        <v>0</v>
      </c>
      <c r="I3013" s="42"/>
      <c r="J3013" s="33">
        <v>0</v>
      </c>
      <c r="K3013" s="46"/>
      <c r="L3013" s="33">
        <v>0</v>
      </c>
      <c r="M3013" s="22" t="s">
        <v>6509</v>
      </c>
      <c r="N3013" s="17" t="s">
        <v>6507</v>
      </c>
      <c r="O3013" s="7" t="s">
        <v>6508</v>
      </c>
      <c r="P3013" s="7" t="s">
        <v>6508</v>
      </c>
    </row>
    <row r="3014" spans="1:26" ht="28.7" customHeight="1" x14ac:dyDescent="0.3">
      <c r="A3014" s="10" t="s">
        <v>1690</v>
      </c>
      <c r="B3014" s="10" t="s">
        <v>1691</v>
      </c>
      <c r="C3014" s="75">
        <v>0.4</v>
      </c>
      <c r="D3014" s="31" t="s">
        <v>14</v>
      </c>
      <c r="E3014" s="55">
        <f>I3014+G3014+K3014</f>
        <v>260910</v>
      </c>
      <c r="F3014" s="76">
        <f>J3014+H3014+L3014</f>
        <v>104364</v>
      </c>
      <c r="G3014" s="78">
        <f>일위대가목록표!F660</f>
        <v>253311</v>
      </c>
      <c r="H3014" s="80">
        <f>IF(C3014=0,0,ROUNDDOWN(G3014*C3014,1))</f>
        <v>101324.4</v>
      </c>
      <c r="I3014" s="78">
        <f>일위대가목록표!G660</f>
        <v>0</v>
      </c>
      <c r="J3014" s="80">
        <f>IF(C3014=0,0,ROUNDDOWN(I3014*C3014,1))</f>
        <v>0</v>
      </c>
      <c r="K3014" s="78">
        <f>일위대가목록표!H660</f>
        <v>7599</v>
      </c>
      <c r="L3014" s="80">
        <f>IF(C3014=0,0,ROUNDDOWN(K3014*C3014,1))</f>
        <v>3039.6</v>
      </c>
      <c r="M3014" s="22" t="s">
        <v>6512</v>
      </c>
      <c r="N3014" s="17" t="s">
        <v>6510</v>
      </c>
      <c r="O3014" s="7" t="s">
        <v>6511</v>
      </c>
      <c r="P3014" s="7" t="s">
        <v>6406</v>
      </c>
      <c r="Z3014" s="3" t="str">
        <f ca="1">HYPERLINK("#"&amp;일위대가목록표!J2&amp;"!A"&amp;ROW(일위대가목록표!A660),"대가657 →")</f>
        <v>대가657 →</v>
      </c>
    </row>
    <row r="3015" spans="1:26" ht="28.7" customHeight="1" x14ac:dyDescent="0.3">
      <c r="A3015" s="22" t="s">
        <v>6</v>
      </c>
      <c r="B3015" s="74"/>
      <c r="C3015" s="74"/>
      <c r="D3015" s="74"/>
      <c r="E3015" s="74"/>
      <c r="F3015" s="48">
        <f>J3015+H3015+L3015</f>
        <v>104363</v>
      </c>
      <c r="G3015" s="74"/>
      <c r="H3015" s="48">
        <f>ROUNDDOWN(SUMIF(P3013:P3014,O3015,H3013:H3014),0)</f>
        <v>101324</v>
      </c>
      <c r="I3015" s="74"/>
      <c r="J3015" s="48">
        <f>ROUNDDOWN(SUMIF(P3013:P3014,O3015,J3013:J3014),0)</f>
        <v>0</v>
      </c>
      <c r="K3015" s="74"/>
      <c r="L3015" s="48">
        <f>ROUNDDOWN(SUMIF(P3013:P3014,O3015,L3013:L3014),0)</f>
        <v>3039</v>
      </c>
      <c r="M3015" s="74"/>
      <c r="O3015" s="7" t="s">
        <v>6406</v>
      </c>
    </row>
    <row r="3016" spans="1:26" ht="28.7" customHeight="1" x14ac:dyDescent="0.3">
      <c r="A3016" s="73"/>
      <c r="B3016" s="73"/>
      <c r="C3016" s="73"/>
      <c r="D3016" s="73"/>
      <c r="E3016" s="73"/>
      <c r="F3016" s="73"/>
      <c r="G3016" s="73"/>
      <c r="H3016" s="73"/>
      <c r="I3016" s="73"/>
      <c r="J3016" s="73"/>
      <c r="K3016" s="73"/>
      <c r="L3016" s="73"/>
      <c r="M3016" s="73"/>
    </row>
    <row r="3017" spans="1:26" ht="28.7" customHeight="1" x14ac:dyDescent="0.3">
      <c r="A3017" s="136" t="s">
        <v>1688</v>
      </c>
      <c r="B3017" s="127"/>
      <c r="C3017" s="127"/>
      <c r="D3017" s="127"/>
      <c r="E3017" s="127"/>
      <c r="F3017" s="127"/>
      <c r="G3017" s="127"/>
      <c r="H3017" s="127"/>
      <c r="I3017" s="127"/>
      <c r="J3017" s="127"/>
      <c r="K3017" s="127"/>
      <c r="L3017" s="144"/>
      <c r="M3017" s="22" t="s">
        <v>8611</v>
      </c>
      <c r="N3017" s="84" t="str">
        <f>HYPERLINK("#N"&amp;ROW(N3021),"_x0005_`BDCOD|B04753_x0007_`POSS|"&amp;ROW(N3018)&amp;"_x0007_`POSE|"&amp;ROW(N3021)&amp;"_x0007_`")</f>
        <v>_x0005_`BDCOD|B04753_x0007_`POSS|3018_x0007_`POSE|3021_x0007_`</v>
      </c>
      <c r="O3017" s="7" t="s">
        <v>8612</v>
      </c>
    </row>
    <row r="3018" spans="1:26" ht="28.7" customHeight="1" x14ac:dyDescent="0.3">
      <c r="A3018" s="10"/>
      <c r="B3018" s="10" t="s">
        <v>6506</v>
      </c>
      <c r="C3018" s="75">
        <v>0</v>
      </c>
      <c r="D3018" s="31"/>
      <c r="E3018" s="33">
        <v>0</v>
      </c>
      <c r="F3018" s="11">
        <v>0</v>
      </c>
      <c r="G3018" s="42"/>
      <c r="H3018" s="11">
        <v>0</v>
      </c>
      <c r="I3018" s="42"/>
      <c r="J3018" s="33">
        <v>0</v>
      </c>
      <c r="K3018" s="46"/>
      <c r="L3018" s="33">
        <v>0</v>
      </c>
      <c r="M3018" s="22" t="s">
        <v>6509</v>
      </c>
      <c r="N3018" s="17" t="s">
        <v>6507</v>
      </c>
      <c r="O3018" s="7" t="s">
        <v>6508</v>
      </c>
      <c r="P3018" s="7" t="s">
        <v>6508</v>
      </c>
    </row>
    <row r="3019" spans="1:26" ht="28.7" customHeight="1" x14ac:dyDescent="0.3">
      <c r="A3019" s="10" t="s">
        <v>3081</v>
      </c>
      <c r="B3019" s="10"/>
      <c r="C3019" s="75">
        <v>0.84799999999999998</v>
      </c>
      <c r="D3019" s="31" t="s">
        <v>3074</v>
      </c>
      <c r="E3019" s="55">
        <f t="shared" ref="E3019:F3021" si="28">I3019+G3019+K3019</f>
        <v>241698</v>
      </c>
      <c r="F3019" s="76">
        <f t="shared" si="28"/>
        <v>204959.9</v>
      </c>
      <c r="G3019" s="78">
        <f>노무비목록표!E8</f>
        <v>241698</v>
      </c>
      <c r="H3019" s="81">
        <f>IF(C3019=0,0,ROUNDDOWN(G3019*C3019,1))</f>
        <v>204959.9</v>
      </c>
      <c r="I3019" s="51">
        <v>0</v>
      </c>
      <c r="J3019" s="77">
        <f>IF(C3019=0,0,ROUNDDOWN(I3019*C3019,1))</f>
        <v>0</v>
      </c>
      <c r="K3019" s="51">
        <v>0</v>
      </c>
      <c r="L3019" s="76">
        <f>IF(C3019=0,0,ROUNDDOWN(K3019*C3019,1))</f>
        <v>0</v>
      </c>
      <c r="M3019" s="22" t="s">
        <v>8615</v>
      </c>
      <c r="N3019" s="17" t="s">
        <v>8613</v>
      </c>
      <c r="O3019" s="7" t="s">
        <v>8614</v>
      </c>
      <c r="P3019" s="7" t="s">
        <v>6406</v>
      </c>
      <c r="Q3019" s="7" t="s">
        <v>7061</v>
      </c>
      <c r="Z3019" s="3" t="str">
        <f ca="1">HYPERLINK("#"&amp;노무비목록표!G2&amp;"!A"&amp;ROW(노무비목록표!A8),"노무5 →")</f>
        <v>노무5 →</v>
      </c>
    </row>
    <row r="3020" spans="1:26" ht="28.7" customHeight="1" x14ac:dyDescent="0.3">
      <c r="A3020" s="10" t="s">
        <v>3090</v>
      </c>
      <c r="B3020" s="10"/>
      <c r="C3020" s="75">
        <v>0.28100000000000003</v>
      </c>
      <c r="D3020" s="31" t="s">
        <v>3074</v>
      </c>
      <c r="E3020" s="55">
        <f t="shared" si="28"/>
        <v>172068</v>
      </c>
      <c r="F3020" s="76">
        <f t="shared" si="28"/>
        <v>48351.1</v>
      </c>
      <c r="G3020" s="78">
        <f>노무비목록표!E12</f>
        <v>172068</v>
      </c>
      <c r="H3020" s="81">
        <f>IF(C3020=0,0,ROUNDDOWN(G3020*C3020,1))</f>
        <v>48351.1</v>
      </c>
      <c r="I3020" s="51">
        <v>0</v>
      </c>
      <c r="J3020" s="77">
        <f>IF(C3020=0,0,ROUNDDOWN(I3020*C3020,1))</f>
        <v>0</v>
      </c>
      <c r="K3020" s="51">
        <v>0</v>
      </c>
      <c r="L3020" s="76">
        <f>IF(C3020=0,0,ROUNDDOWN(K3020*C3020,1))</f>
        <v>0</v>
      </c>
      <c r="M3020" s="22" t="s">
        <v>8262</v>
      </c>
      <c r="N3020" s="17" t="s">
        <v>8260</v>
      </c>
      <c r="O3020" s="7" t="s">
        <v>8261</v>
      </c>
      <c r="P3020" s="7" t="s">
        <v>6406</v>
      </c>
      <c r="Q3020" s="7" t="s">
        <v>7061</v>
      </c>
      <c r="Z3020" s="3" t="str">
        <f ca="1">HYPERLINK("#"&amp;노무비목록표!G2&amp;"!A"&amp;ROW(노무비목록표!A12),"노무9 →")</f>
        <v>노무9 →</v>
      </c>
    </row>
    <row r="3021" spans="1:26" ht="28.7" customHeight="1" x14ac:dyDescent="0.3">
      <c r="A3021" s="10" t="s">
        <v>8616</v>
      </c>
      <c r="B3021" s="10" t="s">
        <v>7063</v>
      </c>
      <c r="C3021" s="75">
        <v>3</v>
      </c>
      <c r="D3021" s="31" t="s">
        <v>7064</v>
      </c>
      <c r="E3021" s="55">
        <f t="shared" si="28"/>
        <v>253311</v>
      </c>
      <c r="F3021" s="77">
        <f t="shared" si="28"/>
        <v>7599.3</v>
      </c>
      <c r="G3021" s="13">
        <v>0</v>
      </c>
      <c r="H3021" s="77">
        <f>IF(C3021=0,0,ROUNDDOWN(G3021*C3021/100,1))</f>
        <v>0</v>
      </c>
      <c r="I3021" s="13">
        <v>0</v>
      </c>
      <c r="J3021" s="76">
        <f>IF(C3021=0,0,ROUNDDOWN(I3021*C3021/100,1))</f>
        <v>0</v>
      </c>
      <c r="K3021" s="82">
        <f>H3019+H3020</f>
        <v>253311</v>
      </c>
      <c r="L3021" s="76">
        <f>IF(C3021=0,0,ROUNDDOWN(K3021*C3021/100,1))</f>
        <v>7599.3</v>
      </c>
      <c r="M3021" s="22"/>
      <c r="N3021" s="17" t="s">
        <v>7065</v>
      </c>
      <c r="O3021" s="7" t="s">
        <v>7066</v>
      </c>
      <c r="P3021" s="7" t="s">
        <v>6406</v>
      </c>
    </row>
    <row r="3022" spans="1:26" ht="28.7" customHeight="1" x14ac:dyDescent="0.3">
      <c r="A3022" s="22" t="s">
        <v>6</v>
      </c>
      <c r="B3022" s="74"/>
      <c r="C3022" s="74"/>
      <c r="D3022" s="74"/>
      <c r="E3022" s="74"/>
      <c r="F3022" s="48">
        <f>J3022+H3022+L3022</f>
        <v>260910</v>
      </c>
      <c r="G3022" s="74"/>
      <c r="H3022" s="48">
        <f>ROUNDDOWN(SUMIF(P3018:P3021,O3022,H3018:H3021),0)</f>
        <v>253311</v>
      </c>
      <c r="I3022" s="74"/>
      <c r="J3022" s="48">
        <f>ROUNDDOWN(SUMIF(P3018:P3021,O3022,J3018:J3021),0)</f>
        <v>0</v>
      </c>
      <c r="K3022" s="74"/>
      <c r="L3022" s="48">
        <f>ROUNDDOWN(SUMIF(P3018:P3021,O3022,L3018:L3021),0)</f>
        <v>7599</v>
      </c>
      <c r="M3022" s="74"/>
      <c r="O3022" s="7" t="s">
        <v>6406</v>
      </c>
    </row>
    <row r="3023" spans="1:26" ht="28.7" customHeight="1" x14ac:dyDescent="0.3">
      <c r="A3023" s="73"/>
      <c r="B3023" s="73"/>
      <c r="C3023" s="73"/>
      <c r="D3023" s="73"/>
      <c r="E3023" s="73"/>
      <c r="F3023" s="73"/>
      <c r="G3023" s="73"/>
      <c r="H3023" s="73"/>
      <c r="I3023" s="73"/>
      <c r="J3023" s="73"/>
      <c r="K3023" s="73"/>
      <c r="L3023" s="73"/>
      <c r="M3023" s="73"/>
    </row>
    <row r="3024" spans="1:26" ht="28.7" customHeight="1" x14ac:dyDescent="0.3">
      <c r="A3024" s="136" t="s">
        <v>1692</v>
      </c>
      <c r="B3024" s="127"/>
      <c r="C3024" s="127"/>
      <c r="D3024" s="127"/>
      <c r="E3024" s="127"/>
      <c r="F3024" s="127"/>
      <c r="G3024" s="127"/>
      <c r="H3024" s="127"/>
      <c r="I3024" s="127"/>
      <c r="J3024" s="127"/>
      <c r="K3024" s="127"/>
      <c r="L3024" s="144"/>
      <c r="M3024" s="22" t="s">
        <v>8617</v>
      </c>
      <c r="N3024" s="84" t="str">
        <f>HYPERLINK("#N"&amp;ROW(N3027),"_x0005_`BDCOD|B04778_x0007_`POSS|"&amp;ROW(N3025)&amp;"_x0007_`POSE|"&amp;ROW(N3027)&amp;"_x0007_`")</f>
        <v>_x0005_`BDCOD|B04778_x0007_`POSS|3025_x0007_`POSE|3027_x0007_`</v>
      </c>
      <c r="O3024" s="7" t="s">
        <v>8618</v>
      </c>
    </row>
    <row r="3025" spans="1:26" ht="28.7" customHeight="1" x14ac:dyDescent="0.3">
      <c r="A3025" s="10"/>
      <c r="B3025" s="10" t="s">
        <v>6506</v>
      </c>
      <c r="C3025" s="75">
        <v>0</v>
      </c>
      <c r="D3025" s="31"/>
      <c r="E3025" s="33">
        <v>0</v>
      </c>
      <c r="F3025" s="11">
        <v>0</v>
      </c>
      <c r="G3025" s="42"/>
      <c r="H3025" s="11">
        <v>0</v>
      </c>
      <c r="I3025" s="42"/>
      <c r="J3025" s="33">
        <v>0</v>
      </c>
      <c r="K3025" s="46"/>
      <c r="L3025" s="33">
        <v>0</v>
      </c>
      <c r="M3025" s="22" t="s">
        <v>6509</v>
      </c>
      <c r="N3025" s="17" t="s">
        <v>6507</v>
      </c>
      <c r="O3025" s="7" t="s">
        <v>6508</v>
      </c>
      <c r="P3025" s="7" t="s">
        <v>6508</v>
      </c>
    </row>
    <row r="3026" spans="1:26" ht="28.7" customHeight="1" x14ac:dyDescent="0.3">
      <c r="A3026" s="10" t="s">
        <v>1686</v>
      </c>
      <c r="B3026" s="10" t="s">
        <v>1697</v>
      </c>
      <c r="C3026" s="75">
        <v>1</v>
      </c>
      <c r="D3026" s="31" t="s">
        <v>14</v>
      </c>
      <c r="E3026" s="55">
        <f>I3026+G3026+K3026</f>
        <v>120257</v>
      </c>
      <c r="F3026" s="76">
        <f>J3026+H3026+L3026</f>
        <v>120257</v>
      </c>
      <c r="G3026" s="78">
        <f>일위대가목록표!F662</f>
        <v>116755</v>
      </c>
      <c r="H3026" s="80">
        <f>IF(C3026=0,0,ROUNDDOWN(G3026*C3026,1))</f>
        <v>116755</v>
      </c>
      <c r="I3026" s="78">
        <f>일위대가목록표!G662</f>
        <v>0</v>
      </c>
      <c r="J3026" s="80">
        <f>IF(C3026=0,0,ROUNDDOWN(I3026*C3026,1))</f>
        <v>0</v>
      </c>
      <c r="K3026" s="78">
        <f>일위대가목록표!H662</f>
        <v>3502</v>
      </c>
      <c r="L3026" s="80">
        <f>IF(C3026=0,0,ROUNDDOWN(K3026*C3026,1))</f>
        <v>3502</v>
      </c>
      <c r="M3026" s="22" t="s">
        <v>6545</v>
      </c>
      <c r="N3026" s="17" t="s">
        <v>6543</v>
      </c>
      <c r="O3026" s="7" t="s">
        <v>6544</v>
      </c>
      <c r="P3026" s="7" t="s">
        <v>6406</v>
      </c>
      <c r="Z3026" s="3" t="str">
        <f ca="1">HYPERLINK("#"&amp;일위대가목록표!J2&amp;"!A"&amp;ROW(일위대가목록표!A662),"대가659 →")</f>
        <v>대가659 →</v>
      </c>
    </row>
    <row r="3027" spans="1:26" ht="28.7" customHeight="1" x14ac:dyDescent="0.3">
      <c r="A3027" s="10" t="s">
        <v>1690</v>
      </c>
      <c r="B3027" s="10" t="s">
        <v>1700</v>
      </c>
      <c r="C3027" s="75">
        <v>1</v>
      </c>
      <c r="D3027" s="31" t="s">
        <v>14</v>
      </c>
      <c r="E3027" s="55">
        <f>I3027+G3027+K3027</f>
        <v>300644</v>
      </c>
      <c r="F3027" s="76">
        <f>J3027+H3027+L3027</f>
        <v>300644</v>
      </c>
      <c r="G3027" s="78">
        <f>일위대가목록표!F663</f>
        <v>291888</v>
      </c>
      <c r="H3027" s="80">
        <f>IF(C3027=0,0,ROUNDDOWN(G3027*C3027,1))</f>
        <v>291888</v>
      </c>
      <c r="I3027" s="78">
        <f>일위대가목록표!G663</f>
        <v>0</v>
      </c>
      <c r="J3027" s="80">
        <f>IF(C3027=0,0,ROUNDDOWN(I3027*C3027,1))</f>
        <v>0</v>
      </c>
      <c r="K3027" s="78">
        <f>일위대가목록표!H663</f>
        <v>8756</v>
      </c>
      <c r="L3027" s="80">
        <f>IF(C3027=0,0,ROUNDDOWN(K3027*C3027,1))</f>
        <v>8756</v>
      </c>
      <c r="M3027" s="22" t="s">
        <v>6517</v>
      </c>
      <c r="N3027" s="17" t="s">
        <v>6515</v>
      </c>
      <c r="O3027" s="7" t="s">
        <v>6516</v>
      </c>
      <c r="P3027" s="7" t="s">
        <v>6406</v>
      </c>
      <c r="Z3027" s="3" t="str">
        <f ca="1">HYPERLINK("#"&amp;일위대가목록표!J2&amp;"!A"&amp;ROW(일위대가목록표!A663),"대가660 →")</f>
        <v>대가660 →</v>
      </c>
    </row>
    <row r="3028" spans="1:26" ht="28.7" customHeight="1" x14ac:dyDescent="0.3">
      <c r="A3028" s="22" t="s">
        <v>6</v>
      </c>
      <c r="B3028" s="74"/>
      <c r="C3028" s="74"/>
      <c r="D3028" s="74"/>
      <c r="E3028" s="74"/>
      <c r="F3028" s="48">
        <f>J3028+H3028+L3028</f>
        <v>420901</v>
      </c>
      <c r="G3028" s="74"/>
      <c r="H3028" s="48">
        <f>ROUNDDOWN(SUMIF(P3025:P3027,O3028,H3025:H3027),0)</f>
        <v>408643</v>
      </c>
      <c r="I3028" s="74"/>
      <c r="J3028" s="48">
        <f>ROUNDDOWN(SUMIF(P3025:P3027,O3028,J3025:J3027),0)</f>
        <v>0</v>
      </c>
      <c r="K3028" s="74"/>
      <c r="L3028" s="48">
        <f>ROUNDDOWN(SUMIF(P3025:P3027,O3028,L3025:L3027),0)</f>
        <v>12258</v>
      </c>
      <c r="M3028" s="74"/>
      <c r="O3028" s="7" t="s">
        <v>6406</v>
      </c>
    </row>
    <row r="3029" spans="1:26" ht="28.7" customHeight="1" x14ac:dyDescent="0.3">
      <c r="A3029" s="73"/>
      <c r="B3029" s="73"/>
      <c r="C3029" s="73"/>
      <c r="D3029" s="73"/>
      <c r="E3029" s="73"/>
      <c r="F3029" s="73"/>
      <c r="G3029" s="73"/>
      <c r="H3029" s="73"/>
      <c r="I3029" s="73"/>
      <c r="J3029" s="73"/>
      <c r="K3029" s="73"/>
      <c r="L3029" s="73"/>
      <c r="M3029" s="73"/>
    </row>
    <row r="3030" spans="1:26" ht="28.7" customHeight="1" x14ac:dyDescent="0.3">
      <c r="A3030" s="136" t="s">
        <v>1695</v>
      </c>
      <c r="B3030" s="127"/>
      <c r="C3030" s="127"/>
      <c r="D3030" s="127"/>
      <c r="E3030" s="127"/>
      <c r="F3030" s="127"/>
      <c r="G3030" s="127"/>
      <c r="H3030" s="127"/>
      <c r="I3030" s="127"/>
      <c r="J3030" s="127"/>
      <c r="K3030" s="127"/>
      <c r="L3030" s="144"/>
      <c r="M3030" s="22" t="s">
        <v>8619</v>
      </c>
      <c r="N3030" s="84" t="str">
        <f>HYPERLINK("#N"&amp;ROW(N3032),"_x0005_`BDCOD|B04766_x0007_`POSS|"&amp;ROW(N3031)&amp;"_x0007_`POSE|"&amp;ROW(N3032)&amp;"_x0007_`")</f>
        <v>_x0005_`BDCOD|B04766_x0007_`POSS|3031_x0007_`POSE|3032_x0007_`</v>
      </c>
      <c r="O3030" s="7" t="s">
        <v>8620</v>
      </c>
    </row>
    <row r="3031" spans="1:26" ht="28.7" customHeight="1" x14ac:dyDescent="0.3">
      <c r="A3031" s="10"/>
      <c r="B3031" s="10" t="s">
        <v>6506</v>
      </c>
      <c r="C3031" s="75">
        <v>0</v>
      </c>
      <c r="D3031" s="31"/>
      <c r="E3031" s="33">
        <v>0</v>
      </c>
      <c r="F3031" s="11">
        <v>0</v>
      </c>
      <c r="G3031" s="42"/>
      <c r="H3031" s="11">
        <v>0</v>
      </c>
      <c r="I3031" s="42"/>
      <c r="J3031" s="33">
        <v>0</v>
      </c>
      <c r="K3031" s="46"/>
      <c r="L3031" s="33">
        <v>0</v>
      </c>
      <c r="M3031" s="22" t="s">
        <v>6509</v>
      </c>
      <c r="N3031" s="17" t="s">
        <v>6507</v>
      </c>
      <c r="O3031" s="7" t="s">
        <v>6508</v>
      </c>
      <c r="P3031" s="7" t="s">
        <v>6508</v>
      </c>
    </row>
    <row r="3032" spans="1:26" ht="28.7" customHeight="1" x14ac:dyDescent="0.3">
      <c r="A3032" s="10" t="s">
        <v>1690</v>
      </c>
      <c r="B3032" s="10" t="s">
        <v>1700</v>
      </c>
      <c r="C3032" s="75">
        <v>0.4</v>
      </c>
      <c r="D3032" s="31" t="s">
        <v>14</v>
      </c>
      <c r="E3032" s="55">
        <f>I3032+G3032+K3032</f>
        <v>300644</v>
      </c>
      <c r="F3032" s="76">
        <f>J3032+H3032+L3032</f>
        <v>120257.59999999999</v>
      </c>
      <c r="G3032" s="78">
        <f>일위대가목록표!F663</f>
        <v>291888</v>
      </c>
      <c r="H3032" s="80">
        <f>IF(C3032=0,0,ROUNDDOWN(G3032*C3032,1))</f>
        <v>116755.2</v>
      </c>
      <c r="I3032" s="78">
        <f>일위대가목록표!G663</f>
        <v>0</v>
      </c>
      <c r="J3032" s="80">
        <f>IF(C3032=0,0,ROUNDDOWN(I3032*C3032,1))</f>
        <v>0</v>
      </c>
      <c r="K3032" s="78">
        <f>일위대가목록표!H663</f>
        <v>8756</v>
      </c>
      <c r="L3032" s="80">
        <f>IF(C3032=0,0,ROUNDDOWN(K3032*C3032,1))</f>
        <v>3502.4</v>
      </c>
      <c r="M3032" s="22" t="s">
        <v>6517</v>
      </c>
      <c r="N3032" s="17" t="s">
        <v>6515</v>
      </c>
      <c r="O3032" s="7" t="s">
        <v>6516</v>
      </c>
      <c r="P3032" s="7" t="s">
        <v>6406</v>
      </c>
      <c r="Z3032" s="3" t="str">
        <f ca="1">HYPERLINK("#"&amp;일위대가목록표!J2&amp;"!A"&amp;ROW(일위대가목록표!A663),"대가660 →")</f>
        <v>대가660 →</v>
      </c>
    </row>
    <row r="3033" spans="1:26" ht="28.7" customHeight="1" x14ac:dyDescent="0.3">
      <c r="A3033" s="22" t="s">
        <v>6</v>
      </c>
      <c r="B3033" s="74"/>
      <c r="C3033" s="74"/>
      <c r="D3033" s="74"/>
      <c r="E3033" s="74"/>
      <c r="F3033" s="48">
        <f>J3033+H3033+L3033</f>
        <v>120257</v>
      </c>
      <c r="G3033" s="74"/>
      <c r="H3033" s="48">
        <f>ROUNDDOWN(SUMIF(P3031:P3032,O3033,H3031:H3032),0)</f>
        <v>116755</v>
      </c>
      <c r="I3033" s="74"/>
      <c r="J3033" s="48">
        <f>ROUNDDOWN(SUMIF(P3031:P3032,O3033,J3031:J3032),0)</f>
        <v>0</v>
      </c>
      <c r="K3033" s="74"/>
      <c r="L3033" s="48">
        <f>ROUNDDOWN(SUMIF(P3031:P3032,O3033,L3031:L3032),0)</f>
        <v>3502</v>
      </c>
      <c r="M3033" s="74"/>
      <c r="O3033" s="7" t="s">
        <v>6406</v>
      </c>
    </row>
    <row r="3034" spans="1:26" ht="28.7" customHeight="1" x14ac:dyDescent="0.3">
      <c r="A3034" s="73"/>
      <c r="B3034" s="73"/>
      <c r="C3034" s="73"/>
      <c r="D3034" s="73"/>
      <c r="E3034" s="73"/>
      <c r="F3034" s="73"/>
      <c r="G3034" s="73"/>
      <c r="H3034" s="73"/>
      <c r="I3034" s="73"/>
      <c r="J3034" s="73"/>
      <c r="K3034" s="73"/>
      <c r="L3034" s="73"/>
      <c r="M3034" s="73"/>
    </row>
    <row r="3035" spans="1:26" ht="28.7" customHeight="1" x14ac:dyDescent="0.3">
      <c r="A3035" s="136" t="s">
        <v>1698</v>
      </c>
      <c r="B3035" s="127"/>
      <c r="C3035" s="127"/>
      <c r="D3035" s="127"/>
      <c r="E3035" s="127"/>
      <c r="F3035" s="127"/>
      <c r="G3035" s="127"/>
      <c r="H3035" s="127"/>
      <c r="I3035" s="127"/>
      <c r="J3035" s="127"/>
      <c r="K3035" s="127"/>
      <c r="L3035" s="144"/>
      <c r="M3035" s="22" t="s">
        <v>8621</v>
      </c>
      <c r="N3035" s="84" t="str">
        <f>HYPERLINK("#N"&amp;ROW(N3039),"_x0005_`BDCOD|B04754_x0007_`POSS|"&amp;ROW(N3036)&amp;"_x0007_`POSE|"&amp;ROW(N3039)&amp;"_x0007_`")</f>
        <v>_x0005_`BDCOD|B04754_x0007_`POSS|3036_x0007_`POSE|3039_x0007_`</v>
      </c>
      <c r="O3035" s="7" t="s">
        <v>8622</v>
      </c>
    </row>
    <row r="3036" spans="1:26" ht="28.7" customHeight="1" x14ac:dyDescent="0.3">
      <c r="A3036" s="10"/>
      <c r="B3036" s="10" t="s">
        <v>6506</v>
      </c>
      <c r="C3036" s="75">
        <v>0</v>
      </c>
      <c r="D3036" s="31"/>
      <c r="E3036" s="33">
        <v>0</v>
      </c>
      <c r="F3036" s="11">
        <v>0</v>
      </c>
      <c r="G3036" s="42"/>
      <c r="H3036" s="11">
        <v>0</v>
      </c>
      <c r="I3036" s="42"/>
      <c r="J3036" s="33">
        <v>0</v>
      </c>
      <c r="K3036" s="46"/>
      <c r="L3036" s="33">
        <v>0</v>
      </c>
      <c r="M3036" s="22" t="s">
        <v>6509</v>
      </c>
      <c r="N3036" s="17" t="s">
        <v>6507</v>
      </c>
      <c r="O3036" s="7" t="s">
        <v>6508</v>
      </c>
      <c r="P3036" s="7" t="s">
        <v>6508</v>
      </c>
    </row>
    <row r="3037" spans="1:26" ht="28.7" customHeight="1" x14ac:dyDescent="0.3">
      <c r="A3037" s="10" t="s">
        <v>3081</v>
      </c>
      <c r="B3037" s="10"/>
      <c r="C3037" s="75">
        <v>0.97699999999999998</v>
      </c>
      <c r="D3037" s="31" t="s">
        <v>3074</v>
      </c>
      <c r="E3037" s="55">
        <f t="shared" ref="E3037:F3039" si="29">I3037+G3037+K3037</f>
        <v>241698</v>
      </c>
      <c r="F3037" s="76">
        <f t="shared" si="29"/>
        <v>236138.9</v>
      </c>
      <c r="G3037" s="78">
        <f>노무비목록표!E8</f>
        <v>241698</v>
      </c>
      <c r="H3037" s="81">
        <f>IF(C3037=0,0,ROUNDDOWN(G3037*C3037,1))</f>
        <v>236138.9</v>
      </c>
      <c r="I3037" s="51">
        <v>0</v>
      </c>
      <c r="J3037" s="77">
        <f>IF(C3037=0,0,ROUNDDOWN(I3037*C3037,1))</f>
        <v>0</v>
      </c>
      <c r="K3037" s="51">
        <v>0</v>
      </c>
      <c r="L3037" s="76">
        <f>IF(C3037=0,0,ROUNDDOWN(K3037*C3037,1))</f>
        <v>0</v>
      </c>
      <c r="M3037" s="22" t="s">
        <v>8615</v>
      </c>
      <c r="N3037" s="17" t="s">
        <v>8613</v>
      </c>
      <c r="O3037" s="7" t="s">
        <v>8614</v>
      </c>
      <c r="P3037" s="7" t="s">
        <v>6406</v>
      </c>
      <c r="Q3037" s="7" t="s">
        <v>7061</v>
      </c>
      <c r="Z3037" s="3" t="str">
        <f ca="1">HYPERLINK("#"&amp;노무비목록표!G2&amp;"!A"&amp;ROW(노무비목록표!A8),"노무5 →")</f>
        <v>노무5 →</v>
      </c>
    </row>
    <row r="3038" spans="1:26" ht="28.7" customHeight="1" x14ac:dyDescent="0.3">
      <c r="A3038" s="10" t="s">
        <v>3090</v>
      </c>
      <c r="B3038" s="10"/>
      <c r="C3038" s="75">
        <v>0.32400000000000001</v>
      </c>
      <c r="D3038" s="31" t="s">
        <v>3074</v>
      </c>
      <c r="E3038" s="55">
        <f t="shared" si="29"/>
        <v>172068</v>
      </c>
      <c r="F3038" s="76">
        <f t="shared" si="29"/>
        <v>55750</v>
      </c>
      <c r="G3038" s="78">
        <f>노무비목록표!E12</f>
        <v>172068</v>
      </c>
      <c r="H3038" s="81">
        <f>IF(C3038=0,0,ROUNDDOWN(G3038*C3038,1))</f>
        <v>55750</v>
      </c>
      <c r="I3038" s="51">
        <v>0</v>
      </c>
      <c r="J3038" s="77">
        <f>IF(C3038=0,0,ROUNDDOWN(I3038*C3038,1))</f>
        <v>0</v>
      </c>
      <c r="K3038" s="51">
        <v>0</v>
      </c>
      <c r="L3038" s="76">
        <f>IF(C3038=0,0,ROUNDDOWN(K3038*C3038,1))</f>
        <v>0</v>
      </c>
      <c r="M3038" s="22" t="s">
        <v>8262</v>
      </c>
      <c r="N3038" s="17" t="s">
        <v>8260</v>
      </c>
      <c r="O3038" s="7" t="s">
        <v>8261</v>
      </c>
      <c r="P3038" s="7" t="s">
        <v>6406</v>
      </c>
      <c r="Q3038" s="7" t="s">
        <v>7061</v>
      </c>
      <c r="Z3038" s="3" t="str">
        <f ca="1">HYPERLINK("#"&amp;노무비목록표!G2&amp;"!A"&amp;ROW(노무비목록표!A12),"노무9 →")</f>
        <v>노무9 →</v>
      </c>
    </row>
    <row r="3039" spans="1:26" ht="28.7" customHeight="1" x14ac:dyDescent="0.3">
      <c r="A3039" s="10" t="s">
        <v>8616</v>
      </c>
      <c r="B3039" s="10" t="s">
        <v>7063</v>
      </c>
      <c r="C3039" s="75">
        <v>3</v>
      </c>
      <c r="D3039" s="31" t="s">
        <v>7064</v>
      </c>
      <c r="E3039" s="55">
        <f t="shared" si="29"/>
        <v>291888.90000000002</v>
      </c>
      <c r="F3039" s="77">
        <f t="shared" si="29"/>
        <v>8756.6</v>
      </c>
      <c r="G3039" s="13">
        <v>0</v>
      </c>
      <c r="H3039" s="77">
        <f>IF(C3039=0,0,ROUNDDOWN(G3039*C3039/100,1))</f>
        <v>0</v>
      </c>
      <c r="I3039" s="13">
        <v>0</v>
      </c>
      <c r="J3039" s="76">
        <f>IF(C3039=0,0,ROUNDDOWN(I3039*C3039/100,1))</f>
        <v>0</v>
      </c>
      <c r="K3039" s="82">
        <f>H3037+H3038</f>
        <v>291888.90000000002</v>
      </c>
      <c r="L3039" s="76">
        <f>IF(C3039=0,0,ROUNDDOWN(K3039*C3039/100,1))</f>
        <v>8756.6</v>
      </c>
      <c r="M3039" s="22"/>
      <c r="N3039" s="17" t="s">
        <v>7065</v>
      </c>
      <c r="O3039" s="7" t="s">
        <v>7066</v>
      </c>
      <c r="P3039" s="7" t="s">
        <v>6406</v>
      </c>
    </row>
    <row r="3040" spans="1:26" ht="28.7" customHeight="1" x14ac:dyDescent="0.3">
      <c r="A3040" s="22" t="s">
        <v>6</v>
      </c>
      <c r="B3040" s="74"/>
      <c r="C3040" s="74"/>
      <c r="D3040" s="74"/>
      <c r="E3040" s="74"/>
      <c r="F3040" s="48">
        <f>J3040+H3040+L3040</f>
        <v>300644</v>
      </c>
      <c r="G3040" s="74"/>
      <c r="H3040" s="48">
        <f>ROUNDDOWN(SUMIF(P3036:P3039,O3040,H3036:H3039),0)</f>
        <v>291888</v>
      </c>
      <c r="I3040" s="74"/>
      <c r="J3040" s="48">
        <f>ROUNDDOWN(SUMIF(P3036:P3039,O3040,J3036:J3039),0)</f>
        <v>0</v>
      </c>
      <c r="K3040" s="74"/>
      <c r="L3040" s="48">
        <f>ROUNDDOWN(SUMIF(P3036:P3039,O3040,L3036:L3039),0)</f>
        <v>8756</v>
      </c>
      <c r="M3040" s="74"/>
      <c r="O3040" s="7" t="s">
        <v>6406</v>
      </c>
    </row>
    <row r="3041" spans="1:26" ht="28.7" customHeight="1" x14ac:dyDescent="0.3">
      <c r="A3041" s="73"/>
      <c r="B3041" s="73"/>
      <c r="C3041" s="73"/>
      <c r="D3041" s="73"/>
      <c r="E3041" s="73"/>
      <c r="F3041" s="73"/>
      <c r="G3041" s="73"/>
      <c r="H3041" s="73"/>
      <c r="I3041" s="73"/>
      <c r="J3041" s="73"/>
      <c r="K3041" s="73"/>
      <c r="L3041" s="73"/>
      <c r="M3041" s="73"/>
    </row>
    <row r="3042" spans="1:26" ht="28.7" customHeight="1" x14ac:dyDescent="0.3">
      <c r="A3042" s="136" t="s">
        <v>1701</v>
      </c>
      <c r="B3042" s="127"/>
      <c r="C3042" s="127"/>
      <c r="D3042" s="127"/>
      <c r="E3042" s="127"/>
      <c r="F3042" s="127"/>
      <c r="G3042" s="127"/>
      <c r="H3042" s="127"/>
      <c r="I3042" s="127"/>
      <c r="J3042" s="127"/>
      <c r="K3042" s="127"/>
      <c r="L3042" s="144"/>
      <c r="M3042" s="22" t="s">
        <v>8623</v>
      </c>
      <c r="N3042" s="84" t="str">
        <f>HYPERLINK("#N"&amp;ROW(N3045),"_x0005_`BDCOD|B04779_x0007_`POSS|"&amp;ROW(N3043)&amp;"_x0007_`POSE|"&amp;ROW(N3045)&amp;"_x0007_`")</f>
        <v>_x0005_`BDCOD|B04779_x0007_`POSS|3043_x0007_`POSE|3045_x0007_`</v>
      </c>
      <c r="O3042" s="7" t="s">
        <v>8624</v>
      </c>
    </row>
    <row r="3043" spans="1:26" ht="28.7" customHeight="1" x14ac:dyDescent="0.3">
      <c r="A3043" s="10"/>
      <c r="B3043" s="10" t="s">
        <v>6506</v>
      </c>
      <c r="C3043" s="75">
        <v>0</v>
      </c>
      <c r="D3043" s="31"/>
      <c r="E3043" s="33">
        <v>0</v>
      </c>
      <c r="F3043" s="11">
        <v>0</v>
      </c>
      <c r="G3043" s="42"/>
      <c r="H3043" s="11">
        <v>0</v>
      </c>
      <c r="I3043" s="42"/>
      <c r="J3043" s="33">
        <v>0</v>
      </c>
      <c r="K3043" s="46"/>
      <c r="L3043" s="33">
        <v>0</v>
      </c>
      <c r="M3043" s="22" t="s">
        <v>6509</v>
      </c>
      <c r="N3043" s="17" t="s">
        <v>6507</v>
      </c>
      <c r="O3043" s="7" t="s">
        <v>6508</v>
      </c>
      <c r="P3043" s="7" t="s">
        <v>6508</v>
      </c>
    </row>
    <row r="3044" spans="1:26" ht="28.7" customHeight="1" x14ac:dyDescent="0.3">
      <c r="A3044" s="10" t="s">
        <v>1686</v>
      </c>
      <c r="B3044" s="10" t="s">
        <v>1706</v>
      </c>
      <c r="C3044" s="75">
        <v>1</v>
      </c>
      <c r="D3044" s="31" t="s">
        <v>14</v>
      </c>
      <c r="E3044" s="55">
        <f>I3044+G3044+K3044</f>
        <v>138099</v>
      </c>
      <c r="F3044" s="76">
        <f>J3044+H3044+L3044</f>
        <v>138099</v>
      </c>
      <c r="G3044" s="78">
        <f>일위대가목록표!F665</f>
        <v>134077</v>
      </c>
      <c r="H3044" s="80">
        <f>IF(C3044=0,0,ROUNDDOWN(G3044*C3044,1))</f>
        <v>134077</v>
      </c>
      <c r="I3044" s="78">
        <f>일위대가목록표!G665</f>
        <v>0</v>
      </c>
      <c r="J3044" s="80">
        <f>IF(C3044=0,0,ROUNDDOWN(I3044*C3044,1))</f>
        <v>0</v>
      </c>
      <c r="K3044" s="78">
        <f>일위대가목록표!H665</f>
        <v>4022</v>
      </c>
      <c r="L3044" s="80">
        <f>IF(C3044=0,0,ROUNDDOWN(K3044*C3044,1))</f>
        <v>4022</v>
      </c>
      <c r="M3044" s="22" t="s">
        <v>6550</v>
      </c>
      <c r="N3044" s="17" t="s">
        <v>6548</v>
      </c>
      <c r="O3044" s="7" t="s">
        <v>6549</v>
      </c>
      <c r="P3044" s="7" t="s">
        <v>6406</v>
      </c>
      <c r="Z3044" s="3" t="str">
        <f ca="1">HYPERLINK("#"&amp;일위대가목록표!J2&amp;"!A"&amp;ROW(일위대가목록표!A665),"대가662 →")</f>
        <v>대가662 →</v>
      </c>
    </row>
    <row r="3045" spans="1:26" ht="28.7" customHeight="1" x14ac:dyDescent="0.3">
      <c r="A3045" s="10" t="s">
        <v>1690</v>
      </c>
      <c r="B3045" s="10" t="s">
        <v>1709</v>
      </c>
      <c r="C3045" s="75">
        <v>1</v>
      </c>
      <c r="D3045" s="31" t="s">
        <v>14</v>
      </c>
      <c r="E3045" s="55">
        <f>I3045+G3045+K3045</f>
        <v>345249</v>
      </c>
      <c r="F3045" s="76">
        <f>J3045+H3045+L3045</f>
        <v>345249</v>
      </c>
      <c r="G3045" s="78">
        <f>일위대가목록표!F666</f>
        <v>335194</v>
      </c>
      <c r="H3045" s="80">
        <f>IF(C3045=0,0,ROUNDDOWN(G3045*C3045,1))</f>
        <v>335194</v>
      </c>
      <c r="I3045" s="78">
        <f>일위대가목록표!G666</f>
        <v>0</v>
      </c>
      <c r="J3045" s="80">
        <f>IF(C3045=0,0,ROUNDDOWN(I3045*C3045,1))</f>
        <v>0</v>
      </c>
      <c r="K3045" s="78">
        <f>일위대가목록표!H666</f>
        <v>10055</v>
      </c>
      <c r="L3045" s="80">
        <f>IF(C3045=0,0,ROUNDDOWN(K3045*C3045,1))</f>
        <v>10055</v>
      </c>
      <c r="M3045" s="22" t="s">
        <v>6673</v>
      </c>
      <c r="N3045" s="17" t="s">
        <v>6671</v>
      </c>
      <c r="O3045" s="7" t="s">
        <v>6672</v>
      </c>
      <c r="P3045" s="7" t="s">
        <v>6406</v>
      </c>
      <c r="Z3045" s="3" t="str">
        <f ca="1">HYPERLINK("#"&amp;일위대가목록표!J2&amp;"!A"&amp;ROW(일위대가목록표!A666),"대가663 →")</f>
        <v>대가663 →</v>
      </c>
    </row>
    <row r="3046" spans="1:26" ht="28.7" customHeight="1" x14ac:dyDescent="0.3">
      <c r="A3046" s="22" t="s">
        <v>6</v>
      </c>
      <c r="B3046" s="74"/>
      <c r="C3046" s="74"/>
      <c r="D3046" s="74"/>
      <c r="E3046" s="74"/>
      <c r="F3046" s="48">
        <f>J3046+H3046+L3046</f>
        <v>483348</v>
      </c>
      <c r="G3046" s="74"/>
      <c r="H3046" s="48">
        <f>ROUNDDOWN(SUMIF(P3043:P3045,O3046,H3043:H3045),0)</f>
        <v>469271</v>
      </c>
      <c r="I3046" s="74"/>
      <c r="J3046" s="48">
        <f>ROUNDDOWN(SUMIF(P3043:P3045,O3046,J3043:J3045),0)</f>
        <v>0</v>
      </c>
      <c r="K3046" s="74"/>
      <c r="L3046" s="48">
        <f>ROUNDDOWN(SUMIF(P3043:P3045,O3046,L3043:L3045),0)</f>
        <v>14077</v>
      </c>
      <c r="M3046" s="74"/>
      <c r="O3046" s="7" t="s">
        <v>6406</v>
      </c>
    </row>
    <row r="3047" spans="1:26" ht="28.7" customHeight="1" x14ac:dyDescent="0.3">
      <c r="A3047" s="73"/>
      <c r="B3047" s="73"/>
      <c r="C3047" s="73"/>
      <c r="D3047" s="73"/>
      <c r="E3047" s="73"/>
      <c r="F3047" s="73"/>
      <c r="G3047" s="73"/>
      <c r="H3047" s="73"/>
      <c r="I3047" s="73"/>
      <c r="J3047" s="73"/>
      <c r="K3047" s="73"/>
      <c r="L3047" s="73"/>
      <c r="M3047" s="73"/>
    </row>
    <row r="3048" spans="1:26" ht="28.7" customHeight="1" x14ac:dyDescent="0.3">
      <c r="A3048" s="136" t="s">
        <v>1704</v>
      </c>
      <c r="B3048" s="127"/>
      <c r="C3048" s="127"/>
      <c r="D3048" s="127"/>
      <c r="E3048" s="127"/>
      <c r="F3048" s="127"/>
      <c r="G3048" s="127"/>
      <c r="H3048" s="127"/>
      <c r="I3048" s="127"/>
      <c r="J3048" s="127"/>
      <c r="K3048" s="127"/>
      <c r="L3048" s="144"/>
      <c r="M3048" s="22" t="s">
        <v>8625</v>
      </c>
      <c r="N3048" s="84" t="str">
        <f>HYPERLINK("#N"&amp;ROW(N3050),"_x0005_`BDCOD|B04767_x0007_`POSS|"&amp;ROW(N3049)&amp;"_x0007_`POSE|"&amp;ROW(N3050)&amp;"_x0007_`")</f>
        <v>_x0005_`BDCOD|B04767_x0007_`POSS|3049_x0007_`POSE|3050_x0007_`</v>
      </c>
      <c r="O3048" s="7" t="s">
        <v>8626</v>
      </c>
    </row>
    <row r="3049" spans="1:26" ht="28.7" customHeight="1" x14ac:dyDescent="0.3">
      <c r="A3049" s="10"/>
      <c r="B3049" s="10" t="s">
        <v>6506</v>
      </c>
      <c r="C3049" s="75">
        <v>0</v>
      </c>
      <c r="D3049" s="31"/>
      <c r="E3049" s="33">
        <v>0</v>
      </c>
      <c r="F3049" s="11">
        <v>0</v>
      </c>
      <c r="G3049" s="42"/>
      <c r="H3049" s="11">
        <v>0</v>
      </c>
      <c r="I3049" s="42"/>
      <c r="J3049" s="33">
        <v>0</v>
      </c>
      <c r="K3049" s="46"/>
      <c r="L3049" s="33">
        <v>0</v>
      </c>
      <c r="M3049" s="22" t="s">
        <v>6509</v>
      </c>
      <c r="N3049" s="17" t="s">
        <v>6507</v>
      </c>
      <c r="O3049" s="7" t="s">
        <v>6508</v>
      </c>
      <c r="P3049" s="7" t="s">
        <v>6508</v>
      </c>
    </row>
    <row r="3050" spans="1:26" ht="28.7" customHeight="1" x14ac:dyDescent="0.3">
      <c r="A3050" s="10" t="s">
        <v>1690</v>
      </c>
      <c r="B3050" s="10" t="s">
        <v>1709</v>
      </c>
      <c r="C3050" s="75">
        <v>0.4</v>
      </c>
      <c r="D3050" s="31" t="s">
        <v>14</v>
      </c>
      <c r="E3050" s="55">
        <f>I3050+G3050+K3050</f>
        <v>345249</v>
      </c>
      <c r="F3050" s="76">
        <f>J3050+H3050+L3050</f>
        <v>138099.6</v>
      </c>
      <c r="G3050" s="78">
        <f>일위대가목록표!F666</f>
        <v>335194</v>
      </c>
      <c r="H3050" s="80">
        <f>IF(C3050=0,0,ROUNDDOWN(G3050*C3050,1))</f>
        <v>134077.6</v>
      </c>
      <c r="I3050" s="78">
        <f>일위대가목록표!G666</f>
        <v>0</v>
      </c>
      <c r="J3050" s="80">
        <f>IF(C3050=0,0,ROUNDDOWN(I3050*C3050,1))</f>
        <v>0</v>
      </c>
      <c r="K3050" s="78">
        <f>일위대가목록표!H666</f>
        <v>10055</v>
      </c>
      <c r="L3050" s="80">
        <f>IF(C3050=0,0,ROUNDDOWN(K3050*C3050,1))</f>
        <v>4022</v>
      </c>
      <c r="M3050" s="22" t="s">
        <v>6673</v>
      </c>
      <c r="N3050" s="17" t="s">
        <v>6671</v>
      </c>
      <c r="O3050" s="7" t="s">
        <v>6672</v>
      </c>
      <c r="P3050" s="7" t="s">
        <v>6406</v>
      </c>
      <c r="Z3050" s="3" t="str">
        <f ca="1">HYPERLINK("#"&amp;일위대가목록표!J2&amp;"!A"&amp;ROW(일위대가목록표!A666),"대가663 →")</f>
        <v>대가663 →</v>
      </c>
    </row>
    <row r="3051" spans="1:26" ht="28.7" customHeight="1" x14ac:dyDescent="0.3">
      <c r="A3051" s="22" t="s">
        <v>6</v>
      </c>
      <c r="B3051" s="74"/>
      <c r="C3051" s="74"/>
      <c r="D3051" s="74"/>
      <c r="E3051" s="74"/>
      <c r="F3051" s="48">
        <f>J3051+H3051+L3051</f>
        <v>138099</v>
      </c>
      <c r="G3051" s="74"/>
      <c r="H3051" s="48">
        <f>ROUNDDOWN(SUMIF(P3049:P3050,O3051,H3049:H3050),0)</f>
        <v>134077</v>
      </c>
      <c r="I3051" s="74"/>
      <c r="J3051" s="48">
        <f>ROUNDDOWN(SUMIF(P3049:P3050,O3051,J3049:J3050),0)</f>
        <v>0</v>
      </c>
      <c r="K3051" s="74"/>
      <c r="L3051" s="48">
        <f>ROUNDDOWN(SUMIF(P3049:P3050,O3051,L3049:L3050),0)</f>
        <v>4022</v>
      </c>
      <c r="M3051" s="74"/>
      <c r="O3051" s="7" t="s">
        <v>6406</v>
      </c>
    </row>
    <row r="3052" spans="1:26" ht="28.7" customHeight="1" x14ac:dyDescent="0.3">
      <c r="A3052" s="73"/>
      <c r="B3052" s="73"/>
      <c r="C3052" s="73"/>
      <c r="D3052" s="73"/>
      <c r="E3052" s="73"/>
      <c r="F3052" s="73"/>
      <c r="G3052" s="73"/>
      <c r="H3052" s="73"/>
      <c r="I3052" s="73"/>
      <c r="J3052" s="73"/>
      <c r="K3052" s="73"/>
      <c r="L3052" s="73"/>
      <c r="M3052" s="73"/>
    </row>
    <row r="3053" spans="1:26" ht="28.7" customHeight="1" x14ac:dyDescent="0.3">
      <c r="A3053" s="136" t="s">
        <v>1707</v>
      </c>
      <c r="B3053" s="127"/>
      <c r="C3053" s="127"/>
      <c r="D3053" s="127"/>
      <c r="E3053" s="127"/>
      <c r="F3053" s="127"/>
      <c r="G3053" s="127"/>
      <c r="H3053" s="127"/>
      <c r="I3053" s="127"/>
      <c r="J3053" s="127"/>
      <c r="K3053" s="127"/>
      <c r="L3053" s="144"/>
      <c r="M3053" s="22" t="s">
        <v>8627</v>
      </c>
      <c r="N3053" s="84" t="str">
        <f>HYPERLINK("#N"&amp;ROW(N3057),"_x0005_`BDCOD|B04755_x0007_`POSS|"&amp;ROW(N3054)&amp;"_x0007_`POSE|"&amp;ROW(N3057)&amp;"_x0007_`")</f>
        <v>_x0005_`BDCOD|B04755_x0007_`POSS|3054_x0007_`POSE|3057_x0007_`</v>
      </c>
      <c r="O3053" s="7" t="s">
        <v>8628</v>
      </c>
    </row>
    <row r="3054" spans="1:26" ht="28.7" customHeight="1" x14ac:dyDescent="0.3">
      <c r="A3054" s="10"/>
      <c r="B3054" s="10" t="s">
        <v>6506</v>
      </c>
      <c r="C3054" s="75">
        <v>0</v>
      </c>
      <c r="D3054" s="31"/>
      <c r="E3054" s="33">
        <v>0</v>
      </c>
      <c r="F3054" s="11">
        <v>0</v>
      </c>
      <c r="G3054" s="42"/>
      <c r="H3054" s="11">
        <v>0</v>
      </c>
      <c r="I3054" s="42"/>
      <c r="J3054" s="33">
        <v>0</v>
      </c>
      <c r="K3054" s="46"/>
      <c r="L3054" s="33">
        <v>0</v>
      </c>
      <c r="M3054" s="22" t="s">
        <v>6509</v>
      </c>
      <c r="N3054" s="17" t="s">
        <v>6507</v>
      </c>
      <c r="O3054" s="7" t="s">
        <v>6508</v>
      </c>
      <c r="P3054" s="7" t="s">
        <v>6508</v>
      </c>
    </row>
    <row r="3055" spans="1:26" ht="28.7" customHeight="1" x14ac:dyDescent="0.3">
      <c r="A3055" s="10" t="s">
        <v>3081</v>
      </c>
      <c r="B3055" s="10"/>
      <c r="C3055" s="75">
        <v>1.1220000000000001</v>
      </c>
      <c r="D3055" s="31" t="s">
        <v>3074</v>
      </c>
      <c r="E3055" s="55">
        <f t="shared" ref="E3055:F3057" si="30">I3055+G3055+K3055</f>
        <v>241698</v>
      </c>
      <c r="F3055" s="76">
        <f t="shared" si="30"/>
        <v>271185.09999999998</v>
      </c>
      <c r="G3055" s="78">
        <f>노무비목록표!E8</f>
        <v>241698</v>
      </c>
      <c r="H3055" s="81">
        <f>IF(C3055=0,0,ROUNDDOWN(G3055*C3055,1))</f>
        <v>271185.09999999998</v>
      </c>
      <c r="I3055" s="51">
        <v>0</v>
      </c>
      <c r="J3055" s="77">
        <f>IF(C3055=0,0,ROUNDDOWN(I3055*C3055,1))</f>
        <v>0</v>
      </c>
      <c r="K3055" s="51">
        <v>0</v>
      </c>
      <c r="L3055" s="76">
        <f>IF(C3055=0,0,ROUNDDOWN(K3055*C3055,1))</f>
        <v>0</v>
      </c>
      <c r="M3055" s="22" t="s">
        <v>8615</v>
      </c>
      <c r="N3055" s="17" t="s">
        <v>8613</v>
      </c>
      <c r="O3055" s="7" t="s">
        <v>8614</v>
      </c>
      <c r="P3055" s="7" t="s">
        <v>6406</v>
      </c>
      <c r="Q3055" s="7" t="s">
        <v>7061</v>
      </c>
      <c r="Z3055" s="3" t="str">
        <f ca="1">HYPERLINK("#"&amp;노무비목록표!G2&amp;"!A"&amp;ROW(노무비목록표!A8),"노무5 →")</f>
        <v>노무5 →</v>
      </c>
    </row>
    <row r="3056" spans="1:26" ht="28.7" customHeight="1" x14ac:dyDescent="0.3">
      <c r="A3056" s="10" t="s">
        <v>3090</v>
      </c>
      <c r="B3056" s="10"/>
      <c r="C3056" s="75">
        <v>0.372</v>
      </c>
      <c r="D3056" s="31" t="s">
        <v>3074</v>
      </c>
      <c r="E3056" s="55">
        <f t="shared" si="30"/>
        <v>172068</v>
      </c>
      <c r="F3056" s="76">
        <f t="shared" si="30"/>
        <v>64009.2</v>
      </c>
      <c r="G3056" s="78">
        <f>노무비목록표!E12</f>
        <v>172068</v>
      </c>
      <c r="H3056" s="81">
        <f>IF(C3056=0,0,ROUNDDOWN(G3056*C3056,1))</f>
        <v>64009.2</v>
      </c>
      <c r="I3056" s="51">
        <v>0</v>
      </c>
      <c r="J3056" s="77">
        <f>IF(C3056=0,0,ROUNDDOWN(I3056*C3056,1))</f>
        <v>0</v>
      </c>
      <c r="K3056" s="51">
        <v>0</v>
      </c>
      <c r="L3056" s="76">
        <f>IF(C3056=0,0,ROUNDDOWN(K3056*C3056,1))</f>
        <v>0</v>
      </c>
      <c r="M3056" s="22" t="s">
        <v>8262</v>
      </c>
      <c r="N3056" s="17" t="s">
        <v>8260</v>
      </c>
      <c r="O3056" s="7" t="s">
        <v>8261</v>
      </c>
      <c r="P3056" s="7" t="s">
        <v>6406</v>
      </c>
      <c r="Q3056" s="7" t="s">
        <v>7061</v>
      </c>
      <c r="Z3056" s="3" t="str">
        <f ca="1">HYPERLINK("#"&amp;노무비목록표!G2&amp;"!A"&amp;ROW(노무비목록표!A12),"노무9 →")</f>
        <v>노무9 →</v>
      </c>
    </row>
    <row r="3057" spans="1:26" ht="28.7" customHeight="1" x14ac:dyDescent="0.3">
      <c r="A3057" s="10" t="s">
        <v>8616</v>
      </c>
      <c r="B3057" s="10" t="s">
        <v>7063</v>
      </c>
      <c r="C3057" s="75">
        <v>3</v>
      </c>
      <c r="D3057" s="31" t="s">
        <v>7064</v>
      </c>
      <c r="E3057" s="55">
        <f t="shared" si="30"/>
        <v>335194.3</v>
      </c>
      <c r="F3057" s="77">
        <f t="shared" si="30"/>
        <v>10055.799999999999</v>
      </c>
      <c r="G3057" s="13">
        <v>0</v>
      </c>
      <c r="H3057" s="77">
        <f>IF(C3057=0,0,ROUNDDOWN(G3057*C3057/100,1))</f>
        <v>0</v>
      </c>
      <c r="I3057" s="13">
        <v>0</v>
      </c>
      <c r="J3057" s="76">
        <f>IF(C3057=0,0,ROUNDDOWN(I3057*C3057/100,1))</f>
        <v>0</v>
      </c>
      <c r="K3057" s="82">
        <f>H3055+H3056</f>
        <v>335194.3</v>
      </c>
      <c r="L3057" s="76">
        <f>IF(C3057=0,0,ROUNDDOWN(K3057*C3057/100,1))</f>
        <v>10055.799999999999</v>
      </c>
      <c r="M3057" s="22"/>
      <c r="N3057" s="17" t="s">
        <v>7065</v>
      </c>
      <c r="O3057" s="7" t="s">
        <v>7066</v>
      </c>
      <c r="P3057" s="7" t="s">
        <v>6406</v>
      </c>
    </row>
    <row r="3058" spans="1:26" ht="28.7" customHeight="1" x14ac:dyDescent="0.3">
      <c r="A3058" s="22" t="s">
        <v>6</v>
      </c>
      <c r="B3058" s="74"/>
      <c r="C3058" s="74"/>
      <c r="D3058" s="74"/>
      <c r="E3058" s="74"/>
      <c r="F3058" s="48">
        <f>J3058+H3058+L3058</f>
        <v>345249</v>
      </c>
      <c r="G3058" s="74"/>
      <c r="H3058" s="48">
        <f>ROUNDDOWN(SUMIF(P3054:P3057,O3058,H3054:H3057),0)</f>
        <v>335194</v>
      </c>
      <c r="I3058" s="74"/>
      <c r="J3058" s="48">
        <f>ROUNDDOWN(SUMIF(P3054:P3057,O3058,J3054:J3057),0)</f>
        <v>0</v>
      </c>
      <c r="K3058" s="74"/>
      <c r="L3058" s="48">
        <f>ROUNDDOWN(SUMIF(P3054:P3057,O3058,L3054:L3057),0)</f>
        <v>10055</v>
      </c>
      <c r="M3058" s="74"/>
      <c r="O3058" s="7" t="s">
        <v>6406</v>
      </c>
    </row>
    <row r="3059" spans="1:26" ht="28.7" customHeight="1" x14ac:dyDescent="0.3">
      <c r="A3059" s="73"/>
      <c r="B3059" s="73"/>
      <c r="C3059" s="73"/>
      <c r="D3059" s="73"/>
      <c r="E3059" s="73"/>
      <c r="F3059" s="73"/>
      <c r="G3059" s="73"/>
      <c r="H3059" s="73"/>
      <c r="I3059" s="73"/>
      <c r="J3059" s="73"/>
      <c r="K3059" s="73"/>
      <c r="L3059" s="73"/>
      <c r="M3059" s="73"/>
    </row>
    <row r="3060" spans="1:26" ht="28.7" customHeight="1" x14ac:dyDescent="0.3">
      <c r="A3060" s="136" t="s">
        <v>1710</v>
      </c>
      <c r="B3060" s="127"/>
      <c r="C3060" s="127"/>
      <c r="D3060" s="127"/>
      <c r="E3060" s="127"/>
      <c r="F3060" s="127"/>
      <c r="G3060" s="127"/>
      <c r="H3060" s="127"/>
      <c r="I3060" s="127"/>
      <c r="J3060" s="127"/>
      <c r="K3060" s="127"/>
      <c r="L3060" s="144"/>
      <c r="M3060" s="22" t="s">
        <v>8629</v>
      </c>
      <c r="N3060" s="84" t="str">
        <f>HYPERLINK("#N"&amp;ROW(N3063),"_x0005_`BDCOD|B04780_x0007_`POSS|"&amp;ROW(N3061)&amp;"_x0007_`POSE|"&amp;ROW(N3063)&amp;"_x0007_`")</f>
        <v>_x0005_`BDCOD|B04780_x0007_`POSS|3061_x0007_`POSE|3063_x0007_`</v>
      </c>
      <c r="O3060" s="7" t="s">
        <v>8630</v>
      </c>
    </row>
    <row r="3061" spans="1:26" ht="28.7" customHeight="1" x14ac:dyDescent="0.3">
      <c r="A3061" s="10"/>
      <c r="B3061" s="10" t="s">
        <v>6506</v>
      </c>
      <c r="C3061" s="75">
        <v>0</v>
      </c>
      <c r="D3061" s="31"/>
      <c r="E3061" s="33">
        <v>0</v>
      </c>
      <c r="F3061" s="11">
        <v>0</v>
      </c>
      <c r="G3061" s="42"/>
      <c r="H3061" s="11">
        <v>0</v>
      </c>
      <c r="I3061" s="42"/>
      <c r="J3061" s="33">
        <v>0</v>
      </c>
      <c r="K3061" s="46"/>
      <c r="L3061" s="33">
        <v>0</v>
      </c>
      <c r="M3061" s="22" t="s">
        <v>6509</v>
      </c>
      <c r="N3061" s="17" t="s">
        <v>6507</v>
      </c>
      <c r="O3061" s="7" t="s">
        <v>6508</v>
      </c>
      <c r="P3061" s="7" t="s">
        <v>6508</v>
      </c>
    </row>
    <row r="3062" spans="1:26" ht="28.7" customHeight="1" x14ac:dyDescent="0.3">
      <c r="A3062" s="10" t="s">
        <v>1686</v>
      </c>
      <c r="B3062" s="10" t="s">
        <v>1715</v>
      </c>
      <c r="C3062" s="75">
        <v>1</v>
      </c>
      <c r="D3062" s="31" t="s">
        <v>14</v>
      </c>
      <c r="E3062" s="55">
        <f>I3062+G3062+K3062</f>
        <v>166390</v>
      </c>
      <c r="F3062" s="76">
        <f>J3062+H3062+L3062</f>
        <v>166390</v>
      </c>
      <c r="G3062" s="78">
        <f>일위대가목록표!F668</f>
        <v>161544</v>
      </c>
      <c r="H3062" s="80">
        <f>IF(C3062=0,0,ROUNDDOWN(G3062*C3062,1))</f>
        <v>161544</v>
      </c>
      <c r="I3062" s="78">
        <f>일위대가목록표!G668</f>
        <v>0</v>
      </c>
      <c r="J3062" s="80">
        <f>IF(C3062=0,0,ROUNDDOWN(I3062*C3062,1))</f>
        <v>0</v>
      </c>
      <c r="K3062" s="78">
        <f>일위대가목록표!H668</f>
        <v>4846</v>
      </c>
      <c r="L3062" s="80">
        <f>IF(C3062=0,0,ROUNDDOWN(K3062*C3062,1))</f>
        <v>4846</v>
      </c>
      <c r="M3062" s="22" t="s">
        <v>6555</v>
      </c>
      <c r="N3062" s="17" t="s">
        <v>6553</v>
      </c>
      <c r="O3062" s="7" t="s">
        <v>6554</v>
      </c>
      <c r="P3062" s="7" t="s">
        <v>6406</v>
      </c>
      <c r="Z3062" s="3" t="str">
        <f ca="1">HYPERLINK("#"&amp;일위대가목록표!J2&amp;"!A"&amp;ROW(일위대가목록표!A668),"대가665 →")</f>
        <v>대가665 →</v>
      </c>
    </row>
    <row r="3063" spans="1:26" ht="28.7" customHeight="1" x14ac:dyDescent="0.3">
      <c r="A3063" s="10" t="s">
        <v>1690</v>
      </c>
      <c r="B3063" s="10" t="s">
        <v>1718</v>
      </c>
      <c r="C3063" s="75">
        <v>1</v>
      </c>
      <c r="D3063" s="31" t="s">
        <v>14</v>
      </c>
      <c r="E3063" s="55">
        <f>I3063+G3063+K3063</f>
        <v>415977</v>
      </c>
      <c r="F3063" s="76">
        <f>J3063+H3063+L3063</f>
        <v>415977</v>
      </c>
      <c r="G3063" s="78">
        <f>일위대가목록표!F669</f>
        <v>403862</v>
      </c>
      <c r="H3063" s="80">
        <f>IF(C3063=0,0,ROUNDDOWN(G3063*C3063,1))</f>
        <v>403862</v>
      </c>
      <c r="I3063" s="78">
        <f>일위대가목록표!G669</f>
        <v>0</v>
      </c>
      <c r="J3063" s="80">
        <f>IF(C3063=0,0,ROUNDDOWN(I3063*C3063,1))</f>
        <v>0</v>
      </c>
      <c r="K3063" s="78">
        <f>일위대가목록표!H669</f>
        <v>12115</v>
      </c>
      <c r="L3063" s="80">
        <f>IF(C3063=0,0,ROUNDDOWN(K3063*C3063,1))</f>
        <v>12115</v>
      </c>
      <c r="M3063" s="22" t="s">
        <v>6678</v>
      </c>
      <c r="N3063" s="17" t="s">
        <v>6676</v>
      </c>
      <c r="O3063" s="7" t="s">
        <v>6677</v>
      </c>
      <c r="P3063" s="7" t="s">
        <v>6406</v>
      </c>
      <c r="Z3063" s="3" t="str">
        <f ca="1">HYPERLINK("#"&amp;일위대가목록표!J2&amp;"!A"&amp;ROW(일위대가목록표!A669),"대가666 →")</f>
        <v>대가666 →</v>
      </c>
    </row>
    <row r="3064" spans="1:26" ht="28.7" customHeight="1" x14ac:dyDescent="0.3">
      <c r="A3064" s="22" t="s">
        <v>6</v>
      </c>
      <c r="B3064" s="74"/>
      <c r="C3064" s="74"/>
      <c r="D3064" s="74"/>
      <c r="E3064" s="74"/>
      <c r="F3064" s="48">
        <f>J3064+H3064+L3064</f>
        <v>582367</v>
      </c>
      <c r="G3064" s="74"/>
      <c r="H3064" s="48">
        <f>ROUNDDOWN(SUMIF(P3061:P3063,O3064,H3061:H3063),0)</f>
        <v>565406</v>
      </c>
      <c r="I3064" s="74"/>
      <c r="J3064" s="48">
        <f>ROUNDDOWN(SUMIF(P3061:P3063,O3064,J3061:J3063),0)</f>
        <v>0</v>
      </c>
      <c r="K3064" s="74"/>
      <c r="L3064" s="48">
        <f>ROUNDDOWN(SUMIF(P3061:P3063,O3064,L3061:L3063),0)</f>
        <v>16961</v>
      </c>
      <c r="M3064" s="74"/>
      <c r="O3064" s="7" t="s">
        <v>6406</v>
      </c>
    </row>
    <row r="3065" spans="1:26" ht="28.7" customHeight="1" x14ac:dyDescent="0.3">
      <c r="A3065" s="73"/>
      <c r="B3065" s="73"/>
      <c r="C3065" s="73"/>
      <c r="D3065" s="73"/>
      <c r="E3065" s="73"/>
      <c r="F3065" s="73"/>
      <c r="G3065" s="73"/>
      <c r="H3065" s="73"/>
      <c r="I3065" s="73"/>
      <c r="J3065" s="73"/>
      <c r="K3065" s="73"/>
      <c r="L3065" s="73"/>
      <c r="M3065" s="73"/>
    </row>
    <row r="3066" spans="1:26" ht="28.7" customHeight="1" x14ac:dyDescent="0.3">
      <c r="A3066" s="136" t="s">
        <v>1713</v>
      </c>
      <c r="B3066" s="127"/>
      <c r="C3066" s="127"/>
      <c r="D3066" s="127"/>
      <c r="E3066" s="127"/>
      <c r="F3066" s="127"/>
      <c r="G3066" s="127"/>
      <c r="H3066" s="127"/>
      <c r="I3066" s="127"/>
      <c r="J3066" s="127"/>
      <c r="K3066" s="127"/>
      <c r="L3066" s="144"/>
      <c r="M3066" s="22" t="s">
        <v>8631</v>
      </c>
      <c r="N3066" s="84" t="str">
        <f>HYPERLINK("#N"&amp;ROW(N3068),"_x0005_`BDCOD|B04768_x0007_`POSS|"&amp;ROW(N3067)&amp;"_x0007_`POSE|"&amp;ROW(N3068)&amp;"_x0007_`")</f>
        <v>_x0005_`BDCOD|B04768_x0007_`POSS|3067_x0007_`POSE|3068_x0007_`</v>
      </c>
      <c r="O3066" s="7" t="s">
        <v>8632</v>
      </c>
    </row>
    <row r="3067" spans="1:26" ht="28.7" customHeight="1" x14ac:dyDescent="0.3">
      <c r="A3067" s="10"/>
      <c r="B3067" s="10" t="s">
        <v>6506</v>
      </c>
      <c r="C3067" s="75">
        <v>0</v>
      </c>
      <c r="D3067" s="31"/>
      <c r="E3067" s="33">
        <v>0</v>
      </c>
      <c r="F3067" s="11">
        <v>0</v>
      </c>
      <c r="G3067" s="42"/>
      <c r="H3067" s="11">
        <v>0</v>
      </c>
      <c r="I3067" s="42"/>
      <c r="J3067" s="33">
        <v>0</v>
      </c>
      <c r="K3067" s="46"/>
      <c r="L3067" s="33">
        <v>0</v>
      </c>
      <c r="M3067" s="22" t="s">
        <v>6509</v>
      </c>
      <c r="N3067" s="17" t="s">
        <v>6507</v>
      </c>
      <c r="O3067" s="7" t="s">
        <v>6508</v>
      </c>
      <c r="P3067" s="7" t="s">
        <v>6508</v>
      </c>
    </row>
    <row r="3068" spans="1:26" ht="28.7" customHeight="1" x14ac:dyDescent="0.3">
      <c r="A3068" s="10" t="s">
        <v>1690</v>
      </c>
      <c r="B3068" s="10" t="s">
        <v>1718</v>
      </c>
      <c r="C3068" s="75">
        <v>0.4</v>
      </c>
      <c r="D3068" s="31" t="s">
        <v>14</v>
      </c>
      <c r="E3068" s="55">
        <f>I3068+G3068+K3068</f>
        <v>415977</v>
      </c>
      <c r="F3068" s="76">
        <f>J3068+H3068+L3068</f>
        <v>166390.79999999999</v>
      </c>
      <c r="G3068" s="78">
        <f>일위대가목록표!F669</f>
        <v>403862</v>
      </c>
      <c r="H3068" s="80">
        <f>IF(C3068=0,0,ROUNDDOWN(G3068*C3068,1))</f>
        <v>161544.79999999999</v>
      </c>
      <c r="I3068" s="78">
        <f>일위대가목록표!G669</f>
        <v>0</v>
      </c>
      <c r="J3068" s="80">
        <f>IF(C3068=0,0,ROUNDDOWN(I3068*C3068,1))</f>
        <v>0</v>
      </c>
      <c r="K3068" s="78">
        <f>일위대가목록표!H669</f>
        <v>12115</v>
      </c>
      <c r="L3068" s="80">
        <f>IF(C3068=0,0,ROUNDDOWN(K3068*C3068,1))</f>
        <v>4846</v>
      </c>
      <c r="M3068" s="22" t="s">
        <v>6678</v>
      </c>
      <c r="N3068" s="17" t="s">
        <v>6676</v>
      </c>
      <c r="O3068" s="7" t="s">
        <v>6677</v>
      </c>
      <c r="P3068" s="7" t="s">
        <v>6406</v>
      </c>
      <c r="Z3068" s="3" t="str">
        <f ca="1">HYPERLINK("#"&amp;일위대가목록표!J2&amp;"!A"&amp;ROW(일위대가목록표!A669),"대가666 →")</f>
        <v>대가666 →</v>
      </c>
    </row>
    <row r="3069" spans="1:26" ht="28.7" customHeight="1" x14ac:dyDescent="0.3">
      <c r="A3069" s="22" t="s">
        <v>6</v>
      </c>
      <c r="B3069" s="74"/>
      <c r="C3069" s="74"/>
      <c r="D3069" s="74"/>
      <c r="E3069" s="74"/>
      <c r="F3069" s="48">
        <f>J3069+H3069+L3069</f>
        <v>166390</v>
      </c>
      <c r="G3069" s="74"/>
      <c r="H3069" s="48">
        <f>ROUNDDOWN(SUMIF(P3067:P3068,O3069,H3067:H3068),0)</f>
        <v>161544</v>
      </c>
      <c r="I3069" s="74"/>
      <c r="J3069" s="48">
        <f>ROUNDDOWN(SUMIF(P3067:P3068,O3069,J3067:J3068),0)</f>
        <v>0</v>
      </c>
      <c r="K3069" s="74"/>
      <c r="L3069" s="48">
        <f>ROUNDDOWN(SUMIF(P3067:P3068,O3069,L3067:L3068),0)</f>
        <v>4846</v>
      </c>
      <c r="M3069" s="74"/>
      <c r="O3069" s="7" t="s">
        <v>6406</v>
      </c>
    </row>
    <row r="3070" spans="1:26" ht="28.7" customHeight="1" x14ac:dyDescent="0.3">
      <c r="A3070" s="73"/>
      <c r="B3070" s="73"/>
      <c r="C3070" s="73"/>
      <c r="D3070" s="73"/>
      <c r="E3070" s="73"/>
      <c r="F3070" s="73"/>
      <c r="G3070" s="73"/>
      <c r="H3070" s="73"/>
      <c r="I3070" s="73"/>
      <c r="J3070" s="73"/>
      <c r="K3070" s="73"/>
      <c r="L3070" s="73"/>
      <c r="M3070" s="73"/>
    </row>
    <row r="3071" spans="1:26" ht="28.7" customHeight="1" x14ac:dyDescent="0.3">
      <c r="A3071" s="136" t="s">
        <v>1716</v>
      </c>
      <c r="B3071" s="127"/>
      <c r="C3071" s="127"/>
      <c r="D3071" s="127"/>
      <c r="E3071" s="127"/>
      <c r="F3071" s="127"/>
      <c r="G3071" s="127"/>
      <c r="H3071" s="127"/>
      <c r="I3071" s="127"/>
      <c r="J3071" s="127"/>
      <c r="K3071" s="127"/>
      <c r="L3071" s="144"/>
      <c r="M3071" s="22" t="s">
        <v>8633</v>
      </c>
      <c r="N3071" s="84" t="str">
        <f>HYPERLINK("#N"&amp;ROW(N3075),"_x0005_`BDCOD|B04756_x0007_`POSS|"&amp;ROW(N3072)&amp;"_x0007_`POSE|"&amp;ROW(N3075)&amp;"_x0007_`")</f>
        <v>_x0005_`BDCOD|B04756_x0007_`POSS|3072_x0007_`POSE|3075_x0007_`</v>
      </c>
      <c r="O3071" s="7" t="s">
        <v>8634</v>
      </c>
    </row>
    <row r="3072" spans="1:26" ht="28.7" customHeight="1" x14ac:dyDescent="0.3">
      <c r="A3072" s="10"/>
      <c r="B3072" s="10" t="s">
        <v>6506</v>
      </c>
      <c r="C3072" s="75">
        <v>0</v>
      </c>
      <c r="D3072" s="31"/>
      <c r="E3072" s="33">
        <v>0</v>
      </c>
      <c r="F3072" s="11">
        <v>0</v>
      </c>
      <c r="G3072" s="42"/>
      <c r="H3072" s="11">
        <v>0</v>
      </c>
      <c r="I3072" s="42"/>
      <c r="J3072" s="33">
        <v>0</v>
      </c>
      <c r="K3072" s="46"/>
      <c r="L3072" s="33">
        <v>0</v>
      </c>
      <c r="M3072" s="22" t="s">
        <v>6509</v>
      </c>
      <c r="N3072" s="17" t="s">
        <v>6507</v>
      </c>
      <c r="O3072" s="7" t="s">
        <v>6508</v>
      </c>
      <c r="P3072" s="7" t="s">
        <v>6508</v>
      </c>
    </row>
    <row r="3073" spans="1:26" ht="28.7" customHeight="1" x14ac:dyDescent="0.3">
      <c r="A3073" s="10" t="s">
        <v>3081</v>
      </c>
      <c r="B3073" s="10"/>
      <c r="C3073" s="75">
        <v>1.3520000000000001</v>
      </c>
      <c r="D3073" s="31" t="s">
        <v>3074</v>
      </c>
      <c r="E3073" s="55">
        <f t="shared" ref="E3073:F3075" si="31">I3073+G3073+K3073</f>
        <v>241698</v>
      </c>
      <c r="F3073" s="76">
        <f t="shared" si="31"/>
        <v>326775.59999999998</v>
      </c>
      <c r="G3073" s="78">
        <f>노무비목록표!E8</f>
        <v>241698</v>
      </c>
      <c r="H3073" s="81">
        <f>IF(C3073=0,0,ROUNDDOWN(G3073*C3073,1))</f>
        <v>326775.59999999998</v>
      </c>
      <c r="I3073" s="51">
        <v>0</v>
      </c>
      <c r="J3073" s="77">
        <f>IF(C3073=0,0,ROUNDDOWN(I3073*C3073,1))</f>
        <v>0</v>
      </c>
      <c r="K3073" s="51">
        <v>0</v>
      </c>
      <c r="L3073" s="76">
        <f>IF(C3073=0,0,ROUNDDOWN(K3073*C3073,1))</f>
        <v>0</v>
      </c>
      <c r="M3073" s="22" t="s">
        <v>8615</v>
      </c>
      <c r="N3073" s="17" t="s">
        <v>8613</v>
      </c>
      <c r="O3073" s="7" t="s">
        <v>8614</v>
      </c>
      <c r="P3073" s="7" t="s">
        <v>6406</v>
      </c>
      <c r="Q3073" s="7" t="s">
        <v>7061</v>
      </c>
      <c r="Z3073" s="3" t="str">
        <f ca="1">HYPERLINK("#"&amp;노무비목록표!G2&amp;"!A"&amp;ROW(노무비목록표!A8),"노무5 →")</f>
        <v>노무5 →</v>
      </c>
    </row>
    <row r="3074" spans="1:26" ht="28.7" customHeight="1" x14ac:dyDescent="0.3">
      <c r="A3074" s="10" t="s">
        <v>3090</v>
      </c>
      <c r="B3074" s="10"/>
      <c r="C3074" s="75">
        <v>0.44800000000000001</v>
      </c>
      <c r="D3074" s="31" t="s">
        <v>3074</v>
      </c>
      <c r="E3074" s="55">
        <f t="shared" si="31"/>
        <v>172068</v>
      </c>
      <c r="F3074" s="76">
        <f t="shared" si="31"/>
        <v>77086.399999999994</v>
      </c>
      <c r="G3074" s="78">
        <f>노무비목록표!E12</f>
        <v>172068</v>
      </c>
      <c r="H3074" s="81">
        <f>IF(C3074=0,0,ROUNDDOWN(G3074*C3074,1))</f>
        <v>77086.399999999994</v>
      </c>
      <c r="I3074" s="51">
        <v>0</v>
      </c>
      <c r="J3074" s="77">
        <f>IF(C3074=0,0,ROUNDDOWN(I3074*C3074,1))</f>
        <v>0</v>
      </c>
      <c r="K3074" s="51">
        <v>0</v>
      </c>
      <c r="L3074" s="76">
        <f>IF(C3074=0,0,ROUNDDOWN(K3074*C3074,1))</f>
        <v>0</v>
      </c>
      <c r="M3074" s="22" t="s">
        <v>8262</v>
      </c>
      <c r="N3074" s="17" t="s">
        <v>8260</v>
      </c>
      <c r="O3074" s="7" t="s">
        <v>8261</v>
      </c>
      <c r="P3074" s="7" t="s">
        <v>6406</v>
      </c>
      <c r="Q3074" s="7" t="s">
        <v>7061</v>
      </c>
      <c r="Z3074" s="3" t="str">
        <f ca="1">HYPERLINK("#"&amp;노무비목록표!G2&amp;"!A"&amp;ROW(노무비목록표!A12),"노무9 →")</f>
        <v>노무9 →</v>
      </c>
    </row>
    <row r="3075" spans="1:26" ht="28.7" customHeight="1" x14ac:dyDescent="0.3">
      <c r="A3075" s="10" t="s">
        <v>8616</v>
      </c>
      <c r="B3075" s="10" t="s">
        <v>7063</v>
      </c>
      <c r="C3075" s="75">
        <v>3</v>
      </c>
      <c r="D3075" s="31" t="s">
        <v>7064</v>
      </c>
      <c r="E3075" s="55">
        <f t="shared" si="31"/>
        <v>403862</v>
      </c>
      <c r="F3075" s="77">
        <f t="shared" si="31"/>
        <v>12115.8</v>
      </c>
      <c r="G3075" s="13">
        <v>0</v>
      </c>
      <c r="H3075" s="77">
        <f>IF(C3075=0,0,ROUNDDOWN(G3075*C3075/100,1))</f>
        <v>0</v>
      </c>
      <c r="I3075" s="13">
        <v>0</v>
      </c>
      <c r="J3075" s="76">
        <f>IF(C3075=0,0,ROUNDDOWN(I3075*C3075/100,1))</f>
        <v>0</v>
      </c>
      <c r="K3075" s="82">
        <f>H3073+H3074</f>
        <v>403862</v>
      </c>
      <c r="L3075" s="76">
        <f>IF(C3075=0,0,ROUNDDOWN(K3075*C3075/100,1))</f>
        <v>12115.8</v>
      </c>
      <c r="M3075" s="22"/>
      <c r="N3075" s="17" t="s">
        <v>7065</v>
      </c>
      <c r="O3075" s="7" t="s">
        <v>7066</v>
      </c>
      <c r="P3075" s="7" t="s">
        <v>6406</v>
      </c>
    </row>
    <row r="3076" spans="1:26" ht="28.7" customHeight="1" x14ac:dyDescent="0.3">
      <c r="A3076" s="22" t="s">
        <v>6</v>
      </c>
      <c r="B3076" s="74"/>
      <c r="C3076" s="74"/>
      <c r="D3076" s="74"/>
      <c r="E3076" s="74"/>
      <c r="F3076" s="48">
        <f>J3076+H3076+L3076</f>
        <v>415977</v>
      </c>
      <c r="G3076" s="74"/>
      <c r="H3076" s="48">
        <f>ROUNDDOWN(SUMIF(P3072:P3075,O3076,H3072:H3075),0)</f>
        <v>403862</v>
      </c>
      <c r="I3076" s="74"/>
      <c r="J3076" s="48">
        <f>ROUNDDOWN(SUMIF(P3072:P3075,O3076,J3072:J3075),0)</f>
        <v>0</v>
      </c>
      <c r="K3076" s="74"/>
      <c r="L3076" s="48">
        <f>ROUNDDOWN(SUMIF(P3072:P3075,O3076,L3072:L3075),0)</f>
        <v>12115</v>
      </c>
      <c r="M3076" s="74"/>
      <c r="O3076" s="7" t="s">
        <v>6406</v>
      </c>
    </row>
    <row r="3077" spans="1:26" ht="28.7" customHeight="1" x14ac:dyDescent="0.3">
      <c r="A3077" s="73"/>
      <c r="B3077" s="73"/>
      <c r="C3077" s="73"/>
      <c r="D3077" s="73"/>
      <c r="E3077" s="73"/>
      <c r="F3077" s="73"/>
      <c r="G3077" s="73"/>
      <c r="H3077" s="73"/>
      <c r="I3077" s="73"/>
      <c r="J3077" s="73"/>
      <c r="K3077" s="73"/>
      <c r="L3077" s="73"/>
      <c r="M3077" s="73"/>
    </row>
    <row r="3078" spans="1:26" ht="28.7" customHeight="1" x14ac:dyDescent="0.3">
      <c r="A3078" s="136" t="s">
        <v>1719</v>
      </c>
      <c r="B3078" s="127"/>
      <c r="C3078" s="127"/>
      <c r="D3078" s="127"/>
      <c r="E3078" s="127"/>
      <c r="F3078" s="127"/>
      <c r="G3078" s="127"/>
      <c r="H3078" s="127"/>
      <c r="I3078" s="127"/>
      <c r="J3078" s="127"/>
      <c r="K3078" s="127"/>
      <c r="L3078" s="144"/>
      <c r="M3078" s="22" t="s">
        <v>8635</v>
      </c>
      <c r="N3078" s="84" t="str">
        <f>HYPERLINK("#N"&amp;ROW(N3081),"_x0005_`BDCOD|B04781_x0007_`POSS|"&amp;ROW(N3079)&amp;"_x0007_`POSE|"&amp;ROW(N3081)&amp;"_x0007_`")</f>
        <v>_x0005_`BDCOD|B04781_x0007_`POSS|3079_x0007_`POSE|3081_x0007_`</v>
      </c>
      <c r="O3078" s="7" t="s">
        <v>8636</v>
      </c>
    </row>
    <row r="3079" spans="1:26" ht="28.7" customHeight="1" x14ac:dyDescent="0.3">
      <c r="A3079" s="10"/>
      <c r="B3079" s="10" t="s">
        <v>6506</v>
      </c>
      <c r="C3079" s="75">
        <v>0</v>
      </c>
      <c r="D3079" s="31"/>
      <c r="E3079" s="33">
        <v>0</v>
      </c>
      <c r="F3079" s="11">
        <v>0</v>
      </c>
      <c r="G3079" s="42"/>
      <c r="H3079" s="11">
        <v>0</v>
      </c>
      <c r="I3079" s="42"/>
      <c r="J3079" s="33">
        <v>0</v>
      </c>
      <c r="K3079" s="46"/>
      <c r="L3079" s="33">
        <v>0</v>
      </c>
      <c r="M3079" s="22" t="s">
        <v>6509</v>
      </c>
      <c r="N3079" s="17" t="s">
        <v>6507</v>
      </c>
      <c r="O3079" s="7" t="s">
        <v>6508</v>
      </c>
      <c r="P3079" s="7" t="s">
        <v>6508</v>
      </c>
    </row>
    <row r="3080" spans="1:26" ht="28.7" customHeight="1" x14ac:dyDescent="0.3">
      <c r="A3080" s="10" t="s">
        <v>1686</v>
      </c>
      <c r="B3080" s="10" t="s">
        <v>1724</v>
      </c>
      <c r="C3080" s="75">
        <v>1</v>
      </c>
      <c r="D3080" s="31" t="s">
        <v>14</v>
      </c>
      <c r="E3080" s="55">
        <f>I3080+G3080+K3080</f>
        <v>209936</v>
      </c>
      <c r="F3080" s="76">
        <f>J3080+H3080+L3080</f>
        <v>209936</v>
      </c>
      <c r="G3080" s="78">
        <f>일위대가목록표!F671</f>
        <v>203822</v>
      </c>
      <c r="H3080" s="80">
        <f>IF(C3080=0,0,ROUNDDOWN(G3080*C3080,1))</f>
        <v>203822</v>
      </c>
      <c r="I3080" s="78">
        <f>일위대가목록표!G671</f>
        <v>0</v>
      </c>
      <c r="J3080" s="80">
        <f>IF(C3080=0,0,ROUNDDOWN(I3080*C3080,1))</f>
        <v>0</v>
      </c>
      <c r="K3080" s="78">
        <f>일위대가목록표!H671</f>
        <v>6114</v>
      </c>
      <c r="L3080" s="80">
        <f>IF(C3080=0,0,ROUNDDOWN(K3080*C3080,1))</f>
        <v>6114</v>
      </c>
      <c r="M3080" s="22" t="s">
        <v>6560</v>
      </c>
      <c r="N3080" s="17" t="s">
        <v>6558</v>
      </c>
      <c r="O3080" s="7" t="s">
        <v>6559</v>
      </c>
      <c r="P3080" s="7" t="s">
        <v>6406</v>
      </c>
      <c r="Z3080" s="3" t="str">
        <f ca="1">HYPERLINK("#"&amp;일위대가목록표!J2&amp;"!A"&amp;ROW(일위대가목록표!A671),"대가668 →")</f>
        <v>대가668 →</v>
      </c>
    </row>
    <row r="3081" spans="1:26" ht="28.7" customHeight="1" x14ac:dyDescent="0.3">
      <c r="A3081" s="10" t="s">
        <v>1690</v>
      </c>
      <c r="B3081" s="10" t="s">
        <v>1727</v>
      </c>
      <c r="C3081" s="75">
        <v>1</v>
      </c>
      <c r="D3081" s="31" t="s">
        <v>14</v>
      </c>
      <c r="E3081" s="55">
        <f>I3081+G3081+K3081</f>
        <v>524841</v>
      </c>
      <c r="F3081" s="76">
        <f>J3081+H3081+L3081</f>
        <v>524841</v>
      </c>
      <c r="G3081" s="78">
        <f>일위대가목록표!F672</f>
        <v>509555</v>
      </c>
      <c r="H3081" s="80">
        <f>IF(C3081=0,0,ROUNDDOWN(G3081*C3081,1))</f>
        <v>509555</v>
      </c>
      <c r="I3081" s="78">
        <f>일위대가목록표!G672</f>
        <v>0</v>
      </c>
      <c r="J3081" s="80">
        <f>IF(C3081=0,0,ROUNDDOWN(I3081*C3081,1))</f>
        <v>0</v>
      </c>
      <c r="K3081" s="78">
        <f>일위대가목록표!H672</f>
        <v>15286</v>
      </c>
      <c r="L3081" s="80">
        <f>IF(C3081=0,0,ROUNDDOWN(K3081*C3081,1))</f>
        <v>15286</v>
      </c>
      <c r="M3081" s="22" t="s">
        <v>6683</v>
      </c>
      <c r="N3081" s="17" t="s">
        <v>6681</v>
      </c>
      <c r="O3081" s="7" t="s">
        <v>6682</v>
      </c>
      <c r="P3081" s="7" t="s">
        <v>6406</v>
      </c>
      <c r="Z3081" s="3" t="str">
        <f ca="1">HYPERLINK("#"&amp;일위대가목록표!J2&amp;"!A"&amp;ROW(일위대가목록표!A672),"대가669 →")</f>
        <v>대가669 →</v>
      </c>
    </row>
    <row r="3082" spans="1:26" ht="28.7" customHeight="1" x14ac:dyDescent="0.3">
      <c r="A3082" s="22" t="s">
        <v>6</v>
      </c>
      <c r="B3082" s="74"/>
      <c r="C3082" s="74"/>
      <c r="D3082" s="74"/>
      <c r="E3082" s="74"/>
      <c r="F3082" s="48">
        <f>J3082+H3082+L3082</f>
        <v>734777</v>
      </c>
      <c r="G3082" s="74"/>
      <c r="H3082" s="48">
        <f>ROUNDDOWN(SUMIF(P3079:P3081,O3082,H3079:H3081),0)</f>
        <v>713377</v>
      </c>
      <c r="I3082" s="74"/>
      <c r="J3082" s="48">
        <f>ROUNDDOWN(SUMIF(P3079:P3081,O3082,J3079:J3081),0)</f>
        <v>0</v>
      </c>
      <c r="K3082" s="74"/>
      <c r="L3082" s="48">
        <f>ROUNDDOWN(SUMIF(P3079:P3081,O3082,L3079:L3081),0)</f>
        <v>21400</v>
      </c>
      <c r="M3082" s="74"/>
      <c r="O3082" s="7" t="s">
        <v>6406</v>
      </c>
    </row>
    <row r="3083" spans="1:26" ht="28.7" customHeight="1" x14ac:dyDescent="0.3">
      <c r="A3083" s="73"/>
      <c r="B3083" s="73"/>
      <c r="C3083" s="73"/>
      <c r="D3083" s="73"/>
      <c r="E3083" s="73"/>
      <c r="F3083" s="73"/>
      <c r="G3083" s="73"/>
      <c r="H3083" s="73"/>
      <c r="I3083" s="73"/>
      <c r="J3083" s="73"/>
      <c r="K3083" s="73"/>
      <c r="L3083" s="73"/>
      <c r="M3083" s="73"/>
    </row>
    <row r="3084" spans="1:26" ht="28.7" customHeight="1" x14ac:dyDescent="0.3">
      <c r="A3084" s="136" t="s">
        <v>1722</v>
      </c>
      <c r="B3084" s="127"/>
      <c r="C3084" s="127"/>
      <c r="D3084" s="127"/>
      <c r="E3084" s="127"/>
      <c r="F3084" s="127"/>
      <c r="G3084" s="127"/>
      <c r="H3084" s="127"/>
      <c r="I3084" s="127"/>
      <c r="J3084" s="127"/>
      <c r="K3084" s="127"/>
      <c r="L3084" s="144"/>
      <c r="M3084" s="22" t="s">
        <v>8637</v>
      </c>
      <c r="N3084" s="84" t="str">
        <f>HYPERLINK("#N"&amp;ROW(N3086),"_x0005_`BDCOD|B04769_x0007_`POSS|"&amp;ROW(N3085)&amp;"_x0007_`POSE|"&amp;ROW(N3086)&amp;"_x0007_`")</f>
        <v>_x0005_`BDCOD|B04769_x0007_`POSS|3085_x0007_`POSE|3086_x0007_`</v>
      </c>
      <c r="O3084" s="7" t="s">
        <v>8638</v>
      </c>
    </row>
    <row r="3085" spans="1:26" ht="28.7" customHeight="1" x14ac:dyDescent="0.3">
      <c r="A3085" s="10"/>
      <c r="B3085" s="10" t="s">
        <v>6506</v>
      </c>
      <c r="C3085" s="75">
        <v>0</v>
      </c>
      <c r="D3085" s="31"/>
      <c r="E3085" s="33">
        <v>0</v>
      </c>
      <c r="F3085" s="11">
        <v>0</v>
      </c>
      <c r="G3085" s="42"/>
      <c r="H3085" s="11">
        <v>0</v>
      </c>
      <c r="I3085" s="42"/>
      <c r="J3085" s="33">
        <v>0</v>
      </c>
      <c r="K3085" s="46"/>
      <c r="L3085" s="33">
        <v>0</v>
      </c>
      <c r="M3085" s="22" t="s">
        <v>6509</v>
      </c>
      <c r="N3085" s="17" t="s">
        <v>6507</v>
      </c>
      <c r="O3085" s="7" t="s">
        <v>6508</v>
      </c>
      <c r="P3085" s="7" t="s">
        <v>6508</v>
      </c>
    </row>
    <row r="3086" spans="1:26" ht="28.7" customHeight="1" x14ac:dyDescent="0.3">
      <c r="A3086" s="10" t="s">
        <v>1690</v>
      </c>
      <c r="B3086" s="10" t="s">
        <v>1727</v>
      </c>
      <c r="C3086" s="75">
        <v>0.4</v>
      </c>
      <c r="D3086" s="31" t="s">
        <v>14</v>
      </c>
      <c r="E3086" s="55">
        <f>I3086+G3086+K3086</f>
        <v>524841</v>
      </c>
      <c r="F3086" s="76">
        <f>J3086+H3086+L3086</f>
        <v>209936.4</v>
      </c>
      <c r="G3086" s="78">
        <f>일위대가목록표!F672</f>
        <v>509555</v>
      </c>
      <c r="H3086" s="80">
        <f>IF(C3086=0,0,ROUNDDOWN(G3086*C3086,1))</f>
        <v>203822</v>
      </c>
      <c r="I3086" s="78">
        <f>일위대가목록표!G672</f>
        <v>0</v>
      </c>
      <c r="J3086" s="80">
        <f>IF(C3086=0,0,ROUNDDOWN(I3086*C3086,1))</f>
        <v>0</v>
      </c>
      <c r="K3086" s="78">
        <f>일위대가목록표!H672</f>
        <v>15286</v>
      </c>
      <c r="L3086" s="80">
        <f>IF(C3086=0,0,ROUNDDOWN(K3086*C3086,1))</f>
        <v>6114.4</v>
      </c>
      <c r="M3086" s="22" t="s">
        <v>6683</v>
      </c>
      <c r="N3086" s="17" t="s">
        <v>6681</v>
      </c>
      <c r="O3086" s="7" t="s">
        <v>6682</v>
      </c>
      <c r="P3086" s="7" t="s">
        <v>6406</v>
      </c>
      <c r="Z3086" s="3" t="str">
        <f ca="1">HYPERLINK("#"&amp;일위대가목록표!J2&amp;"!A"&amp;ROW(일위대가목록표!A672),"대가669 →")</f>
        <v>대가669 →</v>
      </c>
    </row>
    <row r="3087" spans="1:26" ht="28.7" customHeight="1" x14ac:dyDescent="0.3">
      <c r="A3087" s="22" t="s">
        <v>6</v>
      </c>
      <c r="B3087" s="74"/>
      <c r="C3087" s="74"/>
      <c r="D3087" s="74"/>
      <c r="E3087" s="74"/>
      <c r="F3087" s="48">
        <f>J3087+H3087+L3087</f>
        <v>209936</v>
      </c>
      <c r="G3087" s="74"/>
      <c r="H3087" s="48">
        <f>ROUNDDOWN(SUMIF(P3085:P3086,O3087,H3085:H3086),0)</f>
        <v>203822</v>
      </c>
      <c r="I3087" s="74"/>
      <c r="J3087" s="48">
        <f>ROUNDDOWN(SUMIF(P3085:P3086,O3087,J3085:J3086),0)</f>
        <v>0</v>
      </c>
      <c r="K3087" s="74"/>
      <c r="L3087" s="48">
        <f>ROUNDDOWN(SUMIF(P3085:P3086,O3087,L3085:L3086),0)</f>
        <v>6114</v>
      </c>
      <c r="M3087" s="74"/>
      <c r="O3087" s="7" t="s">
        <v>6406</v>
      </c>
    </row>
    <row r="3088" spans="1:26" ht="28.7" customHeight="1" x14ac:dyDescent="0.3">
      <c r="A3088" s="73"/>
      <c r="B3088" s="73"/>
      <c r="C3088" s="73"/>
      <c r="D3088" s="73"/>
      <c r="E3088" s="73"/>
      <c r="F3088" s="73"/>
      <c r="G3088" s="73"/>
      <c r="H3088" s="73"/>
      <c r="I3088" s="73"/>
      <c r="J3088" s="73"/>
      <c r="K3088" s="73"/>
      <c r="L3088" s="73"/>
      <c r="M3088" s="73"/>
    </row>
    <row r="3089" spans="1:26" ht="28.7" customHeight="1" x14ac:dyDescent="0.3">
      <c r="A3089" s="136" t="s">
        <v>1725</v>
      </c>
      <c r="B3089" s="127"/>
      <c r="C3089" s="127"/>
      <c r="D3089" s="127"/>
      <c r="E3089" s="127"/>
      <c r="F3089" s="127"/>
      <c r="G3089" s="127"/>
      <c r="H3089" s="127"/>
      <c r="I3089" s="127"/>
      <c r="J3089" s="127"/>
      <c r="K3089" s="127"/>
      <c r="L3089" s="144"/>
      <c r="M3089" s="22" t="s">
        <v>8639</v>
      </c>
      <c r="N3089" s="84" t="str">
        <f>HYPERLINK("#N"&amp;ROW(N3093),"_x0005_`BDCOD|B04757_x0007_`POSS|"&amp;ROW(N3090)&amp;"_x0007_`POSE|"&amp;ROW(N3093)&amp;"_x0007_`")</f>
        <v>_x0005_`BDCOD|B04757_x0007_`POSS|3090_x0007_`POSE|3093_x0007_`</v>
      </c>
      <c r="O3089" s="7" t="s">
        <v>8640</v>
      </c>
    </row>
    <row r="3090" spans="1:26" ht="28.7" customHeight="1" x14ac:dyDescent="0.3">
      <c r="A3090" s="10"/>
      <c r="B3090" s="10" t="s">
        <v>6506</v>
      </c>
      <c r="C3090" s="75">
        <v>0</v>
      </c>
      <c r="D3090" s="31"/>
      <c r="E3090" s="33">
        <v>0</v>
      </c>
      <c r="F3090" s="11">
        <v>0</v>
      </c>
      <c r="G3090" s="42"/>
      <c r="H3090" s="11">
        <v>0</v>
      </c>
      <c r="I3090" s="42"/>
      <c r="J3090" s="33">
        <v>0</v>
      </c>
      <c r="K3090" s="46"/>
      <c r="L3090" s="33">
        <v>0</v>
      </c>
      <c r="M3090" s="22" t="s">
        <v>6509</v>
      </c>
      <c r="N3090" s="17" t="s">
        <v>6507</v>
      </c>
      <c r="O3090" s="7" t="s">
        <v>6508</v>
      </c>
      <c r="P3090" s="7" t="s">
        <v>6508</v>
      </c>
    </row>
    <row r="3091" spans="1:26" ht="28.7" customHeight="1" x14ac:dyDescent="0.3">
      <c r="A3091" s="10" t="s">
        <v>3081</v>
      </c>
      <c r="B3091" s="10"/>
      <c r="C3091" s="75">
        <v>1.706</v>
      </c>
      <c r="D3091" s="31" t="s">
        <v>3074</v>
      </c>
      <c r="E3091" s="55">
        <f t="shared" ref="E3091:F3093" si="32">I3091+G3091+K3091</f>
        <v>241698</v>
      </c>
      <c r="F3091" s="76">
        <f t="shared" si="32"/>
        <v>412336.7</v>
      </c>
      <c r="G3091" s="78">
        <f>노무비목록표!E8</f>
        <v>241698</v>
      </c>
      <c r="H3091" s="81">
        <f>IF(C3091=0,0,ROUNDDOWN(G3091*C3091,1))</f>
        <v>412336.7</v>
      </c>
      <c r="I3091" s="51">
        <v>0</v>
      </c>
      <c r="J3091" s="77">
        <f>IF(C3091=0,0,ROUNDDOWN(I3091*C3091,1))</f>
        <v>0</v>
      </c>
      <c r="K3091" s="51">
        <v>0</v>
      </c>
      <c r="L3091" s="76">
        <f>IF(C3091=0,0,ROUNDDOWN(K3091*C3091,1))</f>
        <v>0</v>
      </c>
      <c r="M3091" s="22" t="s">
        <v>8615</v>
      </c>
      <c r="N3091" s="17" t="s">
        <v>8613</v>
      </c>
      <c r="O3091" s="7" t="s">
        <v>8614</v>
      </c>
      <c r="P3091" s="7" t="s">
        <v>6406</v>
      </c>
      <c r="Q3091" s="7" t="s">
        <v>7061</v>
      </c>
      <c r="Z3091" s="3" t="str">
        <f ca="1">HYPERLINK("#"&amp;노무비목록표!G2&amp;"!A"&amp;ROW(노무비목록표!A8),"노무5 →")</f>
        <v>노무5 →</v>
      </c>
    </row>
    <row r="3092" spans="1:26" ht="28.7" customHeight="1" x14ac:dyDescent="0.3">
      <c r="A3092" s="10" t="s">
        <v>3090</v>
      </c>
      <c r="B3092" s="10"/>
      <c r="C3092" s="75">
        <v>0.56499999999999995</v>
      </c>
      <c r="D3092" s="31" t="s">
        <v>3074</v>
      </c>
      <c r="E3092" s="55">
        <f t="shared" si="32"/>
        <v>172068</v>
      </c>
      <c r="F3092" s="76">
        <f t="shared" si="32"/>
        <v>97218.4</v>
      </c>
      <c r="G3092" s="78">
        <f>노무비목록표!E12</f>
        <v>172068</v>
      </c>
      <c r="H3092" s="81">
        <f>IF(C3092=0,0,ROUNDDOWN(G3092*C3092,1))</f>
        <v>97218.4</v>
      </c>
      <c r="I3092" s="51">
        <v>0</v>
      </c>
      <c r="J3092" s="77">
        <f>IF(C3092=0,0,ROUNDDOWN(I3092*C3092,1))</f>
        <v>0</v>
      </c>
      <c r="K3092" s="51">
        <v>0</v>
      </c>
      <c r="L3092" s="76">
        <f>IF(C3092=0,0,ROUNDDOWN(K3092*C3092,1))</f>
        <v>0</v>
      </c>
      <c r="M3092" s="22" t="s">
        <v>8262</v>
      </c>
      <c r="N3092" s="17" t="s">
        <v>8260</v>
      </c>
      <c r="O3092" s="7" t="s">
        <v>8261</v>
      </c>
      <c r="P3092" s="7" t="s">
        <v>6406</v>
      </c>
      <c r="Q3092" s="7" t="s">
        <v>7061</v>
      </c>
      <c r="Z3092" s="3" t="str">
        <f ca="1">HYPERLINK("#"&amp;노무비목록표!G2&amp;"!A"&amp;ROW(노무비목록표!A12),"노무9 →")</f>
        <v>노무9 →</v>
      </c>
    </row>
    <row r="3093" spans="1:26" ht="28.7" customHeight="1" x14ac:dyDescent="0.3">
      <c r="A3093" s="10" t="s">
        <v>8616</v>
      </c>
      <c r="B3093" s="10" t="s">
        <v>7063</v>
      </c>
      <c r="C3093" s="75">
        <v>3</v>
      </c>
      <c r="D3093" s="31" t="s">
        <v>7064</v>
      </c>
      <c r="E3093" s="55">
        <f t="shared" si="32"/>
        <v>509555.1</v>
      </c>
      <c r="F3093" s="77">
        <f t="shared" si="32"/>
        <v>15286.6</v>
      </c>
      <c r="G3093" s="13">
        <v>0</v>
      </c>
      <c r="H3093" s="77">
        <f>IF(C3093=0,0,ROUNDDOWN(G3093*C3093/100,1))</f>
        <v>0</v>
      </c>
      <c r="I3093" s="13">
        <v>0</v>
      </c>
      <c r="J3093" s="76">
        <f>IF(C3093=0,0,ROUNDDOWN(I3093*C3093/100,1))</f>
        <v>0</v>
      </c>
      <c r="K3093" s="82">
        <f>H3091+H3092</f>
        <v>509555.1</v>
      </c>
      <c r="L3093" s="76">
        <f>IF(C3093=0,0,ROUNDDOWN(K3093*C3093/100,1))</f>
        <v>15286.6</v>
      </c>
      <c r="M3093" s="22"/>
      <c r="N3093" s="17" t="s">
        <v>7065</v>
      </c>
      <c r="O3093" s="7" t="s">
        <v>7066</v>
      </c>
      <c r="P3093" s="7" t="s">
        <v>6406</v>
      </c>
    </row>
    <row r="3094" spans="1:26" ht="28.7" customHeight="1" x14ac:dyDescent="0.3">
      <c r="A3094" s="22" t="s">
        <v>6</v>
      </c>
      <c r="B3094" s="74"/>
      <c r="C3094" s="74"/>
      <c r="D3094" s="74"/>
      <c r="E3094" s="74"/>
      <c r="F3094" s="48">
        <f>J3094+H3094+L3094</f>
        <v>524841</v>
      </c>
      <c r="G3094" s="74"/>
      <c r="H3094" s="48">
        <f>ROUNDDOWN(SUMIF(P3090:P3093,O3094,H3090:H3093),0)</f>
        <v>509555</v>
      </c>
      <c r="I3094" s="74"/>
      <c r="J3094" s="48">
        <f>ROUNDDOWN(SUMIF(P3090:P3093,O3094,J3090:J3093),0)</f>
        <v>0</v>
      </c>
      <c r="K3094" s="74"/>
      <c r="L3094" s="48">
        <f>ROUNDDOWN(SUMIF(P3090:P3093,O3094,L3090:L3093),0)</f>
        <v>15286</v>
      </c>
      <c r="M3094" s="74"/>
      <c r="O3094" s="7" t="s">
        <v>6406</v>
      </c>
    </row>
    <row r="3095" spans="1:26" ht="28.7" customHeight="1" x14ac:dyDescent="0.3">
      <c r="A3095" s="73"/>
      <c r="B3095" s="73"/>
      <c r="C3095" s="73"/>
      <c r="D3095" s="73"/>
      <c r="E3095" s="73"/>
      <c r="F3095" s="73"/>
      <c r="G3095" s="73"/>
      <c r="H3095" s="73"/>
      <c r="I3095" s="73"/>
      <c r="J3095" s="73"/>
      <c r="K3095" s="73"/>
      <c r="L3095" s="73"/>
      <c r="M3095" s="73"/>
    </row>
    <row r="3096" spans="1:26" ht="28.7" customHeight="1" x14ac:dyDescent="0.3">
      <c r="A3096" s="136" t="s">
        <v>1728</v>
      </c>
      <c r="B3096" s="127"/>
      <c r="C3096" s="127"/>
      <c r="D3096" s="127"/>
      <c r="E3096" s="127"/>
      <c r="F3096" s="127"/>
      <c r="G3096" s="127"/>
      <c r="H3096" s="127"/>
      <c r="I3096" s="127"/>
      <c r="J3096" s="127"/>
      <c r="K3096" s="127"/>
      <c r="L3096" s="144"/>
      <c r="M3096" s="22" t="s">
        <v>8641</v>
      </c>
      <c r="N3096" s="84" t="str">
        <f>HYPERLINK("#N"&amp;ROW(N3099),"_x0005_`BDCOD|B04782_x0007_`POSS|"&amp;ROW(N3097)&amp;"_x0007_`POSE|"&amp;ROW(N3099)&amp;"_x0007_`")</f>
        <v>_x0005_`BDCOD|B04782_x0007_`POSS|3097_x0007_`POSE|3099_x0007_`</v>
      </c>
      <c r="O3096" s="7" t="s">
        <v>8642</v>
      </c>
    </row>
    <row r="3097" spans="1:26" ht="28.7" customHeight="1" x14ac:dyDescent="0.3">
      <c r="A3097" s="10"/>
      <c r="B3097" s="10" t="s">
        <v>6506</v>
      </c>
      <c r="C3097" s="75">
        <v>0</v>
      </c>
      <c r="D3097" s="31"/>
      <c r="E3097" s="33">
        <v>0</v>
      </c>
      <c r="F3097" s="11">
        <v>0</v>
      </c>
      <c r="G3097" s="42"/>
      <c r="H3097" s="11">
        <v>0</v>
      </c>
      <c r="I3097" s="42"/>
      <c r="J3097" s="33">
        <v>0</v>
      </c>
      <c r="K3097" s="46"/>
      <c r="L3097" s="33">
        <v>0</v>
      </c>
      <c r="M3097" s="22" t="s">
        <v>6509</v>
      </c>
      <c r="N3097" s="17" t="s">
        <v>6507</v>
      </c>
      <c r="O3097" s="7" t="s">
        <v>6508</v>
      </c>
      <c r="P3097" s="7" t="s">
        <v>6508</v>
      </c>
    </row>
    <row r="3098" spans="1:26" ht="28.7" customHeight="1" x14ac:dyDescent="0.3">
      <c r="A3098" s="10" t="s">
        <v>1686</v>
      </c>
      <c r="B3098" s="10" t="s">
        <v>1733</v>
      </c>
      <c r="C3098" s="75">
        <v>1</v>
      </c>
      <c r="D3098" s="31" t="s">
        <v>14</v>
      </c>
      <c r="E3098" s="55">
        <f>I3098+G3098+K3098</f>
        <v>263831</v>
      </c>
      <c r="F3098" s="76">
        <f>J3098+H3098+L3098</f>
        <v>263831</v>
      </c>
      <c r="G3098" s="78">
        <f>일위대가목록표!F674</f>
        <v>256147</v>
      </c>
      <c r="H3098" s="80">
        <f>IF(C3098=0,0,ROUNDDOWN(G3098*C3098,1))</f>
        <v>256147</v>
      </c>
      <c r="I3098" s="78">
        <f>일위대가목록표!G674</f>
        <v>0</v>
      </c>
      <c r="J3098" s="80">
        <f>IF(C3098=0,0,ROUNDDOWN(I3098*C3098,1))</f>
        <v>0</v>
      </c>
      <c r="K3098" s="78">
        <f>일위대가목록표!H674</f>
        <v>7684</v>
      </c>
      <c r="L3098" s="80">
        <f>IF(C3098=0,0,ROUNDDOWN(K3098*C3098,1))</f>
        <v>7684</v>
      </c>
      <c r="M3098" s="22" t="s">
        <v>6565</v>
      </c>
      <c r="N3098" s="17" t="s">
        <v>6563</v>
      </c>
      <c r="O3098" s="7" t="s">
        <v>6564</v>
      </c>
      <c r="P3098" s="7" t="s">
        <v>6406</v>
      </c>
      <c r="Z3098" s="3" t="str">
        <f ca="1">HYPERLINK("#"&amp;일위대가목록표!J2&amp;"!A"&amp;ROW(일위대가목록표!A674),"대가671 →")</f>
        <v>대가671 →</v>
      </c>
    </row>
    <row r="3099" spans="1:26" ht="28.7" customHeight="1" x14ac:dyDescent="0.3">
      <c r="A3099" s="10" t="s">
        <v>1690</v>
      </c>
      <c r="B3099" s="10" t="s">
        <v>1736</v>
      </c>
      <c r="C3099" s="75">
        <v>1</v>
      </c>
      <c r="D3099" s="31" t="s">
        <v>14</v>
      </c>
      <c r="E3099" s="55">
        <f>I3099+G3099+K3099</f>
        <v>659579</v>
      </c>
      <c r="F3099" s="76">
        <f>J3099+H3099+L3099</f>
        <v>659579</v>
      </c>
      <c r="G3099" s="78">
        <f>일위대가목록표!F675</f>
        <v>640368</v>
      </c>
      <c r="H3099" s="80">
        <f>IF(C3099=0,0,ROUNDDOWN(G3099*C3099,1))</f>
        <v>640368</v>
      </c>
      <c r="I3099" s="78">
        <f>일위대가목록표!G675</f>
        <v>0</v>
      </c>
      <c r="J3099" s="80">
        <f>IF(C3099=0,0,ROUNDDOWN(I3099*C3099,1))</f>
        <v>0</v>
      </c>
      <c r="K3099" s="78">
        <f>일위대가목록표!H675</f>
        <v>19211</v>
      </c>
      <c r="L3099" s="80">
        <f>IF(C3099=0,0,ROUNDDOWN(K3099*C3099,1))</f>
        <v>19211</v>
      </c>
      <c r="M3099" s="22" t="s">
        <v>6688</v>
      </c>
      <c r="N3099" s="17" t="s">
        <v>6686</v>
      </c>
      <c r="O3099" s="7" t="s">
        <v>6687</v>
      </c>
      <c r="P3099" s="7" t="s">
        <v>6406</v>
      </c>
      <c r="Z3099" s="3" t="str">
        <f ca="1">HYPERLINK("#"&amp;일위대가목록표!J2&amp;"!A"&amp;ROW(일위대가목록표!A675),"대가672 →")</f>
        <v>대가672 →</v>
      </c>
    </row>
    <row r="3100" spans="1:26" ht="28.7" customHeight="1" x14ac:dyDescent="0.3">
      <c r="A3100" s="22" t="s">
        <v>6</v>
      </c>
      <c r="B3100" s="74"/>
      <c r="C3100" s="74"/>
      <c r="D3100" s="74"/>
      <c r="E3100" s="74"/>
      <c r="F3100" s="48">
        <f>J3100+H3100+L3100</f>
        <v>923410</v>
      </c>
      <c r="G3100" s="74"/>
      <c r="H3100" s="48">
        <f>ROUNDDOWN(SUMIF(P3097:P3099,O3100,H3097:H3099),0)</f>
        <v>896515</v>
      </c>
      <c r="I3100" s="74"/>
      <c r="J3100" s="48">
        <f>ROUNDDOWN(SUMIF(P3097:P3099,O3100,J3097:J3099),0)</f>
        <v>0</v>
      </c>
      <c r="K3100" s="74"/>
      <c r="L3100" s="48">
        <f>ROUNDDOWN(SUMIF(P3097:P3099,O3100,L3097:L3099),0)</f>
        <v>26895</v>
      </c>
      <c r="M3100" s="74"/>
      <c r="O3100" s="7" t="s">
        <v>6406</v>
      </c>
    </row>
    <row r="3101" spans="1:26" ht="28.7" customHeight="1" x14ac:dyDescent="0.3">
      <c r="A3101" s="73"/>
      <c r="B3101" s="73"/>
      <c r="C3101" s="73"/>
      <c r="D3101" s="73"/>
      <c r="E3101" s="73"/>
      <c r="F3101" s="73"/>
      <c r="G3101" s="73"/>
      <c r="H3101" s="73"/>
      <c r="I3101" s="73"/>
      <c r="J3101" s="73"/>
      <c r="K3101" s="73"/>
      <c r="L3101" s="73"/>
      <c r="M3101" s="73"/>
    </row>
    <row r="3102" spans="1:26" ht="28.7" customHeight="1" x14ac:dyDescent="0.3">
      <c r="A3102" s="136" t="s">
        <v>1731</v>
      </c>
      <c r="B3102" s="127"/>
      <c r="C3102" s="127"/>
      <c r="D3102" s="127"/>
      <c r="E3102" s="127"/>
      <c r="F3102" s="127"/>
      <c r="G3102" s="127"/>
      <c r="H3102" s="127"/>
      <c r="I3102" s="127"/>
      <c r="J3102" s="127"/>
      <c r="K3102" s="127"/>
      <c r="L3102" s="144"/>
      <c r="M3102" s="22" t="s">
        <v>8643</v>
      </c>
      <c r="N3102" s="84" t="str">
        <f>HYPERLINK("#N"&amp;ROW(N3104),"_x0005_`BDCOD|B04770_x0007_`POSS|"&amp;ROW(N3103)&amp;"_x0007_`POSE|"&amp;ROW(N3104)&amp;"_x0007_`")</f>
        <v>_x0005_`BDCOD|B04770_x0007_`POSS|3103_x0007_`POSE|3104_x0007_`</v>
      </c>
      <c r="O3102" s="7" t="s">
        <v>8644</v>
      </c>
    </row>
    <row r="3103" spans="1:26" ht="28.7" customHeight="1" x14ac:dyDescent="0.3">
      <c r="A3103" s="10"/>
      <c r="B3103" s="10" t="s">
        <v>6506</v>
      </c>
      <c r="C3103" s="75">
        <v>0</v>
      </c>
      <c r="D3103" s="31"/>
      <c r="E3103" s="33">
        <v>0</v>
      </c>
      <c r="F3103" s="11">
        <v>0</v>
      </c>
      <c r="G3103" s="42"/>
      <c r="H3103" s="11">
        <v>0</v>
      </c>
      <c r="I3103" s="42"/>
      <c r="J3103" s="33">
        <v>0</v>
      </c>
      <c r="K3103" s="46"/>
      <c r="L3103" s="33">
        <v>0</v>
      </c>
      <c r="M3103" s="22" t="s">
        <v>6509</v>
      </c>
      <c r="N3103" s="17" t="s">
        <v>6507</v>
      </c>
      <c r="O3103" s="7" t="s">
        <v>6508</v>
      </c>
      <c r="P3103" s="7" t="s">
        <v>6508</v>
      </c>
    </row>
    <row r="3104" spans="1:26" ht="28.7" customHeight="1" x14ac:dyDescent="0.3">
      <c r="A3104" s="10" t="s">
        <v>1690</v>
      </c>
      <c r="B3104" s="10" t="s">
        <v>1736</v>
      </c>
      <c r="C3104" s="75">
        <v>0.4</v>
      </c>
      <c r="D3104" s="31" t="s">
        <v>14</v>
      </c>
      <c r="E3104" s="55">
        <f>I3104+G3104+K3104</f>
        <v>659579</v>
      </c>
      <c r="F3104" s="76">
        <f>J3104+H3104+L3104</f>
        <v>263831.60000000003</v>
      </c>
      <c r="G3104" s="78">
        <f>일위대가목록표!F675</f>
        <v>640368</v>
      </c>
      <c r="H3104" s="80">
        <f>IF(C3104=0,0,ROUNDDOWN(G3104*C3104,1))</f>
        <v>256147.20000000001</v>
      </c>
      <c r="I3104" s="78">
        <f>일위대가목록표!G675</f>
        <v>0</v>
      </c>
      <c r="J3104" s="80">
        <f>IF(C3104=0,0,ROUNDDOWN(I3104*C3104,1))</f>
        <v>0</v>
      </c>
      <c r="K3104" s="78">
        <f>일위대가목록표!H675</f>
        <v>19211</v>
      </c>
      <c r="L3104" s="80">
        <f>IF(C3104=0,0,ROUNDDOWN(K3104*C3104,1))</f>
        <v>7684.4</v>
      </c>
      <c r="M3104" s="22" t="s">
        <v>6688</v>
      </c>
      <c r="N3104" s="17" t="s">
        <v>6686</v>
      </c>
      <c r="O3104" s="7" t="s">
        <v>6687</v>
      </c>
      <c r="P3104" s="7" t="s">
        <v>6406</v>
      </c>
      <c r="Z3104" s="3" t="str">
        <f ca="1">HYPERLINK("#"&amp;일위대가목록표!J2&amp;"!A"&amp;ROW(일위대가목록표!A675),"대가672 →")</f>
        <v>대가672 →</v>
      </c>
    </row>
    <row r="3105" spans="1:26" ht="28.7" customHeight="1" x14ac:dyDescent="0.3">
      <c r="A3105" s="22" t="s">
        <v>6</v>
      </c>
      <c r="B3105" s="74"/>
      <c r="C3105" s="74"/>
      <c r="D3105" s="74"/>
      <c r="E3105" s="74"/>
      <c r="F3105" s="48">
        <f>J3105+H3105+L3105</f>
        <v>263831</v>
      </c>
      <c r="G3105" s="74"/>
      <c r="H3105" s="48">
        <f>ROUNDDOWN(SUMIF(P3103:P3104,O3105,H3103:H3104),0)</f>
        <v>256147</v>
      </c>
      <c r="I3105" s="74"/>
      <c r="J3105" s="48">
        <f>ROUNDDOWN(SUMIF(P3103:P3104,O3105,J3103:J3104),0)</f>
        <v>0</v>
      </c>
      <c r="K3105" s="74"/>
      <c r="L3105" s="48">
        <f>ROUNDDOWN(SUMIF(P3103:P3104,O3105,L3103:L3104),0)</f>
        <v>7684</v>
      </c>
      <c r="M3105" s="74"/>
      <c r="O3105" s="7" t="s">
        <v>6406</v>
      </c>
    </row>
    <row r="3106" spans="1:26" ht="28.7" customHeight="1" x14ac:dyDescent="0.3">
      <c r="A3106" s="73"/>
      <c r="B3106" s="73"/>
      <c r="C3106" s="73"/>
      <c r="D3106" s="73"/>
      <c r="E3106" s="73"/>
      <c r="F3106" s="73"/>
      <c r="G3106" s="73"/>
      <c r="H3106" s="73"/>
      <c r="I3106" s="73"/>
      <c r="J3106" s="73"/>
      <c r="K3106" s="73"/>
      <c r="L3106" s="73"/>
      <c r="M3106" s="73"/>
    </row>
    <row r="3107" spans="1:26" ht="28.7" customHeight="1" x14ac:dyDescent="0.3">
      <c r="A3107" s="136" t="s">
        <v>1734</v>
      </c>
      <c r="B3107" s="127"/>
      <c r="C3107" s="127"/>
      <c r="D3107" s="127"/>
      <c r="E3107" s="127"/>
      <c r="F3107" s="127"/>
      <c r="G3107" s="127"/>
      <c r="H3107" s="127"/>
      <c r="I3107" s="127"/>
      <c r="J3107" s="127"/>
      <c r="K3107" s="127"/>
      <c r="L3107" s="144"/>
      <c r="M3107" s="22" t="s">
        <v>8645</v>
      </c>
      <c r="N3107" s="84" t="str">
        <f>HYPERLINK("#N"&amp;ROW(N3111),"_x0005_`BDCOD|B04758_x0007_`POSS|"&amp;ROW(N3108)&amp;"_x0007_`POSE|"&amp;ROW(N3111)&amp;"_x0007_`")</f>
        <v>_x0005_`BDCOD|B04758_x0007_`POSS|3108_x0007_`POSE|3111_x0007_`</v>
      </c>
      <c r="O3107" s="7" t="s">
        <v>8646</v>
      </c>
    </row>
    <row r="3108" spans="1:26" ht="28.7" customHeight="1" x14ac:dyDescent="0.3">
      <c r="A3108" s="10"/>
      <c r="B3108" s="10" t="s">
        <v>6506</v>
      </c>
      <c r="C3108" s="75">
        <v>0</v>
      </c>
      <c r="D3108" s="31"/>
      <c r="E3108" s="33">
        <v>0</v>
      </c>
      <c r="F3108" s="11">
        <v>0</v>
      </c>
      <c r="G3108" s="42"/>
      <c r="H3108" s="11">
        <v>0</v>
      </c>
      <c r="I3108" s="42"/>
      <c r="J3108" s="33">
        <v>0</v>
      </c>
      <c r="K3108" s="46"/>
      <c r="L3108" s="33">
        <v>0</v>
      </c>
      <c r="M3108" s="22" t="s">
        <v>6509</v>
      </c>
      <c r="N3108" s="17" t="s">
        <v>6507</v>
      </c>
      <c r="O3108" s="7" t="s">
        <v>6508</v>
      </c>
      <c r="P3108" s="7" t="s">
        <v>6508</v>
      </c>
    </row>
    <row r="3109" spans="1:26" ht="28.7" customHeight="1" x14ac:dyDescent="0.3">
      <c r="A3109" s="10" t="s">
        <v>3081</v>
      </c>
      <c r="B3109" s="10"/>
      <c r="C3109" s="75">
        <v>2.1440000000000001</v>
      </c>
      <c r="D3109" s="31" t="s">
        <v>3074</v>
      </c>
      <c r="E3109" s="55">
        <f t="shared" ref="E3109:F3111" si="33">I3109+G3109+K3109</f>
        <v>241698</v>
      </c>
      <c r="F3109" s="76">
        <f t="shared" si="33"/>
        <v>518200.5</v>
      </c>
      <c r="G3109" s="78">
        <f>노무비목록표!E8</f>
        <v>241698</v>
      </c>
      <c r="H3109" s="81">
        <f>IF(C3109=0,0,ROUNDDOWN(G3109*C3109,1))</f>
        <v>518200.5</v>
      </c>
      <c r="I3109" s="51">
        <v>0</v>
      </c>
      <c r="J3109" s="77">
        <f>IF(C3109=0,0,ROUNDDOWN(I3109*C3109,1))</f>
        <v>0</v>
      </c>
      <c r="K3109" s="51">
        <v>0</v>
      </c>
      <c r="L3109" s="76">
        <f>IF(C3109=0,0,ROUNDDOWN(K3109*C3109,1))</f>
        <v>0</v>
      </c>
      <c r="M3109" s="22" t="s">
        <v>8615</v>
      </c>
      <c r="N3109" s="17" t="s">
        <v>8613</v>
      </c>
      <c r="O3109" s="7" t="s">
        <v>8614</v>
      </c>
      <c r="P3109" s="7" t="s">
        <v>6406</v>
      </c>
      <c r="Q3109" s="7" t="s">
        <v>7061</v>
      </c>
      <c r="Z3109" s="3" t="str">
        <f ca="1">HYPERLINK("#"&amp;노무비목록표!G2&amp;"!A"&amp;ROW(노무비목록표!A8),"노무5 →")</f>
        <v>노무5 →</v>
      </c>
    </row>
    <row r="3110" spans="1:26" ht="28.7" customHeight="1" x14ac:dyDescent="0.3">
      <c r="A3110" s="10" t="s">
        <v>3090</v>
      </c>
      <c r="B3110" s="10"/>
      <c r="C3110" s="75">
        <v>0.71</v>
      </c>
      <c r="D3110" s="31" t="s">
        <v>3074</v>
      </c>
      <c r="E3110" s="55">
        <f t="shared" si="33"/>
        <v>172068</v>
      </c>
      <c r="F3110" s="76">
        <f t="shared" si="33"/>
        <v>122168.2</v>
      </c>
      <c r="G3110" s="78">
        <f>노무비목록표!E12</f>
        <v>172068</v>
      </c>
      <c r="H3110" s="81">
        <f>IF(C3110=0,0,ROUNDDOWN(G3110*C3110,1))</f>
        <v>122168.2</v>
      </c>
      <c r="I3110" s="51">
        <v>0</v>
      </c>
      <c r="J3110" s="77">
        <f>IF(C3110=0,0,ROUNDDOWN(I3110*C3110,1))</f>
        <v>0</v>
      </c>
      <c r="K3110" s="51">
        <v>0</v>
      </c>
      <c r="L3110" s="76">
        <f>IF(C3110=0,0,ROUNDDOWN(K3110*C3110,1))</f>
        <v>0</v>
      </c>
      <c r="M3110" s="22" t="s">
        <v>8262</v>
      </c>
      <c r="N3110" s="17" t="s">
        <v>8260</v>
      </c>
      <c r="O3110" s="7" t="s">
        <v>8261</v>
      </c>
      <c r="P3110" s="7" t="s">
        <v>6406</v>
      </c>
      <c r="Q3110" s="7" t="s">
        <v>7061</v>
      </c>
      <c r="Z3110" s="3" t="str">
        <f ca="1">HYPERLINK("#"&amp;노무비목록표!G2&amp;"!A"&amp;ROW(노무비목록표!A12),"노무9 →")</f>
        <v>노무9 →</v>
      </c>
    </row>
    <row r="3111" spans="1:26" ht="28.7" customHeight="1" x14ac:dyDescent="0.3">
      <c r="A3111" s="10" t="s">
        <v>8616</v>
      </c>
      <c r="B3111" s="10" t="s">
        <v>7063</v>
      </c>
      <c r="C3111" s="75">
        <v>3</v>
      </c>
      <c r="D3111" s="31" t="s">
        <v>7064</v>
      </c>
      <c r="E3111" s="55">
        <f t="shared" si="33"/>
        <v>640368.69999999995</v>
      </c>
      <c r="F3111" s="77">
        <f t="shared" si="33"/>
        <v>19211</v>
      </c>
      <c r="G3111" s="13">
        <v>0</v>
      </c>
      <c r="H3111" s="77">
        <f>IF(C3111=0,0,ROUNDDOWN(G3111*C3111/100,1))</f>
        <v>0</v>
      </c>
      <c r="I3111" s="13">
        <v>0</v>
      </c>
      <c r="J3111" s="76">
        <f>IF(C3111=0,0,ROUNDDOWN(I3111*C3111/100,1))</f>
        <v>0</v>
      </c>
      <c r="K3111" s="82">
        <f>H3109+H3110</f>
        <v>640368.69999999995</v>
      </c>
      <c r="L3111" s="76">
        <f>IF(C3111=0,0,ROUNDDOWN(K3111*C3111/100,1))</f>
        <v>19211</v>
      </c>
      <c r="M3111" s="22"/>
      <c r="N3111" s="17" t="s">
        <v>7065</v>
      </c>
      <c r="O3111" s="7" t="s">
        <v>7066</v>
      </c>
      <c r="P3111" s="7" t="s">
        <v>6406</v>
      </c>
    </row>
    <row r="3112" spans="1:26" ht="28.7" customHeight="1" x14ac:dyDescent="0.3">
      <c r="A3112" s="22" t="s">
        <v>6</v>
      </c>
      <c r="B3112" s="74"/>
      <c r="C3112" s="74"/>
      <c r="D3112" s="74"/>
      <c r="E3112" s="74"/>
      <c r="F3112" s="48">
        <f>J3112+H3112+L3112</f>
        <v>659579</v>
      </c>
      <c r="G3112" s="74"/>
      <c r="H3112" s="48">
        <f>ROUNDDOWN(SUMIF(P3108:P3111,O3112,H3108:H3111),0)</f>
        <v>640368</v>
      </c>
      <c r="I3112" s="74"/>
      <c r="J3112" s="48">
        <f>ROUNDDOWN(SUMIF(P3108:P3111,O3112,J3108:J3111),0)</f>
        <v>0</v>
      </c>
      <c r="K3112" s="74"/>
      <c r="L3112" s="48">
        <f>ROUNDDOWN(SUMIF(P3108:P3111,O3112,L3108:L3111),0)</f>
        <v>19211</v>
      </c>
      <c r="M3112" s="74"/>
      <c r="O3112" s="7" t="s">
        <v>6406</v>
      </c>
    </row>
    <row r="3113" spans="1:26" ht="28.7" customHeight="1" x14ac:dyDescent="0.3">
      <c r="A3113" s="73"/>
      <c r="B3113" s="73"/>
      <c r="C3113" s="73"/>
      <c r="D3113" s="73"/>
      <c r="E3113" s="73"/>
      <c r="F3113" s="73"/>
      <c r="G3113" s="73"/>
      <c r="H3113" s="73"/>
      <c r="I3113" s="73"/>
      <c r="J3113" s="73"/>
      <c r="K3113" s="73"/>
      <c r="L3113" s="73"/>
      <c r="M3113" s="73"/>
    </row>
    <row r="3114" spans="1:26" ht="28.7" customHeight="1" x14ac:dyDescent="0.3">
      <c r="A3114" s="136" t="s">
        <v>1737</v>
      </c>
      <c r="B3114" s="127"/>
      <c r="C3114" s="127"/>
      <c r="D3114" s="127"/>
      <c r="E3114" s="127"/>
      <c r="F3114" s="127"/>
      <c r="G3114" s="127"/>
      <c r="H3114" s="127"/>
      <c r="I3114" s="127"/>
      <c r="J3114" s="127"/>
      <c r="K3114" s="127"/>
      <c r="L3114" s="144"/>
      <c r="M3114" s="22" t="s">
        <v>8647</v>
      </c>
      <c r="N3114" s="84" t="str">
        <f>HYPERLINK("#N"&amp;ROW(N3117),"_x0005_`BDCOD|B04783_x0007_`POSS|"&amp;ROW(N3115)&amp;"_x0007_`POSE|"&amp;ROW(N3117)&amp;"_x0007_`")</f>
        <v>_x0005_`BDCOD|B04783_x0007_`POSS|3115_x0007_`POSE|3117_x0007_`</v>
      </c>
      <c r="O3114" s="7" t="s">
        <v>8648</v>
      </c>
    </row>
    <row r="3115" spans="1:26" ht="28.7" customHeight="1" x14ac:dyDescent="0.3">
      <c r="A3115" s="10"/>
      <c r="B3115" s="10" t="s">
        <v>6506</v>
      </c>
      <c r="C3115" s="75">
        <v>0</v>
      </c>
      <c r="D3115" s="31"/>
      <c r="E3115" s="33">
        <v>0</v>
      </c>
      <c r="F3115" s="11">
        <v>0</v>
      </c>
      <c r="G3115" s="42"/>
      <c r="H3115" s="11">
        <v>0</v>
      </c>
      <c r="I3115" s="42"/>
      <c r="J3115" s="33">
        <v>0</v>
      </c>
      <c r="K3115" s="46"/>
      <c r="L3115" s="33">
        <v>0</v>
      </c>
      <c r="M3115" s="22" t="s">
        <v>6509</v>
      </c>
      <c r="N3115" s="17" t="s">
        <v>6507</v>
      </c>
      <c r="O3115" s="7" t="s">
        <v>6508</v>
      </c>
      <c r="P3115" s="7" t="s">
        <v>6508</v>
      </c>
    </row>
    <row r="3116" spans="1:26" ht="28.7" customHeight="1" x14ac:dyDescent="0.3">
      <c r="A3116" s="10" t="s">
        <v>1686</v>
      </c>
      <c r="B3116" s="10" t="s">
        <v>1742</v>
      </c>
      <c r="C3116" s="75">
        <v>1</v>
      </c>
      <c r="D3116" s="31" t="s">
        <v>14</v>
      </c>
      <c r="E3116" s="55">
        <f>I3116+G3116+K3116</f>
        <v>280095</v>
      </c>
      <c r="F3116" s="76">
        <f>J3116+H3116+L3116</f>
        <v>280095</v>
      </c>
      <c r="G3116" s="78">
        <f>일위대가목록표!F677</f>
        <v>271937</v>
      </c>
      <c r="H3116" s="80">
        <f>IF(C3116=0,0,ROUNDDOWN(G3116*C3116,1))</f>
        <v>271937</v>
      </c>
      <c r="I3116" s="78">
        <f>일위대가목록표!G677</f>
        <v>0</v>
      </c>
      <c r="J3116" s="80">
        <f>IF(C3116=0,0,ROUNDDOWN(I3116*C3116,1))</f>
        <v>0</v>
      </c>
      <c r="K3116" s="78">
        <f>일위대가목록표!H677</f>
        <v>8158</v>
      </c>
      <c r="L3116" s="80">
        <f>IF(C3116=0,0,ROUNDDOWN(K3116*C3116,1))</f>
        <v>8158</v>
      </c>
      <c r="M3116" s="22" t="s">
        <v>6570</v>
      </c>
      <c r="N3116" s="17" t="s">
        <v>6568</v>
      </c>
      <c r="O3116" s="7" t="s">
        <v>6569</v>
      </c>
      <c r="P3116" s="7" t="s">
        <v>6406</v>
      </c>
      <c r="Z3116" s="3" t="str">
        <f ca="1">HYPERLINK("#"&amp;일위대가목록표!J2&amp;"!A"&amp;ROW(일위대가목록표!A677),"대가674 →")</f>
        <v>대가674 →</v>
      </c>
    </row>
    <row r="3117" spans="1:26" ht="28.7" customHeight="1" x14ac:dyDescent="0.3">
      <c r="A3117" s="10" t="s">
        <v>1690</v>
      </c>
      <c r="B3117" s="10" t="s">
        <v>1745</v>
      </c>
      <c r="C3117" s="75">
        <v>1</v>
      </c>
      <c r="D3117" s="31" t="s">
        <v>14</v>
      </c>
      <c r="E3117" s="55">
        <f>I3117+G3117+K3117</f>
        <v>700238</v>
      </c>
      <c r="F3117" s="76">
        <f>J3117+H3117+L3117</f>
        <v>700238</v>
      </c>
      <c r="G3117" s="78">
        <f>일위대가목록표!F678</f>
        <v>679843</v>
      </c>
      <c r="H3117" s="80">
        <f>IF(C3117=0,0,ROUNDDOWN(G3117*C3117,1))</f>
        <v>679843</v>
      </c>
      <c r="I3117" s="78">
        <f>일위대가목록표!G678</f>
        <v>0</v>
      </c>
      <c r="J3117" s="80">
        <f>IF(C3117=0,0,ROUNDDOWN(I3117*C3117,1))</f>
        <v>0</v>
      </c>
      <c r="K3117" s="78">
        <f>일위대가목록표!H678</f>
        <v>20395</v>
      </c>
      <c r="L3117" s="80">
        <f>IF(C3117=0,0,ROUNDDOWN(K3117*C3117,1))</f>
        <v>20395</v>
      </c>
      <c r="M3117" s="22" t="s">
        <v>6693</v>
      </c>
      <c r="N3117" s="17" t="s">
        <v>6691</v>
      </c>
      <c r="O3117" s="7" t="s">
        <v>6692</v>
      </c>
      <c r="P3117" s="7" t="s">
        <v>6406</v>
      </c>
      <c r="Z3117" s="3" t="str">
        <f ca="1">HYPERLINK("#"&amp;일위대가목록표!J2&amp;"!A"&amp;ROW(일위대가목록표!A678),"대가675 →")</f>
        <v>대가675 →</v>
      </c>
    </row>
    <row r="3118" spans="1:26" ht="28.7" customHeight="1" x14ac:dyDescent="0.3">
      <c r="A3118" s="22" t="s">
        <v>6</v>
      </c>
      <c r="B3118" s="74"/>
      <c r="C3118" s="74"/>
      <c r="D3118" s="74"/>
      <c r="E3118" s="74"/>
      <c r="F3118" s="48">
        <f>J3118+H3118+L3118</f>
        <v>980333</v>
      </c>
      <c r="G3118" s="74"/>
      <c r="H3118" s="48">
        <f>ROUNDDOWN(SUMIF(P3115:P3117,O3118,H3115:H3117),0)</f>
        <v>951780</v>
      </c>
      <c r="I3118" s="74"/>
      <c r="J3118" s="48">
        <f>ROUNDDOWN(SUMIF(P3115:P3117,O3118,J3115:J3117),0)</f>
        <v>0</v>
      </c>
      <c r="K3118" s="74"/>
      <c r="L3118" s="48">
        <f>ROUNDDOWN(SUMIF(P3115:P3117,O3118,L3115:L3117),0)</f>
        <v>28553</v>
      </c>
      <c r="M3118" s="74"/>
      <c r="O3118" s="7" t="s">
        <v>6406</v>
      </c>
    </row>
    <row r="3119" spans="1:26" ht="28.7" customHeight="1" x14ac:dyDescent="0.3">
      <c r="A3119" s="73"/>
      <c r="B3119" s="73"/>
      <c r="C3119" s="73"/>
      <c r="D3119" s="73"/>
      <c r="E3119" s="73"/>
      <c r="F3119" s="73"/>
      <c r="G3119" s="73"/>
      <c r="H3119" s="73"/>
      <c r="I3119" s="73"/>
      <c r="J3119" s="73"/>
      <c r="K3119" s="73"/>
      <c r="L3119" s="73"/>
      <c r="M3119" s="73"/>
    </row>
    <row r="3120" spans="1:26" ht="28.7" customHeight="1" x14ac:dyDescent="0.3">
      <c r="A3120" s="136" t="s">
        <v>1740</v>
      </c>
      <c r="B3120" s="127"/>
      <c r="C3120" s="127"/>
      <c r="D3120" s="127"/>
      <c r="E3120" s="127"/>
      <c r="F3120" s="127"/>
      <c r="G3120" s="127"/>
      <c r="H3120" s="127"/>
      <c r="I3120" s="127"/>
      <c r="J3120" s="127"/>
      <c r="K3120" s="127"/>
      <c r="L3120" s="144"/>
      <c r="M3120" s="22" t="s">
        <v>8649</v>
      </c>
      <c r="N3120" s="84" t="str">
        <f>HYPERLINK("#N"&amp;ROW(N3122),"_x0005_`BDCOD|B04771_x0007_`POSS|"&amp;ROW(N3121)&amp;"_x0007_`POSE|"&amp;ROW(N3122)&amp;"_x0007_`")</f>
        <v>_x0005_`BDCOD|B04771_x0007_`POSS|3121_x0007_`POSE|3122_x0007_`</v>
      </c>
      <c r="O3120" s="7" t="s">
        <v>8650</v>
      </c>
    </row>
    <row r="3121" spans="1:26" ht="28.7" customHeight="1" x14ac:dyDescent="0.3">
      <c r="A3121" s="10"/>
      <c r="B3121" s="10" t="s">
        <v>6506</v>
      </c>
      <c r="C3121" s="75">
        <v>0</v>
      </c>
      <c r="D3121" s="31"/>
      <c r="E3121" s="33">
        <v>0</v>
      </c>
      <c r="F3121" s="11">
        <v>0</v>
      </c>
      <c r="G3121" s="42"/>
      <c r="H3121" s="11">
        <v>0</v>
      </c>
      <c r="I3121" s="42"/>
      <c r="J3121" s="33">
        <v>0</v>
      </c>
      <c r="K3121" s="46"/>
      <c r="L3121" s="33">
        <v>0</v>
      </c>
      <c r="M3121" s="22" t="s">
        <v>6509</v>
      </c>
      <c r="N3121" s="17" t="s">
        <v>6507</v>
      </c>
      <c r="O3121" s="7" t="s">
        <v>6508</v>
      </c>
      <c r="P3121" s="7" t="s">
        <v>6508</v>
      </c>
    </row>
    <row r="3122" spans="1:26" ht="28.7" customHeight="1" x14ac:dyDescent="0.3">
      <c r="A3122" s="10" t="s">
        <v>1690</v>
      </c>
      <c r="B3122" s="10" t="s">
        <v>1745</v>
      </c>
      <c r="C3122" s="75">
        <v>0.4</v>
      </c>
      <c r="D3122" s="31" t="s">
        <v>14</v>
      </c>
      <c r="E3122" s="55">
        <f>I3122+G3122+K3122</f>
        <v>700238</v>
      </c>
      <c r="F3122" s="76">
        <f>J3122+H3122+L3122</f>
        <v>280095.2</v>
      </c>
      <c r="G3122" s="78">
        <f>일위대가목록표!F678</f>
        <v>679843</v>
      </c>
      <c r="H3122" s="80">
        <f>IF(C3122=0,0,ROUNDDOWN(G3122*C3122,1))</f>
        <v>271937.2</v>
      </c>
      <c r="I3122" s="78">
        <f>일위대가목록표!G678</f>
        <v>0</v>
      </c>
      <c r="J3122" s="80">
        <f>IF(C3122=0,0,ROUNDDOWN(I3122*C3122,1))</f>
        <v>0</v>
      </c>
      <c r="K3122" s="78">
        <f>일위대가목록표!H678</f>
        <v>20395</v>
      </c>
      <c r="L3122" s="80">
        <f>IF(C3122=0,0,ROUNDDOWN(K3122*C3122,1))</f>
        <v>8158</v>
      </c>
      <c r="M3122" s="22" t="s">
        <v>6693</v>
      </c>
      <c r="N3122" s="17" t="s">
        <v>6691</v>
      </c>
      <c r="O3122" s="7" t="s">
        <v>6692</v>
      </c>
      <c r="P3122" s="7" t="s">
        <v>6406</v>
      </c>
      <c r="Z3122" s="3" t="str">
        <f ca="1">HYPERLINK("#"&amp;일위대가목록표!J2&amp;"!A"&amp;ROW(일위대가목록표!A678),"대가675 →")</f>
        <v>대가675 →</v>
      </c>
    </row>
    <row r="3123" spans="1:26" ht="28.7" customHeight="1" x14ac:dyDescent="0.3">
      <c r="A3123" s="22" t="s">
        <v>6</v>
      </c>
      <c r="B3123" s="74"/>
      <c r="C3123" s="74"/>
      <c r="D3123" s="74"/>
      <c r="E3123" s="74"/>
      <c r="F3123" s="48">
        <f>J3123+H3123+L3123</f>
        <v>280095</v>
      </c>
      <c r="G3123" s="74"/>
      <c r="H3123" s="48">
        <f>ROUNDDOWN(SUMIF(P3121:P3122,O3123,H3121:H3122),0)</f>
        <v>271937</v>
      </c>
      <c r="I3123" s="74"/>
      <c r="J3123" s="48">
        <f>ROUNDDOWN(SUMIF(P3121:P3122,O3123,J3121:J3122),0)</f>
        <v>0</v>
      </c>
      <c r="K3123" s="74"/>
      <c r="L3123" s="48">
        <f>ROUNDDOWN(SUMIF(P3121:P3122,O3123,L3121:L3122),0)</f>
        <v>8158</v>
      </c>
      <c r="M3123" s="74"/>
      <c r="O3123" s="7" t="s">
        <v>6406</v>
      </c>
    </row>
    <row r="3124" spans="1:26" ht="28.7" customHeight="1" x14ac:dyDescent="0.3">
      <c r="A3124" s="73"/>
      <c r="B3124" s="73"/>
      <c r="C3124" s="73"/>
      <c r="D3124" s="73"/>
      <c r="E3124" s="73"/>
      <c r="F3124" s="73"/>
      <c r="G3124" s="73"/>
      <c r="H3124" s="73"/>
      <c r="I3124" s="73"/>
      <c r="J3124" s="73"/>
      <c r="K3124" s="73"/>
      <c r="L3124" s="73"/>
      <c r="M3124" s="73"/>
    </row>
    <row r="3125" spans="1:26" ht="28.7" customHeight="1" x14ac:dyDescent="0.3">
      <c r="A3125" s="136" t="s">
        <v>1743</v>
      </c>
      <c r="B3125" s="127"/>
      <c r="C3125" s="127"/>
      <c r="D3125" s="127"/>
      <c r="E3125" s="127"/>
      <c r="F3125" s="127"/>
      <c r="G3125" s="127"/>
      <c r="H3125" s="127"/>
      <c r="I3125" s="127"/>
      <c r="J3125" s="127"/>
      <c r="K3125" s="127"/>
      <c r="L3125" s="144"/>
      <c r="M3125" s="22" t="s">
        <v>8651</v>
      </c>
      <c r="N3125" s="84" t="str">
        <f>HYPERLINK("#N"&amp;ROW(N3129),"_x0005_`BDCOD|B04759_x0007_`POSS|"&amp;ROW(N3126)&amp;"_x0007_`POSE|"&amp;ROW(N3129)&amp;"_x0007_`")</f>
        <v>_x0005_`BDCOD|B04759_x0007_`POSS|3126_x0007_`POSE|3129_x0007_`</v>
      </c>
      <c r="O3125" s="7" t="s">
        <v>8652</v>
      </c>
    </row>
    <row r="3126" spans="1:26" ht="28.7" customHeight="1" x14ac:dyDescent="0.3">
      <c r="A3126" s="10"/>
      <c r="B3126" s="10" t="s">
        <v>6506</v>
      </c>
      <c r="C3126" s="75">
        <v>0</v>
      </c>
      <c r="D3126" s="31"/>
      <c r="E3126" s="33">
        <v>0</v>
      </c>
      <c r="F3126" s="11">
        <v>0</v>
      </c>
      <c r="G3126" s="42"/>
      <c r="H3126" s="11">
        <v>0</v>
      </c>
      <c r="I3126" s="42"/>
      <c r="J3126" s="33">
        <v>0</v>
      </c>
      <c r="K3126" s="46"/>
      <c r="L3126" s="33">
        <v>0</v>
      </c>
      <c r="M3126" s="22" t="s">
        <v>6509</v>
      </c>
      <c r="N3126" s="17" t="s">
        <v>6507</v>
      </c>
      <c r="O3126" s="7" t="s">
        <v>6508</v>
      </c>
      <c r="P3126" s="7" t="s">
        <v>6508</v>
      </c>
    </row>
    <row r="3127" spans="1:26" ht="28.7" customHeight="1" x14ac:dyDescent="0.3">
      <c r="A3127" s="10" t="s">
        <v>3081</v>
      </c>
      <c r="B3127" s="10"/>
      <c r="C3127" s="75">
        <v>2.2759999999999998</v>
      </c>
      <c r="D3127" s="31" t="s">
        <v>3074</v>
      </c>
      <c r="E3127" s="55">
        <f t="shared" ref="E3127:F3129" si="34">I3127+G3127+K3127</f>
        <v>241698</v>
      </c>
      <c r="F3127" s="76">
        <f t="shared" si="34"/>
        <v>550104.6</v>
      </c>
      <c r="G3127" s="78">
        <f>노무비목록표!E8</f>
        <v>241698</v>
      </c>
      <c r="H3127" s="81">
        <f>IF(C3127=0,0,ROUNDDOWN(G3127*C3127,1))</f>
        <v>550104.6</v>
      </c>
      <c r="I3127" s="51">
        <v>0</v>
      </c>
      <c r="J3127" s="77">
        <f>IF(C3127=0,0,ROUNDDOWN(I3127*C3127,1))</f>
        <v>0</v>
      </c>
      <c r="K3127" s="51">
        <v>0</v>
      </c>
      <c r="L3127" s="76">
        <f>IF(C3127=0,0,ROUNDDOWN(K3127*C3127,1))</f>
        <v>0</v>
      </c>
      <c r="M3127" s="22" t="s">
        <v>8615</v>
      </c>
      <c r="N3127" s="17" t="s">
        <v>8613</v>
      </c>
      <c r="O3127" s="7" t="s">
        <v>8614</v>
      </c>
      <c r="P3127" s="7" t="s">
        <v>6406</v>
      </c>
      <c r="Q3127" s="7" t="s">
        <v>7061</v>
      </c>
      <c r="Z3127" s="3" t="str">
        <f ca="1">HYPERLINK("#"&amp;노무비목록표!G2&amp;"!A"&amp;ROW(노무비목록표!A8),"노무5 →")</f>
        <v>노무5 →</v>
      </c>
    </row>
    <row r="3128" spans="1:26" ht="28.7" customHeight="1" x14ac:dyDescent="0.3">
      <c r="A3128" s="10" t="s">
        <v>3090</v>
      </c>
      <c r="B3128" s="10"/>
      <c r="C3128" s="75">
        <v>0.754</v>
      </c>
      <c r="D3128" s="31" t="s">
        <v>3074</v>
      </c>
      <c r="E3128" s="55">
        <f t="shared" si="34"/>
        <v>172068</v>
      </c>
      <c r="F3128" s="76">
        <f t="shared" si="34"/>
        <v>129739.2</v>
      </c>
      <c r="G3128" s="78">
        <f>노무비목록표!E12</f>
        <v>172068</v>
      </c>
      <c r="H3128" s="81">
        <f>IF(C3128=0,0,ROUNDDOWN(G3128*C3128,1))</f>
        <v>129739.2</v>
      </c>
      <c r="I3128" s="51">
        <v>0</v>
      </c>
      <c r="J3128" s="77">
        <f>IF(C3128=0,0,ROUNDDOWN(I3128*C3128,1))</f>
        <v>0</v>
      </c>
      <c r="K3128" s="51">
        <v>0</v>
      </c>
      <c r="L3128" s="76">
        <f>IF(C3128=0,0,ROUNDDOWN(K3128*C3128,1))</f>
        <v>0</v>
      </c>
      <c r="M3128" s="22" t="s">
        <v>8262</v>
      </c>
      <c r="N3128" s="17" t="s">
        <v>8260</v>
      </c>
      <c r="O3128" s="7" t="s">
        <v>8261</v>
      </c>
      <c r="P3128" s="7" t="s">
        <v>6406</v>
      </c>
      <c r="Q3128" s="7" t="s">
        <v>7061</v>
      </c>
      <c r="Z3128" s="3" t="str">
        <f ca="1">HYPERLINK("#"&amp;노무비목록표!G2&amp;"!A"&amp;ROW(노무비목록표!A12),"노무9 →")</f>
        <v>노무9 →</v>
      </c>
    </row>
    <row r="3129" spans="1:26" ht="28.7" customHeight="1" x14ac:dyDescent="0.3">
      <c r="A3129" s="10" t="s">
        <v>8616</v>
      </c>
      <c r="B3129" s="10" t="s">
        <v>7063</v>
      </c>
      <c r="C3129" s="75">
        <v>3</v>
      </c>
      <c r="D3129" s="31" t="s">
        <v>7064</v>
      </c>
      <c r="E3129" s="55">
        <f t="shared" si="34"/>
        <v>679843.79999999993</v>
      </c>
      <c r="F3129" s="77">
        <f t="shared" si="34"/>
        <v>20395.3</v>
      </c>
      <c r="G3129" s="13">
        <v>0</v>
      </c>
      <c r="H3129" s="77">
        <f>IF(C3129=0,0,ROUNDDOWN(G3129*C3129/100,1))</f>
        <v>0</v>
      </c>
      <c r="I3129" s="13">
        <v>0</v>
      </c>
      <c r="J3129" s="76">
        <f>IF(C3129=0,0,ROUNDDOWN(I3129*C3129/100,1))</f>
        <v>0</v>
      </c>
      <c r="K3129" s="82">
        <f>H3127+H3128</f>
        <v>679843.79999999993</v>
      </c>
      <c r="L3129" s="76">
        <f>IF(C3129=0,0,ROUNDDOWN(K3129*C3129/100,1))</f>
        <v>20395.3</v>
      </c>
      <c r="M3129" s="22"/>
      <c r="N3129" s="17" t="s">
        <v>7065</v>
      </c>
      <c r="O3129" s="7" t="s">
        <v>7066</v>
      </c>
      <c r="P3129" s="7" t="s">
        <v>6406</v>
      </c>
    </row>
    <row r="3130" spans="1:26" ht="28.7" customHeight="1" x14ac:dyDescent="0.3">
      <c r="A3130" s="22" t="s">
        <v>6</v>
      </c>
      <c r="B3130" s="74"/>
      <c r="C3130" s="74"/>
      <c r="D3130" s="74"/>
      <c r="E3130" s="74"/>
      <c r="F3130" s="48">
        <f>J3130+H3130+L3130</f>
        <v>700238</v>
      </c>
      <c r="G3130" s="74"/>
      <c r="H3130" s="48">
        <f>ROUNDDOWN(SUMIF(P3126:P3129,O3130,H3126:H3129),0)</f>
        <v>679843</v>
      </c>
      <c r="I3130" s="74"/>
      <c r="J3130" s="48">
        <f>ROUNDDOWN(SUMIF(P3126:P3129,O3130,J3126:J3129),0)</f>
        <v>0</v>
      </c>
      <c r="K3130" s="74"/>
      <c r="L3130" s="48">
        <f>ROUNDDOWN(SUMIF(P3126:P3129,O3130,L3126:L3129),0)</f>
        <v>20395</v>
      </c>
      <c r="M3130" s="74"/>
      <c r="O3130" s="7" t="s">
        <v>6406</v>
      </c>
    </row>
    <row r="3131" spans="1:26" ht="28.7" customHeight="1" x14ac:dyDescent="0.3">
      <c r="A3131" s="73"/>
      <c r="B3131" s="73"/>
      <c r="C3131" s="73"/>
      <c r="D3131" s="73"/>
      <c r="E3131" s="73"/>
      <c r="F3131" s="73"/>
      <c r="G3131" s="73"/>
      <c r="H3131" s="73"/>
      <c r="I3131" s="73"/>
      <c r="J3131" s="73"/>
      <c r="K3131" s="73"/>
      <c r="L3131" s="73"/>
      <c r="M3131" s="73"/>
    </row>
    <row r="3132" spans="1:26" ht="28.7" customHeight="1" x14ac:dyDescent="0.3">
      <c r="A3132" s="136" t="s">
        <v>1746</v>
      </c>
      <c r="B3132" s="127"/>
      <c r="C3132" s="127"/>
      <c r="D3132" s="127"/>
      <c r="E3132" s="127"/>
      <c r="F3132" s="127"/>
      <c r="G3132" s="127"/>
      <c r="H3132" s="127"/>
      <c r="I3132" s="127"/>
      <c r="J3132" s="127"/>
      <c r="K3132" s="127"/>
      <c r="L3132" s="144"/>
      <c r="M3132" s="22" t="s">
        <v>8653</v>
      </c>
      <c r="N3132" s="84" t="str">
        <f>HYPERLINK("#N"&amp;ROW(N3135),"_x0005_`BDCOD|B04784_x0007_`POSS|"&amp;ROW(N3133)&amp;"_x0007_`POSE|"&amp;ROW(N3135)&amp;"_x0007_`")</f>
        <v>_x0005_`BDCOD|B04784_x0007_`POSS|3133_x0007_`POSE|3135_x0007_`</v>
      </c>
      <c r="O3132" s="7" t="s">
        <v>8654</v>
      </c>
    </row>
    <row r="3133" spans="1:26" ht="28.7" customHeight="1" x14ac:dyDescent="0.3">
      <c r="A3133" s="10"/>
      <c r="B3133" s="10" t="s">
        <v>6506</v>
      </c>
      <c r="C3133" s="75">
        <v>0</v>
      </c>
      <c r="D3133" s="31"/>
      <c r="E3133" s="33">
        <v>0</v>
      </c>
      <c r="F3133" s="11">
        <v>0</v>
      </c>
      <c r="G3133" s="42"/>
      <c r="H3133" s="11">
        <v>0</v>
      </c>
      <c r="I3133" s="42"/>
      <c r="J3133" s="33">
        <v>0</v>
      </c>
      <c r="K3133" s="46"/>
      <c r="L3133" s="33">
        <v>0</v>
      </c>
      <c r="M3133" s="22" t="s">
        <v>6509</v>
      </c>
      <c r="N3133" s="17" t="s">
        <v>6507</v>
      </c>
      <c r="O3133" s="7" t="s">
        <v>6508</v>
      </c>
      <c r="P3133" s="7" t="s">
        <v>6508</v>
      </c>
    </row>
    <row r="3134" spans="1:26" ht="28.7" customHeight="1" x14ac:dyDescent="0.3">
      <c r="A3134" s="10" t="s">
        <v>1686</v>
      </c>
      <c r="B3134" s="10" t="s">
        <v>1751</v>
      </c>
      <c r="C3134" s="75">
        <v>1</v>
      </c>
      <c r="D3134" s="31" t="s">
        <v>14</v>
      </c>
      <c r="E3134" s="55">
        <f>I3134+G3134+K3134</f>
        <v>452499</v>
      </c>
      <c r="F3134" s="76">
        <f>J3134+H3134+L3134</f>
        <v>452499</v>
      </c>
      <c r="G3134" s="78">
        <f>일위대가목록표!F680</f>
        <v>439320</v>
      </c>
      <c r="H3134" s="80">
        <f>IF(C3134=0,0,ROUNDDOWN(G3134*C3134,1))</f>
        <v>439320</v>
      </c>
      <c r="I3134" s="78">
        <f>일위대가목록표!G680</f>
        <v>0</v>
      </c>
      <c r="J3134" s="80">
        <f>IF(C3134=0,0,ROUNDDOWN(I3134*C3134,1))</f>
        <v>0</v>
      </c>
      <c r="K3134" s="78">
        <f>일위대가목록표!H680</f>
        <v>13179</v>
      </c>
      <c r="L3134" s="80">
        <f>IF(C3134=0,0,ROUNDDOWN(K3134*C3134,1))</f>
        <v>13179</v>
      </c>
      <c r="M3134" s="22" t="s">
        <v>6575</v>
      </c>
      <c r="N3134" s="17" t="s">
        <v>6573</v>
      </c>
      <c r="O3134" s="7" t="s">
        <v>6574</v>
      </c>
      <c r="P3134" s="7" t="s">
        <v>6406</v>
      </c>
      <c r="Z3134" s="3" t="str">
        <f ca="1">HYPERLINK("#"&amp;일위대가목록표!J2&amp;"!A"&amp;ROW(일위대가목록표!A680),"대가677 →")</f>
        <v>대가677 →</v>
      </c>
    </row>
    <row r="3135" spans="1:26" ht="28.7" customHeight="1" x14ac:dyDescent="0.3">
      <c r="A3135" s="10" t="s">
        <v>1690</v>
      </c>
      <c r="B3135" s="10" t="s">
        <v>1754</v>
      </c>
      <c r="C3135" s="75">
        <v>1</v>
      </c>
      <c r="D3135" s="31" t="s">
        <v>14</v>
      </c>
      <c r="E3135" s="55">
        <f>I3135+G3135+K3135</f>
        <v>1131251</v>
      </c>
      <c r="F3135" s="76">
        <f>J3135+H3135+L3135</f>
        <v>1131251</v>
      </c>
      <c r="G3135" s="78">
        <f>일위대가목록표!F681</f>
        <v>1098302</v>
      </c>
      <c r="H3135" s="80">
        <f>IF(C3135=0,0,ROUNDDOWN(G3135*C3135,1))</f>
        <v>1098302</v>
      </c>
      <c r="I3135" s="78">
        <f>일위대가목록표!G681</f>
        <v>0</v>
      </c>
      <c r="J3135" s="80">
        <f>IF(C3135=0,0,ROUNDDOWN(I3135*C3135,1))</f>
        <v>0</v>
      </c>
      <c r="K3135" s="78">
        <f>일위대가목록표!H681</f>
        <v>32949</v>
      </c>
      <c r="L3135" s="80">
        <f>IF(C3135=0,0,ROUNDDOWN(K3135*C3135,1))</f>
        <v>32949</v>
      </c>
      <c r="M3135" s="22" t="s">
        <v>6698</v>
      </c>
      <c r="N3135" s="17" t="s">
        <v>6696</v>
      </c>
      <c r="O3135" s="7" t="s">
        <v>6697</v>
      </c>
      <c r="P3135" s="7" t="s">
        <v>6406</v>
      </c>
      <c r="Z3135" s="3" t="str">
        <f ca="1">HYPERLINK("#"&amp;일위대가목록표!J2&amp;"!A"&amp;ROW(일위대가목록표!A681),"대가678 →")</f>
        <v>대가678 →</v>
      </c>
    </row>
    <row r="3136" spans="1:26" ht="28.7" customHeight="1" x14ac:dyDescent="0.3">
      <c r="A3136" s="22" t="s">
        <v>6</v>
      </c>
      <c r="B3136" s="74"/>
      <c r="C3136" s="74"/>
      <c r="D3136" s="74"/>
      <c r="E3136" s="74"/>
      <c r="F3136" s="48">
        <f>J3136+H3136+L3136</f>
        <v>1583750</v>
      </c>
      <c r="G3136" s="74"/>
      <c r="H3136" s="48">
        <f>ROUNDDOWN(SUMIF(P3133:P3135,O3136,H3133:H3135),0)</f>
        <v>1537622</v>
      </c>
      <c r="I3136" s="74"/>
      <c r="J3136" s="48">
        <f>ROUNDDOWN(SUMIF(P3133:P3135,O3136,J3133:J3135),0)</f>
        <v>0</v>
      </c>
      <c r="K3136" s="74"/>
      <c r="L3136" s="48">
        <f>ROUNDDOWN(SUMIF(P3133:P3135,O3136,L3133:L3135),0)</f>
        <v>46128</v>
      </c>
      <c r="M3136" s="74"/>
      <c r="O3136" s="7" t="s">
        <v>6406</v>
      </c>
    </row>
    <row r="3137" spans="1:26" ht="28.7" customHeight="1" x14ac:dyDescent="0.3">
      <c r="A3137" s="73"/>
      <c r="B3137" s="73"/>
      <c r="C3137" s="73"/>
      <c r="D3137" s="73"/>
      <c r="E3137" s="73"/>
      <c r="F3137" s="73"/>
      <c r="G3137" s="73"/>
      <c r="H3137" s="73"/>
      <c r="I3137" s="73"/>
      <c r="J3137" s="73"/>
      <c r="K3137" s="73"/>
      <c r="L3137" s="73"/>
      <c r="M3137" s="73"/>
    </row>
    <row r="3138" spans="1:26" ht="28.7" customHeight="1" x14ac:dyDescent="0.3">
      <c r="A3138" s="136" t="s">
        <v>1749</v>
      </c>
      <c r="B3138" s="127"/>
      <c r="C3138" s="127"/>
      <c r="D3138" s="127"/>
      <c r="E3138" s="127"/>
      <c r="F3138" s="127"/>
      <c r="G3138" s="127"/>
      <c r="H3138" s="127"/>
      <c r="I3138" s="127"/>
      <c r="J3138" s="127"/>
      <c r="K3138" s="127"/>
      <c r="L3138" s="144"/>
      <c r="M3138" s="22" t="s">
        <v>8655</v>
      </c>
      <c r="N3138" s="84" t="str">
        <f>HYPERLINK("#N"&amp;ROW(N3140),"_x0005_`BDCOD|B04772_x0007_`POSS|"&amp;ROW(N3139)&amp;"_x0007_`POSE|"&amp;ROW(N3140)&amp;"_x0007_`")</f>
        <v>_x0005_`BDCOD|B04772_x0007_`POSS|3139_x0007_`POSE|3140_x0007_`</v>
      </c>
      <c r="O3138" s="7" t="s">
        <v>8656</v>
      </c>
    </row>
    <row r="3139" spans="1:26" ht="28.7" customHeight="1" x14ac:dyDescent="0.3">
      <c r="A3139" s="10"/>
      <c r="B3139" s="10" t="s">
        <v>6506</v>
      </c>
      <c r="C3139" s="75">
        <v>0</v>
      </c>
      <c r="D3139" s="31"/>
      <c r="E3139" s="33">
        <v>0</v>
      </c>
      <c r="F3139" s="11">
        <v>0</v>
      </c>
      <c r="G3139" s="42"/>
      <c r="H3139" s="11">
        <v>0</v>
      </c>
      <c r="I3139" s="42"/>
      <c r="J3139" s="33">
        <v>0</v>
      </c>
      <c r="K3139" s="46"/>
      <c r="L3139" s="33">
        <v>0</v>
      </c>
      <c r="M3139" s="22" t="s">
        <v>6509</v>
      </c>
      <c r="N3139" s="17" t="s">
        <v>6507</v>
      </c>
      <c r="O3139" s="7" t="s">
        <v>6508</v>
      </c>
      <c r="P3139" s="7" t="s">
        <v>6508</v>
      </c>
    </row>
    <row r="3140" spans="1:26" ht="28.7" customHeight="1" x14ac:dyDescent="0.3">
      <c r="A3140" s="10" t="s">
        <v>1690</v>
      </c>
      <c r="B3140" s="10" t="s">
        <v>1754</v>
      </c>
      <c r="C3140" s="75">
        <v>0.4</v>
      </c>
      <c r="D3140" s="31" t="s">
        <v>14</v>
      </c>
      <c r="E3140" s="55">
        <f>I3140+G3140+K3140</f>
        <v>1131251</v>
      </c>
      <c r="F3140" s="76">
        <f>J3140+H3140+L3140</f>
        <v>452500.39999999997</v>
      </c>
      <c r="G3140" s="78">
        <f>일위대가목록표!F681</f>
        <v>1098302</v>
      </c>
      <c r="H3140" s="80">
        <f>IF(C3140=0,0,ROUNDDOWN(G3140*C3140,1))</f>
        <v>439320.8</v>
      </c>
      <c r="I3140" s="78">
        <f>일위대가목록표!G681</f>
        <v>0</v>
      </c>
      <c r="J3140" s="80">
        <f>IF(C3140=0,0,ROUNDDOWN(I3140*C3140,1))</f>
        <v>0</v>
      </c>
      <c r="K3140" s="78">
        <f>일위대가목록표!H681</f>
        <v>32949</v>
      </c>
      <c r="L3140" s="80">
        <f>IF(C3140=0,0,ROUNDDOWN(K3140*C3140,1))</f>
        <v>13179.6</v>
      </c>
      <c r="M3140" s="22" t="s">
        <v>6698</v>
      </c>
      <c r="N3140" s="17" t="s">
        <v>6696</v>
      </c>
      <c r="O3140" s="7" t="s">
        <v>6697</v>
      </c>
      <c r="P3140" s="7" t="s">
        <v>6406</v>
      </c>
      <c r="Z3140" s="3" t="str">
        <f ca="1">HYPERLINK("#"&amp;일위대가목록표!J2&amp;"!A"&amp;ROW(일위대가목록표!A681),"대가678 →")</f>
        <v>대가678 →</v>
      </c>
    </row>
    <row r="3141" spans="1:26" ht="28.7" customHeight="1" x14ac:dyDescent="0.3">
      <c r="A3141" s="22" t="s">
        <v>6</v>
      </c>
      <c r="B3141" s="74"/>
      <c r="C3141" s="74"/>
      <c r="D3141" s="74"/>
      <c r="E3141" s="74"/>
      <c r="F3141" s="48">
        <f>J3141+H3141+L3141</f>
        <v>452499</v>
      </c>
      <c r="G3141" s="74"/>
      <c r="H3141" s="48">
        <f>ROUNDDOWN(SUMIF(P3139:P3140,O3141,H3139:H3140),0)</f>
        <v>439320</v>
      </c>
      <c r="I3141" s="74"/>
      <c r="J3141" s="48">
        <f>ROUNDDOWN(SUMIF(P3139:P3140,O3141,J3139:J3140),0)</f>
        <v>0</v>
      </c>
      <c r="K3141" s="74"/>
      <c r="L3141" s="48">
        <f>ROUNDDOWN(SUMIF(P3139:P3140,O3141,L3139:L3140),0)</f>
        <v>13179</v>
      </c>
      <c r="M3141" s="74"/>
      <c r="O3141" s="7" t="s">
        <v>6406</v>
      </c>
    </row>
    <row r="3142" spans="1:26" ht="28.7" customHeight="1" x14ac:dyDescent="0.3">
      <c r="A3142" s="73"/>
      <c r="B3142" s="73"/>
      <c r="C3142" s="73"/>
      <c r="D3142" s="73"/>
      <c r="E3142" s="73"/>
      <c r="F3142" s="73"/>
      <c r="G3142" s="73"/>
      <c r="H3142" s="73"/>
      <c r="I3142" s="73"/>
      <c r="J3142" s="73"/>
      <c r="K3142" s="73"/>
      <c r="L3142" s="73"/>
      <c r="M3142" s="73"/>
    </row>
    <row r="3143" spans="1:26" ht="28.7" customHeight="1" x14ac:dyDescent="0.3">
      <c r="A3143" s="136" t="s">
        <v>1752</v>
      </c>
      <c r="B3143" s="127"/>
      <c r="C3143" s="127"/>
      <c r="D3143" s="127"/>
      <c r="E3143" s="127"/>
      <c r="F3143" s="127"/>
      <c r="G3143" s="127"/>
      <c r="H3143" s="127"/>
      <c r="I3143" s="127"/>
      <c r="J3143" s="127"/>
      <c r="K3143" s="127"/>
      <c r="L3143" s="144"/>
      <c r="M3143" s="22" t="s">
        <v>8657</v>
      </c>
      <c r="N3143" s="84" t="str">
        <f>HYPERLINK("#N"&amp;ROW(N3147),"_x0005_`BDCOD|B04760_x0007_`POSS|"&amp;ROW(N3144)&amp;"_x0007_`POSE|"&amp;ROW(N3147)&amp;"_x0007_`")</f>
        <v>_x0005_`BDCOD|B04760_x0007_`POSS|3144_x0007_`POSE|3147_x0007_`</v>
      </c>
      <c r="O3143" s="7" t="s">
        <v>8658</v>
      </c>
    </row>
    <row r="3144" spans="1:26" ht="28.7" customHeight="1" x14ac:dyDescent="0.3">
      <c r="A3144" s="10"/>
      <c r="B3144" s="10" t="s">
        <v>6506</v>
      </c>
      <c r="C3144" s="75">
        <v>0</v>
      </c>
      <c r="D3144" s="31"/>
      <c r="E3144" s="33">
        <v>0</v>
      </c>
      <c r="F3144" s="11">
        <v>0</v>
      </c>
      <c r="G3144" s="42"/>
      <c r="H3144" s="11">
        <v>0</v>
      </c>
      <c r="I3144" s="42"/>
      <c r="J3144" s="33">
        <v>0</v>
      </c>
      <c r="K3144" s="46"/>
      <c r="L3144" s="33">
        <v>0</v>
      </c>
      <c r="M3144" s="22" t="s">
        <v>6509</v>
      </c>
      <c r="N3144" s="17" t="s">
        <v>6507</v>
      </c>
      <c r="O3144" s="7" t="s">
        <v>6508</v>
      </c>
      <c r="P3144" s="7" t="s">
        <v>6508</v>
      </c>
    </row>
    <row r="3145" spans="1:26" ht="28.7" customHeight="1" x14ac:dyDescent="0.3">
      <c r="A3145" s="10" t="s">
        <v>3081</v>
      </c>
      <c r="B3145" s="10"/>
      <c r="C3145" s="75">
        <v>3.677</v>
      </c>
      <c r="D3145" s="31" t="s">
        <v>3074</v>
      </c>
      <c r="E3145" s="55">
        <f t="shared" ref="E3145:F3147" si="35">I3145+G3145+K3145</f>
        <v>241698</v>
      </c>
      <c r="F3145" s="76">
        <f t="shared" si="35"/>
        <v>888723.5</v>
      </c>
      <c r="G3145" s="78">
        <f>노무비목록표!E8</f>
        <v>241698</v>
      </c>
      <c r="H3145" s="81">
        <f>IF(C3145=0,0,ROUNDDOWN(G3145*C3145,1))</f>
        <v>888723.5</v>
      </c>
      <c r="I3145" s="51">
        <v>0</v>
      </c>
      <c r="J3145" s="77">
        <f>IF(C3145=0,0,ROUNDDOWN(I3145*C3145,1))</f>
        <v>0</v>
      </c>
      <c r="K3145" s="51">
        <v>0</v>
      </c>
      <c r="L3145" s="76">
        <f>IF(C3145=0,0,ROUNDDOWN(K3145*C3145,1))</f>
        <v>0</v>
      </c>
      <c r="M3145" s="22" t="s">
        <v>8615</v>
      </c>
      <c r="N3145" s="17" t="s">
        <v>8613</v>
      </c>
      <c r="O3145" s="7" t="s">
        <v>8614</v>
      </c>
      <c r="P3145" s="7" t="s">
        <v>6406</v>
      </c>
      <c r="Q3145" s="7" t="s">
        <v>7061</v>
      </c>
      <c r="Z3145" s="3" t="str">
        <f ca="1">HYPERLINK("#"&amp;노무비목록표!G2&amp;"!A"&amp;ROW(노무비목록표!A8),"노무5 →")</f>
        <v>노무5 →</v>
      </c>
    </row>
    <row r="3146" spans="1:26" ht="28.7" customHeight="1" x14ac:dyDescent="0.3">
      <c r="A3146" s="10" t="s">
        <v>3090</v>
      </c>
      <c r="B3146" s="10"/>
      <c r="C3146" s="75">
        <v>1.218</v>
      </c>
      <c r="D3146" s="31" t="s">
        <v>3074</v>
      </c>
      <c r="E3146" s="55">
        <f t="shared" si="35"/>
        <v>172068</v>
      </c>
      <c r="F3146" s="76">
        <f t="shared" si="35"/>
        <v>209578.8</v>
      </c>
      <c r="G3146" s="78">
        <f>노무비목록표!E12</f>
        <v>172068</v>
      </c>
      <c r="H3146" s="81">
        <f>IF(C3146=0,0,ROUNDDOWN(G3146*C3146,1))</f>
        <v>209578.8</v>
      </c>
      <c r="I3146" s="51">
        <v>0</v>
      </c>
      <c r="J3146" s="77">
        <f>IF(C3146=0,0,ROUNDDOWN(I3146*C3146,1))</f>
        <v>0</v>
      </c>
      <c r="K3146" s="51">
        <v>0</v>
      </c>
      <c r="L3146" s="76">
        <f>IF(C3146=0,0,ROUNDDOWN(K3146*C3146,1))</f>
        <v>0</v>
      </c>
      <c r="M3146" s="22" t="s">
        <v>8262</v>
      </c>
      <c r="N3146" s="17" t="s">
        <v>8260</v>
      </c>
      <c r="O3146" s="7" t="s">
        <v>8261</v>
      </c>
      <c r="P3146" s="7" t="s">
        <v>6406</v>
      </c>
      <c r="Q3146" s="7" t="s">
        <v>7061</v>
      </c>
      <c r="Z3146" s="3" t="str">
        <f ca="1">HYPERLINK("#"&amp;노무비목록표!G2&amp;"!A"&amp;ROW(노무비목록표!A12),"노무9 →")</f>
        <v>노무9 →</v>
      </c>
    </row>
    <row r="3147" spans="1:26" ht="28.7" customHeight="1" x14ac:dyDescent="0.3">
      <c r="A3147" s="10" t="s">
        <v>8616</v>
      </c>
      <c r="B3147" s="10" t="s">
        <v>7063</v>
      </c>
      <c r="C3147" s="75">
        <v>3</v>
      </c>
      <c r="D3147" s="31" t="s">
        <v>7064</v>
      </c>
      <c r="E3147" s="55">
        <f t="shared" si="35"/>
        <v>1098302.3</v>
      </c>
      <c r="F3147" s="77">
        <f t="shared" si="35"/>
        <v>32949</v>
      </c>
      <c r="G3147" s="13">
        <v>0</v>
      </c>
      <c r="H3147" s="77">
        <f>IF(C3147=0,0,ROUNDDOWN(G3147*C3147/100,1))</f>
        <v>0</v>
      </c>
      <c r="I3147" s="13">
        <v>0</v>
      </c>
      <c r="J3147" s="76">
        <f>IF(C3147=0,0,ROUNDDOWN(I3147*C3147/100,1))</f>
        <v>0</v>
      </c>
      <c r="K3147" s="82">
        <f>H3145+H3146</f>
        <v>1098302.3</v>
      </c>
      <c r="L3147" s="76">
        <f>IF(C3147=0,0,ROUNDDOWN(K3147*C3147/100,1))</f>
        <v>32949</v>
      </c>
      <c r="M3147" s="22"/>
      <c r="N3147" s="17" t="s">
        <v>7065</v>
      </c>
      <c r="O3147" s="7" t="s">
        <v>7066</v>
      </c>
      <c r="P3147" s="7" t="s">
        <v>6406</v>
      </c>
    </row>
    <row r="3148" spans="1:26" ht="28.7" customHeight="1" x14ac:dyDescent="0.3">
      <c r="A3148" s="22" t="s">
        <v>6</v>
      </c>
      <c r="B3148" s="74"/>
      <c r="C3148" s="74"/>
      <c r="D3148" s="74"/>
      <c r="E3148" s="74"/>
      <c r="F3148" s="48">
        <f>J3148+H3148+L3148</f>
        <v>1131251</v>
      </c>
      <c r="G3148" s="74"/>
      <c r="H3148" s="48">
        <f>ROUNDDOWN(SUMIF(P3144:P3147,O3148,H3144:H3147),0)</f>
        <v>1098302</v>
      </c>
      <c r="I3148" s="74"/>
      <c r="J3148" s="48">
        <f>ROUNDDOWN(SUMIF(P3144:P3147,O3148,J3144:J3147),0)</f>
        <v>0</v>
      </c>
      <c r="K3148" s="74"/>
      <c r="L3148" s="48">
        <f>ROUNDDOWN(SUMIF(P3144:P3147,O3148,L3144:L3147),0)</f>
        <v>32949</v>
      </c>
      <c r="M3148" s="74"/>
      <c r="O3148" s="7" t="s">
        <v>6406</v>
      </c>
    </row>
    <row r="3149" spans="1:26" ht="28.7" customHeight="1" x14ac:dyDescent="0.3">
      <c r="A3149" s="73"/>
      <c r="B3149" s="73"/>
      <c r="C3149" s="73"/>
      <c r="D3149" s="73"/>
      <c r="E3149" s="73"/>
      <c r="F3149" s="73"/>
      <c r="G3149" s="73"/>
      <c r="H3149" s="73"/>
      <c r="I3149" s="73"/>
      <c r="J3149" s="73"/>
      <c r="K3149" s="73"/>
      <c r="L3149" s="73"/>
      <c r="M3149" s="73"/>
    </row>
    <row r="3150" spans="1:26" ht="28.7" customHeight="1" x14ac:dyDescent="0.3">
      <c r="A3150" s="136" t="s">
        <v>1755</v>
      </c>
      <c r="B3150" s="127"/>
      <c r="C3150" s="127"/>
      <c r="D3150" s="127"/>
      <c r="E3150" s="127"/>
      <c r="F3150" s="127"/>
      <c r="G3150" s="127"/>
      <c r="H3150" s="127"/>
      <c r="I3150" s="127"/>
      <c r="J3150" s="127"/>
      <c r="K3150" s="127"/>
      <c r="L3150" s="144"/>
      <c r="M3150" s="22" t="s">
        <v>8659</v>
      </c>
      <c r="N3150" s="84" t="str">
        <f>HYPERLINK("#N"&amp;ROW(N3153),"_x0005_`BDCOD|B04785_x0007_`POSS|"&amp;ROW(N3151)&amp;"_x0007_`POSE|"&amp;ROW(N3153)&amp;"_x0007_`")</f>
        <v>_x0005_`BDCOD|B04785_x0007_`POSS|3151_x0007_`POSE|3153_x0007_`</v>
      </c>
      <c r="O3150" s="7" t="s">
        <v>8660</v>
      </c>
    </row>
    <row r="3151" spans="1:26" ht="28.7" customHeight="1" x14ac:dyDescent="0.3">
      <c r="A3151" s="10"/>
      <c r="B3151" s="10" t="s">
        <v>6506</v>
      </c>
      <c r="C3151" s="75">
        <v>0</v>
      </c>
      <c r="D3151" s="31"/>
      <c r="E3151" s="33">
        <v>0</v>
      </c>
      <c r="F3151" s="11">
        <v>0</v>
      </c>
      <c r="G3151" s="42"/>
      <c r="H3151" s="11">
        <v>0</v>
      </c>
      <c r="I3151" s="42"/>
      <c r="J3151" s="33">
        <v>0</v>
      </c>
      <c r="K3151" s="46"/>
      <c r="L3151" s="33">
        <v>0</v>
      </c>
      <c r="M3151" s="22" t="s">
        <v>6509</v>
      </c>
      <c r="N3151" s="17" t="s">
        <v>6507</v>
      </c>
      <c r="O3151" s="7" t="s">
        <v>6508</v>
      </c>
      <c r="P3151" s="7" t="s">
        <v>6508</v>
      </c>
    </row>
    <row r="3152" spans="1:26" ht="28.7" customHeight="1" x14ac:dyDescent="0.3">
      <c r="A3152" s="10" t="s">
        <v>1686</v>
      </c>
      <c r="B3152" s="10" t="s">
        <v>1760</v>
      </c>
      <c r="C3152" s="75">
        <v>1</v>
      </c>
      <c r="D3152" s="31" t="s">
        <v>14</v>
      </c>
      <c r="E3152" s="55">
        <f>I3152+G3152+K3152</f>
        <v>584244</v>
      </c>
      <c r="F3152" s="76">
        <f>J3152+H3152+L3152</f>
        <v>584244</v>
      </c>
      <c r="G3152" s="78">
        <f>일위대가목록표!F683</f>
        <v>567228</v>
      </c>
      <c r="H3152" s="80">
        <f>IF(C3152=0,0,ROUNDDOWN(G3152*C3152,1))</f>
        <v>567228</v>
      </c>
      <c r="I3152" s="78">
        <f>일위대가목록표!G683</f>
        <v>0</v>
      </c>
      <c r="J3152" s="80">
        <f>IF(C3152=0,0,ROUNDDOWN(I3152*C3152,1))</f>
        <v>0</v>
      </c>
      <c r="K3152" s="78">
        <f>일위대가목록표!H683</f>
        <v>17016</v>
      </c>
      <c r="L3152" s="80">
        <f>IF(C3152=0,0,ROUNDDOWN(K3152*C3152,1))</f>
        <v>17016</v>
      </c>
      <c r="M3152" s="22" t="s">
        <v>6580</v>
      </c>
      <c r="N3152" s="17" t="s">
        <v>6578</v>
      </c>
      <c r="O3152" s="7" t="s">
        <v>6579</v>
      </c>
      <c r="P3152" s="7" t="s">
        <v>6406</v>
      </c>
      <c r="Z3152" s="3" t="str">
        <f ca="1">HYPERLINK("#"&amp;일위대가목록표!J2&amp;"!A"&amp;ROW(일위대가목록표!A683),"대가680 →")</f>
        <v>대가680 →</v>
      </c>
    </row>
    <row r="3153" spans="1:26" ht="28.7" customHeight="1" x14ac:dyDescent="0.3">
      <c r="A3153" s="10" t="s">
        <v>1690</v>
      </c>
      <c r="B3153" s="10" t="s">
        <v>1763</v>
      </c>
      <c r="C3153" s="75">
        <v>1</v>
      </c>
      <c r="D3153" s="31" t="s">
        <v>14</v>
      </c>
      <c r="E3153" s="55">
        <f>I3153+G3153+K3153</f>
        <v>1460614</v>
      </c>
      <c r="F3153" s="76">
        <f>J3153+H3153+L3153</f>
        <v>1460614</v>
      </c>
      <c r="G3153" s="78">
        <f>일위대가목록표!F684</f>
        <v>1418072</v>
      </c>
      <c r="H3153" s="80">
        <f>IF(C3153=0,0,ROUNDDOWN(G3153*C3153,1))</f>
        <v>1418072</v>
      </c>
      <c r="I3153" s="78">
        <f>일위대가목록표!G684</f>
        <v>0</v>
      </c>
      <c r="J3153" s="80">
        <f>IF(C3153=0,0,ROUNDDOWN(I3153*C3153,1))</f>
        <v>0</v>
      </c>
      <c r="K3153" s="78">
        <f>일위대가목록표!H684</f>
        <v>42542</v>
      </c>
      <c r="L3153" s="80">
        <f>IF(C3153=0,0,ROUNDDOWN(K3153*C3153,1))</f>
        <v>42542</v>
      </c>
      <c r="M3153" s="22" t="s">
        <v>6703</v>
      </c>
      <c r="N3153" s="17" t="s">
        <v>6701</v>
      </c>
      <c r="O3153" s="7" t="s">
        <v>6702</v>
      </c>
      <c r="P3153" s="7" t="s">
        <v>6406</v>
      </c>
      <c r="Z3153" s="3" t="str">
        <f ca="1">HYPERLINK("#"&amp;일위대가목록표!J2&amp;"!A"&amp;ROW(일위대가목록표!A684),"대가681 →")</f>
        <v>대가681 →</v>
      </c>
    </row>
    <row r="3154" spans="1:26" ht="28.7" customHeight="1" x14ac:dyDescent="0.3">
      <c r="A3154" s="22" t="s">
        <v>6</v>
      </c>
      <c r="B3154" s="74"/>
      <c r="C3154" s="74"/>
      <c r="D3154" s="74"/>
      <c r="E3154" s="74"/>
      <c r="F3154" s="48">
        <f>J3154+H3154+L3154</f>
        <v>2044858</v>
      </c>
      <c r="G3154" s="74"/>
      <c r="H3154" s="48">
        <f>ROUNDDOWN(SUMIF(P3151:P3153,O3154,H3151:H3153),0)</f>
        <v>1985300</v>
      </c>
      <c r="I3154" s="74"/>
      <c r="J3154" s="48">
        <f>ROUNDDOWN(SUMIF(P3151:P3153,O3154,J3151:J3153),0)</f>
        <v>0</v>
      </c>
      <c r="K3154" s="74"/>
      <c r="L3154" s="48">
        <f>ROUNDDOWN(SUMIF(P3151:P3153,O3154,L3151:L3153),0)</f>
        <v>59558</v>
      </c>
      <c r="M3154" s="74"/>
      <c r="O3154" s="7" t="s">
        <v>6406</v>
      </c>
    </row>
    <row r="3155" spans="1:26" ht="28.7" customHeight="1" x14ac:dyDescent="0.3">
      <c r="A3155" s="73"/>
      <c r="B3155" s="73"/>
      <c r="C3155" s="73"/>
      <c r="D3155" s="73"/>
      <c r="E3155" s="73"/>
      <c r="F3155" s="73"/>
      <c r="G3155" s="73"/>
      <c r="H3155" s="73"/>
      <c r="I3155" s="73"/>
      <c r="J3155" s="73"/>
      <c r="K3155" s="73"/>
      <c r="L3155" s="73"/>
      <c r="M3155" s="73"/>
    </row>
    <row r="3156" spans="1:26" ht="28.7" customHeight="1" x14ac:dyDescent="0.3">
      <c r="A3156" s="136" t="s">
        <v>1758</v>
      </c>
      <c r="B3156" s="127"/>
      <c r="C3156" s="127"/>
      <c r="D3156" s="127"/>
      <c r="E3156" s="127"/>
      <c r="F3156" s="127"/>
      <c r="G3156" s="127"/>
      <c r="H3156" s="127"/>
      <c r="I3156" s="127"/>
      <c r="J3156" s="127"/>
      <c r="K3156" s="127"/>
      <c r="L3156" s="144"/>
      <c r="M3156" s="22" t="s">
        <v>8661</v>
      </c>
      <c r="N3156" s="84" t="str">
        <f>HYPERLINK("#N"&amp;ROW(N3158),"_x0005_`BDCOD|B04773_x0007_`POSS|"&amp;ROW(N3157)&amp;"_x0007_`POSE|"&amp;ROW(N3158)&amp;"_x0007_`")</f>
        <v>_x0005_`BDCOD|B04773_x0007_`POSS|3157_x0007_`POSE|3158_x0007_`</v>
      </c>
      <c r="O3156" s="7" t="s">
        <v>8662</v>
      </c>
    </row>
    <row r="3157" spans="1:26" ht="28.7" customHeight="1" x14ac:dyDescent="0.3">
      <c r="A3157" s="10"/>
      <c r="B3157" s="10" t="s">
        <v>6506</v>
      </c>
      <c r="C3157" s="75">
        <v>0</v>
      </c>
      <c r="D3157" s="31"/>
      <c r="E3157" s="33">
        <v>0</v>
      </c>
      <c r="F3157" s="11">
        <v>0</v>
      </c>
      <c r="G3157" s="42"/>
      <c r="H3157" s="11">
        <v>0</v>
      </c>
      <c r="I3157" s="42"/>
      <c r="J3157" s="33">
        <v>0</v>
      </c>
      <c r="K3157" s="46"/>
      <c r="L3157" s="33">
        <v>0</v>
      </c>
      <c r="M3157" s="22" t="s">
        <v>6509</v>
      </c>
      <c r="N3157" s="17" t="s">
        <v>6507</v>
      </c>
      <c r="O3157" s="7" t="s">
        <v>6508</v>
      </c>
      <c r="P3157" s="7" t="s">
        <v>6508</v>
      </c>
    </row>
    <row r="3158" spans="1:26" ht="28.7" customHeight="1" x14ac:dyDescent="0.3">
      <c r="A3158" s="10" t="s">
        <v>1690</v>
      </c>
      <c r="B3158" s="10" t="s">
        <v>1763</v>
      </c>
      <c r="C3158" s="75">
        <v>0.4</v>
      </c>
      <c r="D3158" s="31" t="s">
        <v>14</v>
      </c>
      <c r="E3158" s="55">
        <f>I3158+G3158+K3158</f>
        <v>1460614</v>
      </c>
      <c r="F3158" s="76">
        <f>J3158+H3158+L3158</f>
        <v>584245.60000000009</v>
      </c>
      <c r="G3158" s="78">
        <f>일위대가목록표!F684</f>
        <v>1418072</v>
      </c>
      <c r="H3158" s="80">
        <f>IF(C3158=0,0,ROUNDDOWN(G3158*C3158,1))</f>
        <v>567228.80000000005</v>
      </c>
      <c r="I3158" s="78">
        <f>일위대가목록표!G684</f>
        <v>0</v>
      </c>
      <c r="J3158" s="80">
        <f>IF(C3158=0,0,ROUNDDOWN(I3158*C3158,1))</f>
        <v>0</v>
      </c>
      <c r="K3158" s="78">
        <f>일위대가목록표!H684</f>
        <v>42542</v>
      </c>
      <c r="L3158" s="80">
        <f>IF(C3158=0,0,ROUNDDOWN(K3158*C3158,1))</f>
        <v>17016.8</v>
      </c>
      <c r="M3158" s="22" t="s">
        <v>6703</v>
      </c>
      <c r="N3158" s="17" t="s">
        <v>6701</v>
      </c>
      <c r="O3158" s="7" t="s">
        <v>6702</v>
      </c>
      <c r="P3158" s="7" t="s">
        <v>6406</v>
      </c>
      <c r="Z3158" s="3" t="str">
        <f ca="1">HYPERLINK("#"&amp;일위대가목록표!J2&amp;"!A"&amp;ROW(일위대가목록표!A684),"대가681 →")</f>
        <v>대가681 →</v>
      </c>
    </row>
    <row r="3159" spans="1:26" ht="28.7" customHeight="1" x14ac:dyDescent="0.3">
      <c r="A3159" s="22" t="s">
        <v>6</v>
      </c>
      <c r="B3159" s="74"/>
      <c r="C3159" s="74"/>
      <c r="D3159" s="74"/>
      <c r="E3159" s="74"/>
      <c r="F3159" s="48">
        <f>J3159+H3159+L3159</f>
        <v>584244</v>
      </c>
      <c r="G3159" s="74"/>
      <c r="H3159" s="48">
        <f>ROUNDDOWN(SUMIF(P3157:P3158,O3159,H3157:H3158),0)</f>
        <v>567228</v>
      </c>
      <c r="I3159" s="74"/>
      <c r="J3159" s="48">
        <f>ROUNDDOWN(SUMIF(P3157:P3158,O3159,J3157:J3158),0)</f>
        <v>0</v>
      </c>
      <c r="K3159" s="74"/>
      <c r="L3159" s="48">
        <f>ROUNDDOWN(SUMIF(P3157:P3158,O3159,L3157:L3158),0)</f>
        <v>17016</v>
      </c>
      <c r="M3159" s="74"/>
      <c r="O3159" s="7" t="s">
        <v>6406</v>
      </c>
    </row>
    <row r="3160" spans="1:26" ht="28.7" customHeight="1" x14ac:dyDescent="0.3">
      <c r="A3160" s="73"/>
      <c r="B3160" s="73"/>
      <c r="C3160" s="73"/>
      <c r="D3160" s="73"/>
      <c r="E3160" s="73"/>
      <c r="F3160" s="73"/>
      <c r="G3160" s="73"/>
      <c r="H3160" s="73"/>
      <c r="I3160" s="73"/>
      <c r="J3160" s="73"/>
      <c r="K3160" s="73"/>
      <c r="L3160" s="73"/>
      <c r="M3160" s="73"/>
    </row>
    <row r="3161" spans="1:26" ht="28.7" customHeight="1" x14ac:dyDescent="0.3">
      <c r="A3161" s="136" t="s">
        <v>1761</v>
      </c>
      <c r="B3161" s="127"/>
      <c r="C3161" s="127"/>
      <c r="D3161" s="127"/>
      <c r="E3161" s="127"/>
      <c r="F3161" s="127"/>
      <c r="G3161" s="127"/>
      <c r="H3161" s="127"/>
      <c r="I3161" s="127"/>
      <c r="J3161" s="127"/>
      <c r="K3161" s="127"/>
      <c r="L3161" s="144"/>
      <c r="M3161" s="22" t="s">
        <v>8663</v>
      </c>
      <c r="N3161" s="84" t="str">
        <f>HYPERLINK("#N"&amp;ROW(N3165),"_x0005_`BDCOD|B04761_x0007_`POSS|"&amp;ROW(N3162)&amp;"_x0007_`POSE|"&amp;ROW(N3165)&amp;"_x0007_`")</f>
        <v>_x0005_`BDCOD|B04761_x0007_`POSS|3162_x0007_`POSE|3165_x0007_`</v>
      </c>
      <c r="O3161" s="7" t="s">
        <v>8664</v>
      </c>
    </row>
    <row r="3162" spans="1:26" ht="28.7" customHeight="1" x14ac:dyDescent="0.3">
      <c r="A3162" s="10"/>
      <c r="B3162" s="10" t="s">
        <v>8665</v>
      </c>
      <c r="C3162" s="75">
        <v>0</v>
      </c>
      <c r="D3162" s="31"/>
      <c r="E3162" s="33">
        <v>0</v>
      </c>
      <c r="F3162" s="11">
        <v>0</v>
      </c>
      <c r="G3162" s="42"/>
      <c r="H3162" s="11">
        <v>0</v>
      </c>
      <c r="I3162" s="42"/>
      <c r="J3162" s="33">
        <v>0</v>
      </c>
      <c r="K3162" s="46"/>
      <c r="L3162" s="33">
        <v>0</v>
      </c>
      <c r="M3162" s="22" t="s">
        <v>6509</v>
      </c>
      <c r="N3162" s="17" t="s">
        <v>6507</v>
      </c>
      <c r="O3162" s="7" t="s">
        <v>6508</v>
      </c>
      <c r="P3162" s="7" t="s">
        <v>6508</v>
      </c>
    </row>
    <row r="3163" spans="1:26" ht="28.7" customHeight="1" x14ac:dyDescent="0.3">
      <c r="A3163" s="10" t="s">
        <v>3081</v>
      </c>
      <c r="B3163" s="10"/>
      <c r="C3163" s="75">
        <v>4.7480000000000002</v>
      </c>
      <c r="D3163" s="31" t="s">
        <v>3074</v>
      </c>
      <c r="E3163" s="55">
        <f t="shared" ref="E3163:F3165" si="36">I3163+G3163+K3163</f>
        <v>241698</v>
      </c>
      <c r="F3163" s="76">
        <f t="shared" si="36"/>
        <v>1147582.1000000001</v>
      </c>
      <c r="G3163" s="78">
        <f>노무비목록표!E8</f>
        <v>241698</v>
      </c>
      <c r="H3163" s="81">
        <f>IF(C3163=0,0,ROUNDDOWN(G3163*C3163,1))</f>
        <v>1147582.1000000001</v>
      </c>
      <c r="I3163" s="51">
        <v>0</v>
      </c>
      <c r="J3163" s="77">
        <f>IF(C3163=0,0,ROUNDDOWN(I3163*C3163,1))</f>
        <v>0</v>
      </c>
      <c r="K3163" s="51">
        <v>0</v>
      </c>
      <c r="L3163" s="76">
        <f>IF(C3163=0,0,ROUNDDOWN(K3163*C3163,1))</f>
        <v>0</v>
      </c>
      <c r="M3163" s="22" t="s">
        <v>8615</v>
      </c>
      <c r="N3163" s="17" t="s">
        <v>8613</v>
      </c>
      <c r="O3163" s="7" t="s">
        <v>8614</v>
      </c>
      <c r="P3163" s="7" t="s">
        <v>6406</v>
      </c>
      <c r="Q3163" s="7" t="s">
        <v>7061</v>
      </c>
      <c r="Z3163" s="3" t="str">
        <f ca="1">HYPERLINK("#"&amp;노무비목록표!G2&amp;"!A"&amp;ROW(노무비목록표!A8),"노무5 →")</f>
        <v>노무5 →</v>
      </c>
    </row>
    <row r="3164" spans="1:26" ht="28.7" customHeight="1" x14ac:dyDescent="0.3">
      <c r="A3164" s="10" t="s">
        <v>3090</v>
      </c>
      <c r="B3164" s="10"/>
      <c r="C3164" s="75">
        <v>1.5720000000000001</v>
      </c>
      <c r="D3164" s="31" t="s">
        <v>3074</v>
      </c>
      <c r="E3164" s="55">
        <f t="shared" si="36"/>
        <v>172068</v>
      </c>
      <c r="F3164" s="76">
        <f t="shared" si="36"/>
        <v>270490.8</v>
      </c>
      <c r="G3164" s="78">
        <f>노무비목록표!E12</f>
        <v>172068</v>
      </c>
      <c r="H3164" s="81">
        <f>IF(C3164=0,0,ROUNDDOWN(G3164*C3164,1))</f>
        <v>270490.8</v>
      </c>
      <c r="I3164" s="51">
        <v>0</v>
      </c>
      <c r="J3164" s="77">
        <f>IF(C3164=0,0,ROUNDDOWN(I3164*C3164,1))</f>
        <v>0</v>
      </c>
      <c r="K3164" s="51">
        <v>0</v>
      </c>
      <c r="L3164" s="76">
        <f>IF(C3164=0,0,ROUNDDOWN(K3164*C3164,1))</f>
        <v>0</v>
      </c>
      <c r="M3164" s="22" t="s">
        <v>8262</v>
      </c>
      <c r="N3164" s="17" t="s">
        <v>8260</v>
      </c>
      <c r="O3164" s="7" t="s">
        <v>8261</v>
      </c>
      <c r="P3164" s="7" t="s">
        <v>6406</v>
      </c>
      <c r="Q3164" s="7" t="s">
        <v>7061</v>
      </c>
      <c r="Z3164" s="3" t="str">
        <f ca="1">HYPERLINK("#"&amp;노무비목록표!G2&amp;"!A"&amp;ROW(노무비목록표!A12),"노무9 →")</f>
        <v>노무9 →</v>
      </c>
    </row>
    <row r="3165" spans="1:26" ht="28.7" customHeight="1" x14ac:dyDescent="0.3">
      <c r="A3165" s="10" t="s">
        <v>8616</v>
      </c>
      <c r="B3165" s="10" t="s">
        <v>7063</v>
      </c>
      <c r="C3165" s="75">
        <v>3</v>
      </c>
      <c r="D3165" s="31" t="s">
        <v>7064</v>
      </c>
      <c r="E3165" s="55">
        <f t="shared" si="36"/>
        <v>1418072.9000000001</v>
      </c>
      <c r="F3165" s="77">
        <f t="shared" si="36"/>
        <v>42542.1</v>
      </c>
      <c r="G3165" s="13">
        <v>0</v>
      </c>
      <c r="H3165" s="77">
        <f>IF(C3165=0,0,ROUNDDOWN(G3165*C3165/100,1))</f>
        <v>0</v>
      </c>
      <c r="I3165" s="13">
        <v>0</v>
      </c>
      <c r="J3165" s="76">
        <f>IF(C3165=0,0,ROUNDDOWN(I3165*C3165/100,1))</f>
        <v>0</v>
      </c>
      <c r="K3165" s="82">
        <f>H3163+H3164</f>
        <v>1418072.9000000001</v>
      </c>
      <c r="L3165" s="76">
        <f>IF(C3165=0,0,ROUNDDOWN(K3165*C3165/100,1))</f>
        <v>42542.1</v>
      </c>
      <c r="M3165" s="22"/>
      <c r="N3165" s="17" t="s">
        <v>7065</v>
      </c>
      <c r="O3165" s="7" t="s">
        <v>7066</v>
      </c>
      <c r="P3165" s="7" t="s">
        <v>6406</v>
      </c>
    </row>
    <row r="3166" spans="1:26" ht="28.7" customHeight="1" x14ac:dyDescent="0.3">
      <c r="A3166" s="22" t="s">
        <v>6</v>
      </c>
      <c r="B3166" s="74"/>
      <c r="C3166" s="74"/>
      <c r="D3166" s="74"/>
      <c r="E3166" s="74"/>
      <c r="F3166" s="48">
        <f>J3166+H3166+L3166</f>
        <v>1460614</v>
      </c>
      <c r="G3166" s="74"/>
      <c r="H3166" s="48">
        <f>ROUNDDOWN(SUMIF(P3162:P3165,O3166,H3162:H3165),0)</f>
        <v>1418072</v>
      </c>
      <c r="I3166" s="74"/>
      <c r="J3166" s="48">
        <f>ROUNDDOWN(SUMIF(P3162:P3165,O3166,J3162:J3165),0)</f>
        <v>0</v>
      </c>
      <c r="K3166" s="74"/>
      <c r="L3166" s="48">
        <f>ROUNDDOWN(SUMIF(P3162:P3165,O3166,L3162:L3165),0)</f>
        <v>42542</v>
      </c>
      <c r="M3166" s="74"/>
      <c r="O3166" s="7" t="s">
        <v>6406</v>
      </c>
    </row>
    <row r="3167" spans="1:26" ht="28.7" customHeight="1" x14ac:dyDescent="0.3">
      <c r="A3167" s="73"/>
      <c r="B3167" s="73"/>
      <c r="C3167" s="73"/>
      <c r="D3167" s="73"/>
      <c r="E3167" s="73"/>
      <c r="F3167" s="73"/>
      <c r="G3167" s="73"/>
      <c r="H3167" s="73"/>
      <c r="I3167" s="73"/>
      <c r="J3167" s="73"/>
      <c r="K3167" s="73"/>
      <c r="L3167" s="73"/>
      <c r="M3167" s="73"/>
    </row>
    <row r="3168" spans="1:26" ht="28.7" customHeight="1" x14ac:dyDescent="0.3">
      <c r="A3168" s="136" t="s">
        <v>1764</v>
      </c>
      <c r="B3168" s="127"/>
      <c r="C3168" s="127"/>
      <c r="D3168" s="127"/>
      <c r="E3168" s="127"/>
      <c r="F3168" s="127"/>
      <c r="G3168" s="127"/>
      <c r="H3168" s="127"/>
      <c r="I3168" s="127"/>
      <c r="J3168" s="127"/>
      <c r="K3168" s="127"/>
      <c r="L3168" s="144"/>
      <c r="M3168" s="22" t="s">
        <v>8666</v>
      </c>
      <c r="N3168" s="84" t="str">
        <f>HYPERLINK("#N"&amp;ROW(N3171),"_x0005_`BDCOD|B04786_x0007_`POSS|"&amp;ROW(N3169)&amp;"_x0007_`POSE|"&amp;ROW(N3171)&amp;"_x0007_`")</f>
        <v>_x0005_`BDCOD|B04786_x0007_`POSS|3169_x0007_`POSE|3171_x0007_`</v>
      </c>
      <c r="O3168" s="7" t="s">
        <v>8667</v>
      </c>
    </row>
    <row r="3169" spans="1:26" ht="28.7" customHeight="1" x14ac:dyDescent="0.3">
      <c r="A3169" s="10"/>
      <c r="B3169" s="10" t="s">
        <v>6506</v>
      </c>
      <c r="C3169" s="75">
        <v>0</v>
      </c>
      <c r="D3169" s="31"/>
      <c r="E3169" s="33">
        <v>0</v>
      </c>
      <c r="F3169" s="11">
        <v>0</v>
      </c>
      <c r="G3169" s="42"/>
      <c r="H3169" s="11">
        <v>0</v>
      </c>
      <c r="I3169" s="42"/>
      <c r="J3169" s="33">
        <v>0</v>
      </c>
      <c r="K3169" s="46"/>
      <c r="L3169" s="33">
        <v>0</v>
      </c>
      <c r="M3169" s="22" t="s">
        <v>6509</v>
      </c>
      <c r="N3169" s="17" t="s">
        <v>6507</v>
      </c>
      <c r="O3169" s="7" t="s">
        <v>6508</v>
      </c>
      <c r="P3169" s="7" t="s">
        <v>6508</v>
      </c>
    </row>
    <row r="3170" spans="1:26" ht="28.7" customHeight="1" x14ac:dyDescent="0.3">
      <c r="A3170" s="10" t="s">
        <v>1686</v>
      </c>
      <c r="B3170" s="10" t="s">
        <v>1769</v>
      </c>
      <c r="C3170" s="75">
        <v>1</v>
      </c>
      <c r="D3170" s="31" t="s">
        <v>14</v>
      </c>
      <c r="E3170" s="55">
        <f>I3170+G3170+K3170</f>
        <v>939944</v>
      </c>
      <c r="F3170" s="76">
        <f>J3170+H3170+L3170</f>
        <v>939944</v>
      </c>
      <c r="G3170" s="78">
        <f>일위대가목록표!F686</f>
        <v>912568</v>
      </c>
      <c r="H3170" s="80">
        <f>IF(C3170=0,0,ROUNDDOWN(G3170*C3170,1))</f>
        <v>912568</v>
      </c>
      <c r="I3170" s="78">
        <f>일위대가목록표!G686</f>
        <v>0</v>
      </c>
      <c r="J3170" s="80">
        <f>IF(C3170=0,0,ROUNDDOWN(I3170*C3170,1))</f>
        <v>0</v>
      </c>
      <c r="K3170" s="78">
        <f>일위대가목록표!H686</f>
        <v>27376</v>
      </c>
      <c r="L3170" s="80">
        <f>IF(C3170=0,0,ROUNDDOWN(K3170*C3170,1))</f>
        <v>27376</v>
      </c>
      <c r="M3170" s="22" t="s">
        <v>6585</v>
      </c>
      <c r="N3170" s="17" t="s">
        <v>6583</v>
      </c>
      <c r="O3170" s="7" t="s">
        <v>6584</v>
      </c>
      <c r="P3170" s="7" t="s">
        <v>6406</v>
      </c>
      <c r="Z3170" s="3" t="str">
        <f ca="1">HYPERLINK("#"&amp;일위대가목록표!J2&amp;"!A"&amp;ROW(일위대가목록표!A686),"대가683 →")</f>
        <v>대가683 →</v>
      </c>
    </row>
    <row r="3171" spans="1:26" ht="28.7" customHeight="1" x14ac:dyDescent="0.3">
      <c r="A3171" s="10" t="s">
        <v>1690</v>
      </c>
      <c r="B3171" s="10" t="s">
        <v>1772</v>
      </c>
      <c r="C3171" s="75">
        <v>1</v>
      </c>
      <c r="D3171" s="31" t="s">
        <v>14</v>
      </c>
      <c r="E3171" s="55">
        <f>I3171+G3171+K3171</f>
        <v>2349863</v>
      </c>
      <c r="F3171" s="76">
        <f>J3171+H3171+L3171</f>
        <v>2349863</v>
      </c>
      <c r="G3171" s="78">
        <f>일위대가목록표!F687</f>
        <v>2281421</v>
      </c>
      <c r="H3171" s="80">
        <f>IF(C3171=0,0,ROUNDDOWN(G3171*C3171,1))</f>
        <v>2281421</v>
      </c>
      <c r="I3171" s="78">
        <f>일위대가목록표!G687</f>
        <v>0</v>
      </c>
      <c r="J3171" s="80">
        <f>IF(C3171=0,0,ROUNDDOWN(I3171*C3171,1))</f>
        <v>0</v>
      </c>
      <c r="K3171" s="78">
        <f>일위대가목록표!H687</f>
        <v>68442</v>
      </c>
      <c r="L3171" s="80">
        <f>IF(C3171=0,0,ROUNDDOWN(K3171*C3171,1))</f>
        <v>68442</v>
      </c>
      <c r="M3171" s="22" t="s">
        <v>6708</v>
      </c>
      <c r="N3171" s="17" t="s">
        <v>6706</v>
      </c>
      <c r="O3171" s="7" t="s">
        <v>6707</v>
      </c>
      <c r="P3171" s="7" t="s">
        <v>6406</v>
      </c>
      <c r="Z3171" s="3" t="str">
        <f ca="1">HYPERLINK("#"&amp;일위대가목록표!J2&amp;"!A"&amp;ROW(일위대가목록표!A687),"대가684 →")</f>
        <v>대가684 →</v>
      </c>
    </row>
    <row r="3172" spans="1:26" ht="28.7" customHeight="1" x14ac:dyDescent="0.3">
      <c r="A3172" s="22" t="s">
        <v>6</v>
      </c>
      <c r="B3172" s="74"/>
      <c r="C3172" s="74"/>
      <c r="D3172" s="74"/>
      <c r="E3172" s="74"/>
      <c r="F3172" s="48">
        <f>J3172+H3172+L3172</f>
        <v>3289807</v>
      </c>
      <c r="G3172" s="74"/>
      <c r="H3172" s="48">
        <f>ROUNDDOWN(SUMIF(P3169:P3171,O3172,H3169:H3171),0)</f>
        <v>3193989</v>
      </c>
      <c r="I3172" s="74"/>
      <c r="J3172" s="48">
        <f>ROUNDDOWN(SUMIF(P3169:P3171,O3172,J3169:J3171),0)</f>
        <v>0</v>
      </c>
      <c r="K3172" s="74"/>
      <c r="L3172" s="48">
        <f>ROUNDDOWN(SUMIF(P3169:P3171,O3172,L3169:L3171),0)</f>
        <v>95818</v>
      </c>
      <c r="M3172" s="74"/>
      <c r="O3172" s="7" t="s">
        <v>6406</v>
      </c>
    </row>
    <row r="3173" spans="1:26" ht="28.7" customHeight="1" x14ac:dyDescent="0.3">
      <c r="A3173" s="73"/>
      <c r="B3173" s="73"/>
      <c r="C3173" s="73"/>
      <c r="D3173" s="73"/>
      <c r="E3173" s="73"/>
      <c r="F3173" s="73"/>
      <c r="G3173" s="73"/>
      <c r="H3173" s="73"/>
      <c r="I3173" s="73"/>
      <c r="J3173" s="73"/>
      <c r="K3173" s="73"/>
      <c r="L3173" s="73"/>
      <c r="M3173" s="73"/>
    </row>
    <row r="3174" spans="1:26" ht="28.7" customHeight="1" x14ac:dyDescent="0.3">
      <c r="A3174" s="136" t="s">
        <v>1767</v>
      </c>
      <c r="B3174" s="127"/>
      <c r="C3174" s="127"/>
      <c r="D3174" s="127"/>
      <c r="E3174" s="127"/>
      <c r="F3174" s="127"/>
      <c r="G3174" s="127"/>
      <c r="H3174" s="127"/>
      <c r="I3174" s="127"/>
      <c r="J3174" s="127"/>
      <c r="K3174" s="127"/>
      <c r="L3174" s="144"/>
      <c r="M3174" s="22" t="s">
        <v>8668</v>
      </c>
      <c r="N3174" s="84" t="str">
        <f>HYPERLINK("#N"&amp;ROW(N3176),"_x0005_`BDCOD|B04774_x0007_`POSS|"&amp;ROW(N3175)&amp;"_x0007_`POSE|"&amp;ROW(N3176)&amp;"_x0007_`")</f>
        <v>_x0005_`BDCOD|B04774_x0007_`POSS|3175_x0007_`POSE|3176_x0007_`</v>
      </c>
      <c r="O3174" s="7" t="s">
        <v>8669</v>
      </c>
    </row>
    <row r="3175" spans="1:26" ht="28.7" customHeight="1" x14ac:dyDescent="0.3">
      <c r="A3175" s="10"/>
      <c r="B3175" s="10" t="s">
        <v>6506</v>
      </c>
      <c r="C3175" s="75">
        <v>0</v>
      </c>
      <c r="D3175" s="31"/>
      <c r="E3175" s="33">
        <v>0</v>
      </c>
      <c r="F3175" s="11">
        <v>0</v>
      </c>
      <c r="G3175" s="42"/>
      <c r="H3175" s="11">
        <v>0</v>
      </c>
      <c r="I3175" s="42"/>
      <c r="J3175" s="33">
        <v>0</v>
      </c>
      <c r="K3175" s="46"/>
      <c r="L3175" s="33">
        <v>0</v>
      </c>
      <c r="M3175" s="22" t="s">
        <v>6509</v>
      </c>
      <c r="N3175" s="17" t="s">
        <v>6507</v>
      </c>
      <c r="O3175" s="7" t="s">
        <v>6508</v>
      </c>
      <c r="P3175" s="7" t="s">
        <v>6508</v>
      </c>
    </row>
    <row r="3176" spans="1:26" ht="28.7" customHeight="1" x14ac:dyDescent="0.3">
      <c r="A3176" s="10" t="s">
        <v>1690</v>
      </c>
      <c r="B3176" s="10" t="s">
        <v>1772</v>
      </c>
      <c r="C3176" s="75">
        <v>0.4</v>
      </c>
      <c r="D3176" s="31" t="s">
        <v>14</v>
      </c>
      <c r="E3176" s="55">
        <f>I3176+G3176+K3176</f>
        <v>2349863</v>
      </c>
      <c r="F3176" s="76">
        <f>J3176+H3176+L3176</f>
        <v>939945.20000000007</v>
      </c>
      <c r="G3176" s="78">
        <f>일위대가목록표!F687</f>
        <v>2281421</v>
      </c>
      <c r="H3176" s="80">
        <f>IF(C3176=0,0,ROUNDDOWN(G3176*C3176,1))</f>
        <v>912568.4</v>
      </c>
      <c r="I3176" s="78">
        <f>일위대가목록표!G687</f>
        <v>0</v>
      </c>
      <c r="J3176" s="80">
        <f>IF(C3176=0,0,ROUNDDOWN(I3176*C3176,1))</f>
        <v>0</v>
      </c>
      <c r="K3176" s="78">
        <f>일위대가목록표!H687</f>
        <v>68442</v>
      </c>
      <c r="L3176" s="80">
        <f>IF(C3176=0,0,ROUNDDOWN(K3176*C3176,1))</f>
        <v>27376.799999999999</v>
      </c>
      <c r="M3176" s="22" t="s">
        <v>6708</v>
      </c>
      <c r="N3176" s="17" t="s">
        <v>6706</v>
      </c>
      <c r="O3176" s="7" t="s">
        <v>6707</v>
      </c>
      <c r="P3176" s="7" t="s">
        <v>6406</v>
      </c>
      <c r="Z3176" s="3" t="str">
        <f ca="1">HYPERLINK("#"&amp;일위대가목록표!J2&amp;"!A"&amp;ROW(일위대가목록표!A687),"대가684 →")</f>
        <v>대가684 →</v>
      </c>
    </row>
    <row r="3177" spans="1:26" ht="28.7" customHeight="1" x14ac:dyDescent="0.3">
      <c r="A3177" s="22" t="s">
        <v>6</v>
      </c>
      <c r="B3177" s="74"/>
      <c r="C3177" s="74"/>
      <c r="D3177" s="74"/>
      <c r="E3177" s="74"/>
      <c r="F3177" s="48">
        <f>J3177+H3177+L3177</f>
        <v>939944</v>
      </c>
      <c r="G3177" s="74"/>
      <c r="H3177" s="48">
        <f>ROUNDDOWN(SUMIF(P3175:P3176,O3177,H3175:H3176),0)</f>
        <v>912568</v>
      </c>
      <c r="I3177" s="74"/>
      <c r="J3177" s="48">
        <f>ROUNDDOWN(SUMIF(P3175:P3176,O3177,J3175:J3176),0)</f>
        <v>0</v>
      </c>
      <c r="K3177" s="74"/>
      <c r="L3177" s="48">
        <f>ROUNDDOWN(SUMIF(P3175:P3176,O3177,L3175:L3176),0)</f>
        <v>27376</v>
      </c>
      <c r="M3177" s="74"/>
      <c r="O3177" s="7" t="s">
        <v>6406</v>
      </c>
    </row>
    <row r="3178" spans="1:26" ht="28.7" customHeight="1" x14ac:dyDescent="0.3">
      <c r="A3178" s="73"/>
      <c r="B3178" s="73"/>
      <c r="C3178" s="73"/>
      <c r="D3178" s="73"/>
      <c r="E3178" s="73"/>
      <c r="F3178" s="73"/>
      <c r="G3178" s="73"/>
      <c r="H3178" s="73"/>
      <c r="I3178" s="73"/>
      <c r="J3178" s="73"/>
      <c r="K3178" s="73"/>
      <c r="L3178" s="73"/>
      <c r="M3178" s="73"/>
    </row>
    <row r="3179" spans="1:26" ht="28.7" customHeight="1" x14ac:dyDescent="0.3">
      <c r="A3179" s="136" t="s">
        <v>1770</v>
      </c>
      <c r="B3179" s="127"/>
      <c r="C3179" s="127"/>
      <c r="D3179" s="127"/>
      <c r="E3179" s="127"/>
      <c r="F3179" s="127"/>
      <c r="G3179" s="127"/>
      <c r="H3179" s="127"/>
      <c r="I3179" s="127"/>
      <c r="J3179" s="127"/>
      <c r="K3179" s="127"/>
      <c r="L3179" s="144"/>
      <c r="M3179" s="22" t="s">
        <v>8670</v>
      </c>
      <c r="N3179" s="84" t="str">
        <f>HYPERLINK("#N"&amp;ROW(N3183),"_x0005_`BDCOD|B04762_x0007_`POSS|"&amp;ROW(N3180)&amp;"_x0007_`POSE|"&amp;ROW(N3183)&amp;"_x0007_`")</f>
        <v>_x0005_`BDCOD|B04762_x0007_`POSS|3180_x0007_`POSE|3183_x0007_`</v>
      </c>
      <c r="O3179" s="7" t="s">
        <v>8671</v>
      </c>
    </row>
    <row r="3180" spans="1:26" ht="28.7" customHeight="1" x14ac:dyDescent="0.3">
      <c r="A3180" s="10"/>
      <c r="B3180" s="10" t="s">
        <v>6506</v>
      </c>
      <c r="C3180" s="75">
        <v>0</v>
      </c>
      <c r="D3180" s="31"/>
      <c r="E3180" s="33">
        <v>0</v>
      </c>
      <c r="F3180" s="11">
        <v>0</v>
      </c>
      <c r="G3180" s="42"/>
      <c r="H3180" s="11">
        <v>0</v>
      </c>
      <c r="I3180" s="42"/>
      <c r="J3180" s="33">
        <v>0</v>
      </c>
      <c r="K3180" s="46"/>
      <c r="L3180" s="33">
        <v>0</v>
      </c>
      <c r="M3180" s="22" t="s">
        <v>6509</v>
      </c>
      <c r="N3180" s="17" t="s">
        <v>6507</v>
      </c>
      <c r="O3180" s="7" t="s">
        <v>6508</v>
      </c>
      <c r="P3180" s="7" t="s">
        <v>6508</v>
      </c>
    </row>
    <row r="3181" spans="1:26" ht="28.7" customHeight="1" x14ac:dyDescent="0.3">
      <c r="A3181" s="10" t="s">
        <v>3081</v>
      </c>
      <c r="B3181" s="10"/>
      <c r="C3181" s="75">
        <v>7.6379999999999999</v>
      </c>
      <c r="D3181" s="31" t="s">
        <v>3074</v>
      </c>
      <c r="E3181" s="55">
        <f t="shared" ref="E3181:F3183" si="37">I3181+G3181+K3181</f>
        <v>241698</v>
      </c>
      <c r="F3181" s="76">
        <f t="shared" si="37"/>
        <v>1846089.3</v>
      </c>
      <c r="G3181" s="78">
        <f>노무비목록표!E8</f>
        <v>241698</v>
      </c>
      <c r="H3181" s="81">
        <f>IF(C3181=0,0,ROUNDDOWN(G3181*C3181,1))</f>
        <v>1846089.3</v>
      </c>
      <c r="I3181" s="51">
        <v>0</v>
      </c>
      <c r="J3181" s="77">
        <f>IF(C3181=0,0,ROUNDDOWN(I3181*C3181,1))</f>
        <v>0</v>
      </c>
      <c r="K3181" s="51">
        <v>0</v>
      </c>
      <c r="L3181" s="76">
        <f>IF(C3181=0,0,ROUNDDOWN(K3181*C3181,1))</f>
        <v>0</v>
      </c>
      <c r="M3181" s="22" t="s">
        <v>8615</v>
      </c>
      <c r="N3181" s="17" t="s">
        <v>8613</v>
      </c>
      <c r="O3181" s="7" t="s">
        <v>8614</v>
      </c>
      <c r="P3181" s="7" t="s">
        <v>6406</v>
      </c>
      <c r="Q3181" s="7" t="s">
        <v>7061</v>
      </c>
      <c r="Z3181" s="3" t="str">
        <f ca="1">HYPERLINK("#"&amp;노무비목록표!G2&amp;"!A"&amp;ROW(노무비목록표!A8),"노무5 →")</f>
        <v>노무5 →</v>
      </c>
    </row>
    <row r="3182" spans="1:26" ht="28.7" customHeight="1" x14ac:dyDescent="0.3">
      <c r="A3182" s="10" t="s">
        <v>3090</v>
      </c>
      <c r="B3182" s="10"/>
      <c r="C3182" s="75">
        <v>2.5299999999999998</v>
      </c>
      <c r="D3182" s="31" t="s">
        <v>3074</v>
      </c>
      <c r="E3182" s="55">
        <f t="shared" si="37"/>
        <v>172068</v>
      </c>
      <c r="F3182" s="76">
        <f t="shared" si="37"/>
        <v>435332</v>
      </c>
      <c r="G3182" s="78">
        <f>노무비목록표!E12</f>
        <v>172068</v>
      </c>
      <c r="H3182" s="81">
        <f>IF(C3182=0,0,ROUNDDOWN(G3182*C3182,1))</f>
        <v>435332</v>
      </c>
      <c r="I3182" s="51">
        <v>0</v>
      </c>
      <c r="J3182" s="77">
        <f>IF(C3182=0,0,ROUNDDOWN(I3182*C3182,1))</f>
        <v>0</v>
      </c>
      <c r="K3182" s="51">
        <v>0</v>
      </c>
      <c r="L3182" s="76">
        <f>IF(C3182=0,0,ROUNDDOWN(K3182*C3182,1))</f>
        <v>0</v>
      </c>
      <c r="M3182" s="22" t="s">
        <v>8262</v>
      </c>
      <c r="N3182" s="17" t="s">
        <v>8260</v>
      </c>
      <c r="O3182" s="7" t="s">
        <v>8261</v>
      </c>
      <c r="P3182" s="7" t="s">
        <v>6406</v>
      </c>
      <c r="Q3182" s="7" t="s">
        <v>7061</v>
      </c>
      <c r="Z3182" s="3" t="str">
        <f ca="1">HYPERLINK("#"&amp;노무비목록표!G2&amp;"!A"&amp;ROW(노무비목록표!A12),"노무9 →")</f>
        <v>노무9 →</v>
      </c>
    </row>
    <row r="3183" spans="1:26" ht="28.7" customHeight="1" x14ac:dyDescent="0.3">
      <c r="A3183" s="10" t="s">
        <v>8616</v>
      </c>
      <c r="B3183" s="10" t="s">
        <v>7063</v>
      </c>
      <c r="C3183" s="75">
        <v>3</v>
      </c>
      <c r="D3183" s="31" t="s">
        <v>7064</v>
      </c>
      <c r="E3183" s="55">
        <f t="shared" si="37"/>
        <v>2281421.2999999998</v>
      </c>
      <c r="F3183" s="77">
        <f t="shared" si="37"/>
        <v>68442.600000000006</v>
      </c>
      <c r="G3183" s="13">
        <v>0</v>
      </c>
      <c r="H3183" s="77">
        <f>IF(C3183=0,0,ROUNDDOWN(G3183*C3183/100,1))</f>
        <v>0</v>
      </c>
      <c r="I3183" s="13">
        <v>0</v>
      </c>
      <c r="J3183" s="76">
        <f>IF(C3183=0,0,ROUNDDOWN(I3183*C3183/100,1))</f>
        <v>0</v>
      </c>
      <c r="K3183" s="82">
        <f>H3181+H3182</f>
        <v>2281421.2999999998</v>
      </c>
      <c r="L3183" s="76">
        <f>IF(C3183=0,0,ROUNDDOWN(K3183*C3183/100,1))</f>
        <v>68442.600000000006</v>
      </c>
      <c r="M3183" s="22"/>
      <c r="N3183" s="17" t="s">
        <v>7065</v>
      </c>
      <c r="O3183" s="7" t="s">
        <v>7066</v>
      </c>
      <c r="P3183" s="7" t="s">
        <v>6406</v>
      </c>
    </row>
    <row r="3184" spans="1:26" ht="28.7" customHeight="1" x14ac:dyDescent="0.3">
      <c r="A3184" s="22" t="s">
        <v>6</v>
      </c>
      <c r="B3184" s="74"/>
      <c r="C3184" s="74"/>
      <c r="D3184" s="74"/>
      <c r="E3184" s="74"/>
      <c r="F3184" s="48">
        <f>J3184+H3184+L3184</f>
        <v>2349863</v>
      </c>
      <c r="G3184" s="74"/>
      <c r="H3184" s="48">
        <f>ROUNDDOWN(SUMIF(P3180:P3183,O3184,H3180:H3183),0)</f>
        <v>2281421</v>
      </c>
      <c r="I3184" s="74"/>
      <c r="J3184" s="48">
        <f>ROUNDDOWN(SUMIF(P3180:P3183,O3184,J3180:J3183),0)</f>
        <v>0</v>
      </c>
      <c r="K3184" s="74"/>
      <c r="L3184" s="48">
        <f>ROUNDDOWN(SUMIF(P3180:P3183,O3184,L3180:L3183),0)</f>
        <v>68442</v>
      </c>
      <c r="M3184" s="74"/>
      <c r="O3184" s="7" t="s">
        <v>6406</v>
      </c>
    </row>
    <row r="3185" spans="1:26" ht="28.7" customHeight="1" x14ac:dyDescent="0.3">
      <c r="A3185" s="73"/>
      <c r="B3185" s="73"/>
      <c r="C3185" s="73"/>
      <c r="D3185" s="73"/>
      <c r="E3185" s="73"/>
      <c r="F3185" s="73"/>
      <c r="G3185" s="73"/>
      <c r="H3185" s="73"/>
      <c r="I3185" s="73"/>
      <c r="J3185" s="73"/>
      <c r="K3185" s="73"/>
      <c r="L3185" s="73"/>
      <c r="M3185" s="73"/>
    </row>
    <row r="3186" spans="1:26" ht="28.7" customHeight="1" x14ac:dyDescent="0.3">
      <c r="A3186" s="136" t="s">
        <v>1773</v>
      </c>
      <c r="B3186" s="127"/>
      <c r="C3186" s="127"/>
      <c r="D3186" s="127"/>
      <c r="E3186" s="127"/>
      <c r="F3186" s="127"/>
      <c r="G3186" s="127"/>
      <c r="H3186" s="127"/>
      <c r="I3186" s="127"/>
      <c r="J3186" s="127"/>
      <c r="K3186" s="127"/>
      <c r="L3186" s="144"/>
      <c r="M3186" s="22" t="s">
        <v>8672</v>
      </c>
      <c r="N3186" s="84" t="str">
        <f>HYPERLINK("#N"&amp;ROW(N3189),"_x0005_`BDCOD|B04787_x0007_`POSS|"&amp;ROW(N3187)&amp;"_x0007_`POSE|"&amp;ROW(N3189)&amp;"_x0007_`")</f>
        <v>_x0005_`BDCOD|B04787_x0007_`POSS|3187_x0007_`POSE|3189_x0007_`</v>
      </c>
      <c r="O3186" s="7" t="s">
        <v>8673</v>
      </c>
    </row>
    <row r="3187" spans="1:26" ht="28.7" customHeight="1" x14ac:dyDescent="0.3">
      <c r="A3187" s="10"/>
      <c r="B3187" s="10" t="s">
        <v>6506</v>
      </c>
      <c r="C3187" s="75">
        <v>0</v>
      </c>
      <c r="D3187" s="31"/>
      <c r="E3187" s="33">
        <v>0</v>
      </c>
      <c r="F3187" s="11">
        <v>0</v>
      </c>
      <c r="G3187" s="42"/>
      <c r="H3187" s="11">
        <v>0</v>
      </c>
      <c r="I3187" s="42"/>
      <c r="J3187" s="33">
        <v>0</v>
      </c>
      <c r="K3187" s="46"/>
      <c r="L3187" s="33">
        <v>0</v>
      </c>
      <c r="M3187" s="22" t="s">
        <v>6509</v>
      </c>
      <c r="N3187" s="17" t="s">
        <v>6507</v>
      </c>
      <c r="O3187" s="7" t="s">
        <v>6508</v>
      </c>
      <c r="P3187" s="7" t="s">
        <v>6508</v>
      </c>
    </row>
    <row r="3188" spans="1:26" ht="28.7" customHeight="1" x14ac:dyDescent="0.3">
      <c r="A3188" s="10" t="s">
        <v>1686</v>
      </c>
      <c r="B3188" s="10" t="s">
        <v>1778</v>
      </c>
      <c r="C3188" s="75">
        <v>1</v>
      </c>
      <c r="D3188" s="31" t="s">
        <v>14</v>
      </c>
      <c r="E3188" s="55">
        <f>I3188+G3188+K3188</f>
        <v>1151459</v>
      </c>
      <c r="F3188" s="76">
        <f>J3188+H3188+L3188</f>
        <v>1151459</v>
      </c>
      <c r="G3188" s="78">
        <f>일위대가목록표!F689</f>
        <v>1117922</v>
      </c>
      <c r="H3188" s="80">
        <f>IF(C3188=0,0,ROUNDDOWN(G3188*C3188,1))</f>
        <v>1117922</v>
      </c>
      <c r="I3188" s="78">
        <f>일위대가목록표!G689</f>
        <v>0</v>
      </c>
      <c r="J3188" s="80">
        <f>IF(C3188=0,0,ROUNDDOWN(I3188*C3188,1))</f>
        <v>0</v>
      </c>
      <c r="K3188" s="78">
        <f>일위대가목록표!H689</f>
        <v>33537</v>
      </c>
      <c r="L3188" s="80">
        <f>IF(C3188=0,0,ROUNDDOWN(K3188*C3188,1))</f>
        <v>33537</v>
      </c>
      <c r="M3188" s="22" t="s">
        <v>6592</v>
      </c>
      <c r="N3188" s="17" t="s">
        <v>6590</v>
      </c>
      <c r="O3188" s="7" t="s">
        <v>6591</v>
      </c>
      <c r="P3188" s="7" t="s">
        <v>6406</v>
      </c>
      <c r="Z3188" s="3" t="str">
        <f ca="1">HYPERLINK("#"&amp;일위대가목록표!J2&amp;"!A"&amp;ROW(일위대가목록표!A689),"대가686 →")</f>
        <v>대가686 →</v>
      </c>
    </row>
    <row r="3189" spans="1:26" ht="28.7" customHeight="1" x14ac:dyDescent="0.3">
      <c r="A3189" s="10" t="s">
        <v>1690</v>
      </c>
      <c r="B3189" s="10" t="s">
        <v>1781</v>
      </c>
      <c r="C3189" s="75">
        <v>1</v>
      </c>
      <c r="D3189" s="31" t="s">
        <v>14</v>
      </c>
      <c r="E3189" s="55">
        <f>I3189+G3189+K3189</f>
        <v>2878650</v>
      </c>
      <c r="F3189" s="76">
        <f>J3189+H3189+L3189</f>
        <v>2878650</v>
      </c>
      <c r="G3189" s="78">
        <f>일위대가목록표!F690</f>
        <v>2794806</v>
      </c>
      <c r="H3189" s="80">
        <f>IF(C3189=0,0,ROUNDDOWN(G3189*C3189,1))</f>
        <v>2794806</v>
      </c>
      <c r="I3189" s="78">
        <f>일위대가목록표!G690</f>
        <v>0</v>
      </c>
      <c r="J3189" s="80">
        <f>IF(C3189=0,0,ROUNDDOWN(I3189*C3189,1))</f>
        <v>0</v>
      </c>
      <c r="K3189" s="78">
        <f>일위대가목록표!H690</f>
        <v>83844</v>
      </c>
      <c r="L3189" s="80">
        <f>IF(C3189=0,0,ROUNDDOWN(K3189*C3189,1))</f>
        <v>83844</v>
      </c>
      <c r="M3189" s="22" t="s">
        <v>6715</v>
      </c>
      <c r="N3189" s="17" t="s">
        <v>6713</v>
      </c>
      <c r="O3189" s="7" t="s">
        <v>6714</v>
      </c>
      <c r="P3189" s="7" t="s">
        <v>6406</v>
      </c>
      <c r="Z3189" s="3" t="str">
        <f ca="1">HYPERLINK("#"&amp;일위대가목록표!J2&amp;"!A"&amp;ROW(일위대가목록표!A690),"대가687 →")</f>
        <v>대가687 →</v>
      </c>
    </row>
    <row r="3190" spans="1:26" ht="28.7" customHeight="1" x14ac:dyDescent="0.3">
      <c r="A3190" s="22" t="s">
        <v>6</v>
      </c>
      <c r="B3190" s="74"/>
      <c r="C3190" s="74"/>
      <c r="D3190" s="74"/>
      <c r="E3190" s="74"/>
      <c r="F3190" s="48">
        <f>J3190+H3190+L3190</f>
        <v>4030109</v>
      </c>
      <c r="G3190" s="74"/>
      <c r="H3190" s="48">
        <f>ROUNDDOWN(SUMIF(P3187:P3189,O3190,H3187:H3189),0)</f>
        <v>3912728</v>
      </c>
      <c r="I3190" s="74"/>
      <c r="J3190" s="48">
        <f>ROUNDDOWN(SUMIF(P3187:P3189,O3190,J3187:J3189),0)</f>
        <v>0</v>
      </c>
      <c r="K3190" s="74"/>
      <c r="L3190" s="48">
        <f>ROUNDDOWN(SUMIF(P3187:P3189,O3190,L3187:L3189),0)</f>
        <v>117381</v>
      </c>
      <c r="M3190" s="74"/>
      <c r="O3190" s="7" t="s">
        <v>6406</v>
      </c>
    </row>
    <row r="3191" spans="1:26" ht="28.7" customHeight="1" x14ac:dyDescent="0.3">
      <c r="A3191" s="73"/>
      <c r="B3191" s="73"/>
      <c r="C3191" s="73"/>
      <c r="D3191" s="73"/>
      <c r="E3191" s="73"/>
      <c r="F3191" s="73"/>
      <c r="G3191" s="73"/>
      <c r="H3191" s="73"/>
      <c r="I3191" s="73"/>
      <c r="J3191" s="73"/>
      <c r="K3191" s="73"/>
      <c r="L3191" s="73"/>
      <c r="M3191" s="73"/>
    </row>
    <row r="3192" spans="1:26" ht="28.7" customHeight="1" x14ac:dyDescent="0.3">
      <c r="A3192" s="136" t="s">
        <v>1776</v>
      </c>
      <c r="B3192" s="127"/>
      <c r="C3192" s="127"/>
      <c r="D3192" s="127"/>
      <c r="E3192" s="127"/>
      <c r="F3192" s="127"/>
      <c r="G3192" s="127"/>
      <c r="H3192" s="127"/>
      <c r="I3192" s="127"/>
      <c r="J3192" s="127"/>
      <c r="K3192" s="127"/>
      <c r="L3192" s="144"/>
      <c r="M3192" s="22" t="s">
        <v>8674</v>
      </c>
      <c r="N3192" s="84" t="str">
        <f>HYPERLINK("#N"&amp;ROW(N3194),"_x0005_`BDCOD|B04775_x0007_`POSS|"&amp;ROW(N3193)&amp;"_x0007_`POSE|"&amp;ROW(N3194)&amp;"_x0007_`")</f>
        <v>_x0005_`BDCOD|B04775_x0007_`POSS|3193_x0007_`POSE|3194_x0007_`</v>
      </c>
      <c r="O3192" s="7" t="s">
        <v>8675</v>
      </c>
    </row>
    <row r="3193" spans="1:26" ht="28.7" customHeight="1" x14ac:dyDescent="0.3">
      <c r="A3193" s="10"/>
      <c r="B3193" s="10" t="s">
        <v>6506</v>
      </c>
      <c r="C3193" s="75">
        <v>0</v>
      </c>
      <c r="D3193" s="31"/>
      <c r="E3193" s="33">
        <v>0</v>
      </c>
      <c r="F3193" s="11">
        <v>0</v>
      </c>
      <c r="G3193" s="42"/>
      <c r="H3193" s="11">
        <v>0</v>
      </c>
      <c r="I3193" s="42"/>
      <c r="J3193" s="33">
        <v>0</v>
      </c>
      <c r="K3193" s="46"/>
      <c r="L3193" s="33">
        <v>0</v>
      </c>
      <c r="M3193" s="22" t="s">
        <v>6509</v>
      </c>
      <c r="N3193" s="17" t="s">
        <v>6507</v>
      </c>
      <c r="O3193" s="7" t="s">
        <v>6508</v>
      </c>
      <c r="P3193" s="7" t="s">
        <v>6508</v>
      </c>
    </row>
    <row r="3194" spans="1:26" ht="28.7" customHeight="1" x14ac:dyDescent="0.3">
      <c r="A3194" s="10" t="s">
        <v>1690</v>
      </c>
      <c r="B3194" s="10" t="s">
        <v>1781</v>
      </c>
      <c r="C3194" s="75">
        <v>0.4</v>
      </c>
      <c r="D3194" s="31" t="s">
        <v>14</v>
      </c>
      <c r="E3194" s="55">
        <f>I3194+G3194+K3194</f>
        <v>2878650</v>
      </c>
      <c r="F3194" s="76">
        <f>J3194+H3194+L3194</f>
        <v>1151460</v>
      </c>
      <c r="G3194" s="78">
        <f>일위대가목록표!F690</f>
        <v>2794806</v>
      </c>
      <c r="H3194" s="80">
        <f>IF(C3194=0,0,ROUNDDOWN(G3194*C3194,1))</f>
        <v>1117922.3999999999</v>
      </c>
      <c r="I3194" s="78">
        <f>일위대가목록표!G690</f>
        <v>0</v>
      </c>
      <c r="J3194" s="80">
        <f>IF(C3194=0,0,ROUNDDOWN(I3194*C3194,1))</f>
        <v>0</v>
      </c>
      <c r="K3194" s="78">
        <f>일위대가목록표!H690</f>
        <v>83844</v>
      </c>
      <c r="L3194" s="80">
        <f>IF(C3194=0,0,ROUNDDOWN(K3194*C3194,1))</f>
        <v>33537.599999999999</v>
      </c>
      <c r="M3194" s="22" t="s">
        <v>6715</v>
      </c>
      <c r="N3194" s="17" t="s">
        <v>6713</v>
      </c>
      <c r="O3194" s="7" t="s">
        <v>6714</v>
      </c>
      <c r="P3194" s="7" t="s">
        <v>6406</v>
      </c>
      <c r="Z3194" s="3" t="str">
        <f ca="1">HYPERLINK("#"&amp;일위대가목록표!J2&amp;"!A"&amp;ROW(일위대가목록표!A690),"대가687 →")</f>
        <v>대가687 →</v>
      </c>
    </row>
    <row r="3195" spans="1:26" ht="28.7" customHeight="1" x14ac:dyDescent="0.3">
      <c r="A3195" s="22" t="s">
        <v>6</v>
      </c>
      <c r="B3195" s="74"/>
      <c r="C3195" s="74"/>
      <c r="D3195" s="74"/>
      <c r="E3195" s="74"/>
      <c r="F3195" s="48">
        <f>J3195+H3195+L3195</f>
        <v>1151459</v>
      </c>
      <c r="G3195" s="74"/>
      <c r="H3195" s="48">
        <f>ROUNDDOWN(SUMIF(P3193:P3194,O3195,H3193:H3194),0)</f>
        <v>1117922</v>
      </c>
      <c r="I3195" s="74"/>
      <c r="J3195" s="48">
        <f>ROUNDDOWN(SUMIF(P3193:P3194,O3195,J3193:J3194),0)</f>
        <v>0</v>
      </c>
      <c r="K3195" s="74"/>
      <c r="L3195" s="48">
        <f>ROUNDDOWN(SUMIF(P3193:P3194,O3195,L3193:L3194),0)</f>
        <v>33537</v>
      </c>
      <c r="M3195" s="74"/>
      <c r="O3195" s="7" t="s">
        <v>6406</v>
      </c>
    </row>
    <row r="3196" spans="1:26" ht="28.7" customHeight="1" x14ac:dyDescent="0.3">
      <c r="A3196" s="73"/>
      <c r="B3196" s="73"/>
      <c r="C3196" s="73"/>
      <c r="D3196" s="73"/>
      <c r="E3196" s="73"/>
      <c r="F3196" s="73"/>
      <c r="G3196" s="73"/>
      <c r="H3196" s="73"/>
      <c r="I3196" s="73"/>
      <c r="J3196" s="73"/>
      <c r="K3196" s="73"/>
      <c r="L3196" s="73"/>
      <c r="M3196" s="73"/>
    </row>
    <row r="3197" spans="1:26" ht="28.7" customHeight="1" x14ac:dyDescent="0.3">
      <c r="A3197" s="136" t="s">
        <v>1779</v>
      </c>
      <c r="B3197" s="127"/>
      <c r="C3197" s="127"/>
      <c r="D3197" s="127"/>
      <c r="E3197" s="127"/>
      <c r="F3197" s="127"/>
      <c r="G3197" s="127"/>
      <c r="H3197" s="127"/>
      <c r="I3197" s="127"/>
      <c r="J3197" s="127"/>
      <c r="K3197" s="127"/>
      <c r="L3197" s="144"/>
      <c r="M3197" s="22" t="s">
        <v>8676</v>
      </c>
      <c r="N3197" s="84" t="str">
        <f>HYPERLINK("#N"&amp;ROW(N3201),"_x0005_`BDCOD|B04763_x0007_`POSS|"&amp;ROW(N3198)&amp;"_x0007_`POSE|"&amp;ROW(N3201)&amp;"_x0007_`")</f>
        <v>_x0005_`BDCOD|B04763_x0007_`POSS|3198_x0007_`POSE|3201_x0007_`</v>
      </c>
      <c r="O3197" s="7" t="s">
        <v>8677</v>
      </c>
    </row>
    <row r="3198" spans="1:26" ht="28.7" customHeight="1" x14ac:dyDescent="0.3">
      <c r="A3198" s="10"/>
      <c r="B3198" s="10" t="s">
        <v>6506</v>
      </c>
      <c r="C3198" s="75">
        <v>0</v>
      </c>
      <c r="D3198" s="31"/>
      <c r="E3198" s="33">
        <v>0</v>
      </c>
      <c r="F3198" s="11">
        <v>0</v>
      </c>
      <c r="G3198" s="42"/>
      <c r="H3198" s="11">
        <v>0</v>
      </c>
      <c r="I3198" s="42"/>
      <c r="J3198" s="33">
        <v>0</v>
      </c>
      <c r="K3198" s="46"/>
      <c r="L3198" s="33">
        <v>0</v>
      </c>
      <c r="M3198" s="22" t="s">
        <v>6509</v>
      </c>
      <c r="N3198" s="17" t="s">
        <v>6507</v>
      </c>
      <c r="O3198" s="7" t="s">
        <v>6508</v>
      </c>
      <c r="P3198" s="7" t="s">
        <v>6508</v>
      </c>
    </row>
    <row r="3199" spans="1:26" ht="28.7" customHeight="1" x14ac:dyDescent="0.3">
      <c r="A3199" s="10" t="s">
        <v>3081</v>
      </c>
      <c r="B3199" s="10"/>
      <c r="C3199" s="75">
        <v>9.3569999999999993</v>
      </c>
      <c r="D3199" s="31" t="s">
        <v>3074</v>
      </c>
      <c r="E3199" s="55">
        <f t="shared" ref="E3199:F3201" si="38">I3199+G3199+K3199</f>
        <v>241698</v>
      </c>
      <c r="F3199" s="76">
        <f t="shared" si="38"/>
        <v>2261568.1</v>
      </c>
      <c r="G3199" s="78">
        <f>노무비목록표!E8</f>
        <v>241698</v>
      </c>
      <c r="H3199" s="81">
        <f>IF(C3199=0,0,ROUNDDOWN(G3199*C3199,1))</f>
        <v>2261568.1</v>
      </c>
      <c r="I3199" s="51">
        <v>0</v>
      </c>
      <c r="J3199" s="77">
        <f>IF(C3199=0,0,ROUNDDOWN(I3199*C3199,1))</f>
        <v>0</v>
      </c>
      <c r="K3199" s="51">
        <v>0</v>
      </c>
      <c r="L3199" s="76">
        <f>IF(C3199=0,0,ROUNDDOWN(K3199*C3199,1))</f>
        <v>0</v>
      </c>
      <c r="M3199" s="22" t="s">
        <v>8615</v>
      </c>
      <c r="N3199" s="17" t="s">
        <v>8613</v>
      </c>
      <c r="O3199" s="7" t="s">
        <v>8614</v>
      </c>
      <c r="P3199" s="7" t="s">
        <v>6406</v>
      </c>
      <c r="Q3199" s="7" t="s">
        <v>7061</v>
      </c>
      <c r="Z3199" s="3" t="str">
        <f ca="1">HYPERLINK("#"&amp;노무비목록표!G2&amp;"!A"&amp;ROW(노무비목록표!A8),"노무5 →")</f>
        <v>노무5 →</v>
      </c>
    </row>
    <row r="3200" spans="1:26" ht="28.7" customHeight="1" x14ac:dyDescent="0.3">
      <c r="A3200" s="10" t="s">
        <v>3090</v>
      </c>
      <c r="B3200" s="10"/>
      <c r="C3200" s="75">
        <v>3.0990000000000002</v>
      </c>
      <c r="D3200" s="31" t="s">
        <v>3074</v>
      </c>
      <c r="E3200" s="55">
        <f t="shared" si="38"/>
        <v>172068</v>
      </c>
      <c r="F3200" s="76">
        <f t="shared" si="38"/>
        <v>533238.69999999995</v>
      </c>
      <c r="G3200" s="78">
        <f>노무비목록표!E12</f>
        <v>172068</v>
      </c>
      <c r="H3200" s="81">
        <f>IF(C3200=0,0,ROUNDDOWN(G3200*C3200,1))</f>
        <v>533238.69999999995</v>
      </c>
      <c r="I3200" s="51">
        <v>0</v>
      </c>
      <c r="J3200" s="77">
        <f>IF(C3200=0,0,ROUNDDOWN(I3200*C3200,1))</f>
        <v>0</v>
      </c>
      <c r="K3200" s="51">
        <v>0</v>
      </c>
      <c r="L3200" s="76">
        <f>IF(C3200=0,0,ROUNDDOWN(K3200*C3200,1))</f>
        <v>0</v>
      </c>
      <c r="M3200" s="22" t="s">
        <v>8262</v>
      </c>
      <c r="N3200" s="17" t="s">
        <v>8260</v>
      </c>
      <c r="O3200" s="7" t="s">
        <v>8261</v>
      </c>
      <c r="P3200" s="7" t="s">
        <v>6406</v>
      </c>
      <c r="Q3200" s="7" t="s">
        <v>7061</v>
      </c>
      <c r="Z3200" s="3" t="str">
        <f ca="1">HYPERLINK("#"&amp;노무비목록표!G2&amp;"!A"&amp;ROW(노무비목록표!A12),"노무9 →")</f>
        <v>노무9 →</v>
      </c>
    </row>
    <row r="3201" spans="1:26" ht="28.7" customHeight="1" x14ac:dyDescent="0.3">
      <c r="A3201" s="10" t="s">
        <v>8616</v>
      </c>
      <c r="B3201" s="10" t="s">
        <v>7063</v>
      </c>
      <c r="C3201" s="75">
        <v>3</v>
      </c>
      <c r="D3201" s="31" t="s">
        <v>7064</v>
      </c>
      <c r="E3201" s="55">
        <f t="shared" si="38"/>
        <v>2794806.8</v>
      </c>
      <c r="F3201" s="77">
        <f t="shared" si="38"/>
        <v>83844.2</v>
      </c>
      <c r="G3201" s="13">
        <v>0</v>
      </c>
      <c r="H3201" s="77">
        <f>IF(C3201=0,0,ROUNDDOWN(G3201*C3201/100,1))</f>
        <v>0</v>
      </c>
      <c r="I3201" s="13">
        <v>0</v>
      </c>
      <c r="J3201" s="76">
        <f>IF(C3201=0,0,ROUNDDOWN(I3201*C3201/100,1))</f>
        <v>0</v>
      </c>
      <c r="K3201" s="82">
        <f>H3199+H3200</f>
        <v>2794806.8</v>
      </c>
      <c r="L3201" s="76">
        <f>IF(C3201=0,0,ROUNDDOWN(K3201*C3201/100,1))</f>
        <v>83844.2</v>
      </c>
      <c r="M3201" s="22"/>
      <c r="N3201" s="17" t="s">
        <v>7065</v>
      </c>
      <c r="O3201" s="7" t="s">
        <v>7066</v>
      </c>
      <c r="P3201" s="7" t="s">
        <v>6406</v>
      </c>
    </row>
    <row r="3202" spans="1:26" ht="28.7" customHeight="1" x14ac:dyDescent="0.3">
      <c r="A3202" s="22" t="s">
        <v>6</v>
      </c>
      <c r="B3202" s="74"/>
      <c r="C3202" s="74"/>
      <c r="D3202" s="74"/>
      <c r="E3202" s="74"/>
      <c r="F3202" s="48">
        <f>J3202+H3202+L3202</f>
        <v>2878650</v>
      </c>
      <c r="G3202" s="74"/>
      <c r="H3202" s="48">
        <f>ROUNDDOWN(SUMIF(P3198:P3201,O3202,H3198:H3201),0)</f>
        <v>2794806</v>
      </c>
      <c r="I3202" s="74"/>
      <c r="J3202" s="48">
        <f>ROUNDDOWN(SUMIF(P3198:P3201,O3202,J3198:J3201),0)</f>
        <v>0</v>
      </c>
      <c r="K3202" s="74"/>
      <c r="L3202" s="48">
        <f>ROUNDDOWN(SUMIF(P3198:P3201,O3202,L3198:L3201),0)</f>
        <v>83844</v>
      </c>
      <c r="M3202" s="74"/>
      <c r="O3202" s="7" t="s">
        <v>6406</v>
      </c>
    </row>
    <row r="3203" spans="1:26" ht="28.7" customHeight="1" x14ac:dyDescent="0.3">
      <c r="A3203" s="73"/>
      <c r="B3203" s="73"/>
      <c r="C3203" s="73"/>
      <c r="D3203" s="73"/>
      <c r="E3203" s="73"/>
      <c r="F3203" s="73"/>
      <c r="G3203" s="73"/>
      <c r="H3203" s="73"/>
      <c r="I3203" s="73"/>
      <c r="J3203" s="73"/>
      <c r="K3203" s="73"/>
      <c r="L3203" s="73"/>
      <c r="M3203" s="73"/>
    </row>
    <row r="3204" spans="1:26" ht="28.7" customHeight="1" x14ac:dyDescent="0.3">
      <c r="A3204" s="136" t="s">
        <v>1782</v>
      </c>
      <c r="B3204" s="127"/>
      <c r="C3204" s="127"/>
      <c r="D3204" s="127"/>
      <c r="E3204" s="127"/>
      <c r="F3204" s="127"/>
      <c r="G3204" s="127"/>
      <c r="H3204" s="127"/>
      <c r="I3204" s="127"/>
      <c r="J3204" s="127"/>
      <c r="K3204" s="127"/>
      <c r="L3204" s="144"/>
      <c r="M3204" s="22" t="s">
        <v>8678</v>
      </c>
      <c r="N3204" s="84" t="str">
        <f>HYPERLINK("#N"&amp;ROW(N3207),"_x0005_`BDCOD|B04776_x0007_`POSS|"&amp;ROW(N3205)&amp;"_x0007_`POSE|"&amp;ROW(N3207)&amp;"_x0007_`")</f>
        <v>_x0005_`BDCOD|B04776_x0007_`POSS|3205_x0007_`POSE|3207_x0007_`</v>
      </c>
      <c r="O3204" s="7" t="s">
        <v>8679</v>
      </c>
    </row>
    <row r="3205" spans="1:26" ht="28.7" customHeight="1" x14ac:dyDescent="0.3">
      <c r="A3205" s="10"/>
      <c r="B3205" s="10" t="s">
        <v>6506</v>
      </c>
      <c r="C3205" s="75">
        <v>0</v>
      </c>
      <c r="D3205" s="31"/>
      <c r="E3205" s="33">
        <v>0</v>
      </c>
      <c r="F3205" s="11">
        <v>0</v>
      </c>
      <c r="G3205" s="42"/>
      <c r="H3205" s="11">
        <v>0</v>
      </c>
      <c r="I3205" s="42"/>
      <c r="J3205" s="33">
        <v>0</v>
      </c>
      <c r="K3205" s="46"/>
      <c r="L3205" s="33">
        <v>0</v>
      </c>
      <c r="M3205" s="22" t="s">
        <v>6509</v>
      </c>
      <c r="N3205" s="17" t="s">
        <v>6507</v>
      </c>
      <c r="O3205" s="7" t="s">
        <v>6508</v>
      </c>
      <c r="P3205" s="7" t="s">
        <v>6508</v>
      </c>
    </row>
    <row r="3206" spans="1:26" ht="28.7" customHeight="1" x14ac:dyDescent="0.3">
      <c r="A3206" s="10" t="s">
        <v>1686</v>
      </c>
      <c r="B3206" s="10" t="s">
        <v>1787</v>
      </c>
      <c r="C3206" s="75">
        <v>1</v>
      </c>
      <c r="D3206" s="31" t="s">
        <v>14</v>
      </c>
      <c r="E3206" s="55">
        <f>I3206+G3206+K3206</f>
        <v>94284</v>
      </c>
      <c r="F3206" s="76">
        <f>J3206+H3206+L3206</f>
        <v>94284</v>
      </c>
      <c r="G3206" s="78">
        <f>일위대가목록표!F692</f>
        <v>91538</v>
      </c>
      <c r="H3206" s="80">
        <f>IF(C3206=0,0,ROUNDDOWN(G3206*C3206,1))</f>
        <v>91538</v>
      </c>
      <c r="I3206" s="78">
        <f>일위대가목록표!G692</f>
        <v>0</v>
      </c>
      <c r="J3206" s="80">
        <f>IF(C3206=0,0,ROUNDDOWN(I3206*C3206,1))</f>
        <v>0</v>
      </c>
      <c r="K3206" s="78">
        <f>일위대가목록표!H692</f>
        <v>2746</v>
      </c>
      <c r="L3206" s="80">
        <f>IF(C3206=0,0,ROUNDDOWN(K3206*C3206,1))</f>
        <v>2746</v>
      </c>
      <c r="M3206" s="22" t="s">
        <v>7073</v>
      </c>
      <c r="N3206" s="17" t="s">
        <v>7071</v>
      </c>
      <c r="O3206" s="7" t="s">
        <v>7072</v>
      </c>
      <c r="P3206" s="7" t="s">
        <v>6406</v>
      </c>
      <c r="Z3206" s="3" t="str">
        <f ca="1">HYPERLINK("#"&amp;일위대가목록표!J2&amp;"!A"&amp;ROW(일위대가목록표!A692),"대가689 →")</f>
        <v>대가689 →</v>
      </c>
    </row>
    <row r="3207" spans="1:26" ht="28.7" customHeight="1" x14ac:dyDescent="0.3">
      <c r="A3207" s="10" t="s">
        <v>1690</v>
      </c>
      <c r="B3207" s="10" t="s">
        <v>1790</v>
      </c>
      <c r="C3207" s="75">
        <v>1</v>
      </c>
      <c r="D3207" s="31" t="s">
        <v>14</v>
      </c>
      <c r="E3207" s="55">
        <f>I3207+G3207+K3207</f>
        <v>235710</v>
      </c>
      <c r="F3207" s="76">
        <f>J3207+H3207+L3207</f>
        <v>235710</v>
      </c>
      <c r="G3207" s="78">
        <f>일위대가목록표!F693</f>
        <v>228845</v>
      </c>
      <c r="H3207" s="80">
        <f>IF(C3207=0,0,ROUNDDOWN(G3207*C3207,1))</f>
        <v>228845</v>
      </c>
      <c r="I3207" s="78">
        <f>일위대가목록표!G693</f>
        <v>0</v>
      </c>
      <c r="J3207" s="80">
        <f>IF(C3207=0,0,ROUNDDOWN(I3207*C3207,1))</f>
        <v>0</v>
      </c>
      <c r="K3207" s="78">
        <f>일위대가목록표!H693</f>
        <v>6865</v>
      </c>
      <c r="L3207" s="80">
        <f>IF(C3207=0,0,ROUNDDOWN(K3207*C3207,1))</f>
        <v>6865</v>
      </c>
      <c r="M3207" s="22" t="s">
        <v>7055</v>
      </c>
      <c r="N3207" s="17" t="s">
        <v>7053</v>
      </c>
      <c r="O3207" s="7" t="s">
        <v>7054</v>
      </c>
      <c r="P3207" s="7" t="s">
        <v>6406</v>
      </c>
      <c r="Z3207" s="3" t="str">
        <f ca="1">HYPERLINK("#"&amp;일위대가목록표!J2&amp;"!A"&amp;ROW(일위대가목록표!A693),"대가690 →")</f>
        <v>대가690 →</v>
      </c>
    </row>
    <row r="3208" spans="1:26" ht="28.7" customHeight="1" x14ac:dyDescent="0.3">
      <c r="A3208" s="22" t="s">
        <v>6</v>
      </c>
      <c r="B3208" s="74"/>
      <c r="C3208" s="74"/>
      <c r="D3208" s="74"/>
      <c r="E3208" s="74"/>
      <c r="F3208" s="48">
        <f>J3208+H3208+L3208</f>
        <v>329994</v>
      </c>
      <c r="G3208" s="74"/>
      <c r="H3208" s="48">
        <f>ROUNDDOWN(SUMIF(P3205:P3207,O3208,H3205:H3207),0)</f>
        <v>320383</v>
      </c>
      <c r="I3208" s="74"/>
      <c r="J3208" s="48">
        <f>ROUNDDOWN(SUMIF(P3205:P3207,O3208,J3205:J3207),0)</f>
        <v>0</v>
      </c>
      <c r="K3208" s="74"/>
      <c r="L3208" s="48">
        <f>ROUNDDOWN(SUMIF(P3205:P3207,O3208,L3205:L3207),0)</f>
        <v>9611</v>
      </c>
      <c r="M3208" s="74"/>
      <c r="O3208" s="7" t="s">
        <v>6406</v>
      </c>
    </row>
    <row r="3209" spans="1:26" ht="28.7" customHeight="1" x14ac:dyDescent="0.3">
      <c r="A3209" s="73"/>
      <c r="B3209" s="73"/>
      <c r="C3209" s="73"/>
      <c r="D3209" s="73"/>
      <c r="E3209" s="73"/>
      <c r="F3209" s="73"/>
      <c r="G3209" s="73"/>
      <c r="H3209" s="73"/>
      <c r="I3209" s="73"/>
      <c r="J3209" s="73"/>
      <c r="K3209" s="73"/>
      <c r="L3209" s="73"/>
      <c r="M3209" s="73"/>
    </row>
    <row r="3210" spans="1:26" ht="28.7" customHeight="1" x14ac:dyDescent="0.3">
      <c r="A3210" s="136" t="s">
        <v>1785</v>
      </c>
      <c r="B3210" s="127"/>
      <c r="C3210" s="127"/>
      <c r="D3210" s="127"/>
      <c r="E3210" s="127"/>
      <c r="F3210" s="127"/>
      <c r="G3210" s="127"/>
      <c r="H3210" s="127"/>
      <c r="I3210" s="127"/>
      <c r="J3210" s="127"/>
      <c r="K3210" s="127"/>
      <c r="L3210" s="144"/>
      <c r="M3210" s="22" t="s">
        <v>8680</v>
      </c>
      <c r="N3210" s="84" t="str">
        <f>HYPERLINK("#N"&amp;ROW(N3212),"_x0005_`BDCOD|B04764_x0007_`POSS|"&amp;ROW(N3211)&amp;"_x0007_`POSE|"&amp;ROW(N3212)&amp;"_x0007_`")</f>
        <v>_x0005_`BDCOD|B04764_x0007_`POSS|3211_x0007_`POSE|3212_x0007_`</v>
      </c>
      <c r="O3210" s="7" t="s">
        <v>8681</v>
      </c>
    </row>
    <row r="3211" spans="1:26" ht="28.7" customHeight="1" x14ac:dyDescent="0.3">
      <c r="A3211" s="10"/>
      <c r="B3211" s="10" t="s">
        <v>6506</v>
      </c>
      <c r="C3211" s="75">
        <v>0</v>
      </c>
      <c r="D3211" s="31"/>
      <c r="E3211" s="33">
        <v>0</v>
      </c>
      <c r="F3211" s="11">
        <v>0</v>
      </c>
      <c r="G3211" s="42"/>
      <c r="H3211" s="11">
        <v>0</v>
      </c>
      <c r="I3211" s="42"/>
      <c r="J3211" s="33">
        <v>0</v>
      </c>
      <c r="K3211" s="46"/>
      <c r="L3211" s="33">
        <v>0</v>
      </c>
      <c r="M3211" s="22" t="s">
        <v>6509</v>
      </c>
      <c r="N3211" s="17" t="s">
        <v>6507</v>
      </c>
      <c r="O3211" s="7" t="s">
        <v>6508</v>
      </c>
      <c r="P3211" s="7" t="s">
        <v>6508</v>
      </c>
    </row>
    <row r="3212" spans="1:26" ht="28.7" customHeight="1" x14ac:dyDescent="0.3">
      <c r="A3212" s="10" t="s">
        <v>1690</v>
      </c>
      <c r="B3212" s="10" t="s">
        <v>1790</v>
      </c>
      <c r="C3212" s="75">
        <v>0.4</v>
      </c>
      <c r="D3212" s="31" t="s">
        <v>14</v>
      </c>
      <c r="E3212" s="55">
        <f>I3212+G3212+K3212</f>
        <v>235710</v>
      </c>
      <c r="F3212" s="76">
        <f>J3212+H3212+L3212</f>
        <v>94284</v>
      </c>
      <c r="G3212" s="78">
        <f>일위대가목록표!F693</f>
        <v>228845</v>
      </c>
      <c r="H3212" s="80">
        <f>IF(C3212=0,0,ROUNDDOWN(G3212*C3212,1))</f>
        <v>91538</v>
      </c>
      <c r="I3212" s="78">
        <f>일위대가목록표!G693</f>
        <v>0</v>
      </c>
      <c r="J3212" s="80">
        <f>IF(C3212=0,0,ROUNDDOWN(I3212*C3212,1))</f>
        <v>0</v>
      </c>
      <c r="K3212" s="78">
        <f>일위대가목록표!H693</f>
        <v>6865</v>
      </c>
      <c r="L3212" s="80">
        <f>IF(C3212=0,0,ROUNDDOWN(K3212*C3212,1))</f>
        <v>2746</v>
      </c>
      <c r="M3212" s="22" t="s">
        <v>7055</v>
      </c>
      <c r="N3212" s="17" t="s">
        <v>7053</v>
      </c>
      <c r="O3212" s="7" t="s">
        <v>7054</v>
      </c>
      <c r="P3212" s="7" t="s">
        <v>6406</v>
      </c>
      <c r="Z3212" s="3" t="str">
        <f ca="1">HYPERLINK("#"&amp;일위대가목록표!J2&amp;"!A"&amp;ROW(일위대가목록표!A693),"대가690 →")</f>
        <v>대가690 →</v>
      </c>
    </row>
    <row r="3213" spans="1:26" ht="28.7" customHeight="1" x14ac:dyDescent="0.3">
      <c r="A3213" s="22" t="s">
        <v>6</v>
      </c>
      <c r="B3213" s="74"/>
      <c r="C3213" s="74"/>
      <c r="D3213" s="74"/>
      <c r="E3213" s="74"/>
      <c r="F3213" s="48">
        <f>J3213+H3213+L3213</f>
        <v>94284</v>
      </c>
      <c r="G3213" s="74"/>
      <c r="H3213" s="48">
        <f>ROUNDDOWN(SUMIF(P3211:P3212,O3213,H3211:H3212),0)</f>
        <v>91538</v>
      </c>
      <c r="I3213" s="74"/>
      <c r="J3213" s="48">
        <f>ROUNDDOWN(SUMIF(P3211:P3212,O3213,J3211:J3212),0)</f>
        <v>0</v>
      </c>
      <c r="K3213" s="74"/>
      <c r="L3213" s="48">
        <f>ROUNDDOWN(SUMIF(P3211:P3212,O3213,L3211:L3212),0)</f>
        <v>2746</v>
      </c>
      <c r="M3213" s="74"/>
      <c r="O3213" s="7" t="s">
        <v>6406</v>
      </c>
    </row>
    <row r="3214" spans="1:26" ht="28.7" customHeight="1" x14ac:dyDescent="0.3">
      <c r="A3214" s="73"/>
      <c r="B3214" s="73"/>
      <c r="C3214" s="73"/>
      <c r="D3214" s="73"/>
      <c r="E3214" s="73"/>
      <c r="F3214" s="73"/>
      <c r="G3214" s="73"/>
      <c r="H3214" s="73"/>
      <c r="I3214" s="73"/>
      <c r="J3214" s="73"/>
      <c r="K3214" s="73"/>
      <c r="L3214" s="73"/>
      <c r="M3214" s="73"/>
    </row>
    <row r="3215" spans="1:26" ht="28.7" customHeight="1" x14ac:dyDescent="0.3">
      <c r="A3215" s="136" t="s">
        <v>1788</v>
      </c>
      <c r="B3215" s="127"/>
      <c r="C3215" s="127"/>
      <c r="D3215" s="127"/>
      <c r="E3215" s="127"/>
      <c r="F3215" s="127"/>
      <c r="G3215" s="127"/>
      <c r="H3215" s="127"/>
      <c r="I3215" s="127"/>
      <c r="J3215" s="127"/>
      <c r="K3215" s="127"/>
      <c r="L3215" s="144"/>
      <c r="M3215" s="22" t="s">
        <v>8682</v>
      </c>
      <c r="N3215" s="84" t="str">
        <f>HYPERLINK("#N"&amp;ROW(N3219),"_x0005_`BDCOD|B04752_x0007_`POSS|"&amp;ROW(N3216)&amp;"_x0007_`POSE|"&amp;ROW(N3219)&amp;"_x0007_`")</f>
        <v>_x0005_`BDCOD|B04752_x0007_`POSS|3216_x0007_`POSE|3219_x0007_`</v>
      </c>
      <c r="O3215" s="7" t="s">
        <v>8683</v>
      </c>
    </row>
    <row r="3216" spans="1:26" ht="28.7" customHeight="1" x14ac:dyDescent="0.3">
      <c r="A3216" s="10"/>
      <c r="B3216" s="10" t="s">
        <v>6506</v>
      </c>
      <c r="C3216" s="75">
        <v>0</v>
      </c>
      <c r="D3216" s="31"/>
      <c r="E3216" s="33">
        <v>0</v>
      </c>
      <c r="F3216" s="11">
        <v>0</v>
      </c>
      <c r="G3216" s="42"/>
      <c r="H3216" s="11">
        <v>0</v>
      </c>
      <c r="I3216" s="42"/>
      <c r="J3216" s="33">
        <v>0</v>
      </c>
      <c r="K3216" s="46"/>
      <c r="L3216" s="33">
        <v>0</v>
      </c>
      <c r="M3216" s="22" t="s">
        <v>6509</v>
      </c>
      <c r="N3216" s="17" t="s">
        <v>6507</v>
      </c>
      <c r="O3216" s="7" t="s">
        <v>6508</v>
      </c>
      <c r="P3216" s="7" t="s">
        <v>6508</v>
      </c>
    </row>
    <row r="3217" spans="1:26" ht="28.7" customHeight="1" x14ac:dyDescent="0.3">
      <c r="A3217" s="10" t="s">
        <v>3081</v>
      </c>
      <c r="B3217" s="10"/>
      <c r="C3217" s="75">
        <v>0.76600000000000001</v>
      </c>
      <c r="D3217" s="31" t="s">
        <v>3074</v>
      </c>
      <c r="E3217" s="55">
        <f t="shared" ref="E3217:F3219" si="39">I3217+G3217+K3217</f>
        <v>241698</v>
      </c>
      <c r="F3217" s="76">
        <f t="shared" si="39"/>
        <v>185140.6</v>
      </c>
      <c r="G3217" s="78">
        <f>노무비목록표!E8</f>
        <v>241698</v>
      </c>
      <c r="H3217" s="81">
        <f>IF(C3217=0,0,ROUNDDOWN(G3217*C3217,1))</f>
        <v>185140.6</v>
      </c>
      <c r="I3217" s="51">
        <v>0</v>
      </c>
      <c r="J3217" s="77">
        <f>IF(C3217=0,0,ROUNDDOWN(I3217*C3217,1))</f>
        <v>0</v>
      </c>
      <c r="K3217" s="51">
        <v>0</v>
      </c>
      <c r="L3217" s="76">
        <f>IF(C3217=0,0,ROUNDDOWN(K3217*C3217,1))</f>
        <v>0</v>
      </c>
      <c r="M3217" s="22" t="s">
        <v>8615</v>
      </c>
      <c r="N3217" s="17" t="s">
        <v>8613</v>
      </c>
      <c r="O3217" s="7" t="s">
        <v>8614</v>
      </c>
      <c r="P3217" s="7" t="s">
        <v>6406</v>
      </c>
      <c r="Q3217" s="7" t="s">
        <v>7061</v>
      </c>
      <c r="Z3217" s="3" t="str">
        <f ca="1">HYPERLINK("#"&amp;노무비목록표!G2&amp;"!A"&amp;ROW(노무비목록표!A8),"노무5 →")</f>
        <v>노무5 →</v>
      </c>
    </row>
    <row r="3218" spans="1:26" ht="28.7" customHeight="1" x14ac:dyDescent="0.3">
      <c r="A3218" s="10" t="s">
        <v>3090</v>
      </c>
      <c r="B3218" s="10"/>
      <c r="C3218" s="75">
        <v>0.254</v>
      </c>
      <c r="D3218" s="31" t="s">
        <v>3074</v>
      </c>
      <c r="E3218" s="55">
        <f t="shared" si="39"/>
        <v>172068</v>
      </c>
      <c r="F3218" s="76">
        <f t="shared" si="39"/>
        <v>43705.2</v>
      </c>
      <c r="G3218" s="78">
        <f>노무비목록표!E12</f>
        <v>172068</v>
      </c>
      <c r="H3218" s="81">
        <f>IF(C3218=0,0,ROUNDDOWN(G3218*C3218,1))</f>
        <v>43705.2</v>
      </c>
      <c r="I3218" s="51">
        <v>0</v>
      </c>
      <c r="J3218" s="77">
        <f>IF(C3218=0,0,ROUNDDOWN(I3218*C3218,1))</f>
        <v>0</v>
      </c>
      <c r="K3218" s="51">
        <v>0</v>
      </c>
      <c r="L3218" s="76">
        <f>IF(C3218=0,0,ROUNDDOWN(K3218*C3218,1))</f>
        <v>0</v>
      </c>
      <c r="M3218" s="22" t="s">
        <v>8262</v>
      </c>
      <c r="N3218" s="17" t="s">
        <v>8260</v>
      </c>
      <c r="O3218" s="7" t="s">
        <v>8261</v>
      </c>
      <c r="P3218" s="7" t="s">
        <v>6406</v>
      </c>
      <c r="Q3218" s="7" t="s">
        <v>7061</v>
      </c>
      <c r="Z3218" s="3" t="str">
        <f ca="1">HYPERLINK("#"&amp;노무비목록표!G2&amp;"!A"&amp;ROW(노무비목록표!A12),"노무9 →")</f>
        <v>노무9 →</v>
      </c>
    </row>
    <row r="3219" spans="1:26" ht="28.7" customHeight="1" x14ac:dyDescent="0.3">
      <c r="A3219" s="10" t="s">
        <v>8616</v>
      </c>
      <c r="B3219" s="10" t="s">
        <v>7063</v>
      </c>
      <c r="C3219" s="75">
        <v>3</v>
      </c>
      <c r="D3219" s="31" t="s">
        <v>7064</v>
      </c>
      <c r="E3219" s="55">
        <f t="shared" si="39"/>
        <v>228845.8</v>
      </c>
      <c r="F3219" s="77">
        <f t="shared" si="39"/>
        <v>6865.3</v>
      </c>
      <c r="G3219" s="13">
        <v>0</v>
      </c>
      <c r="H3219" s="77">
        <f>IF(C3219=0,0,ROUNDDOWN(G3219*C3219/100,1))</f>
        <v>0</v>
      </c>
      <c r="I3219" s="13">
        <v>0</v>
      </c>
      <c r="J3219" s="76">
        <f>IF(C3219=0,0,ROUNDDOWN(I3219*C3219/100,1))</f>
        <v>0</v>
      </c>
      <c r="K3219" s="82">
        <f>H3217+H3218</f>
        <v>228845.8</v>
      </c>
      <c r="L3219" s="76">
        <f>IF(C3219=0,0,ROUNDDOWN(K3219*C3219/100,1))</f>
        <v>6865.3</v>
      </c>
      <c r="M3219" s="22"/>
      <c r="N3219" s="17" t="s">
        <v>7065</v>
      </c>
      <c r="O3219" s="7" t="s">
        <v>7066</v>
      </c>
      <c r="P3219" s="7" t="s">
        <v>6406</v>
      </c>
    </row>
    <row r="3220" spans="1:26" ht="28.7" customHeight="1" x14ac:dyDescent="0.3">
      <c r="A3220" s="22" t="s">
        <v>6</v>
      </c>
      <c r="B3220" s="74"/>
      <c r="C3220" s="74"/>
      <c r="D3220" s="74"/>
      <c r="E3220" s="74"/>
      <c r="F3220" s="48">
        <f>J3220+H3220+L3220</f>
        <v>235710</v>
      </c>
      <c r="G3220" s="74"/>
      <c r="H3220" s="48">
        <f>ROUNDDOWN(SUMIF(P3216:P3219,O3220,H3216:H3219),0)</f>
        <v>228845</v>
      </c>
      <c r="I3220" s="74"/>
      <c r="J3220" s="48">
        <f>ROUNDDOWN(SUMIF(P3216:P3219,O3220,J3216:J3219),0)</f>
        <v>0</v>
      </c>
      <c r="K3220" s="74"/>
      <c r="L3220" s="48">
        <f>ROUNDDOWN(SUMIF(P3216:P3219,O3220,L3216:L3219),0)</f>
        <v>6865</v>
      </c>
      <c r="M3220" s="74"/>
      <c r="O3220" s="7" t="s">
        <v>6406</v>
      </c>
    </row>
    <row r="3221" spans="1:26" ht="28.7" customHeight="1" x14ac:dyDescent="0.3">
      <c r="A3221" s="73"/>
      <c r="B3221" s="73"/>
      <c r="C3221" s="73"/>
      <c r="D3221" s="73"/>
      <c r="E3221" s="73"/>
      <c r="F3221" s="73"/>
      <c r="G3221" s="73"/>
      <c r="H3221" s="73"/>
      <c r="I3221" s="73"/>
      <c r="J3221" s="73"/>
      <c r="K3221" s="73"/>
      <c r="L3221" s="73"/>
      <c r="M3221" s="73"/>
    </row>
    <row r="3222" spans="1:26" ht="28.7" customHeight="1" x14ac:dyDescent="0.3">
      <c r="A3222" s="136" t="s">
        <v>1791</v>
      </c>
      <c r="B3222" s="127"/>
      <c r="C3222" s="127"/>
      <c r="D3222" s="127"/>
      <c r="E3222" s="127"/>
      <c r="F3222" s="127"/>
      <c r="G3222" s="127"/>
      <c r="H3222" s="127"/>
      <c r="I3222" s="127"/>
      <c r="J3222" s="127"/>
      <c r="K3222" s="127"/>
      <c r="L3222" s="144"/>
      <c r="M3222" s="22" t="s">
        <v>8684</v>
      </c>
      <c r="N3222" s="84" t="str">
        <f>HYPERLINK("#N"&amp;ROW(N3225),"_x0005_`BDCOD|B04746_x0007_`POSS|"&amp;ROW(N3223)&amp;"_x0007_`POSE|"&amp;ROW(N3225)&amp;"_x0007_`")</f>
        <v>_x0005_`BDCOD|B04746_x0007_`POSS|3223_x0007_`POSE|3225_x0007_`</v>
      </c>
      <c r="O3222" s="7" t="s">
        <v>8685</v>
      </c>
    </row>
    <row r="3223" spans="1:26" ht="28.7" customHeight="1" x14ac:dyDescent="0.3">
      <c r="A3223" s="10"/>
      <c r="B3223" s="10" t="s">
        <v>8686</v>
      </c>
      <c r="C3223" s="75">
        <v>0</v>
      </c>
      <c r="D3223" s="31"/>
      <c r="E3223" s="33">
        <v>0</v>
      </c>
      <c r="F3223" s="11">
        <v>0</v>
      </c>
      <c r="G3223" s="42"/>
      <c r="H3223" s="11">
        <v>0</v>
      </c>
      <c r="I3223" s="42"/>
      <c r="J3223" s="33">
        <v>0</v>
      </c>
      <c r="K3223" s="46"/>
      <c r="L3223" s="33">
        <v>0</v>
      </c>
      <c r="M3223" s="22" t="s">
        <v>6509</v>
      </c>
      <c r="N3223" s="17" t="s">
        <v>6507</v>
      </c>
      <c r="O3223" s="7" t="s">
        <v>6508</v>
      </c>
      <c r="P3223" s="7" t="s">
        <v>6508</v>
      </c>
    </row>
    <row r="3224" spans="1:26" ht="28.7" customHeight="1" x14ac:dyDescent="0.3">
      <c r="A3224" s="10" t="s">
        <v>1796</v>
      </c>
      <c r="B3224" s="10" t="s">
        <v>1797</v>
      </c>
      <c r="C3224" s="75">
        <v>1</v>
      </c>
      <c r="D3224" s="31" t="s">
        <v>14</v>
      </c>
      <c r="E3224" s="55">
        <f>I3224+G3224+K3224</f>
        <v>165332</v>
      </c>
      <c r="F3224" s="76">
        <f>J3224+H3224+L3224</f>
        <v>165332</v>
      </c>
      <c r="G3224" s="78">
        <f>일위대가목록표!F695</f>
        <v>160517</v>
      </c>
      <c r="H3224" s="80">
        <f>IF(C3224=0,0,ROUNDDOWN(G3224*C3224,1))</f>
        <v>160517</v>
      </c>
      <c r="I3224" s="78">
        <f>일위대가목록표!G695</f>
        <v>0</v>
      </c>
      <c r="J3224" s="80">
        <f>IF(C3224=0,0,ROUNDDOWN(I3224*C3224,1))</f>
        <v>0</v>
      </c>
      <c r="K3224" s="78">
        <f>일위대가목록표!H695</f>
        <v>4815</v>
      </c>
      <c r="L3224" s="80">
        <f>IF(C3224=0,0,ROUNDDOWN(K3224*C3224,1))</f>
        <v>4815</v>
      </c>
      <c r="M3224" s="22" t="s">
        <v>7288</v>
      </c>
      <c r="N3224" s="17" t="s">
        <v>7286</v>
      </c>
      <c r="O3224" s="7" t="s">
        <v>7287</v>
      </c>
      <c r="P3224" s="7" t="s">
        <v>6406</v>
      </c>
      <c r="Z3224" s="3" t="str">
        <f ca="1">HYPERLINK("#"&amp;일위대가목록표!J2&amp;"!A"&amp;ROW(일위대가목록표!A695),"대가692 →")</f>
        <v>대가692 →</v>
      </c>
    </row>
    <row r="3225" spans="1:26" ht="28.7" customHeight="1" x14ac:dyDescent="0.3">
      <c r="A3225" s="10" t="s">
        <v>1800</v>
      </c>
      <c r="B3225" s="10" t="s">
        <v>1790</v>
      </c>
      <c r="C3225" s="75">
        <v>1</v>
      </c>
      <c r="D3225" s="31" t="s">
        <v>14</v>
      </c>
      <c r="E3225" s="55">
        <f>I3225+G3225+K3225</f>
        <v>413331</v>
      </c>
      <c r="F3225" s="76">
        <f>J3225+H3225+L3225</f>
        <v>413331</v>
      </c>
      <c r="G3225" s="78">
        <f>일위대가목록표!F696</f>
        <v>401293</v>
      </c>
      <c r="H3225" s="80">
        <f>IF(C3225=0,0,ROUNDDOWN(G3225*C3225,1))</f>
        <v>401293</v>
      </c>
      <c r="I3225" s="78">
        <f>일위대가목록표!G696</f>
        <v>0</v>
      </c>
      <c r="J3225" s="80">
        <f>IF(C3225=0,0,ROUNDDOWN(I3225*C3225,1))</f>
        <v>0</v>
      </c>
      <c r="K3225" s="78">
        <f>일위대가목록표!H696</f>
        <v>12038</v>
      </c>
      <c r="L3225" s="80">
        <f>IF(C3225=0,0,ROUNDDOWN(K3225*C3225,1))</f>
        <v>12038</v>
      </c>
      <c r="M3225" s="22" t="s">
        <v>7281</v>
      </c>
      <c r="N3225" s="17" t="s">
        <v>7279</v>
      </c>
      <c r="O3225" s="7" t="s">
        <v>7280</v>
      </c>
      <c r="P3225" s="7" t="s">
        <v>6406</v>
      </c>
      <c r="Z3225" s="3" t="str">
        <f ca="1">HYPERLINK("#"&amp;일위대가목록표!J2&amp;"!A"&amp;ROW(일위대가목록표!A696),"대가693 →")</f>
        <v>대가693 →</v>
      </c>
    </row>
    <row r="3226" spans="1:26" ht="28.7" customHeight="1" x14ac:dyDescent="0.3">
      <c r="A3226" s="22" t="s">
        <v>6</v>
      </c>
      <c r="B3226" s="74"/>
      <c r="C3226" s="74"/>
      <c r="D3226" s="74"/>
      <c r="E3226" s="74"/>
      <c r="F3226" s="48">
        <f>J3226+H3226+L3226</f>
        <v>578663</v>
      </c>
      <c r="G3226" s="74"/>
      <c r="H3226" s="48">
        <f>ROUNDDOWN(SUMIF(P3223:P3225,O3226,H3223:H3225),0)</f>
        <v>561810</v>
      </c>
      <c r="I3226" s="74"/>
      <c r="J3226" s="48">
        <f>ROUNDDOWN(SUMIF(P3223:P3225,O3226,J3223:J3225),0)</f>
        <v>0</v>
      </c>
      <c r="K3226" s="74"/>
      <c r="L3226" s="48">
        <f>ROUNDDOWN(SUMIF(P3223:P3225,O3226,L3223:L3225),0)</f>
        <v>16853</v>
      </c>
      <c r="M3226" s="74"/>
      <c r="O3226" s="7" t="s">
        <v>6406</v>
      </c>
    </row>
    <row r="3227" spans="1:26" ht="28.7" customHeight="1" x14ac:dyDescent="0.3">
      <c r="A3227" s="73"/>
      <c r="B3227" s="73"/>
      <c r="C3227" s="73"/>
      <c r="D3227" s="73"/>
      <c r="E3227" s="73"/>
      <c r="F3227" s="73"/>
      <c r="G3227" s="73"/>
      <c r="H3227" s="73"/>
      <c r="I3227" s="73"/>
      <c r="J3227" s="73"/>
      <c r="K3227" s="73"/>
      <c r="L3227" s="73"/>
      <c r="M3227" s="73"/>
    </row>
    <row r="3228" spans="1:26" ht="28.7" customHeight="1" x14ac:dyDescent="0.3">
      <c r="A3228" s="136" t="s">
        <v>1794</v>
      </c>
      <c r="B3228" s="127"/>
      <c r="C3228" s="127"/>
      <c r="D3228" s="127"/>
      <c r="E3228" s="127"/>
      <c r="F3228" s="127"/>
      <c r="G3228" s="127"/>
      <c r="H3228" s="127"/>
      <c r="I3228" s="127"/>
      <c r="J3228" s="127"/>
      <c r="K3228" s="127"/>
      <c r="L3228" s="144"/>
      <c r="M3228" s="22" t="s">
        <v>8687</v>
      </c>
      <c r="N3228" s="84" t="str">
        <f>HYPERLINK("#N"&amp;ROW(N3229),"_x0005_`BDCOD|B04735_x0007_`POSS|"&amp;ROW(N3229)&amp;"_x0007_`POSE|"&amp;ROW(N3229)&amp;"_x0007_`")</f>
        <v>_x0005_`BDCOD|B04735_x0007_`POSS|3229_x0007_`POSE|3229_x0007_`</v>
      </c>
      <c r="O3228" s="7" t="s">
        <v>8688</v>
      </c>
    </row>
    <row r="3229" spans="1:26" ht="28.7" customHeight="1" x14ac:dyDescent="0.3">
      <c r="A3229" s="10" t="s">
        <v>1800</v>
      </c>
      <c r="B3229" s="10" t="s">
        <v>1790</v>
      </c>
      <c r="C3229" s="75">
        <v>0.4</v>
      </c>
      <c r="D3229" s="31" t="s">
        <v>14</v>
      </c>
      <c r="E3229" s="55">
        <f>I3229+G3229+K3229</f>
        <v>413331</v>
      </c>
      <c r="F3229" s="76">
        <f>J3229+H3229+L3229</f>
        <v>165332.40000000002</v>
      </c>
      <c r="G3229" s="78">
        <f>일위대가목록표!F696</f>
        <v>401293</v>
      </c>
      <c r="H3229" s="80">
        <f>IF(C3229=0,0,ROUNDDOWN(G3229*C3229,1))</f>
        <v>160517.20000000001</v>
      </c>
      <c r="I3229" s="78">
        <f>일위대가목록표!G696</f>
        <v>0</v>
      </c>
      <c r="J3229" s="80">
        <f>IF(C3229=0,0,ROUNDDOWN(I3229*C3229,1))</f>
        <v>0</v>
      </c>
      <c r="K3229" s="78">
        <f>일위대가목록표!H696</f>
        <v>12038</v>
      </c>
      <c r="L3229" s="80">
        <f>IF(C3229=0,0,ROUNDDOWN(K3229*C3229,1))</f>
        <v>4815.2</v>
      </c>
      <c r="M3229" s="22" t="s">
        <v>7281</v>
      </c>
      <c r="N3229" s="17" t="s">
        <v>7279</v>
      </c>
      <c r="O3229" s="7" t="s">
        <v>7280</v>
      </c>
      <c r="P3229" s="7" t="s">
        <v>6406</v>
      </c>
      <c r="Z3229" s="3" t="str">
        <f ca="1">HYPERLINK("#"&amp;일위대가목록표!J2&amp;"!A"&amp;ROW(일위대가목록표!A696),"대가693 →")</f>
        <v>대가693 →</v>
      </c>
    </row>
    <row r="3230" spans="1:26" ht="28.7" customHeight="1" x14ac:dyDescent="0.3">
      <c r="A3230" s="22" t="s">
        <v>6</v>
      </c>
      <c r="B3230" s="74"/>
      <c r="C3230" s="74"/>
      <c r="D3230" s="74"/>
      <c r="E3230" s="74"/>
      <c r="F3230" s="48">
        <f>J3230+H3230+L3230</f>
        <v>165332</v>
      </c>
      <c r="G3230" s="74"/>
      <c r="H3230" s="48">
        <f>ROUNDDOWN(SUMIF(P3229:P3229,O3230,H3229:H3229),0)</f>
        <v>160517</v>
      </c>
      <c r="I3230" s="74"/>
      <c r="J3230" s="48">
        <f>ROUNDDOWN(SUMIF(P3229:P3229,O3230,J3229:J3229),0)</f>
        <v>0</v>
      </c>
      <c r="K3230" s="74"/>
      <c r="L3230" s="48">
        <f>ROUNDDOWN(SUMIF(P3229:P3229,O3230,L3229:L3229),0)</f>
        <v>4815</v>
      </c>
      <c r="M3230" s="74"/>
      <c r="O3230" s="7" t="s">
        <v>6406</v>
      </c>
    </row>
    <row r="3231" spans="1:26" ht="28.7" customHeight="1" x14ac:dyDescent="0.3">
      <c r="A3231" s="73"/>
      <c r="B3231" s="73"/>
      <c r="C3231" s="73"/>
      <c r="D3231" s="73"/>
      <c r="E3231" s="73"/>
      <c r="F3231" s="73"/>
      <c r="G3231" s="73"/>
      <c r="H3231" s="73"/>
      <c r="I3231" s="73"/>
      <c r="J3231" s="73"/>
      <c r="K3231" s="73"/>
      <c r="L3231" s="73"/>
      <c r="M3231" s="73"/>
    </row>
    <row r="3232" spans="1:26" ht="28.7" customHeight="1" x14ac:dyDescent="0.3">
      <c r="A3232" s="136" t="s">
        <v>1798</v>
      </c>
      <c r="B3232" s="127"/>
      <c r="C3232" s="127"/>
      <c r="D3232" s="127"/>
      <c r="E3232" s="127"/>
      <c r="F3232" s="127"/>
      <c r="G3232" s="127"/>
      <c r="H3232" s="127"/>
      <c r="I3232" s="127"/>
      <c r="J3232" s="127"/>
      <c r="K3232" s="127"/>
      <c r="L3232" s="144"/>
      <c r="M3232" s="22" t="s">
        <v>8689</v>
      </c>
      <c r="N3232" s="84" t="str">
        <f>HYPERLINK("#N"&amp;ROW(N3236),"_x0005_`BDCOD|B04734_x0007_`POSS|"&amp;ROW(N3233)&amp;"_x0007_`POSE|"&amp;ROW(N3236)&amp;"_x0007_`")</f>
        <v>_x0005_`BDCOD|B04734_x0007_`POSS|3233_x0007_`POSE|3236_x0007_`</v>
      </c>
      <c r="O3232" s="7" t="s">
        <v>8690</v>
      </c>
    </row>
    <row r="3233" spans="1:26" ht="28.7" customHeight="1" x14ac:dyDescent="0.3">
      <c r="A3233" s="10"/>
      <c r="B3233" s="10" t="s">
        <v>8686</v>
      </c>
      <c r="C3233" s="75">
        <v>0</v>
      </c>
      <c r="D3233" s="31"/>
      <c r="E3233" s="33">
        <v>0</v>
      </c>
      <c r="F3233" s="11">
        <v>0</v>
      </c>
      <c r="G3233" s="42"/>
      <c r="H3233" s="11">
        <v>0</v>
      </c>
      <c r="I3233" s="42"/>
      <c r="J3233" s="33">
        <v>0</v>
      </c>
      <c r="K3233" s="46"/>
      <c r="L3233" s="33">
        <v>0</v>
      </c>
      <c r="M3233" s="22" t="s">
        <v>6509</v>
      </c>
      <c r="N3233" s="17" t="s">
        <v>6507</v>
      </c>
      <c r="O3233" s="7" t="s">
        <v>6508</v>
      </c>
      <c r="P3233" s="7" t="s">
        <v>6508</v>
      </c>
    </row>
    <row r="3234" spans="1:26" ht="28.7" customHeight="1" x14ac:dyDescent="0.3">
      <c r="A3234" s="10" t="s">
        <v>3081</v>
      </c>
      <c r="B3234" s="10"/>
      <c r="C3234" s="75">
        <v>1.325</v>
      </c>
      <c r="D3234" s="31" t="s">
        <v>3074</v>
      </c>
      <c r="E3234" s="55">
        <f t="shared" ref="E3234:F3236" si="40">I3234+G3234+K3234</f>
        <v>241698</v>
      </c>
      <c r="F3234" s="76">
        <f t="shared" si="40"/>
        <v>320249.8</v>
      </c>
      <c r="G3234" s="78">
        <f>노무비목록표!E8</f>
        <v>241698</v>
      </c>
      <c r="H3234" s="81">
        <f>IF(C3234=0,0,ROUNDDOWN(G3234*C3234,1))</f>
        <v>320249.8</v>
      </c>
      <c r="I3234" s="51">
        <v>0</v>
      </c>
      <c r="J3234" s="77">
        <f>IF(C3234=0,0,ROUNDDOWN(I3234*C3234,1))</f>
        <v>0</v>
      </c>
      <c r="K3234" s="51">
        <v>0</v>
      </c>
      <c r="L3234" s="76">
        <f>IF(C3234=0,0,ROUNDDOWN(K3234*C3234,1))</f>
        <v>0</v>
      </c>
      <c r="M3234" s="22" t="s">
        <v>8615</v>
      </c>
      <c r="N3234" s="17" t="s">
        <v>8613</v>
      </c>
      <c r="O3234" s="7" t="s">
        <v>8614</v>
      </c>
      <c r="P3234" s="7" t="s">
        <v>6406</v>
      </c>
      <c r="Q3234" s="7" t="s">
        <v>7061</v>
      </c>
      <c r="Z3234" s="3" t="str">
        <f ca="1">HYPERLINK("#"&amp;노무비목록표!G2&amp;"!A"&amp;ROW(노무비목록표!A8),"노무5 →")</f>
        <v>노무5 →</v>
      </c>
    </row>
    <row r="3235" spans="1:26" ht="28.7" customHeight="1" x14ac:dyDescent="0.3">
      <c r="A3235" s="10" t="s">
        <v>3090</v>
      </c>
      <c r="B3235" s="10"/>
      <c r="C3235" s="75">
        <v>0.47099999999999997</v>
      </c>
      <c r="D3235" s="31" t="s">
        <v>3074</v>
      </c>
      <c r="E3235" s="55">
        <f t="shared" si="40"/>
        <v>172068</v>
      </c>
      <c r="F3235" s="76">
        <f t="shared" si="40"/>
        <v>81044</v>
      </c>
      <c r="G3235" s="78">
        <f>노무비목록표!E12</f>
        <v>172068</v>
      </c>
      <c r="H3235" s="81">
        <f>IF(C3235=0,0,ROUNDDOWN(G3235*C3235,1))</f>
        <v>81044</v>
      </c>
      <c r="I3235" s="51">
        <v>0</v>
      </c>
      <c r="J3235" s="77">
        <f>IF(C3235=0,0,ROUNDDOWN(I3235*C3235,1))</f>
        <v>0</v>
      </c>
      <c r="K3235" s="51">
        <v>0</v>
      </c>
      <c r="L3235" s="76">
        <f>IF(C3235=0,0,ROUNDDOWN(K3235*C3235,1))</f>
        <v>0</v>
      </c>
      <c r="M3235" s="22" t="s">
        <v>8262</v>
      </c>
      <c r="N3235" s="17" t="s">
        <v>8260</v>
      </c>
      <c r="O3235" s="7" t="s">
        <v>8261</v>
      </c>
      <c r="P3235" s="7" t="s">
        <v>6406</v>
      </c>
      <c r="Q3235" s="7" t="s">
        <v>7061</v>
      </c>
      <c r="Z3235" s="3" t="str">
        <f ca="1">HYPERLINK("#"&amp;노무비목록표!G2&amp;"!A"&amp;ROW(노무비목록표!A12),"노무9 →")</f>
        <v>노무9 →</v>
      </c>
    </row>
    <row r="3236" spans="1:26" ht="28.7" customHeight="1" x14ac:dyDescent="0.3">
      <c r="A3236" s="10" t="s">
        <v>8616</v>
      </c>
      <c r="B3236" s="10" t="s">
        <v>7063</v>
      </c>
      <c r="C3236" s="75">
        <v>3</v>
      </c>
      <c r="D3236" s="31" t="s">
        <v>7064</v>
      </c>
      <c r="E3236" s="55">
        <f t="shared" si="40"/>
        <v>401293.8</v>
      </c>
      <c r="F3236" s="77">
        <f t="shared" si="40"/>
        <v>12038.8</v>
      </c>
      <c r="G3236" s="13">
        <v>0</v>
      </c>
      <c r="H3236" s="77">
        <f>IF(C3236=0,0,ROUNDDOWN(G3236*C3236/100,1))</f>
        <v>0</v>
      </c>
      <c r="I3236" s="13">
        <v>0</v>
      </c>
      <c r="J3236" s="76">
        <f>IF(C3236=0,0,ROUNDDOWN(I3236*C3236/100,1))</f>
        <v>0</v>
      </c>
      <c r="K3236" s="82">
        <f>H3234+H3235</f>
        <v>401293.8</v>
      </c>
      <c r="L3236" s="76">
        <f>IF(C3236=0,0,ROUNDDOWN(K3236*C3236/100,1))</f>
        <v>12038.8</v>
      </c>
      <c r="M3236" s="22"/>
      <c r="N3236" s="17" t="s">
        <v>7065</v>
      </c>
      <c r="O3236" s="7" t="s">
        <v>7066</v>
      </c>
      <c r="P3236" s="7" t="s">
        <v>6406</v>
      </c>
    </row>
    <row r="3237" spans="1:26" ht="28.7" customHeight="1" x14ac:dyDescent="0.3">
      <c r="A3237" s="22" t="s">
        <v>6</v>
      </c>
      <c r="B3237" s="74"/>
      <c r="C3237" s="74"/>
      <c r="D3237" s="74"/>
      <c r="E3237" s="74"/>
      <c r="F3237" s="48">
        <f>J3237+H3237+L3237</f>
        <v>413331</v>
      </c>
      <c r="G3237" s="74"/>
      <c r="H3237" s="48">
        <f>ROUNDDOWN(SUMIF(P3233:P3236,O3237,H3233:H3236),0)</f>
        <v>401293</v>
      </c>
      <c r="I3237" s="74"/>
      <c r="J3237" s="48">
        <f>ROUNDDOWN(SUMIF(P3233:P3236,O3237,J3233:J3236),0)</f>
        <v>0</v>
      </c>
      <c r="K3237" s="74"/>
      <c r="L3237" s="48">
        <f>ROUNDDOWN(SUMIF(P3233:P3236,O3237,L3233:L3236),0)</f>
        <v>12038</v>
      </c>
      <c r="M3237" s="74"/>
      <c r="O3237" s="7" t="s">
        <v>6406</v>
      </c>
    </row>
    <row r="3238" spans="1:26" ht="28.7" customHeight="1" x14ac:dyDescent="0.3">
      <c r="A3238" s="73"/>
      <c r="B3238" s="73"/>
      <c r="C3238" s="73"/>
      <c r="D3238" s="73"/>
      <c r="E3238" s="73"/>
      <c r="F3238" s="73"/>
      <c r="G3238" s="73"/>
      <c r="H3238" s="73"/>
      <c r="I3238" s="73"/>
      <c r="J3238" s="73"/>
      <c r="K3238" s="73"/>
      <c r="L3238" s="73"/>
      <c r="M3238" s="73"/>
    </row>
    <row r="3239" spans="1:26" ht="28.7" customHeight="1" x14ac:dyDescent="0.3">
      <c r="A3239" s="136" t="s">
        <v>1801</v>
      </c>
      <c r="B3239" s="127"/>
      <c r="C3239" s="127"/>
      <c r="D3239" s="127"/>
      <c r="E3239" s="127"/>
      <c r="F3239" s="127"/>
      <c r="G3239" s="127"/>
      <c r="H3239" s="127"/>
      <c r="I3239" s="127"/>
      <c r="J3239" s="127"/>
      <c r="K3239" s="127"/>
      <c r="L3239" s="144"/>
      <c r="M3239" s="22" t="s">
        <v>8691</v>
      </c>
      <c r="N3239" s="84" t="str">
        <f>HYPERLINK("#N"&amp;ROW(N3242),"_x0005_`BDCOD|B04747_x0007_`POSS|"&amp;ROW(N3240)&amp;"_x0007_`POSE|"&amp;ROW(N3242)&amp;"_x0007_`")</f>
        <v>_x0005_`BDCOD|B04747_x0007_`POSS|3240_x0007_`POSE|3242_x0007_`</v>
      </c>
      <c r="O3239" s="7" t="s">
        <v>8692</v>
      </c>
    </row>
    <row r="3240" spans="1:26" ht="28.7" customHeight="1" x14ac:dyDescent="0.3">
      <c r="A3240" s="10"/>
      <c r="B3240" s="10" t="s">
        <v>8686</v>
      </c>
      <c r="C3240" s="75">
        <v>0</v>
      </c>
      <c r="D3240" s="31"/>
      <c r="E3240" s="33">
        <v>0</v>
      </c>
      <c r="F3240" s="11">
        <v>0</v>
      </c>
      <c r="G3240" s="42"/>
      <c r="H3240" s="11">
        <v>0</v>
      </c>
      <c r="I3240" s="42"/>
      <c r="J3240" s="33">
        <v>0</v>
      </c>
      <c r="K3240" s="46"/>
      <c r="L3240" s="33">
        <v>0</v>
      </c>
      <c r="M3240" s="22" t="s">
        <v>6509</v>
      </c>
      <c r="N3240" s="17" t="s">
        <v>6507</v>
      </c>
      <c r="O3240" s="7" t="s">
        <v>6508</v>
      </c>
      <c r="P3240" s="7" t="s">
        <v>6508</v>
      </c>
    </row>
    <row r="3241" spans="1:26" ht="28.7" customHeight="1" x14ac:dyDescent="0.3">
      <c r="A3241" s="10" t="s">
        <v>1796</v>
      </c>
      <c r="B3241" s="10" t="s">
        <v>1805</v>
      </c>
      <c r="C3241" s="75">
        <v>1</v>
      </c>
      <c r="D3241" s="31" t="s">
        <v>14</v>
      </c>
      <c r="E3241" s="55">
        <f>I3241+G3241+K3241</f>
        <v>186955</v>
      </c>
      <c r="F3241" s="76">
        <f>J3241+H3241+L3241</f>
        <v>186955</v>
      </c>
      <c r="G3241" s="78">
        <f>일위대가목록표!F698</f>
        <v>181510</v>
      </c>
      <c r="H3241" s="80">
        <f>IF(C3241=0,0,ROUNDDOWN(G3241*C3241,1))</f>
        <v>181510</v>
      </c>
      <c r="I3241" s="78">
        <f>일위대가목록표!G698</f>
        <v>0</v>
      </c>
      <c r="J3241" s="80">
        <f>IF(C3241=0,0,ROUNDDOWN(I3241*C3241,1))</f>
        <v>0</v>
      </c>
      <c r="K3241" s="78">
        <f>일위대가목록표!H698</f>
        <v>5445</v>
      </c>
      <c r="L3241" s="80">
        <f>IF(C3241=0,0,ROUNDDOWN(K3241*C3241,1))</f>
        <v>5445</v>
      </c>
      <c r="M3241" s="22" t="s">
        <v>7410</v>
      </c>
      <c r="N3241" s="17" t="s">
        <v>7408</v>
      </c>
      <c r="O3241" s="7" t="s">
        <v>7409</v>
      </c>
      <c r="P3241" s="7" t="s">
        <v>6406</v>
      </c>
      <c r="Z3241" s="3" t="str">
        <f ca="1">HYPERLINK("#"&amp;일위대가목록표!J2&amp;"!A"&amp;ROW(일위대가목록표!A698),"대가695 →")</f>
        <v>대가695 →</v>
      </c>
    </row>
    <row r="3242" spans="1:26" ht="28.7" customHeight="1" x14ac:dyDescent="0.3">
      <c r="A3242" s="10" t="s">
        <v>1800</v>
      </c>
      <c r="B3242" s="10" t="s">
        <v>1691</v>
      </c>
      <c r="C3242" s="75">
        <v>1</v>
      </c>
      <c r="D3242" s="31" t="s">
        <v>14</v>
      </c>
      <c r="E3242" s="55">
        <f>I3242+G3242+K3242</f>
        <v>467388</v>
      </c>
      <c r="F3242" s="76">
        <f>J3242+H3242+L3242</f>
        <v>467388</v>
      </c>
      <c r="G3242" s="78">
        <f>일위대가목록표!F699</f>
        <v>453775</v>
      </c>
      <c r="H3242" s="80">
        <f>IF(C3242=0,0,ROUNDDOWN(G3242*C3242,1))</f>
        <v>453775</v>
      </c>
      <c r="I3242" s="78">
        <f>일위대가목록표!G699</f>
        <v>0</v>
      </c>
      <c r="J3242" s="80">
        <f>IF(C3242=0,0,ROUNDDOWN(I3242*C3242,1))</f>
        <v>0</v>
      </c>
      <c r="K3242" s="78">
        <f>일위대가목록표!H699</f>
        <v>13613</v>
      </c>
      <c r="L3242" s="80">
        <f>IF(C3242=0,0,ROUNDDOWN(K3242*C3242,1))</f>
        <v>13613</v>
      </c>
      <c r="M3242" s="22" t="s">
        <v>7375</v>
      </c>
      <c r="N3242" s="17" t="s">
        <v>7373</v>
      </c>
      <c r="O3242" s="7" t="s">
        <v>7374</v>
      </c>
      <c r="P3242" s="7" t="s">
        <v>6406</v>
      </c>
      <c r="Z3242" s="3" t="str">
        <f ca="1">HYPERLINK("#"&amp;일위대가목록표!J2&amp;"!A"&amp;ROW(일위대가목록표!A699),"대가696 →")</f>
        <v>대가696 →</v>
      </c>
    </row>
    <row r="3243" spans="1:26" ht="28.7" customHeight="1" x14ac:dyDescent="0.3">
      <c r="A3243" s="22" t="s">
        <v>6</v>
      </c>
      <c r="B3243" s="74"/>
      <c r="C3243" s="74"/>
      <c r="D3243" s="74"/>
      <c r="E3243" s="74"/>
      <c r="F3243" s="48">
        <f>J3243+H3243+L3243</f>
        <v>654343</v>
      </c>
      <c r="G3243" s="74"/>
      <c r="H3243" s="48">
        <f>ROUNDDOWN(SUMIF(P3240:P3242,O3243,H3240:H3242),0)</f>
        <v>635285</v>
      </c>
      <c r="I3243" s="74"/>
      <c r="J3243" s="48">
        <f>ROUNDDOWN(SUMIF(P3240:P3242,O3243,J3240:J3242),0)</f>
        <v>0</v>
      </c>
      <c r="K3243" s="74"/>
      <c r="L3243" s="48">
        <f>ROUNDDOWN(SUMIF(P3240:P3242,O3243,L3240:L3242),0)</f>
        <v>19058</v>
      </c>
      <c r="M3243" s="74"/>
      <c r="O3243" s="7" t="s">
        <v>6406</v>
      </c>
    </row>
    <row r="3244" spans="1:26" ht="28.7" customHeight="1" x14ac:dyDescent="0.3">
      <c r="A3244" s="73"/>
      <c r="B3244" s="73"/>
      <c r="C3244" s="73"/>
      <c r="D3244" s="73"/>
      <c r="E3244" s="73"/>
      <c r="F3244" s="73"/>
      <c r="G3244" s="73"/>
      <c r="H3244" s="73"/>
      <c r="I3244" s="73"/>
      <c r="J3244" s="73"/>
      <c r="K3244" s="73"/>
      <c r="L3244" s="73"/>
      <c r="M3244" s="73"/>
    </row>
    <row r="3245" spans="1:26" ht="28.7" customHeight="1" x14ac:dyDescent="0.3">
      <c r="A3245" s="136" t="s">
        <v>1803</v>
      </c>
      <c r="B3245" s="127"/>
      <c r="C3245" s="127"/>
      <c r="D3245" s="127"/>
      <c r="E3245" s="127"/>
      <c r="F3245" s="127"/>
      <c r="G3245" s="127"/>
      <c r="H3245" s="127"/>
      <c r="I3245" s="127"/>
      <c r="J3245" s="127"/>
      <c r="K3245" s="127"/>
      <c r="L3245" s="144"/>
      <c r="M3245" s="22" t="s">
        <v>8693</v>
      </c>
      <c r="N3245" s="84" t="str">
        <f>HYPERLINK("#N"&amp;ROW(N3246),"_x0005_`BDCOD|B04737_x0007_`POSS|"&amp;ROW(N3246)&amp;"_x0007_`POSE|"&amp;ROW(N3246)&amp;"_x0007_`")</f>
        <v>_x0005_`BDCOD|B04737_x0007_`POSS|3246_x0007_`POSE|3246_x0007_`</v>
      </c>
      <c r="O3245" s="7" t="s">
        <v>8694</v>
      </c>
    </row>
    <row r="3246" spans="1:26" ht="28.7" customHeight="1" x14ac:dyDescent="0.3">
      <c r="A3246" s="10" t="s">
        <v>1800</v>
      </c>
      <c r="B3246" s="10" t="s">
        <v>1691</v>
      </c>
      <c r="C3246" s="75">
        <v>0.4</v>
      </c>
      <c r="D3246" s="31" t="s">
        <v>14</v>
      </c>
      <c r="E3246" s="55">
        <f>I3246+G3246+K3246</f>
        <v>467388</v>
      </c>
      <c r="F3246" s="76">
        <f>J3246+H3246+L3246</f>
        <v>186955.2</v>
      </c>
      <c r="G3246" s="78">
        <f>일위대가목록표!F699</f>
        <v>453775</v>
      </c>
      <c r="H3246" s="80">
        <f>IF(C3246=0,0,ROUNDDOWN(G3246*C3246,1))</f>
        <v>181510</v>
      </c>
      <c r="I3246" s="78">
        <f>일위대가목록표!G699</f>
        <v>0</v>
      </c>
      <c r="J3246" s="80">
        <f>IF(C3246=0,0,ROUNDDOWN(I3246*C3246,1))</f>
        <v>0</v>
      </c>
      <c r="K3246" s="78">
        <f>일위대가목록표!H699</f>
        <v>13613</v>
      </c>
      <c r="L3246" s="80">
        <f>IF(C3246=0,0,ROUNDDOWN(K3246*C3246,1))</f>
        <v>5445.2</v>
      </c>
      <c r="M3246" s="22" t="s">
        <v>7375</v>
      </c>
      <c r="N3246" s="17" t="s">
        <v>7373</v>
      </c>
      <c r="O3246" s="7" t="s">
        <v>7374</v>
      </c>
      <c r="P3246" s="7" t="s">
        <v>6406</v>
      </c>
      <c r="Z3246" s="3" t="str">
        <f ca="1">HYPERLINK("#"&amp;일위대가목록표!J2&amp;"!A"&amp;ROW(일위대가목록표!A699),"대가696 →")</f>
        <v>대가696 →</v>
      </c>
    </row>
    <row r="3247" spans="1:26" ht="28.7" customHeight="1" x14ac:dyDescent="0.3">
      <c r="A3247" s="22" t="s">
        <v>6</v>
      </c>
      <c r="B3247" s="74"/>
      <c r="C3247" s="74"/>
      <c r="D3247" s="74"/>
      <c r="E3247" s="74"/>
      <c r="F3247" s="48">
        <f>J3247+H3247+L3247</f>
        <v>186955</v>
      </c>
      <c r="G3247" s="74"/>
      <c r="H3247" s="48">
        <f>ROUNDDOWN(SUMIF(P3246:P3246,O3247,H3246:H3246),0)</f>
        <v>181510</v>
      </c>
      <c r="I3247" s="74"/>
      <c r="J3247" s="48">
        <f>ROUNDDOWN(SUMIF(P3246:P3246,O3247,J3246:J3246),0)</f>
        <v>0</v>
      </c>
      <c r="K3247" s="74"/>
      <c r="L3247" s="48">
        <f>ROUNDDOWN(SUMIF(P3246:P3246,O3247,L3246:L3246),0)</f>
        <v>5445</v>
      </c>
      <c r="M3247" s="74"/>
      <c r="O3247" s="7" t="s">
        <v>6406</v>
      </c>
    </row>
    <row r="3248" spans="1:26" ht="28.7" customHeight="1" x14ac:dyDescent="0.3">
      <c r="A3248" s="73"/>
      <c r="B3248" s="73"/>
      <c r="C3248" s="73"/>
      <c r="D3248" s="73"/>
      <c r="E3248" s="73"/>
      <c r="F3248" s="73"/>
      <c r="G3248" s="73"/>
      <c r="H3248" s="73"/>
      <c r="I3248" s="73"/>
      <c r="J3248" s="73"/>
      <c r="K3248" s="73"/>
      <c r="L3248" s="73"/>
      <c r="M3248" s="73"/>
    </row>
    <row r="3249" spans="1:26" ht="28.7" customHeight="1" x14ac:dyDescent="0.3">
      <c r="A3249" s="136" t="s">
        <v>1806</v>
      </c>
      <c r="B3249" s="127"/>
      <c r="C3249" s="127"/>
      <c r="D3249" s="127"/>
      <c r="E3249" s="127"/>
      <c r="F3249" s="127"/>
      <c r="G3249" s="127"/>
      <c r="H3249" s="127"/>
      <c r="I3249" s="127"/>
      <c r="J3249" s="127"/>
      <c r="K3249" s="127"/>
      <c r="L3249" s="144"/>
      <c r="M3249" s="22" t="s">
        <v>8695</v>
      </c>
      <c r="N3249" s="84" t="str">
        <f>HYPERLINK("#N"&amp;ROW(N3253),"_x0005_`BDCOD|B04736_x0007_`POSS|"&amp;ROW(N3250)&amp;"_x0007_`POSE|"&amp;ROW(N3253)&amp;"_x0007_`")</f>
        <v>_x0005_`BDCOD|B04736_x0007_`POSS|3250_x0007_`POSE|3253_x0007_`</v>
      </c>
      <c r="O3249" s="7" t="s">
        <v>8696</v>
      </c>
    </row>
    <row r="3250" spans="1:26" ht="28.7" customHeight="1" x14ac:dyDescent="0.3">
      <c r="A3250" s="10"/>
      <c r="B3250" s="10" t="s">
        <v>8686</v>
      </c>
      <c r="C3250" s="75">
        <v>0</v>
      </c>
      <c r="D3250" s="31"/>
      <c r="E3250" s="33">
        <v>0</v>
      </c>
      <c r="F3250" s="11">
        <v>0</v>
      </c>
      <c r="G3250" s="42"/>
      <c r="H3250" s="11">
        <v>0</v>
      </c>
      <c r="I3250" s="42"/>
      <c r="J3250" s="33">
        <v>0</v>
      </c>
      <c r="K3250" s="46"/>
      <c r="L3250" s="33">
        <v>0</v>
      </c>
      <c r="M3250" s="22" t="s">
        <v>6509</v>
      </c>
      <c r="N3250" s="17" t="s">
        <v>6507</v>
      </c>
      <c r="O3250" s="7" t="s">
        <v>6508</v>
      </c>
      <c r="P3250" s="7" t="s">
        <v>6508</v>
      </c>
    </row>
    <row r="3251" spans="1:26" ht="28.7" customHeight="1" x14ac:dyDescent="0.3">
      <c r="A3251" s="10" t="s">
        <v>3081</v>
      </c>
      <c r="B3251" s="10"/>
      <c r="C3251" s="75">
        <v>1.498</v>
      </c>
      <c r="D3251" s="31" t="s">
        <v>3074</v>
      </c>
      <c r="E3251" s="55">
        <f t="shared" ref="E3251:F3253" si="41">I3251+G3251+K3251</f>
        <v>241698</v>
      </c>
      <c r="F3251" s="76">
        <f t="shared" si="41"/>
        <v>362063.6</v>
      </c>
      <c r="G3251" s="78">
        <f>노무비목록표!E8</f>
        <v>241698</v>
      </c>
      <c r="H3251" s="81">
        <f>IF(C3251=0,0,ROUNDDOWN(G3251*C3251,1))</f>
        <v>362063.6</v>
      </c>
      <c r="I3251" s="51">
        <v>0</v>
      </c>
      <c r="J3251" s="77">
        <f>IF(C3251=0,0,ROUNDDOWN(I3251*C3251,1))</f>
        <v>0</v>
      </c>
      <c r="K3251" s="51">
        <v>0</v>
      </c>
      <c r="L3251" s="76">
        <f>IF(C3251=0,0,ROUNDDOWN(K3251*C3251,1))</f>
        <v>0</v>
      </c>
      <c r="M3251" s="22" t="s">
        <v>8615</v>
      </c>
      <c r="N3251" s="17" t="s">
        <v>8613</v>
      </c>
      <c r="O3251" s="7" t="s">
        <v>8614</v>
      </c>
      <c r="P3251" s="7" t="s">
        <v>6406</v>
      </c>
      <c r="Q3251" s="7" t="s">
        <v>7061</v>
      </c>
      <c r="Z3251" s="3" t="str">
        <f ca="1">HYPERLINK("#"&amp;노무비목록표!G2&amp;"!A"&amp;ROW(노무비목록표!A8),"노무5 →")</f>
        <v>노무5 →</v>
      </c>
    </row>
    <row r="3252" spans="1:26" ht="28.7" customHeight="1" x14ac:dyDescent="0.3">
      <c r="A3252" s="10" t="s">
        <v>3090</v>
      </c>
      <c r="B3252" s="10"/>
      <c r="C3252" s="75">
        <v>0.53300000000000003</v>
      </c>
      <c r="D3252" s="31" t="s">
        <v>3074</v>
      </c>
      <c r="E3252" s="55">
        <f t="shared" si="41"/>
        <v>172068</v>
      </c>
      <c r="F3252" s="76">
        <f t="shared" si="41"/>
        <v>91712.2</v>
      </c>
      <c r="G3252" s="78">
        <f>노무비목록표!E12</f>
        <v>172068</v>
      </c>
      <c r="H3252" s="81">
        <f>IF(C3252=0,0,ROUNDDOWN(G3252*C3252,1))</f>
        <v>91712.2</v>
      </c>
      <c r="I3252" s="51">
        <v>0</v>
      </c>
      <c r="J3252" s="77">
        <f>IF(C3252=0,0,ROUNDDOWN(I3252*C3252,1))</f>
        <v>0</v>
      </c>
      <c r="K3252" s="51">
        <v>0</v>
      </c>
      <c r="L3252" s="76">
        <f>IF(C3252=0,0,ROUNDDOWN(K3252*C3252,1))</f>
        <v>0</v>
      </c>
      <c r="M3252" s="22" t="s">
        <v>8262</v>
      </c>
      <c r="N3252" s="17" t="s">
        <v>8260</v>
      </c>
      <c r="O3252" s="7" t="s">
        <v>8261</v>
      </c>
      <c r="P3252" s="7" t="s">
        <v>6406</v>
      </c>
      <c r="Q3252" s="7" t="s">
        <v>7061</v>
      </c>
      <c r="Z3252" s="3" t="str">
        <f ca="1">HYPERLINK("#"&amp;노무비목록표!G2&amp;"!A"&amp;ROW(노무비목록표!A12),"노무9 →")</f>
        <v>노무9 →</v>
      </c>
    </row>
    <row r="3253" spans="1:26" ht="28.7" customHeight="1" x14ac:dyDescent="0.3">
      <c r="A3253" s="10" t="s">
        <v>8616</v>
      </c>
      <c r="B3253" s="10" t="s">
        <v>7063</v>
      </c>
      <c r="C3253" s="75">
        <v>3</v>
      </c>
      <c r="D3253" s="31" t="s">
        <v>7064</v>
      </c>
      <c r="E3253" s="55">
        <f t="shared" si="41"/>
        <v>453775.8</v>
      </c>
      <c r="F3253" s="77">
        <f t="shared" si="41"/>
        <v>13613.2</v>
      </c>
      <c r="G3253" s="13">
        <v>0</v>
      </c>
      <c r="H3253" s="77">
        <f>IF(C3253=0,0,ROUNDDOWN(G3253*C3253/100,1))</f>
        <v>0</v>
      </c>
      <c r="I3253" s="13">
        <v>0</v>
      </c>
      <c r="J3253" s="76">
        <f>IF(C3253=0,0,ROUNDDOWN(I3253*C3253/100,1))</f>
        <v>0</v>
      </c>
      <c r="K3253" s="82">
        <f>H3251+H3252</f>
        <v>453775.8</v>
      </c>
      <c r="L3253" s="76">
        <f>IF(C3253=0,0,ROUNDDOWN(K3253*C3253/100,1))</f>
        <v>13613.2</v>
      </c>
      <c r="M3253" s="22"/>
      <c r="N3253" s="17" t="s">
        <v>7065</v>
      </c>
      <c r="O3253" s="7" t="s">
        <v>7066</v>
      </c>
      <c r="P3253" s="7" t="s">
        <v>6406</v>
      </c>
    </row>
    <row r="3254" spans="1:26" ht="28.7" customHeight="1" x14ac:dyDescent="0.3">
      <c r="A3254" s="22" t="s">
        <v>6</v>
      </c>
      <c r="B3254" s="74"/>
      <c r="C3254" s="74"/>
      <c r="D3254" s="74"/>
      <c r="E3254" s="74"/>
      <c r="F3254" s="48">
        <f>J3254+H3254+L3254</f>
        <v>467388</v>
      </c>
      <c r="G3254" s="74"/>
      <c r="H3254" s="48">
        <f>ROUNDDOWN(SUMIF(P3250:P3253,O3254,H3250:H3253),0)</f>
        <v>453775</v>
      </c>
      <c r="I3254" s="74"/>
      <c r="J3254" s="48">
        <f>ROUNDDOWN(SUMIF(P3250:P3253,O3254,J3250:J3253),0)</f>
        <v>0</v>
      </c>
      <c r="K3254" s="74"/>
      <c r="L3254" s="48">
        <f>ROUNDDOWN(SUMIF(P3250:P3253,O3254,L3250:L3253),0)</f>
        <v>13613</v>
      </c>
      <c r="M3254" s="74"/>
      <c r="O3254" s="7" t="s">
        <v>6406</v>
      </c>
    </row>
    <row r="3255" spans="1:26" ht="28.7" customHeight="1" x14ac:dyDescent="0.3">
      <c r="A3255" s="73"/>
      <c r="B3255" s="73"/>
      <c r="C3255" s="73"/>
      <c r="D3255" s="73"/>
      <c r="E3255" s="73"/>
      <c r="F3255" s="73"/>
      <c r="G3255" s="73"/>
      <c r="H3255" s="73"/>
      <c r="I3255" s="73"/>
      <c r="J3255" s="73"/>
      <c r="K3255" s="73"/>
      <c r="L3255" s="73"/>
      <c r="M3255" s="73"/>
    </row>
    <row r="3256" spans="1:26" ht="28.7" customHeight="1" x14ac:dyDescent="0.3">
      <c r="A3256" s="136" t="s">
        <v>1808</v>
      </c>
      <c r="B3256" s="127"/>
      <c r="C3256" s="127"/>
      <c r="D3256" s="127"/>
      <c r="E3256" s="127"/>
      <c r="F3256" s="127"/>
      <c r="G3256" s="127"/>
      <c r="H3256" s="127"/>
      <c r="I3256" s="127"/>
      <c r="J3256" s="127"/>
      <c r="K3256" s="127"/>
      <c r="L3256" s="144"/>
      <c r="M3256" s="22" t="s">
        <v>8697</v>
      </c>
      <c r="N3256" s="84" t="str">
        <f>HYPERLINK("#N"&amp;ROW(N3259),"_x0005_`BDCOD|B04748_x0007_`POSS|"&amp;ROW(N3257)&amp;"_x0007_`POSE|"&amp;ROW(N3259)&amp;"_x0007_`")</f>
        <v>_x0005_`BDCOD|B04748_x0007_`POSS|3257_x0007_`POSE|3259_x0007_`</v>
      </c>
      <c r="O3256" s="7" t="s">
        <v>8698</v>
      </c>
    </row>
    <row r="3257" spans="1:26" ht="28.7" customHeight="1" x14ac:dyDescent="0.3">
      <c r="A3257" s="10"/>
      <c r="B3257" s="10" t="s">
        <v>8686</v>
      </c>
      <c r="C3257" s="75">
        <v>0</v>
      </c>
      <c r="D3257" s="31"/>
      <c r="E3257" s="33">
        <v>0</v>
      </c>
      <c r="F3257" s="11">
        <v>0</v>
      </c>
      <c r="G3257" s="42"/>
      <c r="H3257" s="11">
        <v>0</v>
      </c>
      <c r="I3257" s="42"/>
      <c r="J3257" s="33">
        <v>0</v>
      </c>
      <c r="K3257" s="46"/>
      <c r="L3257" s="33">
        <v>0</v>
      </c>
      <c r="M3257" s="22" t="s">
        <v>6509</v>
      </c>
      <c r="N3257" s="17" t="s">
        <v>6507</v>
      </c>
      <c r="O3257" s="7" t="s">
        <v>6508</v>
      </c>
      <c r="P3257" s="7" t="s">
        <v>6508</v>
      </c>
    </row>
    <row r="3258" spans="1:26" ht="28.7" customHeight="1" x14ac:dyDescent="0.3">
      <c r="A3258" s="10" t="s">
        <v>1796</v>
      </c>
      <c r="B3258" s="10" t="s">
        <v>1812</v>
      </c>
      <c r="C3258" s="75">
        <v>1</v>
      </c>
      <c r="D3258" s="31" t="s">
        <v>14</v>
      </c>
      <c r="E3258" s="55">
        <f>I3258+G3258+K3258</f>
        <v>207127</v>
      </c>
      <c r="F3258" s="76">
        <f>J3258+H3258+L3258</f>
        <v>207127</v>
      </c>
      <c r="G3258" s="78">
        <f>일위대가목록표!F701</f>
        <v>201095</v>
      </c>
      <c r="H3258" s="80">
        <f>IF(C3258=0,0,ROUNDDOWN(G3258*C3258,1))</f>
        <v>201095</v>
      </c>
      <c r="I3258" s="78">
        <f>일위대가목록표!G701</f>
        <v>0</v>
      </c>
      <c r="J3258" s="80">
        <f>IF(C3258=0,0,ROUNDDOWN(I3258*C3258,1))</f>
        <v>0</v>
      </c>
      <c r="K3258" s="78">
        <f>일위대가목록표!H701</f>
        <v>6032</v>
      </c>
      <c r="L3258" s="80">
        <f>IF(C3258=0,0,ROUNDDOWN(K3258*C3258,1))</f>
        <v>6032</v>
      </c>
      <c r="M3258" s="22" t="s">
        <v>7415</v>
      </c>
      <c r="N3258" s="17" t="s">
        <v>7413</v>
      </c>
      <c r="O3258" s="7" t="s">
        <v>7414</v>
      </c>
      <c r="P3258" s="7" t="s">
        <v>6406</v>
      </c>
      <c r="Z3258" s="3" t="str">
        <f ca="1">HYPERLINK("#"&amp;일위대가목록표!J2&amp;"!A"&amp;ROW(일위대가목록표!A701),"대가698 →")</f>
        <v>대가698 →</v>
      </c>
    </row>
    <row r="3259" spans="1:26" ht="28.7" customHeight="1" x14ac:dyDescent="0.3">
      <c r="A3259" s="10" t="s">
        <v>1800</v>
      </c>
      <c r="B3259" s="10" t="s">
        <v>1700</v>
      </c>
      <c r="C3259" s="75">
        <v>1</v>
      </c>
      <c r="D3259" s="31" t="s">
        <v>14</v>
      </c>
      <c r="E3259" s="55">
        <f>I3259+G3259+K3259</f>
        <v>517820</v>
      </c>
      <c r="F3259" s="76">
        <f>J3259+H3259+L3259</f>
        <v>517820</v>
      </c>
      <c r="G3259" s="78">
        <f>일위대가목록표!F702</f>
        <v>502738</v>
      </c>
      <c r="H3259" s="80">
        <f>IF(C3259=0,0,ROUNDDOWN(G3259*C3259,1))</f>
        <v>502738</v>
      </c>
      <c r="I3259" s="78">
        <f>일위대가목록표!G702</f>
        <v>0</v>
      </c>
      <c r="J3259" s="80">
        <f>IF(C3259=0,0,ROUNDDOWN(I3259*C3259,1))</f>
        <v>0</v>
      </c>
      <c r="K3259" s="78">
        <f>일위대가목록표!H702</f>
        <v>15082</v>
      </c>
      <c r="L3259" s="80">
        <f>IF(C3259=0,0,ROUNDDOWN(K3259*C3259,1))</f>
        <v>15082</v>
      </c>
      <c r="M3259" s="22" t="s">
        <v>7380</v>
      </c>
      <c r="N3259" s="17" t="s">
        <v>7378</v>
      </c>
      <c r="O3259" s="7" t="s">
        <v>7379</v>
      </c>
      <c r="P3259" s="7" t="s">
        <v>6406</v>
      </c>
      <c r="Z3259" s="3" t="str">
        <f ca="1">HYPERLINK("#"&amp;일위대가목록표!J2&amp;"!A"&amp;ROW(일위대가목록표!A702),"대가699 →")</f>
        <v>대가699 →</v>
      </c>
    </row>
    <row r="3260" spans="1:26" ht="28.7" customHeight="1" x14ac:dyDescent="0.3">
      <c r="A3260" s="22" t="s">
        <v>6</v>
      </c>
      <c r="B3260" s="74"/>
      <c r="C3260" s="74"/>
      <c r="D3260" s="74"/>
      <c r="E3260" s="74"/>
      <c r="F3260" s="48">
        <f>J3260+H3260+L3260</f>
        <v>724947</v>
      </c>
      <c r="G3260" s="74"/>
      <c r="H3260" s="48">
        <f>ROUNDDOWN(SUMIF(P3257:P3259,O3260,H3257:H3259),0)</f>
        <v>703833</v>
      </c>
      <c r="I3260" s="74"/>
      <c r="J3260" s="48">
        <f>ROUNDDOWN(SUMIF(P3257:P3259,O3260,J3257:J3259),0)</f>
        <v>0</v>
      </c>
      <c r="K3260" s="74"/>
      <c r="L3260" s="48">
        <f>ROUNDDOWN(SUMIF(P3257:P3259,O3260,L3257:L3259),0)</f>
        <v>21114</v>
      </c>
      <c r="M3260" s="74"/>
      <c r="O3260" s="7" t="s">
        <v>6406</v>
      </c>
    </row>
    <row r="3261" spans="1:26" ht="28.7" customHeight="1" x14ac:dyDescent="0.3">
      <c r="A3261" s="73"/>
      <c r="B3261" s="73"/>
      <c r="C3261" s="73"/>
      <c r="D3261" s="73"/>
      <c r="E3261" s="73"/>
      <c r="F3261" s="73"/>
      <c r="G3261" s="73"/>
      <c r="H3261" s="73"/>
      <c r="I3261" s="73"/>
      <c r="J3261" s="73"/>
      <c r="K3261" s="73"/>
      <c r="L3261" s="73"/>
      <c r="M3261" s="73"/>
    </row>
    <row r="3262" spans="1:26" ht="28.7" customHeight="1" x14ac:dyDescent="0.3">
      <c r="A3262" s="136" t="s">
        <v>1810</v>
      </c>
      <c r="B3262" s="127"/>
      <c r="C3262" s="127"/>
      <c r="D3262" s="127"/>
      <c r="E3262" s="127"/>
      <c r="F3262" s="127"/>
      <c r="G3262" s="127"/>
      <c r="H3262" s="127"/>
      <c r="I3262" s="127"/>
      <c r="J3262" s="127"/>
      <c r="K3262" s="127"/>
      <c r="L3262" s="144"/>
      <c r="M3262" s="22" t="s">
        <v>8699</v>
      </c>
      <c r="N3262" s="84" t="str">
        <f>HYPERLINK("#N"&amp;ROW(N3263),"_x0005_`BDCOD|B04742_x0007_`POSS|"&amp;ROW(N3263)&amp;"_x0007_`POSE|"&amp;ROW(N3263)&amp;"_x0007_`")</f>
        <v>_x0005_`BDCOD|B04742_x0007_`POSS|3263_x0007_`POSE|3263_x0007_`</v>
      </c>
      <c r="O3262" s="7" t="s">
        <v>8700</v>
      </c>
    </row>
    <row r="3263" spans="1:26" ht="28.7" customHeight="1" x14ac:dyDescent="0.3">
      <c r="A3263" s="10" t="s">
        <v>1800</v>
      </c>
      <c r="B3263" s="10" t="s">
        <v>1700</v>
      </c>
      <c r="C3263" s="75">
        <v>0.4</v>
      </c>
      <c r="D3263" s="31" t="s">
        <v>14</v>
      </c>
      <c r="E3263" s="55">
        <f>I3263+G3263+K3263</f>
        <v>517820</v>
      </c>
      <c r="F3263" s="76">
        <f>J3263+H3263+L3263</f>
        <v>207128</v>
      </c>
      <c r="G3263" s="78">
        <f>일위대가목록표!F702</f>
        <v>502738</v>
      </c>
      <c r="H3263" s="80">
        <f>IF(C3263=0,0,ROUNDDOWN(G3263*C3263,1))</f>
        <v>201095.2</v>
      </c>
      <c r="I3263" s="78">
        <f>일위대가목록표!G702</f>
        <v>0</v>
      </c>
      <c r="J3263" s="80">
        <f>IF(C3263=0,0,ROUNDDOWN(I3263*C3263,1))</f>
        <v>0</v>
      </c>
      <c r="K3263" s="78">
        <f>일위대가목록표!H702</f>
        <v>15082</v>
      </c>
      <c r="L3263" s="80">
        <f>IF(C3263=0,0,ROUNDDOWN(K3263*C3263,1))</f>
        <v>6032.8</v>
      </c>
      <c r="M3263" s="22" t="s">
        <v>7380</v>
      </c>
      <c r="N3263" s="17" t="s">
        <v>7378</v>
      </c>
      <c r="O3263" s="7" t="s">
        <v>7379</v>
      </c>
      <c r="P3263" s="7" t="s">
        <v>6406</v>
      </c>
      <c r="Z3263" s="3" t="str">
        <f ca="1">HYPERLINK("#"&amp;일위대가목록표!J2&amp;"!A"&amp;ROW(일위대가목록표!A702),"대가699 →")</f>
        <v>대가699 →</v>
      </c>
    </row>
    <row r="3264" spans="1:26" ht="28.7" customHeight="1" x14ac:dyDescent="0.3">
      <c r="A3264" s="22" t="s">
        <v>6</v>
      </c>
      <c r="B3264" s="74"/>
      <c r="C3264" s="74"/>
      <c r="D3264" s="74"/>
      <c r="E3264" s="74"/>
      <c r="F3264" s="48">
        <f>J3264+H3264+L3264</f>
        <v>207127</v>
      </c>
      <c r="G3264" s="74"/>
      <c r="H3264" s="48">
        <f>ROUNDDOWN(SUMIF(P3263:P3263,O3264,H3263:H3263),0)</f>
        <v>201095</v>
      </c>
      <c r="I3264" s="74"/>
      <c r="J3264" s="48">
        <f>ROUNDDOWN(SUMIF(P3263:P3263,O3264,J3263:J3263),0)</f>
        <v>0</v>
      </c>
      <c r="K3264" s="74"/>
      <c r="L3264" s="48">
        <f>ROUNDDOWN(SUMIF(P3263:P3263,O3264,L3263:L3263),0)</f>
        <v>6032</v>
      </c>
      <c r="M3264" s="74"/>
      <c r="O3264" s="7" t="s">
        <v>6406</v>
      </c>
    </row>
    <row r="3265" spans="1:26" ht="28.7" customHeight="1" x14ac:dyDescent="0.3">
      <c r="A3265" s="73"/>
      <c r="B3265" s="73"/>
      <c r="C3265" s="73"/>
      <c r="D3265" s="73"/>
      <c r="E3265" s="73"/>
      <c r="F3265" s="73"/>
      <c r="G3265" s="73"/>
      <c r="H3265" s="73"/>
      <c r="I3265" s="73"/>
      <c r="J3265" s="73"/>
      <c r="K3265" s="73"/>
      <c r="L3265" s="73"/>
      <c r="M3265" s="73"/>
    </row>
    <row r="3266" spans="1:26" ht="28.7" customHeight="1" x14ac:dyDescent="0.3">
      <c r="A3266" s="136" t="s">
        <v>1813</v>
      </c>
      <c r="B3266" s="127"/>
      <c r="C3266" s="127"/>
      <c r="D3266" s="127"/>
      <c r="E3266" s="127"/>
      <c r="F3266" s="127"/>
      <c r="G3266" s="127"/>
      <c r="H3266" s="127"/>
      <c r="I3266" s="127"/>
      <c r="J3266" s="127"/>
      <c r="K3266" s="127"/>
      <c r="L3266" s="144"/>
      <c r="M3266" s="22" t="s">
        <v>8701</v>
      </c>
      <c r="N3266" s="84" t="str">
        <f>HYPERLINK("#N"&amp;ROW(N3270),"_x0005_`BDCOD|B04738_x0007_`POSS|"&amp;ROW(N3267)&amp;"_x0007_`POSE|"&amp;ROW(N3270)&amp;"_x0007_`")</f>
        <v>_x0005_`BDCOD|B04738_x0007_`POSS|3267_x0007_`POSE|3270_x0007_`</v>
      </c>
      <c r="O3266" s="7" t="s">
        <v>8702</v>
      </c>
    </row>
    <row r="3267" spans="1:26" ht="28.7" customHeight="1" x14ac:dyDescent="0.3">
      <c r="A3267" s="10"/>
      <c r="B3267" s="10" t="s">
        <v>8686</v>
      </c>
      <c r="C3267" s="75">
        <v>0</v>
      </c>
      <c r="D3267" s="31"/>
      <c r="E3267" s="33">
        <v>0</v>
      </c>
      <c r="F3267" s="11">
        <v>0</v>
      </c>
      <c r="G3267" s="42"/>
      <c r="H3267" s="11">
        <v>0</v>
      </c>
      <c r="I3267" s="42"/>
      <c r="J3267" s="33">
        <v>0</v>
      </c>
      <c r="K3267" s="46"/>
      <c r="L3267" s="33">
        <v>0</v>
      </c>
      <c r="M3267" s="22" t="s">
        <v>6509</v>
      </c>
      <c r="N3267" s="17" t="s">
        <v>6507</v>
      </c>
      <c r="O3267" s="7" t="s">
        <v>6508</v>
      </c>
      <c r="P3267" s="7" t="s">
        <v>6508</v>
      </c>
    </row>
    <row r="3268" spans="1:26" ht="28.7" customHeight="1" x14ac:dyDescent="0.3">
      <c r="A3268" s="10" t="s">
        <v>3081</v>
      </c>
      <c r="B3268" s="10"/>
      <c r="C3268" s="75">
        <v>1.66</v>
      </c>
      <c r="D3268" s="31" t="s">
        <v>3074</v>
      </c>
      <c r="E3268" s="55">
        <f t="shared" ref="E3268:F3270" si="42">I3268+G3268+K3268</f>
        <v>241698</v>
      </c>
      <c r="F3268" s="76">
        <f t="shared" si="42"/>
        <v>401218.6</v>
      </c>
      <c r="G3268" s="78">
        <f>노무비목록표!E8</f>
        <v>241698</v>
      </c>
      <c r="H3268" s="81">
        <f>IF(C3268=0,0,ROUNDDOWN(G3268*C3268,1))</f>
        <v>401218.6</v>
      </c>
      <c r="I3268" s="51">
        <v>0</v>
      </c>
      <c r="J3268" s="77">
        <f>IF(C3268=0,0,ROUNDDOWN(I3268*C3268,1))</f>
        <v>0</v>
      </c>
      <c r="K3268" s="51">
        <v>0</v>
      </c>
      <c r="L3268" s="76">
        <f>IF(C3268=0,0,ROUNDDOWN(K3268*C3268,1))</f>
        <v>0</v>
      </c>
      <c r="M3268" s="22" t="s">
        <v>8615</v>
      </c>
      <c r="N3268" s="17" t="s">
        <v>8613</v>
      </c>
      <c r="O3268" s="7" t="s">
        <v>8614</v>
      </c>
      <c r="P3268" s="7" t="s">
        <v>6406</v>
      </c>
      <c r="Q3268" s="7" t="s">
        <v>7061</v>
      </c>
      <c r="Z3268" s="3" t="str">
        <f ca="1">HYPERLINK("#"&amp;노무비목록표!G2&amp;"!A"&amp;ROW(노무비목록표!A8),"노무5 →")</f>
        <v>노무5 →</v>
      </c>
    </row>
    <row r="3269" spans="1:26" ht="28.7" customHeight="1" x14ac:dyDescent="0.3">
      <c r="A3269" s="10" t="s">
        <v>3090</v>
      </c>
      <c r="B3269" s="10"/>
      <c r="C3269" s="75">
        <v>0.59</v>
      </c>
      <c r="D3269" s="31" t="s">
        <v>3074</v>
      </c>
      <c r="E3269" s="55">
        <f t="shared" si="42"/>
        <v>172068</v>
      </c>
      <c r="F3269" s="76">
        <f t="shared" si="42"/>
        <v>101520.1</v>
      </c>
      <c r="G3269" s="78">
        <f>노무비목록표!E12</f>
        <v>172068</v>
      </c>
      <c r="H3269" s="81">
        <f>IF(C3269=0,0,ROUNDDOWN(G3269*C3269,1))</f>
        <v>101520.1</v>
      </c>
      <c r="I3269" s="51">
        <v>0</v>
      </c>
      <c r="J3269" s="77">
        <f>IF(C3269=0,0,ROUNDDOWN(I3269*C3269,1))</f>
        <v>0</v>
      </c>
      <c r="K3269" s="51">
        <v>0</v>
      </c>
      <c r="L3269" s="76">
        <f>IF(C3269=0,0,ROUNDDOWN(K3269*C3269,1))</f>
        <v>0</v>
      </c>
      <c r="M3269" s="22" t="s">
        <v>8262</v>
      </c>
      <c r="N3269" s="17" t="s">
        <v>8260</v>
      </c>
      <c r="O3269" s="7" t="s">
        <v>8261</v>
      </c>
      <c r="P3269" s="7" t="s">
        <v>6406</v>
      </c>
      <c r="Q3269" s="7" t="s">
        <v>7061</v>
      </c>
      <c r="Z3269" s="3" t="str">
        <f ca="1">HYPERLINK("#"&amp;노무비목록표!G2&amp;"!A"&amp;ROW(노무비목록표!A12),"노무9 →")</f>
        <v>노무9 →</v>
      </c>
    </row>
    <row r="3270" spans="1:26" ht="28.7" customHeight="1" x14ac:dyDescent="0.3">
      <c r="A3270" s="10" t="s">
        <v>8616</v>
      </c>
      <c r="B3270" s="10" t="s">
        <v>7063</v>
      </c>
      <c r="C3270" s="75">
        <v>3</v>
      </c>
      <c r="D3270" s="31" t="s">
        <v>7064</v>
      </c>
      <c r="E3270" s="55">
        <f t="shared" si="42"/>
        <v>502738.69999999995</v>
      </c>
      <c r="F3270" s="77">
        <f t="shared" si="42"/>
        <v>15082.1</v>
      </c>
      <c r="G3270" s="13">
        <v>0</v>
      </c>
      <c r="H3270" s="77">
        <f>IF(C3270=0,0,ROUNDDOWN(G3270*C3270/100,1))</f>
        <v>0</v>
      </c>
      <c r="I3270" s="13">
        <v>0</v>
      </c>
      <c r="J3270" s="76">
        <f>IF(C3270=0,0,ROUNDDOWN(I3270*C3270/100,1))</f>
        <v>0</v>
      </c>
      <c r="K3270" s="82">
        <f>H3268+H3269</f>
        <v>502738.69999999995</v>
      </c>
      <c r="L3270" s="76">
        <f>IF(C3270=0,0,ROUNDDOWN(K3270*C3270/100,1))</f>
        <v>15082.1</v>
      </c>
      <c r="M3270" s="22"/>
      <c r="N3270" s="17" t="s">
        <v>7065</v>
      </c>
      <c r="O3270" s="7" t="s">
        <v>7066</v>
      </c>
      <c r="P3270" s="7" t="s">
        <v>6406</v>
      </c>
    </row>
    <row r="3271" spans="1:26" ht="28.7" customHeight="1" x14ac:dyDescent="0.3">
      <c r="A3271" s="22" t="s">
        <v>6</v>
      </c>
      <c r="B3271" s="74"/>
      <c r="C3271" s="74"/>
      <c r="D3271" s="74"/>
      <c r="E3271" s="74"/>
      <c r="F3271" s="48">
        <f>J3271+H3271+L3271</f>
        <v>517820</v>
      </c>
      <c r="G3271" s="74"/>
      <c r="H3271" s="48">
        <f>ROUNDDOWN(SUMIF(P3267:P3270,O3271,H3267:H3270),0)</f>
        <v>502738</v>
      </c>
      <c r="I3271" s="74"/>
      <c r="J3271" s="48">
        <f>ROUNDDOWN(SUMIF(P3267:P3270,O3271,J3267:J3270),0)</f>
        <v>0</v>
      </c>
      <c r="K3271" s="74"/>
      <c r="L3271" s="48">
        <f>ROUNDDOWN(SUMIF(P3267:P3270,O3271,L3267:L3270),0)</f>
        <v>15082</v>
      </c>
      <c r="M3271" s="74"/>
      <c r="O3271" s="7" t="s">
        <v>6406</v>
      </c>
    </row>
    <row r="3272" spans="1:26" ht="28.7" customHeight="1" x14ac:dyDescent="0.3">
      <c r="A3272" s="73"/>
      <c r="B3272" s="73"/>
      <c r="C3272" s="73"/>
      <c r="D3272" s="73"/>
      <c r="E3272" s="73"/>
      <c r="F3272" s="73"/>
      <c r="G3272" s="73"/>
      <c r="H3272" s="73"/>
      <c r="I3272" s="73"/>
      <c r="J3272" s="73"/>
      <c r="K3272" s="73"/>
      <c r="L3272" s="73"/>
      <c r="M3272" s="73"/>
    </row>
    <row r="3273" spans="1:26" ht="28.7" customHeight="1" x14ac:dyDescent="0.3">
      <c r="A3273" s="136" t="s">
        <v>1815</v>
      </c>
      <c r="B3273" s="127"/>
      <c r="C3273" s="127"/>
      <c r="D3273" s="127"/>
      <c r="E3273" s="127"/>
      <c r="F3273" s="127"/>
      <c r="G3273" s="127"/>
      <c r="H3273" s="127"/>
      <c r="I3273" s="127"/>
      <c r="J3273" s="127"/>
      <c r="K3273" s="127"/>
      <c r="L3273" s="144"/>
      <c r="M3273" s="22" t="s">
        <v>8703</v>
      </c>
      <c r="N3273" s="84" t="str">
        <f>HYPERLINK("#N"&amp;ROW(N3276),"_x0005_`BDCOD|B04749_x0007_`POSS|"&amp;ROW(N3274)&amp;"_x0007_`POSE|"&amp;ROW(N3276)&amp;"_x0007_`")</f>
        <v>_x0005_`BDCOD|B04749_x0007_`POSS|3274_x0007_`POSE|3276_x0007_`</v>
      </c>
      <c r="O3273" s="7" t="s">
        <v>8704</v>
      </c>
    </row>
    <row r="3274" spans="1:26" ht="28.7" customHeight="1" x14ac:dyDescent="0.3">
      <c r="A3274" s="10"/>
      <c r="B3274" s="10" t="s">
        <v>8686</v>
      </c>
      <c r="C3274" s="75">
        <v>0</v>
      </c>
      <c r="D3274" s="31"/>
      <c r="E3274" s="33">
        <v>0</v>
      </c>
      <c r="F3274" s="11">
        <v>0</v>
      </c>
      <c r="G3274" s="42"/>
      <c r="H3274" s="11">
        <v>0</v>
      </c>
      <c r="I3274" s="42"/>
      <c r="J3274" s="33">
        <v>0</v>
      </c>
      <c r="K3274" s="46"/>
      <c r="L3274" s="33">
        <v>0</v>
      </c>
      <c r="M3274" s="22" t="s">
        <v>6509</v>
      </c>
      <c r="N3274" s="17" t="s">
        <v>6507</v>
      </c>
      <c r="O3274" s="7" t="s">
        <v>6508</v>
      </c>
      <c r="P3274" s="7" t="s">
        <v>6508</v>
      </c>
    </row>
    <row r="3275" spans="1:26" ht="28.7" customHeight="1" x14ac:dyDescent="0.3">
      <c r="A3275" s="10" t="s">
        <v>1796</v>
      </c>
      <c r="B3275" s="10" t="s">
        <v>1819</v>
      </c>
      <c r="C3275" s="75">
        <v>1</v>
      </c>
      <c r="D3275" s="31" t="s">
        <v>14</v>
      </c>
      <c r="E3275" s="55">
        <f>I3275+G3275+K3275</f>
        <v>250202</v>
      </c>
      <c r="F3275" s="76">
        <f>J3275+H3275+L3275</f>
        <v>250202</v>
      </c>
      <c r="G3275" s="78">
        <f>일위대가목록표!F704</f>
        <v>242915</v>
      </c>
      <c r="H3275" s="80">
        <f>IF(C3275=0,0,ROUNDDOWN(G3275*C3275,1))</f>
        <v>242915</v>
      </c>
      <c r="I3275" s="78">
        <f>일위대가목록표!G704</f>
        <v>0</v>
      </c>
      <c r="J3275" s="80">
        <f>IF(C3275=0,0,ROUNDDOWN(I3275*C3275,1))</f>
        <v>0</v>
      </c>
      <c r="K3275" s="78">
        <f>일위대가목록표!H704</f>
        <v>7287</v>
      </c>
      <c r="L3275" s="80">
        <f>IF(C3275=0,0,ROUNDDOWN(K3275*C3275,1))</f>
        <v>7287</v>
      </c>
      <c r="M3275" s="22" t="s">
        <v>7420</v>
      </c>
      <c r="N3275" s="17" t="s">
        <v>7418</v>
      </c>
      <c r="O3275" s="7" t="s">
        <v>7419</v>
      </c>
      <c r="P3275" s="7" t="s">
        <v>6406</v>
      </c>
      <c r="Z3275" s="3" t="str">
        <f ca="1">HYPERLINK("#"&amp;일위대가목록표!J2&amp;"!A"&amp;ROW(일위대가목록표!A704),"대가701 →")</f>
        <v>대가701 →</v>
      </c>
    </row>
    <row r="3276" spans="1:26" ht="28.7" customHeight="1" x14ac:dyDescent="0.3">
      <c r="A3276" s="10" t="s">
        <v>1800</v>
      </c>
      <c r="B3276" s="10" t="s">
        <v>1709</v>
      </c>
      <c r="C3276" s="75">
        <v>1</v>
      </c>
      <c r="D3276" s="31" t="s">
        <v>14</v>
      </c>
      <c r="E3276" s="55">
        <f>I3276+G3276+K3276</f>
        <v>625506</v>
      </c>
      <c r="F3276" s="76">
        <f>J3276+H3276+L3276</f>
        <v>625506</v>
      </c>
      <c r="G3276" s="78">
        <f>일위대가목록표!F705</f>
        <v>607288</v>
      </c>
      <c r="H3276" s="80">
        <f>IF(C3276=0,0,ROUNDDOWN(G3276*C3276,1))</f>
        <v>607288</v>
      </c>
      <c r="I3276" s="78">
        <f>일위대가목록표!G705</f>
        <v>0</v>
      </c>
      <c r="J3276" s="80">
        <f>IF(C3276=0,0,ROUNDDOWN(I3276*C3276,1))</f>
        <v>0</v>
      </c>
      <c r="K3276" s="78">
        <f>일위대가목록표!H705</f>
        <v>18218</v>
      </c>
      <c r="L3276" s="80">
        <f>IF(C3276=0,0,ROUNDDOWN(K3276*C3276,1))</f>
        <v>18218</v>
      </c>
      <c r="M3276" s="22" t="s">
        <v>7385</v>
      </c>
      <c r="N3276" s="17" t="s">
        <v>7383</v>
      </c>
      <c r="O3276" s="7" t="s">
        <v>7384</v>
      </c>
      <c r="P3276" s="7" t="s">
        <v>6406</v>
      </c>
      <c r="Z3276" s="3" t="str">
        <f ca="1">HYPERLINK("#"&amp;일위대가목록표!J2&amp;"!A"&amp;ROW(일위대가목록표!A705),"대가702 →")</f>
        <v>대가702 →</v>
      </c>
    </row>
    <row r="3277" spans="1:26" ht="28.7" customHeight="1" x14ac:dyDescent="0.3">
      <c r="A3277" s="22" t="s">
        <v>6</v>
      </c>
      <c r="B3277" s="74"/>
      <c r="C3277" s="74"/>
      <c r="D3277" s="74"/>
      <c r="E3277" s="74"/>
      <c r="F3277" s="48">
        <f>J3277+H3277+L3277</f>
        <v>875708</v>
      </c>
      <c r="G3277" s="74"/>
      <c r="H3277" s="48">
        <f>ROUNDDOWN(SUMIF(P3274:P3276,O3277,H3274:H3276),0)</f>
        <v>850203</v>
      </c>
      <c r="I3277" s="74"/>
      <c r="J3277" s="48">
        <f>ROUNDDOWN(SUMIF(P3274:P3276,O3277,J3274:J3276),0)</f>
        <v>0</v>
      </c>
      <c r="K3277" s="74"/>
      <c r="L3277" s="48">
        <f>ROUNDDOWN(SUMIF(P3274:P3276,O3277,L3274:L3276),0)</f>
        <v>25505</v>
      </c>
      <c r="M3277" s="74"/>
      <c r="O3277" s="7" t="s">
        <v>6406</v>
      </c>
    </row>
    <row r="3278" spans="1:26" ht="28.7" customHeight="1" x14ac:dyDescent="0.3">
      <c r="A3278" s="73"/>
      <c r="B3278" s="73"/>
      <c r="C3278" s="73"/>
      <c r="D3278" s="73"/>
      <c r="E3278" s="73"/>
      <c r="F3278" s="73"/>
      <c r="G3278" s="73"/>
      <c r="H3278" s="73"/>
      <c r="I3278" s="73"/>
      <c r="J3278" s="73"/>
      <c r="K3278" s="73"/>
      <c r="L3278" s="73"/>
      <c r="M3278" s="73"/>
    </row>
    <row r="3279" spans="1:26" ht="28.7" customHeight="1" x14ac:dyDescent="0.3">
      <c r="A3279" s="136" t="s">
        <v>1817</v>
      </c>
      <c r="B3279" s="127"/>
      <c r="C3279" s="127"/>
      <c r="D3279" s="127"/>
      <c r="E3279" s="127"/>
      <c r="F3279" s="127"/>
      <c r="G3279" s="127"/>
      <c r="H3279" s="127"/>
      <c r="I3279" s="127"/>
      <c r="J3279" s="127"/>
      <c r="K3279" s="127"/>
      <c r="L3279" s="144"/>
      <c r="M3279" s="22" t="s">
        <v>8705</v>
      </c>
      <c r="N3279" s="84" t="str">
        <f>HYPERLINK("#N"&amp;ROW(N3280),"_x0005_`BDCOD|B04743_x0007_`POSS|"&amp;ROW(N3280)&amp;"_x0007_`POSE|"&amp;ROW(N3280)&amp;"_x0007_`")</f>
        <v>_x0005_`BDCOD|B04743_x0007_`POSS|3280_x0007_`POSE|3280_x0007_`</v>
      </c>
      <c r="O3279" s="7" t="s">
        <v>8706</v>
      </c>
    </row>
    <row r="3280" spans="1:26" ht="28.7" customHeight="1" x14ac:dyDescent="0.3">
      <c r="A3280" s="10" t="s">
        <v>1800</v>
      </c>
      <c r="B3280" s="10" t="s">
        <v>1709</v>
      </c>
      <c r="C3280" s="75">
        <v>0.4</v>
      </c>
      <c r="D3280" s="31" t="s">
        <v>14</v>
      </c>
      <c r="E3280" s="55">
        <f>I3280+G3280+K3280</f>
        <v>625506</v>
      </c>
      <c r="F3280" s="76">
        <f>J3280+H3280+L3280</f>
        <v>250202.40000000002</v>
      </c>
      <c r="G3280" s="78">
        <f>일위대가목록표!F705</f>
        <v>607288</v>
      </c>
      <c r="H3280" s="80">
        <f>IF(C3280=0,0,ROUNDDOWN(G3280*C3280,1))</f>
        <v>242915.20000000001</v>
      </c>
      <c r="I3280" s="78">
        <f>일위대가목록표!G705</f>
        <v>0</v>
      </c>
      <c r="J3280" s="80">
        <f>IF(C3280=0,0,ROUNDDOWN(I3280*C3280,1))</f>
        <v>0</v>
      </c>
      <c r="K3280" s="78">
        <f>일위대가목록표!H705</f>
        <v>18218</v>
      </c>
      <c r="L3280" s="80">
        <f>IF(C3280=0,0,ROUNDDOWN(K3280*C3280,1))</f>
        <v>7287.2</v>
      </c>
      <c r="M3280" s="22" t="s">
        <v>7385</v>
      </c>
      <c r="N3280" s="17" t="s">
        <v>7383</v>
      </c>
      <c r="O3280" s="7" t="s">
        <v>7384</v>
      </c>
      <c r="P3280" s="7" t="s">
        <v>6406</v>
      </c>
      <c r="Z3280" s="3" t="str">
        <f ca="1">HYPERLINK("#"&amp;일위대가목록표!J2&amp;"!A"&amp;ROW(일위대가목록표!A705),"대가702 →")</f>
        <v>대가702 →</v>
      </c>
    </row>
    <row r="3281" spans="1:26" ht="28.7" customHeight="1" x14ac:dyDescent="0.3">
      <c r="A3281" s="22" t="s">
        <v>6</v>
      </c>
      <c r="B3281" s="74"/>
      <c r="C3281" s="74"/>
      <c r="D3281" s="74"/>
      <c r="E3281" s="74"/>
      <c r="F3281" s="48">
        <f>J3281+H3281+L3281</f>
        <v>250202</v>
      </c>
      <c r="G3281" s="74"/>
      <c r="H3281" s="48">
        <f>ROUNDDOWN(SUMIF(P3280:P3280,O3281,H3280:H3280),0)</f>
        <v>242915</v>
      </c>
      <c r="I3281" s="74"/>
      <c r="J3281" s="48">
        <f>ROUNDDOWN(SUMIF(P3280:P3280,O3281,J3280:J3280),0)</f>
        <v>0</v>
      </c>
      <c r="K3281" s="74"/>
      <c r="L3281" s="48">
        <f>ROUNDDOWN(SUMIF(P3280:P3280,O3281,L3280:L3280),0)</f>
        <v>7287</v>
      </c>
      <c r="M3281" s="74"/>
      <c r="O3281" s="7" t="s">
        <v>6406</v>
      </c>
    </row>
    <row r="3282" spans="1:26" ht="28.7" customHeight="1" x14ac:dyDescent="0.3">
      <c r="A3282" s="73"/>
      <c r="B3282" s="73"/>
      <c r="C3282" s="73"/>
      <c r="D3282" s="73"/>
      <c r="E3282" s="73"/>
      <c r="F3282" s="73"/>
      <c r="G3282" s="73"/>
      <c r="H3282" s="73"/>
      <c r="I3282" s="73"/>
      <c r="J3282" s="73"/>
      <c r="K3282" s="73"/>
      <c r="L3282" s="73"/>
      <c r="M3282" s="73"/>
    </row>
    <row r="3283" spans="1:26" ht="28.7" customHeight="1" x14ac:dyDescent="0.3">
      <c r="A3283" s="136" t="s">
        <v>1820</v>
      </c>
      <c r="B3283" s="127"/>
      <c r="C3283" s="127"/>
      <c r="D3283" s="127"/>
      <c r="E3283" s="127"/>
      <c r="F3283" s="127"/>
      <c r="G3283" s="127"/>
      <c r="H3283" s="127"/>
      <c r="I3283" s="127"/>
      <c r="J3283" s="127"/>
      <c r="K3283" s="127"/>
      <c r="L3283" s="144"/>
      <c r="M3283" s="22" t="s">
        <v>8707</v>
      </c>
      <c r="N3283" s="84" t="str">
        <f>HYPERLINK("#N"&amp;ROW(N3287),"_x0005_`BDCOD|B04739_x0007_`POSS|"&amp;ROW(N3284)&amp;"_x0007_`POSE|"&amp;ROW(N3287)&amp;"_x0007_`")</f>
        <v>_x0005_`BDCOD|B04739_x0007_`POSS|3284_x0007_`POSE|3287_x0007_`</v>
      </c>
      <c r="O3283" s="7" t="s">
        <v>8708</v>
      </c>
    </row>
    <row r="3284" spans="1:26" ht="28.7" customHeight="1" x14ac:dyDescent="0.3">
      <c r="A3284" s="10"/>
      <c r="B3284" s="10" t="s">
        <v>8686</v>
      </c>
      <c r="C3284" s="75">
        <v>0</v>
      </c>
      <c r="D3284" s="31"/>
      <c r="E3284" s="33">
        <v>0</v>
      </c>
      <c r="F3284" s="11">
        <v>0</v>
      </c>
      <c r="G3284" s="42"/>
      <c r="H3284" s="11">
        <v>0</v>
      </c>
      <c r="I3284" s="42"/>
      <c r="J3284" s="33">
        <v>0</v>
      </c>
      <c r="K3284" s="46"/>
      <c r="L3284" s="33">
        <v>0</v>
      </c>
      <c r="M3284" s="22" t="s">
        <v>6509</v>
      </c>
      <c r="N3284" s="17" t="s">
        <v>6507</v>
      </c>
      <c r="O3284" s="7" t="s">
        <v>6508</v>
      </c>
      <c r="P3284" s="7" t="s">
        <v>6508</v>
      </c>
    </row>
    <row r="3285" spans="1:26" ht="28.7" customHeight="1" x14ac:dyDescent="0.3">
      <c r="A3285" s="10" t="s">
        <v>3081</v>
      </c>
      <c r="B3285" s="10"/>
      <c r="C3285" s="75">
        <v>2.0049999999999999</v>
      </c>
      <c r="D3285" s="31" t="s">
        <v>3074</v>
      </c>
      <c r="E3285" s="55">
        <f t="shared" ref="E3285:F3287" si="43">I3285+G3285+K3285</f>
        <v>241698</v>
      </c>
      <c r="F3285" s="76">
        <f t="shared" si="43"/>
        <v>484604.4</v>
      </c>
      <c r="G3285" s="78">
        <f>노무비목록표!E8</f>
        <v>241698</v>
      </c>
      <c r="H3285" s="81">
        <f>IF(C3285=0,0,ROUNDDOWN(G3285*C3285,1))</f>
        <v>484604.4</v>
      </c>
      <c r="I3285" s="51">
        <v>0</v>
      </c>
      <c r="J3285" s="77">
        <f>IF(C3285=0,0,ROUNDDOWN(I3285*C3285,1))</f>
        <v>0</v>
      </c>
      <c r="K3285" s="51">
        <v>0</v>
      </c>
      <c r="L3285" s="76">
        <f>IF(C3285=0,0,ROUNDDOWN(K3285*C3285,1))</f>
        <v>0</v>
      </c>
      <c r="M3285" s="22" t="s">
        <v>8615</v>
      </c>
      <c r="N3285" s="17" t="s">
        <v>8613</v>
      </c>
      <c r="O3285" s="7" t="s">
        <v>8614</v>
      </c>
      <c r="P3285" s="7" t="s">
        <v>6406</v>
      </c>
      <c r="Q3285" s="7" t="s">
        <v>7061</v>
      </c>
      <c r="Z3285" s="3" t="str">
        <f ca="1">HYPERLINK("#"&amp;노무비목록표!G2&amp;"!A"&amp;ROW(노무비목록표!A8),"노무5 →")</f>
        <v>노무5 →</v>
      </c>
    </row>
    <row r="3286" spans="1:26" ht="28.7" customHeight="1" x14ac:dyDescent="0.3">
      <c r="A3286" s="10" t="s">
        <v>3090</v>
      </c>
      <c r="B3286" s="10"/>
      <c r="C3286" s="75">
        <v>0.71299999999999997</v>
      </c>
      <c r="D3286" s="31" t="s">
        <v>3074</v>
      </c>
      <c r="E3286" s="55">
        <f t="shared" si="43"/>
        <v>172068</v>
      </c>
      <c r="F3286" s="76">
        <f t="shared" si="43"/>
        <v>122684.4</v>
      </c>
      <c r="G3286" s="78">
        <f>노무비목록표!E12</f>
        <v>172068</v>
      </c>
      <c r="H3286" s="81">
        <f>IF(C3286=0,0,ROUNDDOWN(G3286*C3286,1))</f>
        <v>122684.4</v>
      </c>
      <c r="I3286" s="51">
        <v>0</v>
      </c>
      <c r="J3286" s="77">
        <f>IF(C3286=0,0,ROUNDDOWN(I3286*C3286,1))</f>
        <v>0</v>
      </c>
      <c r="K3286" s="51">
        <v>0</v>
      </c>
      <c r="L3286" s="76">
        <f>IF(C3286=0,0,ROUNDDOWN(K3286*C3286,1))</f>
        <v>0</v>
      </c>
      <c r="M3286" s="22" t="s">
        <v>8262</v>
      </c>
      <c r="N3286" s="17" t="s">
        <v>8260</v>
      </c>
      <c r="O3286" s="7" t="s">
        <v>8261</v>
      </c>
      <c r="P3286" s="7" t="s">
        <v>6406</v>
      </c>
      <c r="Q3286" s="7" t="s">
        <v>7061</v>
      </c>
      <c r="Z3286" s="3" t="str">
        <f ca="1">HYPERLINK("#"&amp;노무비목록표!G2&amp;"!A"&amp;ROW(노무비목록표!A12),"노무9 →")</f>
        <v>노무9 →</v>
      </c>
    </row>
    <row r="3287" spans="1:26" ht="28.7" customHeight="1" x14ac:dyDescent="0.3">
      <c r="A3287" s="10" t="s">
        <v>8616</v>
      </c>
      <c r="B3287" s="10" t="s">
        <v>7063</v>
      </c>
      <c r="C3287" s="75">
        <v>3</v>
      </c>
      <c r="D3287" s="31" t="s">
        <v>7064</v>
      </c>
      <c r="E3287" s="55">
        <f t="shared" si="43"/>
        <v>607288.80000000005</v>
      </c>
      <c r="F3287" s="77">
        <f t="shared" si="43"/>
        <v>18218.599999999999</v>
      </c>
      <c r="G3287" s="13">
        <v>0</v>
      </c>
      <c r="H3287" s="77">
        <f>IF(C3287=0,0,ROUNDDOWN(G3287*C3287/100,1))</f>
        <v>0</v>
      </c>
      <c r="I3287" s="13">
        <v>0</v>
      </c>
      <c r="J3287" s="76">
        <f>IF(C3287=0,0,ROUNDDOWN(I3287*C3287/100,1))</f>
        <v>0</v>
      </c>
      <c r="K3287" s="82">
        <f>H3285+H3286</f>
        <v>607288.80000000005</v>
      </c>
      <c r="L3287" s="76">
        <f>IF(C3287=0,0,ROUNDDOWN(K3287*C3287/100,1))</f>
        <v>18218.599999999999</v>
      </c>
      <c r="M3287" s="22"/>
      <c r="N3287" s="17" t="s">
        <v>7065</v>
      </c>
      <c r="O3287" s="7" t="s">
        <v>7066</v>
      </c>
      <c r="P3287" s="7" t="s">
        <v>6406</v>
      </c>
    </row>
    <row r="3288" spans="1:26" ht="28.7" customHeight="1" x14ac:dyDescent="0.3">
      <c r="A3288" s="22" t="s">
        <v>6</v>
      </c>
      <c r="B3288" s="74"/>
      <c r="C3288" s="74"/>
      <c r="D3288" s="74"/>
      <c r="E3288" s="74"/>
      <c r="F3288" s="48">
        <f>J3288+H3288+L3288</f>
        <v>625506</v>
      </c>
      <c r="G3288" s="74"/>
      <c r="H3288" s="48">
        <f>ROUNDDOWN(SUMIF(P3284:P3287,O3288,H3284:H3287),0)</f>
        <v>607288</v>
      </c>
      <c r="I3288" s="74"/>
      <c r="J3288" s="48">
        <f>ROUNDDOWN(SUMIF(P3284:P3287,O3288,J3284:J3287),0)</f>
        <v>0</v>
      </c>
      <c r="K3288" s="74"/>
      <c r="L3288" s="48">
        <f>ROUNDDOWN(SUMIF(P3284:P3287,O3288,L3284:L3287),0)</f>
        <v>18218</v>
      </c>
      <c r="M3288" s="74"/>
      <c r="O3288" s="7" t="s">
        <v>6406</v>
      </c>
    </row>
    <row r="3289" spans="1:26" ht="28.7" customHeight="1" x14ac:dyDescent="0.3">
      <c r="A3289" s="73"/>
      <c r="B3289" s="73"/>
      <c r="C3289" s="73"/>
      <c r="D3289" s="73"/>
      <c r="E3289" s="73"/>
      <c r="F3289" s="73"/>
      <c r="G3289" s="73"/>
      <c r="H3289" s="73"/>
      <c r="I3289" s="73"/>
      <c r="J3289" s="73"/>
      <c r="K3289" s="73"/>
      <c r="L3289" s="73"/>
      <c r="M3289" s="73"/>
    </row>
    <row r="3290" spans="1:26" ht="28.7" customHeight="1" x14ac:dyDescent="0.3">
      <c r="A3290" s="136" t="s">
        <v>1822</v>
      </c>
      <c r="B3290" s="127"/>
      <c r="C3290" s="127"/>
      <c r="D3290" s="127"/>
      <c r="E3290" s="127"/>
      <c r="F3290" s="127"/>
      <c r="G3290" s="127"/>
      <c r="H3290" s="127"/>
      <c r="I3290" s="127"/>
      <c r="J3290" s="127"/>
      <c r="K3290" s="127"/>
      <c r="L3290" s="144"/>
      <c r="M3290" s="22" t="s">
        <v>8709</v>
      </c>
      <c r="N3290" s="84" t="str">
        <f>HYPERLINK("#N"&amp;ROW(N3293),"_x0005_`BDCOD|B04750_x0007_`POSS|"&amp;ROW(N3291)&amp;"_x0007_`POSE|"&amp;ROW(N3293)&amp;"_x0007_`")</f>
        <v>_x0005_`BDCOD|B04750_x0007_`POSS|3291_x0007_`POSE|3293_x0007_`</v>
      </c>
      <c r="O3290" s="7" t="s">
        <v>8710</v>
      </c>
    </row>
    <row r="3291" spans="1:26" ht="28.7" customHeight="1" x14ac:dyDescent="0.3">
      <c r="A3291" s="10"/>
      <c r="B3291" s="10" t="s">
        <v>8686</v>
      </c>
      <c r="C3291" s="75">
        <v>0</v>
      </c>
      <c r="D3291" s="31"/>
      <c r="E3291" s="33">
        <v>0</v>
      </c>
      <c r="F3291" s="11">
        <v>0</v>
      </c>
      <c r="G3291" s="42"/>
      <c r="H3291" s="11">
        <v>0</v>
      </c>
      <c r="I3291" s="42"/>
      <c r="J3291" s="33">
        <v>0</v>
      </c>
      <c r="K3291" s="46"/>
      <c r="L3291" s="33">
        <v>0</v>
      </c>
      <c r="M3291" s="22" t="s">
        <v>6509</v>
      </c>
      <c r="N3291" s="17" t="s">
        <v>6507</v>
      </c>
      <c r="O3291" s="7" t="s">
        <v>6508</v>
      </c>
      <c r="P3291" s="7" t="s">
        <v>6508</v>
      </c>
    </row>
    <row r="3292" spans="1:26" ht="28.7" customHeight="1" x14ac:dyDescent="0.3">
      <c r="A3292" s="10" t="s">
        <v>1796</v>
      </c>
      <c r="B3292" s="10" t="s">
        <v>1826</v>
      </c>
      <c r="C3292" s="75">
        <v>1</v>
      </c>
      <c r="D3292" s="31" t="s">
        <v>14</v>
      </c>
      <c r="E3292" s="55">
        <f>I3292+G3292+K3292</f>
        <v>302019</v>
      </c>
      <c r="F3292" s="76">
        <f>J3292+H3292+L3292</f>
        <v>302019</v>
      </c>
      <c r="G3292" s="78">
        <f>일위대가목록표!F707</f>
        <v>293223</v>
      </c>
      <c r="H3292" s="80">
        <f>IF(C3292=0,0,ROUNDDOWN(G3292*C3292,1))</f>
        <v>293223</v>
      </c>
      <c r="I3292" s="78">
        <f>일위대가목록표!G707</f>
        <v>0</v>
      </c>
      <c r="J3292" s="80">
        <f>IF(C3292=0,0,ROUNDDOWN(I3292*C3292,1))</f>
        <v>0</v>
      </c>
      <c r="K3292" s="78">
        <f>일위대가목록표!H707</f>
        <v>8796</v>
      </c>
      <c r="L3292" s="80">
        <f>IF(C3292=0,0,ROUNDDOWN(K3292*C3292,1))</f>
        <v>8796</v>
      </c>
      <c r="M3292" s="22" t="s">
        <v>7425</v>
      </c>
      <c r="N3292" s="17" t="s">
        <v>7423</v>
      </c>
      <c r="O3292" s="7" t="s">
        <v>7424</v>
      </c>
      <c r="P3292" s="7" t="s">
        <v>6406</v>
      </c>
      <c r="Z3292" s="3" t="str">
        <f ca="1">HYPERLINK("#"&amp;일위대가목록표!J2&amp;"!A"&amp;ROW(일위대가목록표!A707),"대가704 →")</f>
        <v>대가704 →</v>
      </c>
    </row>
    <row r="3293" spans="1:26" ht="28.7" customHeight="1" x14ac:dyDescent="0.3">
      <c r="A3293" s="10" t="s">
        <v>1800</v>
      </c>
      <c r="B3293" s="10" t="s">
        <v>1718</v>
      </c>
      <c r="C3293" s="75">
        <v>1</v>
      </c>
      <c r="D3293" s="31" t="s">
        <v>14</v>
      </c>
      <c r="E3293" s="55">
        <f>I3293+G3293+K3293</f>
        <v>755050</v>
      </c>
      <c r="F3293" s="76">
        <f>J3293+H3293+L3293</f>
        <v>755050</v>
      </c>
      <c r="G3293" s="78">
        <f>일위대가목록표!F708</f>
        <v>733059</v>
      </c>
      <c r="H3293" s="80">
        <f>IF(C3293=0,0,ROUNDDOWN(G3293*C3293,1))</f>
        <v>733059</v>
      </c>
      <c r="I3293" s="78">
        <f>일위대가목록표!G708</f>
        <v>0</v>
      </c>
      <c r="J3293" s="80">
        <f>IF(C3293=0,0,ROUNDDOWN(I3293*C3293,1))</f>
        <v>0</v>
      </c>
      <c r="K3293" s="78">
        <f>일위대가목록표!H708</f>
        <v>21991</v>
      </c>
      <c r="L3293" s="80">
        <f>IF(C3293=0,0,ROUNDDOWN(K3293*C3293,1))</f>
        <v>21991</v>
      </c>
      <c r="M3293" s="22" t="s">
        <v>7390</v>
      </c>
      <c r="N3293" s="17" t="s">
        <v>7388</v>
      </c>
      <c r="O3293" s="7" t="s">
        <v>7389</v>
      </c>
      <c r="P3293" s="7" t="s">
        <v>6406</v>
      </c>
      <c r="Z3293" s="3" t="str">
        <f ca="1">HYPERLINK("#"&amp;일위대가목록표!J2&amp;"!A"&amp;ROW(일위대가목록표!A708),"대가705 →")</f>
        <v>대가705 →</v>
      </c>
    </row>
    <row r="3294" spans="1:26" ht="28.7" customHeight="1" x14ac:dyDescent="0.3">
      <c r="A3294" s="22" t="s">
        <v>6</v>
      </c>
      <c r="B3294" s="74"/>
      <c r="C3294" s="74"/>
      <c r="D3294" s="74"/>
      <c r="E3294" s="74"/>
      <c r="F3294" s="48">
        <f>J3294+H3294+L3294</f>
        <v>1057069</v>
      </c>
      <c r="G3294" s="74"/>
      <c r="H3294" s="48">
        <f>ROUNDDOWN(SUMIF(P3291:P3293,O3294,H3291:H3293),0)</f>
        <v>1026282</v>
      </c>
      <c r="I3294" s="74"/>
      <c r="J3294" s="48">
        <f>ROUNDDOWN(SUMIF(P3291:P3293,O3294,J3291:J3293),0)</f>
        <v>0</v>
      </c>
      <c r="K3294" s="74"/>
      <c r="L3294" s="48">
        <f>ROUNDDOWN(SUMIF(P3291:P3293,O3294,L3291:L3293),0)</f>
        <v>30787</v>
      </c>
      <c r="M3294" s="74"/>
      <c r="O3294" s="7" t="s">
        <v>6406</v>
      </c>
    </row>
    <row r="3295" spans="1:26" ht="28.7" customHeight="1" x14ac:dyDescent="0.3">
      <c r="A3295" s="73"/>
      <c r="B3295" s="73"/>
      <c r="C3295" s="73"/>
      <c r="D3295" s="73"/>
      <c r="E3295" s="73"/>
      <c r="F3295" s="73"/>
      <c r="G3295" s="73"/>
      <c r="H3295" s="73"/>
      <c r="I3295" s="73"/>
      <c r="J3295" s="73"/>
      <c r="K3295" s="73"/>
      <c r="L3295" s="73"/>
      <c r="M3295" s="73"/>
    </row>
    <row r="3296" spans="1:26" ht="28.7" customHeight="1" x14ac:dyDescent="0.3">
      <c r="A3296" s="136" t="s">
        <v>1824</v>
      </c>
      <c r="B3296" s="127"/>
      <c r="C3296" s="127"/>
      <c r="D3296" s="127"/>
      <c r="E3296" s="127"/>
      <c r="F3296" s="127"/>
      <c r="G3296" s="127"/>
      <c r="H3296" s="127"/>
      <c r="I3296" s="127"/>
      <c r="J3296" s="127"/>
      <c r="K3296" s="127"/>
      <c r="L3296" s="144"/>
      <c r="M3296" s="22" t="s">
        <v>8711</v>
      </c>
      <c r="N3296" s="84" t="str">
        <f>HYPERLINK("#N"&amp;ROW(N3297),"_x0005_`BDCOD|B04744_x0007_`POSS|"&amp;ROW(N3297)&amp;"_x0007_`POSE|"&amp;ROW(N3297)&amp;"_x0007_`")</f>
        <v>_x0005_`BDCOD|B04744_x0007_`POSS|3297_x0007_`POSE|3297_x0007_`</v>
      </c>
      <c r="O3296" s="7" t="s">
        <v>8712</v>
      </c>
    </row>
    <row r="3297" spans="1:26" ht="28.7" customHeight="1" x14ac:dyDescent="0.3">
      <c r="A3297" s="10" t="s">
        <v>1800</v>
      </c>
      <c r="B3297" s="10" t="s">
        <v>1718</v>
      </c>
      <c r="C3297" s="75">
        <v>0.4</v>
      </c>
      <c r="D3297" s="31" t="s">
        <v>14</v>
      </c>
      <c r="E3297" s="55">
        <f>I3297+G3297+K3297</f>
        <v>755050</v>
      </c>
      <c r="F3297" s="76">
        <f>J3297+H3297+L3297</f>
        <v>302020</v>
      </c>
      <c r="G3297" s="78">
        <f>일위대가목록표!F708</f>
        <v>733059</v>
      </c>
      <c r="H3297" s="80">
        <f>IF(C3297=0,0,ROUNDDOWN(G3297*C3297,1))</f>
        <v>293223.59999999998</v>
      </c>
      <c r="I3297" s="78">
        <f>일위대가목록표!G708</f>
        <v>0</v>
      </c>
      <c r="J3297" s="80">
        <f>IF(C3297=0,0,ROUNDDOWN(I3297*C3297,1))</f>
        <v>0</v>
      </c>
      <c r="K3297" s="78">
        <f>일위대가목록표!H708</f>
        <v>21991</v>
      </c>
      <c r="L3297" s="80">
        <f>IF(C3297=0,0,ROUNDDOWN(K3297*C3297,1))</f>
        <v>8796.4</v>
      </c>
      <c r="M3297" s="22" t="s">
        <v>7390</v>
      </c>
      <c r="N3297" s="17" t="s">
        <v>7388</v>
      </c>
      <c r="O3297" s="7" t="s">
        <v>7389</v>
      </c>
      <c r="P3297" s="7" t="s">
        <v>6406</v>
      </c>
      <c r="Z3297" s="3" t="str">
        <f ca="1">HYPERLINK("#"&amp;일위대가목록표!J2&amp;"!A"&amp;ROW(일위대가목록표!A708),"대가705 →")</f>
        <v>대가705 →</v>
      </c>
    </row>
    <row r="3298" spans="1:26" ht="28.7" customHeight="1" x14ac:dyDescent="0.3">
      <c r="A3298" s="22" t="s">
        <v>6</v>
      </c>
      <c r="B3298" s="74"/>
      <c r="C3298" s="74"/>
      <c r="D3298" s="74"/>
      <c r="E3298" s="74"/>
      <c r="F3298" s="48">
        <f>J3298+H3298+L3298</f>
        <v>302019</v>
      </c>
      <c r="G3298" s="74"/>
      <c r="H3298" s="48">
        <f>ROUNDDOWN(SUMIF(P3297:P3297,O3298,H3297:H3297),0)</f>
        <v>293223</v>
      </c>
      <c r="I3298" s="74"/>
      <c r="J3298" s="48">
        <f>ROUNDDOWN(SUMIF(P3297:P3297,O3298,J3297:J3297),0)</f>
        <v>0</v>
      </c>
      <c r="K3298" s="74"/>
      <c r="L3298" s="48">
        <f>ROUNDDOWN(SUMIF(P3297:P3297,O3298,L3297:L3297),0)</f>
        <v>8796</v>
      </c>
      <c r="M3298" s="74"/>
      <c r="O3298" s="7" t="s">
        <v>6406</v>
      </c>
    </row>
    <row r="3299" spans="1:26" ht="28.7" customHeight="1" x14ac:dyDescent="0.3">
      <c r="A3299" s="73"/>
      <c r="B3299" s="73"/>
      <c r="C3299" s="73"/>
      <c r="D3299" s="73"/>
      <c r="E3299" s="73"/>
      <c r="F3299" s="73"/>
      <c r="G3299" s="73"/>
      <c r="H3299" s="73"/>
      <c r="I3299" s="73"/>
      <c r="J3299" s="73"/>
      <c r="K3299" s="73"/>
      <c r="L3299" s="73"/>
      <c r="M3299" s="73"/>
    </row>
    <row r="3300" spans="1:26" ht="28.7" customHeight="1" x14ac:dyDescent="0.3">
      <c r="A3300" s="136" t="s">
        <v>1827</v>
      </c>
      <c r="B3300" s="127"/>
      <c r="C3300" s="127"/>
      <c r="D3300" s="127"/>
      <c r="E3300" s="127"/>
      <c r="F3300" s="127"/>
      <c r="G3300" s="127"/>
      <c r="H3300" s="127"/>
      <c r="I3300" s="127"/>
      <c r="J3300" s="127"/>
      <c r="K3300" s="127"/>
      <c r="L3300" s="144"/>
      <c r="M3300" s="22" t="s">
        <v>8713</v>
      </c>
      <c r="N3300" s="84" t="str">
        <f>HYPERLINK("#N"&amp;ROW(N3304),"_x0005_`BDCOD|B04740_x0007_`POSS|"&amp;ROW(N3301)&amp;"_x0007_`POSE|"&amp;ROW(N3304)&amp;"_x0007_`")</f>
        <v>_x0005_`BDCOD|B04740_x0007_`POSS|3301_x0007_`POSE|3304_x0007_`</v>
      </c>
      <c r="O3300" s="7" t="s">
        <v>8714</v>
      </c>
    </row>
    <row r="3301" spans="1:26" ht="28.7" customHeight="1" x14ac:dyDescent="0.3">
      <c r="A3301" s="10"/>
      <c r="B3301" s="10" t="s">
        <v>8686</v>
      </c>
      <c r="C3301" s="75">
        <v>0</v>
      </c>
      <c r="D3301" s="31"/>
      <c r="E3301" s="33">
        <v>0</v>
      </c>
      <c r="F3301" s="11">
        <v>0</v>
      </c>
      <c r="G3301" s="42"/>
      <c r="H3301" s="11">
        <v>0</v>
      </c>
      <c r="I3301" s="42"/>
      <c r="J3301" s="33">
        <v>0</v>
      </c>
      <c r="K3301" s="46"/>
      <c r="L3301" s="33">
        <v>0</v>
      </c>
      <c r="M3301" s="22" t="s">
        <v>6509</v>
      </c>
      <c r="N3301" s="17" t="s">
        <v>6507</v>
      </c>
      <c r="O3301" s="7" t="s">
        <v>6508</v>
      </c>
      <c r="P3301" s="7" t="s">
        <v>6508</v>
      </c>
    </row>
    <row r="3302" spans="1:26" ht="28.7" customHeight="1" x14ac:dyDescent="0.3">
      <c r="A3302" s="10" t="s">
        <v>3081</v>
      </c>
      <c r="B3302" s="10"/>
      <c r="C3302" s="75">
        <v>2.42</v>
      </c>
      <c r="D3302" s="31" t="s">
        <v>3074</v>
      </c>
      <c r="E3302" s="55">
        <f t="shared" ref="E3302:F3304" si="44">I3302+G3302+K3302</f>
        <v>241698</v>
      </c>
      <c r="F3302" s="76">
        <f t="shared" si="44"/>
        <v>584909.1</v>
      </c>
      <c r="G3302" s="78">
        <f>노무비목록표!E8</f>
        <v>241698</v>
      </c>
      <c r="H3302" s="81">
        <f>IF(C3302=0,0,ROUNDDOWN(G3302*C3302,1))</f>
        <v>584909.1</v>
      </c>
      <c r="I3302" s="51">
        <v>0</v>
      </c>
      <c r="J3302" s="77">
        <f>IF(C3302=0,0,ROUNDDOWN(I3302*C3302,1))</f>
        <v>0</v>
      </c>
      <c r="K3302" s="51">
        <v>0</v>
      </c>
      <c r="L3302" s="76">
        <f>IF(C3302=0,0,ROUNDDOWN(K3302*C3302,1))</f>
        <v>0</v>
      </c>
      <c r="M3302" s="22" t="s">
        <v>8615</v>
      </c>
      <c r="N3302" s="17" t="s">
        <v>8613</v>
      </c>
      <c r="O3302" s="7" t="s">
        <v>8614</v>
      </c>
      <c r="P3302" s="7" t="s">
        <v>6406</v>
      </c>
      <c r="Q3302" s="7" t="s">
        <v>7061</v>
      </c>
      <c r="Z3302" s="3" t="str">
        <f ca="1">HYPERLINK("#"&amp;노무비목록표!G2&amp;"!A"&amp;ROW(노무비목록표!A8),"노무5 →")</f>
        <v>노무5 →</v>
      </c>
    </row>
    <row r="3303" spans="1:26" ht="28.7" customHeight="1" x14ac:dyDescent="0.3">
      <c r="A3303" s="10" t="s">
        <v>3090</v>
      </c>
      <c r="B3303" s="10"/>
      <c r="C3303" s="75">
        <v>0.86099999999999999</v>
      </c>
      <c r="D3303" s="31" t="s">
        <v>3074</v>
      </c>
      <c r="E3303" s="55">
        <f t="shared" si="44"/>
        <v>172068</v>
      </c>
      <c r="F3303" s="76">
        <f t="shared" si="44"/>
        <v>148150.5</v>
      </c>
      <c r="G3303" s="78">
        <f>노무비목록표!E12</f>
        <v>172068</v>
      </c>
      <c r="H3303" s="81">
        <f>IF(C3303=0,0,ROUNDDOWN(G3303*C3303,1))</f>
        <v>148150.5</v>
      </c>
      <c r="I3303" s="51">
        <v>0</v>
      </c>
      <c r="J3303" s="77">
        <f>IF(C3303=0,0,ROUNDDOWN(I3303*C3303,1))</f>
        <v>0</v>
      </c>
      <c r="K3303" s="51">
        <v>0</v>
      </c>
      <c r="L3303" s="76">
        <f>IF(C3303=0,0,ROUNDDOWN(K3303*C3303,1))</f>
        <v>0</v>
      </c>
      <c r="M3303" s="22" t="s">
        <v>8262</v>
      </c>
      <c r="N3303" s="17" t="s">
        <v>8260</v>
      </c>
      <c r="O3303" s="7" t="s">
        <v>8261</v>
      </c>
      <c r="P3303" s="7" t="s">
        <v>6406</v>
      </c>
      <c r="Q3303" s="7" t="s">
        <v>7061</v>
      </c>
      <c r="Z3303" s="3" t="str">
        <f ca="1">HYPERLINK("#"&amp;노무비목록표!G2&amp;"!A"&amp;ROW(노무비목록표!A12),"노무9 →")</f>
        <v>노무9 →</v>
      </c>
    </row>
    <row r="3304" spans="1:26" ht="28.7" customHeight="1" x14ac:dyDescent="0.3">
      <c r="A3304" s="10" t="s">
        <v>8616</v>
      </c>
      <c r="B3304" s="10" t="s">
        <v>7063</v>
      </c>
      <c r="C3304" s="75">
        <v>3</v>
      </c>
      <c r="D3304" s="31" t="s">
        <v>7064</v>
      </c>
      <c r="E3304" s="55">
        <f t="shared" si="44"/>
        <v>733059.6</v>
      </c>
      <c r="F3304" s="77">
        <f t="shared" si="44"/>
        <v>21991.7</v>
      </c>
      <c r="G3304" s="13">
        <v>0</v>
      </c>
      <c r="H3304" s="77">
        <f>IF(C3304=0,0,ROUNDDOWN(G3304*C3304/100,1))</f>
        <v>0</v>
      </c>
      <c r="I3304" s="13">
        <v>0</v>
      </c>
      <c r="J3304" s="76">
        <f>IF(C3304=0,0,ROUNDDOWN(I3304*C3304/100,1))</f>
        <v>0</v>
      </c>
      <c r="K3304" s="82">
        <f>H3302+H3303</f>
        <v>733059.6</v>
      </c>
      <c r="L3304" s="76">
        <f>IF(C3304=0,0,ROUNDDOWN(K3304*C3304/100,1))</f>
        <v>21991.7</v>
      </c>
      <c r="M3304" s="22"/>
      <c r="N3304" s="17" t="s">
        <v>7065</v>
      </c>
      <c r="O3304" s="7" t="s">
        <v>7066</v>
      </c>
      <c r="P3304" s="7" t="s">
        <v>6406</v>
      </c>
    </row>
    <row r="3305" spans="1:26" ht="28.7" customHeight="1" x14ac:dyDescent="0.3">
      <c r="A3305" s="22" t="s">
        <v>6</v>
      </c>
      <c r="B3305" s="74"/>
      <c r="C3305" s="74"/>
      <c r="D3305" s="74"/>
      <c r="E3305" s="74"/>
      <c r="F3305" s="48">
        <f>J3305+H3305+L3305</f>
        <v>755050</v>
      </c>
      <c r="G3305" s="74"/>
      <c r="H3305" s="48">
        <f>ROUNDDOWN(SUMIF(P3301:P3304,O3305,H3301:H3304),0)</f>
        <v>733059</v>
      </c>
      <c r="I3305" s="74"/>
      <c r="J3305" s="48">
        <f>ROUNDDOWN(SUMIF(P3301:P3304,O3305,J3301:J3304),0)</f>
        <v>0</v>
      </c>
      <c r="K3305" s="74"/>
      <c r="L3305" s="48">
        <f>ROUNDDOWN(SUMIF(P3301:P3304,O3305,L3301:L3304),0)</f>
        <v>21991</v>
      </c>
      <c r="M3305" s="74"/>
      <c r="O3305" s="7" t="s">
        <v>6406</v>
      </c>
    </row>
    <row r="3306" spans="1:26" ht="28.7" customHeight="1" x14ac:dyDescent="0.3">
      <c r="A3306" s="73"/>
      <c r="B3306" s="73"/>
      <c r="C3306" s="73"/>
      <c r="D3306" s="73"/>
      <c r="E3306" s="73"/>
      <c r="F3306" s="73"/>
      <c r="G3306" s="73"/>
      <c r="H3306" s="73"/>
      <c r="I3306" s="73"/>
      <c r="J3306" s="73"/>
      <c r="K3306" s="73"/>
      <c r="L3306" s="73"/>
      <c r="M3306" s="73"/>
    </row>
    <row r="3307" spans="1:26" ht="28.7" customHeight="1" x14ac:dyDescent="0.3">
      <c r="A3307" s="136" t="s">
        <v>1829</v>
      </c>
      <c r="B3307" s="127"/>
      <c r="C3307" s="127"/>
      <c r="D3307" s="127"/>
      <c r="E3307" s="127"/>
      <c r="F3307" s="127"/>
      <c r="G3307" s="127"/>
      <c r="H3307" s="127"/>
      <c r="I3307" s="127"/>
      <c r="J3307" s="127"/>
      <c r="K3307" s="127"/>
      <c r="L3307" s="144"/>
      <c r="M3307" s="22" t="s">
        <v>8715</v>
      </c>
      <c r="N3307" s="84" t="str">
        <f>HYPERLINK("#N"&amp;ROW(N3310),"_x0005_`BDCOD|B04751_x0007_`POSS|"&amp;ROW(N3308)&amp;"_x0007_`POSE|"&amp;ROW(N3310)&amp;"_x0007_`")</f>
        <v>_x0005_`BDCOD|B04751_x0007_`POSS|3308_x0007_`POSE|3310_x0007_`</v>
      </c>
      <c r="O3307" s="7" t="s">
        <v>8716</v>
      </c>
    </row>
    <row r="3308" spans="1:26" ht="28.7" customHeight="1" x14ac:dyDescent="0.3">
      <c r="A3308" s="10"/>
      <c r="B3308" s="10" t="s">
        <v>8686</v>
      </c>
      <c r="C3308" s="75">
        <v>0</v>
      </c>
      <c r="D3308" s="31"/>
      <c r="E3308" s="33">
        <v>0</v>
      </c>
      <c r="F3308" s="11">
        <v>0</v>
      </c>
      <c r="G3308" s="42"/>
      <c r="H3308" s="11">
        <v>0</v>
      </c>
      <c r="I3308" s="42"/>
      <c r="J3308" s="33">
        <v>0</v>
      </c>
      <c r="K3308" s="46"/>
      <c r="L3308" s="33">
        <v>0</v>
      </c>
      <c r="M3308" s="22" t="s">
        <v>6509</v>
      </c>
      <c r="N3308" s="17" t="s">
        <v>6507</v>
      </c>
      <c r="O3308" s="7" t="s">
        <v>6508</v>
      </c>
      <c r="P3308" s="7" t="s">
        <v>6508</v>
      </c>
    </row>
    <row r="3309" spans="1:26" ht="28.7" customHeight="1" x14ac:dyDescent="0.3">
      <c r="A3309" s="10" t="s">
        <v>1796</v>
      </c>
      <c r="B3309" s="10" t="s">
        <v>1833</v>
      </c>
      <c r="C3309" s="75">
        <v>1</v>
      </c>
      <c r="D3309" s="31" t="s">
        <v>14</v>
      </c>
      <c r="E3309" s="55">
        <f>I3309+G3309+K3309</f>
        <v>359552</v>
      </c>
      <c r="F3309" s="76">
        <f>J3309+H3309+L3309</f>
        <v>359552</v>
      </c>
      <c r="G3309" s="78">
        <f>일위대가목록표!F710</f>
        <v>349080</v>
      </c>
      <c r="H3309" s="80">
        <f>IF(C3309=0,0,ROUNDDOWN(G3309*C3309,1))</f>
        <v>349080</v>
      </c>
      <c r="I3309" s="78">
        <f>일위대가목록표!G710</f>
        <v>0</v>
      </c>
      <c r="J3309" s="80">
        <f>IF(C3309=0,0,ROUNDDOWN(I3309*C3309,1))</f>
        <v>0</v>
      </c>
      <c r="K3309" s="78">
        <f>일위대가목록표!H710</f>
        <v>10472</v>
      </c>
      <c r="L3309" s="80">
        <f>IF(C3309=0,0,ROUNDDOWN(K3309*C3309,1))</f>
        <v>10472</v>
      </c>
      <c r="M3309" s="22" t="s">
        <v>7334</v>
      </c>
      <c r="N3309" s="17" t="s">
        <v>7332</v>
      </c>
      <c r="O3309" s="7" t="s">
        <v>7333</v>
      </c>
      <c r="P3309" s="7" t="s">
        <v>6406</v>
      </c>
      <c r="Z3309" s="3" t="str">
        <f ca="1">HYPERLINK("#"&amp;일위대가목록표!J2&amp;"!A"&amp;ROW(일위대가목록표!A710),"대가707 →")</f>
        <v>대가707 →</v>
      </c>
    </row>
    <row r="3310" spans="1:26" ht="28.7" customHeight="1" x14ac:dyDescent="0.3">
      <c r="A3310" s="10" t="s">
        <v>1800</v>
      </c>
      <c r="B3310" s="10" t="s">
        <v>1727</v>
      </c>
      <c r="C3310" s="75">
        <v>1</v>
      </c>
      <c r="D3310" s="31" t="s">
        <v>14</v>
      </c>
      <c r="E3310" s="55">
        <f>I3310+G3310+K3310</f>
        <v>898882</v>
      </c>
      <c r="F3310" s="76">
        <f>J3310+H3310+L3310</f>
        <v>898882</v>
      </c>
      <c r="G3310" s="78">
        <f>일위대가목록표!F711</f>
        <v>872701</v>
      </c>
      <c r="H3310" s="80">
        <f>IF(C3310=0,0,ROUNDDOWN(G3310*C3310,1))</f>
        <v>872701</v>
      </c>
      <c r="I3310" s="78">
        <f>일위대가목록표!G711</f>
        <v>0</v>
      </c>
      <c r="J3310" s="80">
        <f>IF(C3310=0,0,ROUNDDOWN(I3310*C3310,1))</f>
        <v>0</v>
      </c>
      <c r="K3310" s="78">
        <f>일위대가목록표!H711</f>
        <v>26181</v>
      </c>
      <c r="L3310" s="80">
        <f>IF(C3310=0,0,ROUNDDOWN(K3310*C3310,1))</f>
        <v>26181</v>
      </c>
      <c r="M3310" s="22" t="s">
        <v>7395</v>
      </c>
      <c r="N3310" s="17" t="s">
        <v>7393</v>
      </c>
      <c r="O3310" s="7" t="s">
        <v>7394</v>
      </c>
      <c r="P3310" s="7" t="s">
        <v>6406</v>
      </c>
      <c r="Z3310" s="3" t="str">
        <f ca="1">HYPERLINK("#"&amp;일위대가목록표!J2&amp;"!A"&amp;ROW(일위대가목록표!A711),"대가708 →")</f>
        <v>대가708 →</v>
      </c>
    </row>
    <row r="3311" spans="1:26" ht="28.7" customHeight="1" x14ac:dyDescent="0.3">
      <c r="A3311" s="22" t="s">
        <v>6</v>
      </c>
      <c r="B3311" s="74"/>
      <c r="C3311" s="74"/>
      <c r="D3311" s="74"/>
      <c r="E3311" s="74"/>
      <c r="F3311" s="48">
        <f>J3311+H3311+L3311</f>
        <v>1258434</v>
      </c>
      <c r="G3311" s="74"/>
      <c r="H3311" s="48">
        <f>ROUNDDOWN(SUMIF(P3308:P3310,O3311,H3308:H3310),0)</f>
        <v>1221781</v>
      </c>
      <c r="I3311" s="74"/>
      <c r="J3311" s="48">
        <f>ROUNDDOWN(SUMIF(P3308:P3310,O3311,J3308:J3310),0)</f>
        <v>0</v>
      </c>
      <c r="K3311" s="74"/>
      <c r="L3311" s="48">
        <f>ROUNDDOWN(SUMIF(P3308:P3310,O3311,L3308:L3310),0)</f>
        <v>36653</v>
      </c>
      <c r="M3311" s="74"/>
      <c r="O3311" s="7" t="s">
        <v>6406</v>
      </c>
    </row>
    <row r="3312" spans="1:26" ht="28.7" customHeight="1" x14ac:dyDescent="0.3">
      <c r="A3312" s="73"/>
      <c r="B3312" s="73"/>
      <c r="C3312" s="73"/>
      <c r="D3312" s="73"/>
      <c r="E3312" s="73"/>
      <c r="F3312" s="73"/>
      <c r="G3312" s="73"/>
      <c r="H3312" s="73"/>
      <c r="I3312" s="73"/>
      <c r="J3312" s="73"/>
      <c r="K3312" s="73"/>
      <c r="L3312" s="73"/>
      <c r="M3312" s="73"/>
    </row>
    <row r="3313" spans="1:26" ht="28.7" customHeight="1" x14ac:dyDescent="0.3">
      <c r="A3313" s="136" t="s">
        <v>1831</v>
      </c>
      <c r="B3313" s="127"/>
      <c r="C3313" s="127"/>
      <c r="D3313" s="127"/>
      <c r="E3313" s="127"/>
      <c r="F3313" s="127"/>
      <c r="G3313" s="127"/>
      <c r="H3313" s="127"/>
      <c r="I3313" s="127"/>
      <c r="J3313" s="127"/>
      <c r="K3313" s="127"/>
      <c r="L3313" s="144"/>
      <c r="M3313" s="22" t="s">
        <v>8717</v>
      </c>
      <c r="N3313" s="84" t="str">
        <f>HYPERLINK("#N"&amp;ROW(N3314),"_x0005_`BDCOD|B04745_x0007_`POSS|"&amp;ROW(N3314)&amp;"_x0007_`POSE|"&amp;ROW(N3314)&amp;"_x0007_`")</f>
        <v>_x0005_`BDCOD|B04745_x0007_`POSS|3314_x0007_`POSE|3314_x0007_`</v>
      </c>
      <c r="O3313" s="7" t="s">
        <v>8718</v>
      </c>
    </row>
    <row r="3314" spans="1:26" ht="28.7" customHeight="1" x14ac:dyDescent="0.3">
      <c r="A3314" s="10" t="s">
        <v>1800</v>
      </c>
      <c r="B3314" s="10" t="s">
        <v>1727</v>
      </c>
      <c r="C3314" s="75">
        <v>0.4</v>
      </c>
      <c r="D3314" s="31" t="s">
        <v>14</v>
      </c>
      <c r="E3314" s="55">
        <f>I3314+G3314+K3314</f>
        <v>898882</v>
      </c>
      <c r="F3314" s="76">
        <f>J3314+H3314+L3314</f>
        <v>359552.80000000005</v>
      </c>
      <c r="G3314" s="78">
        <f>일위대가목록표!F711</f>
        <v>872701</v>
      </c>
      <c r="H3314" s="80">
        <f>IF(C3314=0,0,ROUNDDOWN(G3314*C3314,1))</f>
        <v>349080.4</v>
      </c>
      <c r="I3314" s="78">
        <f>일위대가목록표!G711</f>
        <v>0</v>
      </c>
      <c r="J3314" s="80">
        <f>IF(C3314=0,0,ROUNDDOWN(I3314*C3314,1))</f>
        <v>0</v>
      </c>
      <c r="K3314" s="78">
        <f>일위대가목록표!H711</f>
        <v>26181</v>
      </c>
      <c r="L3314" s="80">
        <f>IF(C3314=0,0,ROUNDDOWN(K3314*C3314,1))</f>
        <v>10472.4</v>
      </c>
      <c r="M3314" s="22" t="s">
        <v>7395</v>
      </c>
      <c r="N3314" s="17" t="s">
        <v>7393</v>
      </c>
      <c r="O3314" s="7" t="s">
        <v>7394</v>
      </c>
      <c r="P3314" s="7" t="s">
        <v>6406</v>
      </c>
      <c r="Z3314" s="3" t="str">
        <f ca="1">HYPERLINK("#"&amp;일위대가목록표!J2&amp;"!A"&amp;ROW(일위대가목록표!A711),"대가708 →")</f>
        <v>대가708 →</v>
      </c>
    </row>
    <row r="3315" spans="1:26" ht="28.7" customHeight="1" x14ac:dyDescent="0.3">
      <c r="A3315" s="22" t="s">
        <v>6</v>
      </c>
      <c r="B3315" s="74"/>
      <c r="C3315" s="74"/>
      <c r="D3315" s="74"/>
      <c r="E3315" s="74"/>
      <c r="F3315" s="48">
        <f>J3315+H3315+L3315</f>
        <v>359552</v>
      </c>
      <c r="G3315" s="74"/>
      <c r="H3315" s="48">
        <f>ROUNDDOWN(SUMIF(P3314:P3314,O3315,H3314:H3314),0)</f>
        <v>349080</v>
      </c>
      <c r="I3315" s="74"/>
      <c r="J3315" s="48">
        <f>ROUNDDOWN(SUMIF(P3314:P3314,O3315,J3314:J3314),0)</f>
        <v>0</v>
      </c>
      <c r="K3315" s="74"/>
      <c r="L3315" s="48">
        <f>ROUNDDOWN(SUMIF(P3314:P3314,O3315,L3314:L3314),0)</f>
        <v>10472</v>
      </c>
      <c r="M3315" s="74"/>
      <c r="O3315" s="7" t="s">
        <v>6406</v>
      </c>
    </row>
    <row r="3316" spans="1:26" ht="28.7" customHeight="1" x14ac:dyDescent="0.3">
      <c r="A3316" s="73"/>
      <c r="B3316" s="73"/>
      <c r="C3316" s="73"/>
      <c r="D3316" s="73"/>
      <c r="E3316" s="73"/>
      <c r="F3316" s="73"/>
      <c r="G3316" s="73"/>
      <c r="H3316" s="73"/>
      <c r="I3316" s="73"/>
      <c r="J3316" s="73"/>
      <c r="K3316" s="73"/>
      <c r="L3316" s="73"/>
      <c r="M3316" s="73"/>
    </row>
    <row r="3317" spans="1:26" ht="28.7" customHeight="1" x14ac:dyDescent="0.3">
      <c r="A3317" s="136" t="s">
        <v>1834</v>
      </c>
      <c r="B3317" s="127"/>
      <c r="C3317" s="127"/>
      <c r="D3317" s="127"/>
      <c r="E3317" s="127"/>
      <c r="F3317" s="127"/>
      <c r="G3317" s="127"/>
      <c r="H3317" s="127"/>
      <c r="I3317" s="127"/>
      <c r="J3317" s="127"/>
      <c r="K3317" s="127"/>
      <c r="L3317" s="144"/>
      <c r="M3317" s="22" t="s">
        <v>8719</v>
      </c>
      <c r="N3317" s="84" t="str">
        <f>HYPERLINK("#N"&amp;ROW(N3321),"_x0005_`BDCOD|B04741_x0007_`POSS|"&amp;ROW(N3318)&amp;"_x0007_`POSE|"&amp;ROW(N3321)&amp;"_x0007_`")</f>
        <v>_x0005_`BDCOD|B04741_x0007_`POSS|3318_x0007_`POSE|3321_x0007_`</v>
      </c>
      <c r="O3317" s="7" t="s">
        <v>8720</v>
      </c>
    </row>
    <row r="3318" spans="1:26" ht="28.7" customHeight="1" x14ac:dyDescent="0.3">
      <c r="A3318" s="10"/>
      <c r="B3318" s="10" t="s">
        <v>8686</v>
      </c>
      <c r="C3318" s="75">
        <v>0</v>
      </c>
      <c r="D3318" s="31"/>
      <c r="E3318" s="33">
        <v>0</v>
      </c>
      <c r="F3318" s="11">
        <v>0</v>
      </c>
      <c r="G3318" s="42"/>
      <c r="H3318" s="11">
        <v>0</v>
      </c>
      <c r="I3318" s="42"/>
      <c r="J3318" s="33">
        <v>0</v>
      </c>
      <c r="K3318" s="46"/>
      <c r="L3318" s="33">
        <v>0</v>
      </c>
      <c r="M3318" s="22" t="s">
        <v>6509</v>
      </c>
      <c r="N3318" s="17" t="s">
        <v>6507</v>
      </c>
      <c r="O3318" s="7" t="s">
        <v>6508</v>
      </c>
      <c r="P3318" s="7" t="s">
        <v>6508</v>
      </c>
    </row>
    <row r="3319" spans="1:26" ht="28.7" customHeight="1" x14ac:dyDescent="0.3">
      <c r="A3319" s="10" t="s">
        <v>3081</v>
      </c>
      <c r="B3319" s="10"/>
      <c r="C3319" s="75">
        <v>2.8809999999999998</v>
      </c>
      <c r="D3319" s="31" t="s">
        <v>3074</v>
      </c>
      <c r="E3319" s="55">
        <f t="shared" ref="E3319:F3321" si="45">I3319+G3319+K3319</f>
        <v>241698</v>
      </c>
      <c r="F3319" s="76">
        <f t="shared" si="45"/>
        <v>696331.9</v>
      </c>
      <c r="G3319" s="78">
        <f>노무비목록표!E8</f>
        <v>241698</v>
      </c>
      <c r="H3319" s="81">
        <f>IF(C3319=0,0,ROUNDDOWN(G3319*C3319,1))</f>
        <v>696331.9</v>
      </c>
      <c r="I3319" s="51">
        <v>0</v>
      </c>
      <c r="J3319" s="77">
        <f>IF(C3319=0,0,ROUNDDOWN(I3319*C3319,1))</f>
        <v>0</v>
      </c>
      <c r="K3319" s="51">
        <v>0</v>
      </c>
      <c r="L3319" s="76">
        <f>IF(C3319=0,0,ROUNDDOWN(K3319*C3319,1))</f>
        <v>0</v>
      </c>
      <c r="M3319" s="22" t="s">
        <v>8615</v>
      </c>
      <c r="N3319" s="17" t="s">
        <v>8613</v>
      </c>
      <c r="O3319" s="7" t="s">
        <v>8614</v>
      </c>
      <c r="P3319" s="7" t="s">
        <v>6406</v>
      </c>
      <c r="Q3319" s="7" t="s">
        <v>7061</v>
      </c>
      <c r="Z3319" s="3" t="str">
        <f ca="1">HYPERLINK("#"&amp;노무비목록표!G2&amp;"!A"&amp;ROW(노무비목록표!A8),"노무5 →")</f>
        <v>노무5 →</v>
      </c>
    </row>
    <row r="3320" spans="1:26" ht="28.7" customHeight="1" x14ac:dyDescent="0.3">
      <c r="A3320" s="10" t="s">
        <v>3090</v>
      </c>
      <c r="B3320" s="10"/>
      <c r="C3320" s="75">
        <v>1.0249999999999999</v>
      </c>
      <c r="D3320" s="31" t="s">
        <v>3074</v>
      </c>
      <c r="E3320" s="55">
        <f t="shared" si="45"/>
        <v>172068</v>
      </c>
      <c r="F3320" s="76">
        <f t="shared" si="45"/>
        <v>176369.7</v>
      </c>
      <c r="G3320" s="78">
        <f>노무비목록표!E12</f>
        <v>172068</v>
      </c>
      <c r="H3320" s="81">
        <f>IF(C3320=0,0,ROUNDDOWN(G3320*C3320,1))</f>
        <v>176369.7</v>
      </c>
      <c r="I3320" s="51">
        <v>0</v>
      </c>
      <c r="J3320" s="77">
        <f>IF(C3320=0,0,ROUNDDOWN(I3320*C3320,1))</f>
        <v>0</v>
      </c>
      <c r="K3320" s="51">
        <v>0</v>
      </c>
      <c r="L3320" s="76">
        <f>IF(C3320=0,0,ROUNDDOWN(K3320*C3320,1))</f>
        <v>0</v>
      </c>
      <c r="M3320" s="22" t="s">
        <v>8262</v>
      </c>
      <c r="N3320" s="17" t="s">
        <v>8260</v>
      </c>
      <c r="O3320" s="7" t="s">
        <v>8261</v>
      </c>
      <c r="P3320" s="7" t="s">
        <v>6406</v>
      </c>
      <c r="Q3320" s="7" t="s">
        <v>7061</v>
      </c>
      <c r="Z3320" s="3" t="str">
        <f ca="1">HYPERLINK("#"&amp;노무비목록표!G2&amp;"!A"&amp;ROW(노무비목록표!A12),"노무9 →")</f>
        <v>노무9 →</v>
      </c>
    </row>
    <row r="3321" spans="1:26" ht="28.7" customHeight="1" x14ac:dyDescent="0.3">
      <c r="A3321" s="10" t="s">
        <v>8616</v>
      </c>
      <c r="B3321" s="10" t="s">
        <v>7063</v>
      </c>
      <c r="C3321" s="75">
        <v>3</v>
      </c>
      <c r="D3321" s="31" t="s">
        <v>7064</v>
      </c>
      <c r="E3321" s="55">
        <f t="shared" si="45"/>
        <v>872701.60000000009</v>
      </c>
      <c r="F3321" s="77">
        <f t="shared" si="45"/>
        <v>26181</v>
      </c>
      <c r="G3321" s="13">
        <v>0</v>
      </c>
      <c r="H3321" s="77">
        <f>IF(C3321=0,0,ROUNDDOWN(G3321*C3321/100,1))</f>
        <v>0</v>
      </c>
      <c r="I3321" s="13">
        <v>0</v>
      </c>
      <c r="J3321" s="76">
        <f>IF(C3321=0,0,ROUNDDOWN(I3321*C3321/100,1))</f>
        <v>0</v>
      </c>
      <c r="K3321" s="82">
        <f>H3319+H3320</f>
        <v>872701.60000000009</v>
      </c>
      <c r="L3321" s="76">
        <f>IF(C3321=0,0,ROUNDDOWN(K3321*C3321/100,1))</f>
        <v>26181</v>
      </c>
      <c r="M3321" s="22"/>
      <c r="N3321" s="17" t="s">
        <v>7065</v>
      </c>
      <c r="O3321" s="7" t="s">
        <v>7066</v>
      </c>
      <c r="P3321" s="7" t="s">
        <v>6406</v>
      </c>
    </row>
    <row r="3322" spans="1:26" ht="28.7" customHeight="1" x14ac:dyDescent="0.3">
      <c r="A3322" s="22" t="s">
        <v>6</v>
      </c>
      <c r="B3322" s="74"/>
      <c r="C3322" s="74"/>
      <c r="D3322" s="74"/>
      <c r="E3322" s="74"/>
      <c r="F3322" s="48">
        <f>J3322+H3322+L3322</f>
        <v>898882</v>
      </c>
      <c r="G3322" s="74"/>
      <c r="H3322" s="48">
        <f>ROUNDDOWN(SUMIF(P3318:P3321,O3322,H3318:H3321),0)</f>
        <v>872701</v>
      </c>
      <c r="I3322" s="74"/>
      <c r="J3322" s="48">
        <f>ROUNDDOWN(SUMIF(P3318:P3321,O3322,J3318:J3321),0)</f>
        <v>0</v>
      </c>
      <c r="K3322" s="74"/>
      <c r="L3322" s="48">
        <f>ROUNDDOWN(SUMIF(P3318:P3321,O3322,L3318:L3321),0)</f>
        <v>26181</v>
      </c>
      <c r="M3322" s="74"/>
      <c r="O3322" s="7" t="s">
        <v>6406</v>
      </c>
    </row>
    <row r="3323" spans="1:26" ht="28.7" customHeight="1" x14ac:dyDescent="0.3">
      <c r="A3323" s="73"/>
      <c r="B3323" s="73"/>
      <c r="C3323" s="73"/>
      <c r="D3323" s="73"/>
      <c r="E3323" s="73"/>
      <c r="F3323" s="73"/>
      <c r="G3323" s="73"/>
      <c r="H3323" s="73"/>
      <c r="I3323" s="73"/>
      <c r="J3323" s="73"/>
      <c r="K3323" s="73"/>
      <c r="L3323" s="73"/>
      <c r="M3323" s="73"/>
    </row>
    <row r="3324" spans="1:26" ht="28.7" customHeight="1" x14ac:dyDescent="0.3">
      <c r="A3324" s="136" t="s">
        <v>1836</v>
      </c>
      <c r="B3324" s="127"/>
      <c r="C3324" s="127"/>
      <c r="D3324" s="127"/>
      <c r="E3324" s="127"/>
      <c r="F3324" s="127"/>
      <c r="G3324" s="127"/>
      <c r="H3324" s="127"/>
      <c r="I3324" s="127"/>
      <c r="J3324" s="127"/>
      <c r="K3324" s="127"/>
      <c r="L3324" s="144"/>
      <c r="M3324" s="22" t="s">
        <v>8721</v>
      </c>
      <c r="N3324" s="84" t="str">
        <f>HYPERLINK("#N"&amp;ROW(N3327),"_x0005_`BDCOD|B04834_x0007_`POSS|"&amp;ROW(N3325)&amp;"_x0007_`POSE|"&amp;ROW(N3327)&amp;"_x0007_`")</f>
        <v>_x0005_`BDCOD|B04834_x0007_`POSS|3325_x0007_`POSE|3327_x0007_`</v>
      </c>
      <c r="O3324" s="7" t="s">
        <v>8722</v>
      </c>
    </row>
    <row r="3325" spans="1:26" ht="28.7" customHeight="1" x14ac:dyDescent="0.3">
      <c r="A3325" s="10"/>
      <c r="B3325" s="10" t="s">
        <v>8723</v>
      </c>
      <c r="C3325" s="75">
        <v>0</v>
      </c>
      <c r="D3325" s="31"/>
      <c r="E3325" s="33">
        <v>0</v>
      </c>
      <c r="F3325" s="11">
        <v>0</v>
      </c>
      <c r="G3325" s="42"/>
      <c r="H3325" s="11">
        <v>0</v>
      </c>
      <c r="I3325" s="42"/>
      <c r="J3325" s="33">
        <v>0</v>
      </c>
      <c r="K3325" s="46"/>
      <c r="L3325" s="33">
        <v>0</v>
      </c>
      <c r="M3325" s="22" t="s">
        <v>6509</v>
      </c>
      <c r="N3325" s="17" t="s">
        <v>6507</v>
      </c>
      <c r="O3325" s="7" t="s">
        <v>6508</v>
      </c>
      <c r="P3325" s="7" t="s">
        <v>6508</v>
      </c>
    </row>
    <row r="3326" spans="1:26" ht="28.7" customHeight="1" x14ac:dyDescent="0.3">
      <c r="A3326" s="10" t="s">
        <v>1842</v>
      </c>
      <c r="B3326" s="10" t="s">
        <v>1839</v>
      </c>
      <c r="C3326" s="75">
        <v>1</v>
      </c>
      <c r="D3326" s="31" t="s">
        <v>1010</v>
      </c>
      <c r="E3326" s="55">
        <f>I3326+G3326+K3326</f>
        <v>29649</v>
      </c>
      <c r="F3326" s="76">
        <f>J3326+H3326+L3326</f>
        <v>29649</v>
      </c>
      <c r="G3326" s="78">
        <f>일위대가목록표!F713</f>
        <v>28786</v>
      </c>
      <c r="H3326" s="80">
        <f>IF(C3326=0,0,ROUNDDOWN(G3326*C3326,1))</f>
        <v>28786</v>
      </c>
      <c r="I3326" s="78">
        <f>일위대가목록표!G713</f>
        <v>0</v>
      </c>
      <c r="J3326" s="80">
        <f>IF(C3326=0,0,ROUNDDOWN(I3326*C3326,1))</f>
        <v>0</v>
      </c>
      <c r="K3326" s="78">
        <f>일위대가목록표!H713</f>
        <v>863</v>
      </c>
      <c r="L3326" s="80">
        <f>IF(C3326=0,0,ROUNDDOWN(K3326*C3326,1))</f>
        <v>863</v>
      </c>
      <c r="M3326" s="22" t="s">
        <v>7713</v>
      </c>
      <c r="N3326" s="17" t="s">
        <v>7711</v>
      </c>
      <c r="O3326" s="7" t="s">
        <v>7712</v>
      </c>
      <c r="P3326" s="7" t="s">
        <v>6406</v>
      </c>
      <c r="Z3326" s="3" t="str">
        <f ca="1">HYPERLINK("#"&amp;일위대가목록표!J2&amp;"!A"&amp;ROW(일위대가목록표!A713),"대가710 →")</f>
        <v>대가710 →</v>
      </c>
    </row>
    <row r="3327" spans="1:26" ht="28.7" customHeight="1" x14ac:dyDescent="0.3">
      <c r="A3327" s="10" t="s">
        <v>1845</v>
      </c>
      <c r="B3327" s="10" t="s">
        <v>1543</v>
      </c>
      <c r="C3327" s="75">
        <v>1</v>
      </c>
      <c r="D3327" s="31" t="s">
        <v>1010</v>
      </c>
      <c r="E3327" s="55">
        <f>I3327+G3327+K3327</f>
        <v>74126</v>
      </c>
      <c r="F3327" s="76">
        <f>J3327+H3327+L3327</f>
        <v>74126</v>
      </c>
      <c r="G3327" s="78">
        <f>일위대가목록표!F714</f>
        <v>71967</v>
      </c>
      <c r="H3327" s="80">
        <f>IF(C3327=0,0,ROUNDDOWN(G3327*C3327,1))</f>
        <v>71967</v>
      </c>
      <c r="I3327" s="78">
        <f>일위대가목록표!G714</f>
        <v>0</v>
      </c>
      <c r="J3327" s="80">
        <f>IF(C3327=0,0,ROUNDDOWN(I3327*C3327,1))</f>
        <v>0</v>
      </c>
      <c r="K3327" s="78">
        <f>일위대가목록표!H714</f>
        <v>2159</v>
      </c>
      <c r="L3327" s="80">
        <f>IF(C3327=0,0,ROUNDDOWN(K3327*C3327,1))</f>
        <v>2159</v>
      </c>
      <c r="M3327" s="22" t="s">
        <v>7693</v>
      </c>
      <c r="N3327" s="17" t="s">
        <v>7691</v>
      </c>
      <c r="O3327" s="7" t="s">
        <v>7692</v>
      </c>
      <c r="P3327" s="7" t="s">
        <v>6406</v>
      </c>
      <c r="Z3327" s="3" t="str">
        <f ca="1">HYPERLINK("#"&amp;일위대가목록표!J2&amp;"!A"&amp;ROW(일위대가목록표!A714),"대가711 →")</f>
        <v>대가711 →</v>
      </c>
    </row>
    <row r="3328" spans="1:26" ht="28.7" customHeight="1" x14ac:dyDescent="0.3">
      <c r="A3328" s="22" t="s">
        <v>6</v>
      </c>
      <c r="B3328" s="74"/>
      <c r="C3328" s="74"/>
      <c r="D3328" s="74"/>
      <c r="E3328" s="74"/>
      <c r="F3328" s="48">
        <f>J3328+H3328+L3328</f>
        <v>103775</v>
      </c>
      <c r="G3328" s="74"/>
      <c r="H3328" s="48">
        <f>ROUNDDOWN(SUMIF(P3325:P3327,O3328,H3325:H3327),0)</f>
        <v>100753</v>
      </c>
      <c r="I3328" s="74"/>
      <c r="J3328" s="48">
        <f>ROUNDDOWN(SUMIF(P3325:P3327,O3328,J3325:J3327),0)</f>
        <v>0</v>
      </c>
      <c r="K3328" s="74"/>
      <c r="L3328" s="48">
        <f>ROUNDDOWN(SUMIF(P3325:P3327,O3328,L3325:L3327),0)</f>
        <v>3022</v>
      </c>
      <c r="M3328" s="74"/>
      <c r="O3328" s="7" t="s">
        <v>6406</v>
      </c>
    </row>
    <row r="3329" spans="1:26" ht="28.7" customHeight="1" x14ac:dyDescent="0.3">
      <c r="A3329" s="73"/>
      <c r="B3329" s="73"/>
      <c r="C3329" s="73"/>
      <c r="D3329" s="73"/>
      <c r="E3329" s="73"/>
      <c r="F3329" s="73"/>
      <c r="G3329" s="73"/>
      <c r="H3329" s="73"/>
      <c r="I3329" s="73"/>
      <c r="J3329" s="73"/>
      <c r="K3329" s="73"/>
      <c r="L3329" s="73"/>
      <c r="M3329" s="73"/>
    </row>
    <row r="3330" spans="1:26" ht="28.7" customHeight="1" x14ac:dyDescent="0.3">
      <c r="A3330" s="136" t="s">
        <v>1840</v>
      </c>
      <c r="B3330" s="127"/>
      <c r="C3330" s="127"/>
      <c r="D3330" s="127"/>
      <c r="E3330" s="127"/>
      <c r="F3330" s="127"/>
      <c r="G3330" s="127"/>
      <c r="H3330" s="127"/>
      <c r="I3330" s="127"/>
      <c r="J3330" s="127"/>
      <c r="K3330" s="127"/>
      <c r="L3330" s="144"/>
      <c r="M3330" s="22" t="s">
        <v>8724</v>
      </c>
      <c r="N3330" s="84" t="str">
        <f>HYPERLINK("#N"&amp;ROW(N3332),"_x0005_`BDCOD|B04829_x0007_`POSS|"&amp;ROW(N3331)&amp;"_x0007_`POSE|"&amp;ROW(N3332)&amp;"_x0007_`")</f>
        <v>_x0005_`BDCOD|B04829_x0007_`POSS|3331_x0007_`POSE|3332_x0007_`</v>
      </c>
      <c r="O3330" s="7" t="s">
        <v>8725</v>
      </c>
    </row>
    <row r="3331" spans="1:26" ht="28.7" customHeight="1" x14ac:dyDescent="0.3">
      <c r="A3331" s="10"/>
      <c r="B3331" s="10" t="s">
        <v>8723</v>
      </c>
      <c r="C3331" s="75">
        <v>0</v>
      </c>
      <c r="D3331" s="31"/>
      <c r="E3331" s="33">
        <v>0</v>
      </c>
      <c r="F3331" s="11">
        <v>0</v>
      </c>
      <c r="G3331" s="42"/>
      <c r="H3331" s="11">
        <v>0</v>
      </c>
      <c r="I3331" s="42"/>
      <c r="J3331" s="33">
        <v>0</v>
      </c>
      <c r="K3331" s="46"/>
      <c r="L3331" s="33">
        <v>0</v>
      </c>
      <c r="M3331" s="22" t="s">
        <v>6509</v>
      </c>
      <c r="N3331" s="17" t="s">
        <v>6507</v>
      </c>
      <c r="O3331" s="7" t="s">
        <v>6508</v>
      </c>
      <c r="P3331" s="7" t="s">
        <v>6508</v>
      </c>
    </row>
    <row r="3332" spans="1:26" ht="28.7" customHeight="1" x14ac:dyDescent="0.3">
      <c r="A3332" s="10" t="s">
        <v>1845</v>
      </c>
      <c r="B3332" s="10" t="s">
        <v>1543</v>
      </c>
      <c r="C3332" s="75">
        <v>0.4</v>
      </c>
      <c r="D3332" s="31" t="s">
        <v>1010</v>
      </c>
      <c r="E3332" s="55">
        <f>I3332+G3332+K3332</f>
        <v>74126</v>
      </c>
      <c r="F3332" s="76">
        <f>J3332+H3332+L3332</f>
        <v>29650.399999999998</v>
      </c>
      <c r="G3332" s="78">
        <f>일위대가목록표!F714</f>
        <v>71967</v>
      </c>
      <c r="H3332" s="80">
        <f>IF(C3332=0,0,ROUNDDOWN(G3332*C3332,1))</f>
        <v>28786.799999999999</v>
      </c>
      <c r="I3332" s="78">
        <f>일위대가목록표!G714</f>
        <v>0</v>
      </c>
      <c r="J3332" s="80">
        <f>IF(C3332=0,0,ROUNDDOWN(I3332*C3332,1))</f>
        <v>0</v>
      </c>
      <c r="K3332" s="78">
        <f>일위대가목록표!H714</f>
        <v>2159</v>
      </c>
      <c r="L3332" s="80">
        <f>IF(C3332=0,0,ROUNDDOWN(K3332*C3332,1))</f>
        <v>863.6</v>
      </c>
      <c r="M3332" s="22" t="s">
        <v>7693</v>
      </c>
      <c r="N3332" s="17" t="s">
        <v>7691</v>
      </c>
      <c r="O3332" s="7" t="s">
        <v>7692</v>
      </c>
      <c r="P3332" s="7" t="s">
        <v>6406</v>
      </c>
      <c r="Z3332" s="3" t="str">
        <f ca="1">HYPERLINK("#"&amp;일위대가목록표!J2&amp;"!A"&amp;ROW(일위대가목록표!A714),"대가711 →")</f>
        <v>대가711 →</v>
      </c>
    </row>
    <row r="3333" spans="1:26" ht="28.7" customHeight="1" x14ac:dyDescent="0.3">
      <c r="A3333" s="22" t="s">
        <v>6</v>
      </c>
      <c r="B3333" s="74"/>
      <c r="C3333" s="74"/>
      <c r="D3333" s="74"/>
      <c r="E3333" s="74"/>
      <c r="F3333" s="48">
        <f>J3333+H3333+L3333</f>
        <v>29649</v>
      </c>
      <c r="G3333" s="74"/>
      <c r="H3333" s="48">
        <f>ROUNDDOWN(SUMIF(P3331:P3332,O3333,H3331:H3332),0)</f>
        <v>28786</v>
      </c>
      <c r="I3333" s="74"/>
      <c r="J3333" s="48">
        <f>ROUNDDOWN(SUMIF(P3331:P3332,O3333,J3331:J3332),0)</f>
        <v>0</v>
      </c>
      <c r="K3333" s="74"/>
      <c r="L3333" s="48">
        <f>ROUNDDOWN(SUMIF(P3331:P3332,O3333,L3331:L3332),0)</f>
        <v>863</v>
      </c>
      <c r="M3333" s="74"/>
      <c r="O3333" s="7" t="s">
        <v>6406</v>
      </c>
    </row>
    <row r="3334" spans="1:26" ht="28.7" customHeight="1" x14ac:dyDescent="0.3">
      <c r="A3334" s="73"/>
      <c r="B3334" s="73"/>
      <c r="C3334" s="73"/>
      <c r="D3334" s="73"/>
      <c r="E3334" s="73"/>
      <c r="F3334" s="73"/>
      <c r="G3334" s="73"/>
      <c r="H3334" s="73"/>
      <c r="I3334" s="73"/>
      <c r="J3334" s="73"/>
      <c r="K3334" s="73"/>
      <c r="L3334" s="73"/>
      <c r="M3334" s="73"/>
    </row>
    <row r="3335" spans="1:26" ht="28.7" customHeight="1" x14ac:dyDescent="0.3">
      <c r="A3335" s="136" t="s">
        <v>1843</v>
      </c>
      <c r="B3335" s="127"/>
      <c r="C3335" s="127"/>
      <c r="D3335" s="127"/>
      <c r="E3335" s="127"/>
      <c r="F3335" s="127"/>
      <c r="G3335" s="127"/>
      <c r="H3335" s="127"/>
      <c r="I3335" s="127"/>
      <c r="J3335" s="127"/>
      <c r="K3335" s="127"/>
      <c r="L3335" s="144"/>
      <c r="M3335" s="22" t="s">
        <v>8726</v>
      </c>
      <c r="N3335" s="84" t="str">
        <f>HYPERLINK("#N"&amp;ROW(N3339),"_x0005_`BDCOD|B04825_x0007_`POSS|"&amp;ROW(N3336)&amp;"_x0007_`POSE|"&amp;ROW(N3339)&amp;"_x0007_`")</f>
        <v>_x0005_`BDCOD|B04825_x0007_`POSS|3336_x0007_`POSE|3339_x0007_`</v>
      </c>
      <c r="O3335" s="7" t="s">
        <v>8727</v>
      </c>
    </row>
    <row r="3336" spans="1:26" ht="28.7" customHeight="1" x14ac:dyDescent="0.3">
      <c r="A3336" s="10"/>
      <c r="B3336" s="10" t="s">
        <v>8723</v>
      </c>
      <c r="C3336" s="75">
        <v>0</v>
      </c>
      <c r="D3336" s="31"/>
      <c r="E3336" s="33">
        <v>0</v>
      </c>
      <c r="F3336" s="11">
        <v>0</v>
      </c>
      <c r="G3336" s="42"/>
      <c r="H3336" s="11">
        <v>0</v>
      </c>
      <c r="I3336" s="42"/>
      <c r="J3336" s="33">
        <v>0</v>
      </c>
      <c r="K3336" s="46"/>
      <c r="L3336" s="33">
        <v>0</v>
      </c>
      <c r="M3336" s="22" t="s">
        <v>6509</v>
      </c>
      <c r="N3336" s="17" t="s">
        <v>6507</v>
      </c>
      <c r="O3336" s="7" t="s">
        <v>6508</v>
      </c>
      <c r="P3336" s="7" t="s">
        <v>6508</v>
      </c>
    </row>
    <row r="3337" spans="1:26" ht="28.7" customHeight="1" x14ac:dyDescent="0.3">
      <c r="A3337" s="10" t="s">
        <v>3107</v>
      </c>
      <c r="B3337" s="10"/>
      <c r="C3337" s="75">
        <v>0.16600000000000001</v>
      </c>
      <c r="D3337" s="31" t="s">
        <v>3074</v>
      </c>
      <c r="E3337" s="55">
        <f t="shared" ref="E3337:F3339" si="46">I3337+G3337+K3337</f>
        <v>320480</v>
      </c>
      <c r="F3337" s="76">
        <f t="shared" si="46"/>
        <v>53199.6</v>
      </c>
      <c r="G3337" s="78">
        <f>노무비목록표!E21</f>
        <v>320480</v>
      </c>
      <c r="H3337" s="81">
        <f>IF(C3337=0,0,ROUNDDOWN(G3337*C3337,1))</f>
        <v>53199.6</v>
      </c>
      <c r="I3337" s="51">
        <v>0</v>
      </c>
      <c r="J3337" s="77">
        <f>IF(C3337=0,0,ROUNDDOWN(I3337*C3337,1))</f>
        <v>0</v>
      </c>
      <c r="K3337" s="51">
        <v>0</v>
      </c>
      <c r="L3337" s="76">
        <f>IF(C3337=0,0,ROUNDDOWN(K3337*C3337,1))</f>
        <v>0</v>
      </c>
      <c r="M3337" s="22" t="s">
        <v>8730</v>
      </c>
      <c r="N3337" s="17" t="s">
        <v>8728</v>
      </c>
      <c r="O3337" s="7" t="s">
        <v>8729</v>
      </c>
      <c r="P3337" s="7" t="s">
        <v>6406</v>
      </c>
      <c r="Q3337" s="7" t="s">
        <v>7061</v>
      </c>
      <c r="Z3337" s="3" t="str">
        <f ca="1">HYPERLINK("#"&amp;노무비목록표!G2&amp;"!A"&amp;ROW(노무비목록표!A21),"노무18 →")</f>
        <v>노무18 →</v>
      </c>
    </row>
    <row r="3338" spans="1:26" ht="28.7" customHeight="1" x14ac:dyDescent="0.3">
      <c r="A3338" s="10" t="s">
        <v>3105</v>
      </c>
      <c r="B3338" s="10"/>
      <c r="C3338" s="75">
        <v>8.3000000000000004E-2</v>
      </c>
      <c r="D3338" s="31" t="s">
        <v>3074</v>
      </c>
      <c r="E3338" s="55">
        <f t="shared" si="46"/>
        <v>226122</v>
      </c>
      <c r="F3338" s="76">
        <f t="shared" si="46"/>
        <v>18768.099999999999</v>
      </c>
      <c r="G3338" s="78">
        <f>노무비목록표!E20</f>
        <v>226122</v>
      </c>
      <c r="H3338" s="81">
        <f>IF(C3338=0,0,ROUNDDOWN(G3338*C3338,1))</f>
        <v>18768.099999999999</v>
      </c>
      <c r="I3338" s="51">
        <v>0</v>
      </c>
      <c r="J3338" s="77">
        <f>IF(C3338=0,0,ROUNDDOWN(I3338*C3338,1))</f>
        <v>0</v>
      </c>
      <c r="K3338" s="51">
        <v>0</v>
      </c>
      <c r="L3338" s="76">
        <f>IF(C3338=0,0,ROUNDDOWN(K3338*C3338,1))</f>
        <v>0</v>
      </c>
      <c r="M3338" s="22" t="s">
        <v>8455</v>
      </c>
      <c r="N3338" s="17" t="s">
        <v>8453</v>
      </c>
      <c r="O3338" s="7" t="s">
        <v>8454</v>
      </c>
      <c r="P3338" s="7" t="s">
        <v>6406</v>
      </c>
      <c r="Q3338" s="7" t="s">
        <v>7061</v>
      </c>
      <c r="Z3338" s="3" t="str">
        <f ca="1">HYPERLINK("#"&amp;노무비목록표!G2&amp;"!A"&amp;ROW(노무비목록표!A20),"노무17 →")</f>
        <v>노무17 →</v>
      </c>
    </row>
    <row r="3339" spans="1:26" ht="28.7" customHeight="1" x14ac:dyDescent="0.3">
      <c r="A3339" s="10" t="s">
        <v>8368</v>
      </c>
      <c r="B3339" s="10" t="s">
        <v>7063</v>
      </c>
      <c r="C3339" s="75">
        <v>3</v>
      </c>
      <c r="D3339" s="31" t="s">
        <v>7064</v>
      </c>
      <c r="E3339" s="55">
        <f t="shared" si="46"/>
        <v>71967.7</v>
      </c>
      <c r="F3339" s="77">
        <f t="shared" si="46"/>
        <v>2159</v>
      </c>
      <c r="G3339" s="13">
        <v>0</v>
      </c>
      <c r="H3339" s="77">
        <f>IF(C3339=0,0,ROUNDDOWN(G3339*C3339/100,1))</f>
        <v>0</v>
      </c>
      <c r="I3339" s="13">
        <v>0</v>
      </c>
      <c r="J3339" s="76">
        <f>IF(C3339=0,0,ROUNDDOWN(I3339*C3339/100,1))</f>
        <v>0</v>
      </c>
      <c r="K3339" s="82">
        <f>H3337+H3338</f>
        <v>71967.7</v>
      </c>
      <c r="L3339" s="76">
        <f>IF(C3339=0,0,ROUNDDOWN(K3339*C3339/100,1))</f>
        <v>2159</v>
      </c>
      <c r="M3339" s="22"/>
      <c r="N3339" s="17" t="s">
        <v>7065</v>
      </c>
      <c r="O3339" s="7" t="s">
        <v>7066</v>
      </c>
      <c r="P3339" s="7" t="s">
        <v>6406</v>
      </c>
    </row>
    <row r="3340" spans="1:26" ht="28.7" customHeight="1" x14ac:dyDescent="0.3">
      <c r="A3340" s="22" t="s">
        <v>6</v>
      </c>
      <c r="B3340" s="74"/>
      <c r="C3340" s="74"/>
      <c r="D3340" s="74"/>
      <c r="E3340" s="74"/>
      <c r="F3340" s="48">
        <f>J3340+H3340+L3340</f>
        <v>74126</v>
      </c>
      <c r="G3340" s="74"/>
      <c r="H3340" s="48">
        <f>ROUNDDOWN(SUMIF(P3336:P3339,O3340,H3336:H3339),0)</f>
        <v>71967</v>
      </c>
      <c r="I3340" s="74"/>
      <c r="J3340" s="48">
        <f>ROUNDDOWN(SUMIF(P3336:P3339,O3340,J3336:J3339),0)</f>
        <v>0</v>
      </c>
      <c r="K3340" s="74"/>
      <c r="L3340" s="48">
        <f>ROUNDDOWN(SUMIF(P3336:P3339,O3340,L3336:L3339),0)</f>
        <v>2159</v>
      </c>
      <c r="M3340" s="74"/>
      <c r="O3340" s="7" t="s">
        <v>6406</v>
      </c>
    </row>
    <row r="3341" spans="1:26" ht="28.7" customHeight="1" x14ac:dyDescent="0.3">
      <c r="A3341" s="73"/>
      <c r="B3341" s="73"/>
      <c r="C3341" s="73"/>
      <c r="D3341" s="73"/>
      <c r="E3341" s="73"/>
      <c r="F3341" s="73"/>
      <c r="G3341" s="73"/>
      <c r="H3341" s="73"/>
      <c r="I3341" s="73"/>
      <c r="J3341" s="73"/>
      <c r="K3341" s="73"/>
      <c r="L3341" s="73"/>
      <c r="M3341" s="73"/>
    </row>
    <row r="3342" spans="1:26" ht="28.7" customHeight="1" x14ac:dyDescent="0.3">
      <c r="A3342" s="136" t="s">
        <v>1846</v>
      </c>
      <c r="B3342" s="127"/>
      <c r="C3342" s="127"/>
      <c r="D3342" s="127"/>
      <c r="E3342" s="127"/>
      <c r="F3342" s="127"/>
      <c r="G3342" s="127"/>
      <c r="H3342" s="127"/>
      <c r="I3342" s="127"/>
      <c r="J3342" s="127"/>
      <c r="K3342" s="127"/>
      <c r="L3342" s="144"/>
      <c r="M3342" s="22" t="s">
        <v>8731</v>
      </c>
      <c r="N3342" s="84" t="str">
        <f>HYPERLINK("#N"&amp;ROW(N3345),"_x0005_`BDCOD|B04835_x0007_`POSS|"&amp;ROW(N3343)&amp;"_x0007_`POSE|"&amp;ROW(N3345)&amp;"_x0007_`")</f>
        <v>_x0005_`BDCOD|B04835_x0007_`POSS|3343_x0007_`POSE|3345_x0007_`</v>
      </c>
      <c r="O3342" s="7" t="s">
        <v>8732</v>
      </c>
    </row>
    <row r="3343" spans="1:26" ht="28.7" customHeight="1" x14ac:dyDescent="0.3">
      <c r="A3343" s="10"/>
      <c r="B3343" s="10" t="s">
        <v>8723</v>
      </c>
      <c r="C3343" s="75">
        <v>0</v>
      </c>
      <c r="D3343" s="31"/>
      <c r="E3343" s="33">
        <v>0</v>
      </c>
      <c r="F3343" s="11">
        <v>0</v>
      </c>
      <c r="G3343" s="42"/>
      <c r="H3343" s="11">
        <v>0</v>
      </c>
      <c r="I3343" s="42"/>
      <c r="J3343" s="33">
        <v>0</v>
      </c>
      <c r="K3343" s="46"/>
      <c r="L3343" s="33">
        <v>0</v>
      </c>
      <c r="M3343" s="22" t="s">
        <v>6509</v>
      </c>
      <c r="N3343" s="17" t="s">
        <v>6507</v>
      </c>
      <c r="O3343" s="7" t="s">
        <v>6508</v>
      </c>
      <c r="P3343" s="7" t="s">
        <v>6508</v>
      </c>
    </row>
    <row r="3344" spans="1:26" ht="28.7" customHeight="1" x14ac:dyDescent="0.3">
      <c r="A3344" s="10" t="s">
        <v>1842</v>
      </c>
      <c r="B3344" s="10" t="s">
        <v>1848</v>
      </c>
      <c r="C3344" s="75">
        <v>1</v>
      </c>
      <c r="D3344" s="31" t="s">
        <v>1010</v>
      </c>
      <c r="E3344" s="55">
        <f>I3344+G3344+K3344</f>
        <v>41619</v>
      </c>
      <c r="F3344" s="76">
        <f>J3344+H3344+L3344</f>
        <v>41619</v>
      </c>
      <c r="G3344" s="78">
        <f>일위대가목록표!F716</f>
        <v>41619</v>
      </c>
      <c r="H3344" s="80">
        <f>IF(C3344=0,0,ROUNDDOWN(G3344*C3344,1))</f>
        <v>41619</v>
      </c>
      <c r="I3344" s="78">
        <f>일위대가목록표!G716</f>
        <v>0</v>
      </c>
      <c r="J3344" s="80">
        <f>IF(C3344=0,0,ROUNDDOWN(I3344*C3344,1))</f>
        <v>0</v>
      </c>
      <c r="K3344" s="78">
        <f>일위대가목록표!H716</f>
        <v>0</v>
      </c>
      <c r="L3344" s="80">
        <f>IF(C3344=0,0,ROUNDDOWN(K3344*C3344,1))</f>
        <v>0</v>
      </c>
      <c r="M3344" s="22" t="s">
        <v>7718</v>
      </c>
      <c r="N3344" s="17" t="s">
        <v>7716</v>
      </c>
      <c r="O3344" s="7" t="s">
        <v>7717</v>
      </c>
      <c r="P3344" s="7" t="s">
        <v>6406</v>
      </c>
      <c r="Z3344" s="3" t="str">
        <f ca="1">HYPERLINK("#"&amp;일위대가목록표!J2&amp;"!A"&amp;ROW(일위대가목록표!A716),"대가713 →")</f>
        <v>대가713 →</v>
      </c>
    </row>
    <row r="3345" spans="1:26" ht="28.7" customHeight="1" x14ac:dyDescent="0.3">
      <c r="A3345" s="10" t="s">
        <v>1845</v>
      </c>
      <c r="B3345" s="10" t="s">
        <v>1546</v>
      </c>
      <c r="C3345" s="75">
        <v>1</v>
      </c>
      <c r="D3345" s="31" t="s">
        <v>1010</v>
      </c>
      <c r="E3345" s="55">
        <f>I3345+G3345+K3345</f>
        <v>104049</v>
      </c>
      <c r="F3345" s="76">
        <f>J3345+H3345+L3345</f>
        <v>104049</v>
      </c>
      <c r="G3345" s="78">
        <f>일위대가목록표!F717</f>
        <v>104049</v>
      </c>
      <c r="H3345" s="80">
        <f>IF(C3345=0,0,ROUNDDOWN(G3345*C3345,1))</f>
        <v>104049</v>
      </c>
      <c r="I3345" s="78">
        <f>일위대가목록표!G717</f>
        <v>0</v>
      </c>
      <c r="J3345" s="80">
        <f>IF(C3345=0,0,ROUNDDOWN(I3345*C3345,1))</f>
        <v>0</v>
      </c>
      <c r="K3345" s="78">
        <f>일위대가목록표!H717</f>
        <v>0</v>
      </c>
      <c r="L3345" s="80">
        <f>IF(C3345=0,0,ROUNDDOWN(K3345*C3345,1))</f>
        <v>0</v>
      </c>
      <c r="M3345" s="22" t="s">
        <v>7698</v>
      </c>
      <c r="N3345" s="17" t="s">
        <v>7696</v>
      </c>
      <c r="O3345" s="7" t="s">
        <v>7697</v>
      </c>
      <c r="P3345" s="7" t="s">
        <v>6406</v>
      </c>
      <c r="Z3345" s="3" t="str">
        <f ca="1">HYPERLINK("#"&amp;일위대가목록표!J2&amp;"!A"&amp;ROW(일위대가목록표!A717),"대가714 →")</f>
        <v>대가714 →</v>
      </c>
    </row>
    <row r="3346" spans="1:26" ht="28.7" customHeight="1" x14ac:dyDescent="0.3">
      <c r="A3346" s="22" t="s">
        <v>6</v>
      </c>
      <c r="B3346" s="74"/>
      <c r="C3346" s="74"/>
      <c r="D3346" s="74"/>
      <c r="E3346" s="74"/>
      <c r="F3346" s="48">
        <f>J3346+H3346+L3346</f>
        <v>145668</v>
      </c>
      <c r="G3346" s="74"/>
      <c r="H3346" s="48">
        <f>ROUNDDOWN(SUMIF(P3343:P3345,O3346,H3343:H3345),0)</f>
        <v>145668</v>
      </c>
      <c r="I3346" s="74"/>
      <c r="J3346" s="48">
        <f>ROUNDDOWN(SUMIF(P3343:P3345,O3346,J3343:J3345),0)</f>
        <v>0</v>
      </c>
      <c r="K3346" s="74"/>
      <c r="L3346" s="48">
        <f>ROUNDDOWN(SUMIF(P3343:P3345,O3346,L3343:L3345),0)</f>
        <v>0</v>
      </c>
      <c r="M3346" s="74"/>
      <c r="O3346" s="7" t="s">
        <v>6406</v>
      </c>
    </row>
    <row r="3347" spans="1:26" ht="28.7" customHeight="1" x14ac:dyDescent="0.3">
      <c r="A3347" s="73"/>
      <c r="B3347" s="73"/>
      <c r="C3347" s="73"/>
      <c r="D3347" s="73"/>
      <c r="E3347" s="73"/>
      <c r="F3347" s="73"/>
      <c r="G3347" s="73"/>
      <c r="H3347" s="73"/>
      <c r="I3347" s="73"/>
      <c r="J3347" s="73"/>
      <c r="K3347" s="73"/>
      <c r="L3347" s="73"/>
      <c r="M3347" s="73"/>
    </row>
    <row r="3348" spans="1:26" ht="28.7" customHeight="1" x14ac:dyDescent="0.3">
      <c r="A3348" s="136" t="s">
        <v>1849</v>
      </c>
      <c r="B3348" s="127"/>
      <c r="C3348" s="127"/>
      <c r="D3348" s="127"/>
      <c r="E3348" s="127"/>
      <c r="F3348" s="127"/>
      <c r="G3348" s="127"/>
      <c r="H3348" s="127"/>
      <c r="I3348" s="127"/>
      <c r="J3348" s="127"/>
      <c r="K3348" s="127"/>
      <c r="L3348" s="144"/>
      <c r="M3348" s="22" t="s">
        <v>8733</v>
      </c>
      <c r="N3348" s="84" t="str">
        <f>HYPERLINK("#N"&amp;ROW(N3350),"_x0005_`BDCOD|B04830_x0007_`POSS|"&amp;ROW(N3349)&amp;"_x0007_`POSE|"&amp;ROW(N3350)&amp;"_x0007_`")</f>
        <v>_x0005_`BDCOD|B04830_x0007_`POSS|3349_x0007_`POSE|3350_x0007_`</v>
      </c>
      <c r="O3348" s="7" t="s">
        <v>8734</v>
      </c>
    </row>
    <row r="3349" spans="1:26" ht="28.7" customHeight="1" x14ac:dyDescent="0.3">
      <c r="A3349" s="10"/>
      <c r="B3349" s="10" t="s">
        <v>8723</v>
      </c>
      <c r="C3349" s="75">
        <v>0</v>
      </c>
      <c r="D3349" s="31"/>
      <c r="E3349" s="33">
        <v>0</v>
      </c>
      <c r="F3349" s="11">
        <v>0</v>
      </c>
      <c r="G3349" s="42"/>
      <c r="H3349" s="11">
        <v>0</v>
      </c>
      <c r="I3349" s="42"/>
      <c r="J3349" s="33">
        <v>0</v>
      </c>
      <c r="K3349" s="46"/>
      <c r="L3349" s="33">
        <v>0</v>
      </c>
      <c r="M3349" s="22" t="s">
        <v>6509</v>
      </c>
      <c r="N3349" s="17" t="s">
        <v>6507</v>
      </c>
      <c r="O3349" s="7" t="s">
        <v>6508</v>
      </c>
      <c r="P3349" s="7" t="s">
        <v>6508</v>
      </c>
    </row>
    <row r="3350" spans="1:26" ht="28.7" customHeight="1" x14ac:dyDescent="0.3">
      <c r="A3350" s="10" t="s">
        <v>1845</v>
      </c>
      <c r="B3350" s="10" t="s">
        <v>1546</v>
      </c>
      <c r="C3350" s="75">
        <v>0.4</v>
      </c>
      <c r="D3350" s="31" t="s">
        <v>1010</v>
      </c>
      <c r="E3350" s="55">
        <f>I3350+G3350+K3350</f>
        <v>104049</v>
      </c>
      <c r="F3350" s="76">
        <f>J3350+H3350+L3350</f>
        <v>41619.599999999999</v>
      </c>
      <c r="G3350" s="78">
        <f>일위대가목록표!F717</f>
        <v>104049</v>
      </c>
      <c r="H3350" s="80">
        <f>IF(C3350=0,0,ROUNDDOWN(G3350*C3350,1))</f>
        <v>41619.599999999999</v>
      </c>
      <c r="I3350" s="78">
        <f>일위대가목록표!G717</f>
        <v>0</v>
      </c>
      <c r="J3350" s="80">
        <f>IF(C3350=0,0,ROUNDDOWN(I3350*C3350,1))</f>
        <v>0</v>
      </c>
      <c r="K3350" s="78">
        <f>일위대가목록표!H717</f>
        <v>0</v>
      </c>
      <c r="L3350" s="80">
        <f>IF(C3350=0,0,ROUNDDOWN(K3350*C3350,1))</f>
        <v>0</v>
      </c>
      <c r="M3350" s="22" t="s">
        <v>7698</v>
      </c>
      <c r="N3350" s="17" t="s">
        <v>7696</v>
      </c>
      <c r="O3350" s="7" t="s">
        <v>7697</v>
      </c>
      <c r="P3350" s="7" t="s">
        <v>6406</v>
      </c>
      <c r="Z3350" s="3" t="str">
        <f ca="1">HYPERLINK("#"&amp;일위대가목록표!J2&amp;"!A"&amp;ROW(일위대가목록표!A717),"대가714 →")</f>
        <v>대가714 →</v>
      </c>
    </row>
    <row r="3351" spans="1:26" ht="28.7" customHeight="1" x14ac:dyDescent="0.3">
      <c r="A3351" s="22" t="s">
        <v>6</v>
      </c>
      <c r="B3351" s="74"/>
      <c r="C3351" s="74"/>
      <c r="D3351" s="74"/>
      <c r="E3351" s="74"/>
      <c r="F3351" s="48">
        <f>J3351+H3351+L3351</f>
        <v>41619</v>
      </c>
      <c r="G3351" s="74"/>
      <c r="H3351" s="48">
        <f>ROUNDDOWN(SUMIF(P3349:P3350,O3351,H3349:H3350),0)</f>
        <v>41619</v>
      </c>
      <c r="I3351" s="74"/>
      <c r="J3351" s="48">
        <f>ROUNDDOWN(SUMIF(P3349:P3350,O3351,J3349:J3350),0)</f>
        <v>0</v>
      </c>
      <c r="K3351" s="74"/>
      <c r="L3351" s="48">
        <f>ROUNDDOWN(SUMIF(P3349:P3350,O3351,L3349:L3350),0)</f>
        <v>0</v>
      </c>
      <c r="M3351" s="74"/>
      <c r="O3351" s="7" t="s">
        <v>6406</v>
      </c>
    </row>
    <row r="3352" spans="1:26" ht="28.7" customHeight="1" x14ac:dyDescent="0.3">
      <c r="A3352" s="73"/>
      <c r="B3352" s="73"/>
      <c r="C3352" s="73"/>
      <c r="D3352" s="73"/>
      <c r="E3352" s="73"/>
      <c r="F3352" s="73"/>
      <c r="G3352" s="73"/>
      <c r="H3352" s="73"/>
      <c r="I3352" s="73"/>
      <c r="J3352" s="73"/>
      <c r="K3352" s="73"/>
      <c r="L3352" s="73"/>
      <c r="M3352" s="73"/>
    </row>
    <row r="3353" spans="1:26" ht="28.7" customHeight="1" x14ac:dyDescent="0.3">
      <c r="A3353" s="136" t="s">
        <v>1851</v>
      </c>
      <c r="B3353" s="127"/>
      <c r="C3353" s="127"/>
      <c r="D3353" s="127"/>
      <c r="E3353" s="127"/>
      <c r="F3353" s="127"/>
      <c r="G3353" s="127"/>
      <c r="H3353" s="127"/>
      <c r="I3353" s="127"/>
      <c r="J3353" s="127"/>
      <c r="K3353" s="127"/>
      <c r="L3353" s="144"/>
      <c r="M3353" s="22" t="s">
        <v>8735</v>
      </c>
      <c r="N3353" s="84" t="str">
        <f>HYPERLINK("#N"&amp;ROW(N3356),"_x0005_`BDCOD|B04826_x0007_`POSS|"&amp;ROW(N3354)&amp;"_x0007_`POSE|"&amp;ROW(N3356)&amp;"_x0007_`")</f>
        <v>_x0005_`BDCOD|B04826_x0007_`POSS|3354_x0007_`POSE|3356_x0007_`</v>
      </c>
      <c r="O3353" s="7" t="s">
        <v>8736</v>
      </c>
    </row>
    <row r="3354" spans="1:26" ht="28.7" customHeight="1" x14ac:dyDescent="0.3">
      <c r="A3354" s="10"/>
      <c r="B3354" s="10" t="s">
        <v>8723</v>
      </c>
      <c r="C3354" s="75">
        <v>0</v>
      </c>
      <c r="D3354" s="31"/>
      <c r="E3354" s="33">
        <v>0</v>
      </c>
      <c r="F3354" s="11">
        <v>0</v>
      </c>
      <c r="G3354" s="42"/>
      <c r="H3354" s="11">
        <v>0</v>
      </c>
      <c r="I3354" s="42"/>
      <c r="J3354" s="33">
        <v>0</v>
      </c>
      <c r="K3354" s="46"/>
      <c r="L3354" s="33">
        <v>0</v>
      </c>
      <c r="M3354" s="22" t="s">
        <v>6509</v>
      </c>
      <c r="N3354" s="17" t="s">
        <v>6507</v>
      </c>
      <c r="O3354" s="7" t="s">
        <v>6508</v>
      </c>
      <c r="P3354" s="7" t="s">
        <v>6508</v>
      </c>
    </row>
    <row r="3355" spans="1:26" ht="28.7" customHeight="1" x14ac:dyDescent="0.3">
      <c r="A3355" s="10" t="s">
        <v>3107</v>
      </c>
      <c r="B3355" s="10"/>
      <c r="C3355" s="75">
        <v>0.24</v>
      </c>
      <c r="D3355" s="31" t="s">
        <v>3074</v>
      </c>
      <c r="E3355" s="55">
        <f>I3355+G3355+K3355</f>
        <v>320480</v>
      </c>
      <c r="F3355" s="76">
        <f>J3355+H3355+L3355</f>
        <v>76915.199999999997</v>
      </c>
      <c r="G3355" s="78">
        <f>노무비목록표!E21</f>
        <v>320480</v>
      </c>
      <c r="H3355" s="81">
        <f>IF(C3355=0,0,ROUNDDOWN(G3355*C3355,1))</f>
        <v>76915.199999999997</v>
      </c>
      <c r="I3355" s="51">
        <v>0</v>
      </c>
      <c r="J3355" s="77">
        <f>IF(C3355=0,0,ROUNDDOWN(I3355*C3355,1))</f>
        <v>0</v>
      </c>
      <c r="K3355" s="51">
        <v>0</v>
      </c>
      <c r="L3355" s="76">
        <f>IF(C3355=0,0,ROUNDDOWN(K3355*C3355,1))</f>
        <v>0</v>
      </c>
      <c r="M3355" s="22" t="s">
        <v>8730</v>
      </c>
      <c r="N3355" s="17" t="s">
        <v>8737</v>
      </c>
      <c r="O3355" s="7" t="s">
        <v>8729</v>
      </c>
      <c r="P3355" s="7" t="s">
        <v>6406</v>
      </c>
      <c r="Z3355" s="3" t="str">
        <f ca="1">HYPERLINK("#"&amp;노무비목록표!G2&amp;"!A"&amp;ROW(노무비목록표!A21),"노무18 →")</f>
        <v>노무18 →</v>
      </c>
    </row>
    <row r="3356" spans="1:26" ht="28.7" customHeight="1" x14ac:dyDescent="0.3">
      <c r="A3356" s="10" t="s">
        <v>3105</v>
      </c>
      <c r="B3356" s="10"/>
      <c r="C3356" s="75">
        <v>0.12</v>
      </c>
      <c r="D3356" s="31" t="s">
        <v>3074</v>
      </c>
      <c r="E3356" s="55">
        <f>I3356+G3356+K3356</f>
        <v>226122</v>
      </c>
      <c r="F3356" s="76">
        <f>J3356+H3356+L3356</f>
        <v>27134.6</v>
      </c>
      <c r="G3356" s="78">
        <f>노무비목록표!E20</f>
        <v>226122</v>
      </c>
      <c r="H3356" s="81">
        <f>IF(C3356=0,0,ROUNDDOWN(G3356*C3356,1))</f>
        <v>27134.6</v>
      </c>
      <c r="I3356" s="51">
        <v>0</v>
      </c>
      <c r="J3356" s="77">
        <f>IF(C3356=0,0,ROUNDDOWN(I3356*C3356,1))</f>
        <v>0</v>
      </c>
      <c r="K3356" s="51">
        <v>0</v>
      </c>
      <c r="L3356" s="76">
        <f>IF(C3356=0,0,ROUNDDOWN(K3356*C3356,1))</f>
        <v>0</v>
      </c>
      <c r="M3356" s="22" t="s">
        <v>8455</v>
      </c>
      <c r="N3356" s="17" t="s">
        <v>8472</v>
      </c>
      <c r="O3356" s="7" t="s">
        <v>8454</v>
      </c>
      <c r="P3356" s="7" t="s">
        <v>6406</v>
      </c>
      <c r="Z3356" s="3" t="str">
        <f ca="1">HYPERLINK("#"&amp;노무비목록표!G2&amp;"!A"&amp;ROW(노무비목록표!A20),"노무17 →")</f>
        <v>노무17 →</v>
      </c>
    </row>
    <row r="3357" spans="1:26" ht="28.7" customHeight="1" x14ac:dyDescent="0.3">
      <c r="A3357" s="22" t="s">
        <v>6</v>
      </c>
      <c r="B3357" s="74"/>
      <c r="C3357" s="74"/>
      <c r="D3357" s="74"/>
      <c r="E3357" s="74"/>
      <c r="F3357" s="48">
        <f>J3357+H3357+L3357</f>
        <v>104049</v>
      </c>
      <c r="G3357" s="74"/>
      <c r="H3357" s="48">
        <f>ROUNDDOWN(SUMIF(P3354:P3356,O3357,H3354:H3356),0)</f>
        <v>104049</v>
      </c>
      <c r="I3357" s="74"/>
      <c r="J3357" s="48">
        <f>ROUNDDOWN(SUMIF(P3354:P3356,O3357,J3354:J3356),0)</f>
        <v>0</v>
      </c>
      <c r="K3357" s="74"/>
      <c r="L3357" s="48">
        <f>ROUNDDOWN(SUMIF(P3354:P3356,O3357,L3354:L3356),0)</f>
        <v>0</v>
      </c>
      <c r="M3357" s="74"/>
      <c r="O3357" s="7" t="s">
        <v>6406</v>
      </c>
    </row>
    <row r="3358" spans="1:26" ht="28.7" customHeight="1" x14ac:dyDescent="0.3">
      <c r="A3358" s="73"/>
      <c r="B3358" s="73"/>
      <c r="C3358" s="73"/>
      <c r="D3358" s="73"/>
      <c r="E3358" s="73"/>
      <c r="F3358" s="73"/>
      <c r="G3358" s="73"/>
      <c r="H3358" s="73"/>
      <c r="I3358" s="73"/>
      <c r="J3358" s="73"/>
      <c r="K3358" s="73"/>
      <c r="L3358" s="73"/>
      <c r="M3358" s="73"/>
    </row>
    <row r="3359" spans="1:26" ht="28.7" customHeight="1" x14ac:dyDescent="0.3">
      <c r="A3359" s="136" t="s">
        <v>1853</v>
      </c>
      <c r="B3359" s="127"/>
      <c r="C3359" s="127"/>
      <c r="D3359" s="127"/>
      <c r="E3359" s="127"/>
      <c r="F3359" s="127"/>
      <c r="G3359" s="127"/>
      <c r="H3359" s="127"/>
      <c r="I3359" s="127"/>
      <c r="J3359" s="127"/>
      <c r="K3359" s="127"/>
      <c r="L3359" s="144"/>
      <c r="M3359" s="22" t="s">
        <v>8738</v>
      </c>
      <c r="N3359" s="84" t="str">
        <f>HYPERLINK("#N"&amp;ROW(N3362),"_x0005_`BDCOD|B04836_x0007_`POSS|"&amp;ROW(N3360)&amp;"_x0007_`POSE|"&amp;ROW(N3362)&amp;"_x0007_`")</f>
        <v>_x0005_`BDCOD|B04836_x0007_`POSS|3360_x0007_`POSE|3362_x0007_`</v>
      </c>
      <c r="O3359" s="7" t="s">
        <v>8739</v>
      </c>
    </row>
    <row r="3360" spans="1:26" ht="28.7" customHeight="1" x14ac:dyDescent="0.3">
      <c r="A3360" s="10"/>
      <c r="B3360" s="10" t="s">
        <v>8723</v>
      </c>
      <c r="C3360" s="75">
        <v>0</v>
      </c>
      <c r="D3360" s="31"/>
      <c r="E3360" s="33">
        <v>0</v>
      </c>
      <c r="F3360" s="11">
        <v>0</v>
      </c>
      <c r="G3360" s="42"/>
      <c r="H3360" s="11">
        <v>0</v>
      </c>
      <c r="I3360" s="42"/>
      <c r="J3360" s="33">
        <v>0</v>
      </c>
      <c r="K3360" s="46"/>
      <c r="L3360" s="33">
        <v>0</v>
      </c>
      <c r="M3360" s="22" t="s">
        <v>6509</v>
      </c>
      <c r="N3360" s="17" t="s">
        <v>6507</v>
      </c>
      <c r="O3360" s="7" t="s">
        <v>6508</v>
      </c>
      <c r="P3360" s="7" t="s">
        <v>6508</v>
      </c>
    </row>
    <row r="3361" spans="1:26" ht="28.7" customHeight="1" x14ac:dyDescent="0.3">
      <c r="A3361" s="10" t="s">
        <v>1842</v>
      </c>
      <c r="B3361" s="10" t="s">
        <v>1855</v>
      </c>
      <c r="C3361" s="75">
        <v>1</v>
      </c>
      <c r="D3361" s="31" t="s">
        <v>1010</v>
      </c>
      <c r="E3361" s="55">
        <f>I3361+G3361+K3361</f>
        <v>54234</v>
      </c>
      <c r="F3361" s="76">
        <f>J3361+H3361+L3361</f>
        <v>54234</v>
      </c>
      <c r="G3361" s="78">
        <f>일위대가목록표!F719</f>
        <v>54234</v>
      </c>
      <c r="H3361" s="80">
        <f>IF(C3361=0,0,ROUNDDOWN(G3361*C3361,1))</f>
        <v>54234</v>
      </c>
      <c r="I3361" s="78">
        <f>일위대가목록표!G719</f>
        <v>0</v>
      </c>
      <c r="J3361" s="80">
        <f>IF(C3361=0,0,ROUNDDOWN(I3361*C3361,1))</f>
        <v>0</v>
      </c>
      <c r="K3361" s="78">
        <f>일위대가목록표!H719</f>
        <v>0</v>
      </c>
      <c r="L3361" s="80">
        <f>IF(C3361=0,0,ROUNDDOWN(K3361*C3361,1))</f>
        <v>0</v>
      </c>
      <c r="M3361" s="22" t="s">
        <v>7723</v>
      </c>
      <c r="N3361" s="17" t="s">
        <v>7721</v>
      </c>
      <c r="O3361" s="7" t="s">
        <v>7722</v>
      </c>
      <c r="P3361" s="7" t="s">
        <v>6406</v>
      </c>
      <c r="Z3361" s="3" t="str">
        <f ca="1">HYPERLINK("#"&amp;일위대가목록표!J2&amp;"!A"&amp;ROW(일위대가목록표!A719),"대가716 →")</f>
        <v>대가716 →</v>
      </c>
    </row>
    <row r="3362" spans="1:26" ht="28.7" customHeight="1" x14ac:dyDescent="0.3">
      <c r="A3362" s="10" t="s">
        <v>1845</v>
      </c>
      <c r="B3362" s="10" t="s">
        <v>1569</v>
      </c>
      <c r="C3362" s="75">
        <v>1</v>
      </c>
      <c r="D3362" s="31" t="s">
        <v>1010</v>
      </c>
      <c r="E3362" s="55">
        <f>I3362+G3362+K3362</f>
        <v>135585</v>
      </c>
      <c r="F3362" s="76">
        <f>J3362+H3362+L3362</f>
        <v>135585</v>
      </c>
      <c r="G3362" s="78">
        <f>일위대가목록표!F720</f>
        <v>135585</v>
      </c>
      <c r="H3362" s="80">
        <f>IF(C3362=0,0,ROUNDDOWN(G3362*C3362,1))</f>
        <v>135585</v>
      </c>
      <c r="I3362" s="78">
        <f>일위대가목록표!G720</f>
        <v>0</v>
      </c>
      <c r="J3362" s="80">
        <f>IF(C3362=0,0,ROUNDDOWN(I3362*C3362,1))</f>
        <v>0</v>
      </c>
      <c r="K3362" s="78">
        <f>일위대가목록표!H720</f>
        <v>0</v>
      </c>
      <c r="L3362" s="80">
        <f>IF(C3362=0,0,ROUNDDOWN(K3362*C3362,1))</f>
        <v>0</v>
      </c>
      <c r="M3362" s="22" t="s">
        <v>7703</v>
      </c>
      <c r="N3362" s="17" t="s">
        <v>7701</v>
      </c>
      <c r="O3362" s="7" t="s">
        <v>7702</v>
      </c>
      <c r="P3362" s="7" t="s">
        <v>6406</v>
      </c>
      <c r="Z3362" s="3" t="str">
        <f ca="1">HYPERLINK("#"&amp;일위대가목록표!J2&amp;"!A"&amp;ROW(일위대가목록표!A720),"대가717 →")</f>
        <v>대가717 →</v>
      </c>
    </row>
    <row r="3363" spans="1:26" ht="28.7" customHeight="1" x14ac:dyDescent="0.3">
      <c r="A3363" s="22" t="s">
        <v>6</v>
      </c>
      <c r="B3363" s="74"/>
      <c r="C3363" s="74"/>
      <c r="D3363" s="74"/>
      <c r="E3363" s="74"/>
      <c r="F3363" s="48">
        <f>J3363+H3363+L3363</f>
        <v>189819</v>
      </c>
      <c r="G3363" s="74"/>
      <c r="H3363" s="48">
        <f>ROUNDDOWN(SUMIF(P3360:P3362,O3363,H3360:H3362),0)</f>
        <v>189819</v>
      </c>
      <c r="I3363" s="74"/>
      <c r="J3363" s="48">
        <f>ROUNDDOWN(SUMIF(P3360:P3362,O3363,J3360:J3362),0)</f>
        <v>0</v>
      </c>
      <c r="K3363" s="74"/>
      <c r="L3363" s="48">
        <f>ROUNDDOWN(SUMIF(P3360:P3362,O3363,L3360:L3362),0)</f>
        <v>0</v>
      </c>
      <c r="M3363" s="74"/>
      <c r="O3363" s="7" t="s">
        <v>6406</v>
      </c>
    </row>
    <row r="3364" spans="1:26" ht="28.7" customHeight="1" x14ac:dyDescent="0.3">
      <c r="A3364" s="73"/>
      <c r="B3364" s="73"/>
      <c r="C3364" s="73"/>
      <c r="D3364" s="73"/>
      <c r="E3364" s="73"/>
      <c r="F3364" s="73"/>
      <c r="G3364" s="73"/>
      <c r="H3364" s="73"/>
      <c r="I3364" s="73"/>
      <c r="J3364" s="73"/>
      <c r="K3364" s="73"/>
      <c r="L3364" s="73"/>
      <c r="M3364" s="73"/>
    </row>
    <row r="3365" spans="1:26" ht="28.7" customHeight="1" x14ac:dyDescent="0.3">
      <c r="A3365" s="136" t="s">
        <v>1856</v>
      </c>
      <c r="B3365" s="127"/>
      <c r="C3365" s="127"/>
      <c r="D3365" s="127"/>
      <c r="E3365" s="127"/>
      <c r="F3365" s="127"/>
      <c r="G3365" s="127"/>
      <c r="H3365" s="127"/>
      <c r="I3365" s="127"/>
      <c r="J3365" s="127"/>
      <c r="K3365" s="127"/>
      <c r="L3365" s="144"/>
      <c r="M3365" s="22" t="s">
        <v>8740</v>
      </c>
      <c r="N3365" s="84" t="str">
        <f>HYPERLINK("#N"&amp;ROW(N3367),"_x0005_`BDCOD|B04831_x0007_`POSS|"&amp;ROW(N3366)&amp;"_x0007_`POSE|"&amp;ROW(N3367)&amp;"_x0007_`")</f>
        <v>_x0005_`BDCOD|B04831_x0007_`POSS|3366_x0007_`POSE|3367_x0007_`</v>
      </c>
      <c r="O3365" s="7" t="s">
        <v>8741</v>
      </c>
    </row>
    <row r="3366" spans="1:26" ht="28.7" customHeight="1" x14ac:dyDescent="0.3">
      <c r="A3366" s="10"/>
      <c r="B3366" s="10" t="s">
        <v>8723</v>
      </c>
      <c r="C3366" s="75">
        <v>0</v>
      </c>
      <c r="D3366" s="31"/>
      <c r="E3366" s="33">
        <v>0</v>
      </c>
      <c r="F3366" s="11">
        <v>0</v>
      </c>
      <c r="G3366" s="42"/>
      <c r="H3366" s="11">
        <v>0</v>
      </c>
      <c r="I3366" s="42"/>
      <c r="J3366" s="33">
        <v>0</v>
      </c>
      <c r="K3366" s="46"/>
      <c r="L3366" s="33">
        <v>0</v>
      </c>
      <c r="M3366" s="22" t="s">
        <v>6509</v>
      </c>
      <c r="N3366" s="17" t="s">
        <v>6507</v>
      </c>
      <c r="O3366" s="7" t="s">
        <v>6508</v>
      </c>
      <c r="P3366" s="7" t="s">
        <v>6508</v>
      </c>
    </row>
    <row r="3367" spans="1:26" ht="28.7" customHeight="1" x14ac:dyDescent="0.3">
      <c r="A3367" s="10" t="s">
        <v>1845</v>
      </c>
      <c r="B3367" s="10" t="s">
        <v>1569</v>
      </c>
      <c r="C3367" s="75">
        <v>0.4</v>
      </c>
      <c r="D3367" s="31" t="s">
        <v>1010</v>
      </c>
      <c r="E3367" s="55">
        <f>I3367+G3367+K3367</f>
        <v>135585</v>
      </c>
      <c r="F3367" s="76">
        <f>J3367+H3367+L3367</f>
        <v>54234</v>
      </c>
      <c r="G3367" s="78">
        <f>일위대가목록표!F720</f>
        <v>135585</v>
      </c>
      <c r="H3367" s="80">
        <f>IF(C3367=0,0,ROUNDDOWN(G3367*C3367,1))</f>
        <v>54234</v>
      </c>
      <c r="I3367" s="78">
        <f>일위대가목록표!G720</f>
        <v>0</v>
      </c>
      <c r="J3367" s="80">
        <f>IF(C3367=0,0,ROUNDDOWN(I3367*C3367,1))</f>
        <v>0</v>
      </c>
      <c r="K3367" s="78">
        <f>일위대가목록표!H720</f>
        <v>0</v>
      </c>
      <c r="L3367" s="80">
        <f>IF(C3367=0,0,ROUNDDOWN(K3367*C3367,1))</f>
        <v>0</v>
      </c>
      <c r="M3367" s="22" t="s">
        <v>7703</v>
      </c>
      <c r="N3367" s="17" t="s">
        <v>7701</v>
      </c>
      <c r="O3367" s="7" t="s">
        <v>7702</v>
      </c>
      <c r="P3367" s="7" t="s">
        <v>6406</v>
      </c>
      <c r="Z3367" s="3" t="str">
        <f ca="1">HYPERLINK("#"&amp;일위대가목록표!J2&amp;"!A"&amp;ROW(일위대가목록표!A720),"대가717 →")</f>
        <v>대가717 →</v>
      </c>
    </row>
    <row r="3368" spans="1:26" ht="28.7" customHeight="1" x14ac:dyDescent="0.3">
      <c r="A3368" s="22" t="s">
        <v>6</v>
      </c>
      <c r="B3368" s="74"/>
      <c r="C3368" s="74"/>
      <c r="D3368" s="74"/>
      <c r="E3368" s="74"/>
      <c r="F3368" s="48">
        <f>J3368+H3368+L3368</f>
        <v>54234</v>
      </c>
      <c r="G3368" s="74"/>
      <c r="H3368" s="48">
        <f>ROUNDDOWN(SUMIF(P3366:P3367,O3368,H3366:H3367),0)</f>
        <v>54234</v>
      </c>
      <c r="I3368" s="74"/>
      <c r="J3368" s="48">
        <f>ROUNDDOWN(SUMIF(P3366:P3367,O3368,J3366:J3367),0)</f>
        <v>0</v>
      </c>
      <c r="K3368" s="74"/>
      <c r="L3368" s="48">
        <f>ROUNDDOWN(SUMIF(P3366:P3367,O3368,L3366:L3367),0)</f>
        <v>0</v>
      </c>
      <c r="M3368" s="74"/>
      <c r="O3368" s="7" t="s">
        <v>6406</v>
      </c>
    </row>
    <row r="3369" spans="1:26" ht="28.7" customHeight="1" x14ac:dyDescent="0.3">
      <c r="A3369" s="73"/>
      <c r="B3369" s="73"/>
      <c r="C3369" s="73"/>
      <c r="D3369" s="73"/>
      <c r="E3369" s="73"/>
      <c r="F3369" s="73"/>
      <c r="G3369" s="73"/>
      <c r="H3369" s="73"/>
      <c r="I3369" s="73"/>
      <c r="J3369" s="73"/>
      <c r="K3369" s="73"/>
      <c r="L3369" s="73"/>
      <c r="M3369" s="73"/>
    </row>
    <row r="3370" spans="1:26" ht="28.7" customHeight="1" x14ac:dyDescent="0.3">
      <c r="A3370" s="136" t="s">
        <v>1858</v>
      </c>
      <c r="B3370" s="127"/>
      <c r="C3370" s="127"/>
      <c r="D3370" s="127"/>
      <c r="E3370" s="127"/>
      <c r="F3370" s="127"/>
      <c r="G3370" s="127"/>
      <c r="H3370" s="127"/>
      <c r="I3370" s="127"/>
      <c r="J3370" s="127"/>
      <c r="K3370" s="127"/>
      <c r="L3370" s="144"/>
      <c r="M3370" s="22" t="s">
        <v>8742</v>
      </c>
      <c r="N3370" s="84" t="str">
        <f>HYPERLINK("#N"&amp;ROW(N3373),"_x0005_`BDCOD|B04827_x0007_`POSS|"&amp;ROW(N3371)&amp;"_x0007_`POSE|"&amp;ROW(N3373)&amp;"_x0007_`")</f>
        <v>_x0005_`BDCOD|B04827_x0007_`POSS|3371_x0007_`POSE|3373_x0007_`</v>
      </c>
      <c r="O3370" s="7" t="s">
        <v>8743</v>
      </c>
    </row>
    <row r="3371" spans="1:26" ht="28.7" customHeight="1" x14ac:dyDescent="0.3">
      <c r="A3371" s="10"/>
      <c r="B3371" s="10" t="s">
        <v>8723</v>
      </c>
      <c r="C3371" s="75">
        <v>0</v>
      </c>
      <c r="D3371" s="31"/>
      <c r="E3371" s="33">
        <v>0</v>
      </c>
      <c r="F3371" s="11">
        <v>0</v>
      </c>
      <c r="G3371" s="42"/>
      <c r="H3371" s="11">
        <v>0</v>
      </c>
      <c r="I3371" s="42"/>
      <c r="J3371" s="33">
        <v>0</v>
      </c>
      <c r="K3371" s="46"/>
      <c r="L3371" s="33">
        <v>0</v>
      </c>
      <c r="M3371" s="22" t="s">
        <v>6509</v>
      </c>
      <c r="N3371" s="17" t="s">
        <v>6507</v>
      </c>
      <c r="O3371" s="7" t="s">
        <v>6508</v>
      </c>
      <c r="P3371" s="7" t="s">
        <v>6508</v>
      </c>
    </row>
    <row r="3372" spans="1:26" ht="28.7" customHeight="1" x14ac:dyDescent="0.3">
      <c r="A3372" s="10" t="s">
        <v>3107</v>
      </c>
      <c r="B3372" s="10"/>
      <c r="C3372" s="75">
        <v>0.313</v>
      </c>
      <c r="D3372" s="31" t="s">
        <v>3074</v>
      </c>
      <c r="E3372" s="55">
        <f>I3372+G3372+K3372</f>
        <v>320480</v>
      </c>
      <c r="F3372" s="76">
        <f>J3372+H3372+L3372</f>
        <v>100310.2</v>
      </c>
      <c r="G3372" s="78">
        <f>노무비목록표!E21</f>
        <v>320480</v>
      </c>
      <c r="H3372" s="81">
        <f>IF(C3372=0,0,ROUNDDOWN(G3372*C3372,1))</f>
        <v>100310.2</v>
      </c>
      <c r="I3372" s="51">
        <v>0</v>
      </c>
      <c r="J3372" s="77">
        <f>IF(C3372=0,0,ROUNDDOWN(I3372*C3372,1))</f>
        <v>0</v>
      </c>
      <c r="K3372" s="51">
        <v>0</v>
      </c>
      <c r="L3372" s="76">
        <f>IF(C3372=0,0,ROUNDDOWN(K3372*C3372,1))</f>
        <v>0</v>
      </c>
      <c r="M3372" s="22" t="s">
        <v>8730</v>
      </c>
      <c r="N3372" s="17" t="s">
        <v>8737</v>
      </c>
      <c r="O3372" s="7" t="s">
        <v>8729</v>
      </c>
      <c r="P3372" s="7" t="s">
        <v>6406</v>
      </c>
      <c r="Z3372" s="3" t="str">
        <f ca="1">HYPERLINK("#"&amp;노무비목록표!G2&amp;"!A"&amp;ROW(노무비목록표!A21),"노무18 →")</f>
        <v>노무18 →</v>
      </c>
    </row>
    <row r="3373" spans="1:26" ht="28.7" customHeight="1" x14ac:dyDescent="0.3">
      <c r="A3373" s="10" t="s">
        <v>3105</v>
      </c>
      <c r="B3373" s="10"/>
      <c r="C3373" s="75">
        <v>0.156</v>
      </c>
      <c r="D3373" s="31" t="s">
        <v>3074</v>
      </c>
      <c r="E3373" s="55">
        <f>I3373+G3373+K3373</f>
        <v>226122</v>
      </c>
      <c r="F3373" s="76">
        <f>J3373+H3373+L3373</f>
        <v>35275</v>
      </c>
      <c r="G3373" s="78">
        <f>노무비목록표!E20</f>
        <v>226122</v>
      </c>
      <c r="H3373" s="81">
        <f>IF(C3373=0,0,ROUNDDOWN(G3373*C3373,1))</f>
        <v>35275</v>
      </c>
      <c r="I3373" s="51">
        <v>0</v>
      </c>
      <c r="J3373" s="77">
        <f>IF(C3373=0,0,ROUNDDOWN(I3373*C3373,1))</f>
        <v>0</v>
      </c>
      <c r="K3373" s="51">
        <v>0</v>
      </c>
      <c r="L3373" s="76">
        <f>IF(C3373=0,0,ROUNDDOWN(K3373*C3373,1))</f>
        <v>0</v>
      </c>
      <c r="M3373" s="22" t="s">
        <v>8455</v>
      </c>
      <c r="N3373" s="17" t="s">
        <v>8472</v>
      </c>
      <c r="O3373" s="7" t="s">
        <v>8454</v>
      </c>
      <c r="P3373" s="7" t="s">
        <v>6406</v>
      </c>
      <c r="Z3373" s="3" t="str">
        <f ca="1">HYPERLINK("#"&amp;노무비목록표!G2&amp;"!A"&amp;ROW(노무비목록표!A20),"노무17 →")</f>
        <v>노무17 →</v>
      </c>
    </row>
    <row r="3374" spans="1:26" ht="28.7" customHeight="1" x14ac:dyDescent="0.3">
      <c r="A3374" s="22" t="s">
        <v>6</v>
      </c>
      <c r="B3374" s="74"/>
      <c r="C3374" s="74"/>
      <c r="D3374" s="74"/>
      <c r="E3374" s="74"/>
      <c r="F3374" s="48">
        <f>J3374+H3374+L3374</f>
        <v>135585</v>
      </c>
      <c r="G3374" s="74"/>
      <c r="H3374" s="48">
        <f>ROUNDDOWN(SUMIF(P3371:P3373,O3374,H3371:H3373),0)</f>
        <v>135585</v>
      </c>
      <c r="I3374" s="74"/>
      <c r="J3374" s="48">
        <f>ROUNDDOWN(SUMIF(P3371:P3373,O3374,J3371:J3373),0)</f>
        <v>0</v>
      </c>
      <c r="K3374" s="74"/>
      <c r="L3374" s="48">
        <f>ROUNDDOWN(SUMIF(P3371:P3373,O3374,L3371:L3373),0)</f>
        <v>0</v>
      </c>
      <c r="M3374" s="74"/>
      <c r="O3374" s="7" t="s">
        <v>6406</v>
      </c>
    </row>
    <row r="3375" spans="1:26" ht="28.7" customHeight="1" x14ac:dyDescent="0.3">
      <c r="A3375" s="73"/>
      <c r="B3375" s="73"/>
      <c r="C3375" s="73"/>
      <c r="D3375" s="73"/>
      <c r="E3375" s="73"/>
      <c r="F3375" s="73"/>
      <c r="G3375" s="73"/>
      <c r="H3375" s="73"/>
      <c r="I3375" s="73"/>
      <c r="J3375" s="73"/>
      <c r="K3375" s="73"/>
      <c r="L3375" s="73"/>
      <c r="M3375" s="73"/>
    </row>
    <row r="3376" spans="1:26" ht="28.7" customHeight="1" x14ac:dyDescent="0.3">
      <c r="A3376" s="136" t="s">
        <v>1860</v>
      </c>
      <c r="B3376" s="127"/>
      <c r="C3376" s="127"/>
      <c r="D3376" s="127"/>
      <c r="E3376" s="127"/>
      <c r="F3376" s="127"/>
      <c r="G3376" s="127"/>
      <c r="H3376" s="127"/>
      <c r="I3376" s="127"/>
      <c r="J3376" s="127"/>
      <c r="K3376" s="127"/>
      <c r="L3376" s="144"/>
      <c r="M3376" s="22" t="s">
        <v>8744</v>
      </c>
      <c r="N3376" s="84" t="str">
        <f>HYPERLINK("#N"&amp;ROW(N3379),"_x0005_`BDCOD|B04837_x0007_`POSS|"&amp;ROW(N3377)&amp;"_x0007_`POSE|"&amp;ROW(N3379)&amp;"_x0007_`")</f>
        <v>_x0005_`BDCOD|B04837_x0007_`POSS|3377_x0007_`POSE|3379_x0007_`</v>
      </c>
      <c r="O3376" s="7" t="s">
        <v>8745</v>
      </c>
    </row>
    <row r="3377" spans="1:26" ht="28.7" customHeight="1" x14ac:dyDescent="0.3">
      <c r="A3377" s="10"/>
      <c r="B3377" s="10" t="s">
        <v>8723</v>
      </c>
      <c r="C3377" s="75">
        <v>0</v>
      </c>
      <c r="D3377" s="31"/>
      <c r="E3377" s="33">
        <v>0</v>
      </c>
      <c r="F3377" s="11">
        <v>0</v>
      </c>
      <c r="G3377" s="42"/>
      <c r="H3377" s="11">
        <v>0</v>
      </c>
      <c r="I3377" s="42"/>
      <c r="J3377" s="33">
        <v>0</v>
      </c>
      <c r="K3377" s="46"/>
      <c r="L3377" s="33">
        <v>0</v>
      </c>
      <c r="M3377" s="22" t="s">
        <v>6509</v>
      </c>
      <c r="N3377" s="17" t="s">
        <v>6507</v>
      </c>
      <c r="O3377" s="7" t="s">
        <v>6508</v>
      </c>
      <c r="P3377" s="7" t="s">
        <v>6508</v>
      </c>
    </row>
    <row r="3378" spans="1:26" ht="28.7" customHeight="1" x14ac:dyDescent="0.3">
      <c r="A3378" s="10" t="s">
        <v>1842</v>
      </c>
      <c r="B3378" s="10" t="s">
        <v>1862</v>
      </c>
      <c r="C3378" s="75">
        <v>1</v>
      </c>
      <c r="D3378" s="31" t="s">
        <v>1010</v>
      </c>
      <c r="E3378" s="55">
        <f>I3378+G3378+K3378</f>
        <v>70535</v>
      </c>
      <c r="F3378" s="76">
        <f>J3378+H3378+L3378</f>
        <v>70535</v>
      </c>
      <c r="G3378" s="78">
        <f>일위대가목록표!F722</f>
        <v>70535</v>
      </c>
      <c r="H3378" s="80">
        <f>IF(C3378=0,0,ROUNDDOWN(G3378*C3378,1))</f>
        <v>70535</v>
      </c>
      <c r="I3378" s="78">
        <f>일위대가목록표!G722</f>
        <v>0</v>
      </c>
      <c r="J3378" s="80">
        <f>IF(C3378=0,0,ROUNDDOWN(I3378*C3378,1))</f>
        <v>0</v>
      </c>
      <c r="K3378" s="78">
        <f>일위대가목록표!H722</f>
        <v>0</v>
      </c>
      <c r="L3378" s="80">
        <f>IF(C3378=0,0,ROUNDDOWN(K3378*C3378,1))</f>
        <v>0</v>
      </c>
      <c r="M3378" s="22" t="s">
        <v>7728</v>
      </c>
      <c r="N3378" s="17" t="s">
        <v>7726</v>
      </c>
      <c r="O3378" s="7" t="s">
        <v>7727</v>
      </c>
      <c r="P3378" s="7" t="s">
        <v>6406</v>
      </c>
      <c r="Z3378" s="3" t="str">
        <f ca="1">HYPERLINK("#"&amp;일위대가목록표!J2&amp;"!A"&amp;ROW(일위대가목록표!A722),"대가719 →")</f>
        <v>대가719 →</v>
      </c>
    </row>
    <row r="3379" spans="1:26" ht="28.7" customHeight="1" x14ac:dyDescent="0.3">
      <c r="A3379" s="10" t="s">
        <v>1845</v>
      </c>
      <c r="B3379" s="10" t="s">
        <v>1572</v>
      </c>
      <c r="C3379" s="75">
        <v>1</v>
      </c>
      <c r="D3379" s="31" t="s">
        <v>1010</v>
      </c>
      <c r="E3379" s="55">
        <f>I3379+G3379+K3379</f>
        <v>176338</v>
      </c>
      <c r="F3379" s="76">
        <f>J3379+H3379+L3379</f>
        <v>176338</v>
      </c>
      <c r="G3379" s="78">
        <f>일위대가목록표!F723</f>
        <v>176338</v>
      </c>
      <c r="H3379" s="80">
        <f>IF(C3379=0,0,ROUNDDOWN(G3379*C3379,1))</f>
        <v>176338</v>
      </c>
      <c r="I3379" s="78">
        <f>일위대가목록표!G723</f>
        <v>0</v>
      </c>
      <c r="J3379" s="80">
        <f>IF(C3379=0,0,ROUNDDOWN(I3379*C3379,1))</f>
        <v>0</v>
      </c>
      <c r="K3379" s="78">
        <f>일위대가목록표!H723</f>
        <v>0</v>
      </c>
      <c r="L3379" s="80">
        <f>IF(C3379=0,0,ROUNDDOWN(K3379*C3379,1))</f>
        <v>0</v>
      </c>
      <c r="M3379" s="22" t="s">
        <v>7708</v>
      </c>
      <c r="N3379" s="17" t="s">
        <v>7706</v>
      </c>
      <c r="O3379" s="7" t="s">
        <v>7707</v>
      </c>
      <c r="P3379" s="7" t="s">
        <v>6406</v>
      </c>
      <c r="Z3379" s="3" t="str">
        <f ca="1">HYPERLINK("#"&amp;일위대가목록표!J2&amp;"!A"&amp;ROW(일위대가목록표!A723),"대가720 →")</f>
        <v>대가720 →</v>
      </c>
    </row>
    <row r="3380" spans="1:26" ht="28.7" customHeight="1" x14ac:dyDescent="0.3">
      <c r="A3380" s="22" t="s">
        <v>6</v>
      </c>
      <c r="B3380" s="74"/>
      <c r="C3380" s="74"/>
      <c r="D3380" s="74"/>
      <c r="E3380" s="74"/>
      <c r="F3380" s="48">
        <f>J3380+H3380+L3380</f>
        <v>246873</v>
      </c>
      <c r="G3380" s="74"/>
      <c r="H3380" s="48">
        <f>ROUNDDOWN(SUMIF(P3377:P3379,O3380,H3377:H3379),0)</f>
        <v>246873</v>
      </c>
      <c r="I3380" s="74"/>
      <c r="J3380" s="48">
        <f>ROUNDDOWN(SUMIF(P3377:P3379,O3380,J3377:J3379),0)</f>
        <v>0</v>
      </c>
      <c r="K3380" s="74"/>
      <c r="L3380" s="48">
        <f>ROUNDDOWN(SUMIF(P3377:P3379,O3380,L3377:L3379),0)</f>
        <v>0</v>
      </c>
      <c r="M3380" s="74"/>
      <c r="O3380" s="7" t="s">
        <v>6406</v>
      </c>
    </row>
    <row r="3381" spans="1:26" ht="28.7" customHeight="1" x14ac:dyDescent="0.3">
      <c r="A3381" s="73"/>
      <c r="B3381" s="73"/>
      <c r="C3381" s="73"/>
      <c r="D3381" s="73"/>
      <c r="E3381" s="73"/>
      <c r="F3381" s="73"/>
      <c r="G3381" s="73"/>
      <c r="H3381" s="73"/>
      <c r="I3381" s="73"/>
      <c r="J3381" s="73"/>
      <c r="K3381" s="73"/>
      <c r="L3381" s="73"/>
      <c r="M3381" s="73"/>
    </row>
    <row r="3382" spans="1:26" ht="28.7" customHeight="1" x14ac:dyDescent="0.3">
      <c r="A3382" s="136" t="s">
        <v>1863</v>
      </c>
      <c r="B3382" s="127"/>
      <c r="C3382" s="127"/>
      <c r="D3382" s="127"/>
      <c r="E3382" s="127"/>
      <c r="F3382" s="127"/>
      <c r="G3382" s="127"/>
      <c r="H3382" s="127"/>
      <c r="I3382" s="127"/>
      <c r="J3382" s="127"/>
      <c r="K3382" s="127"/>
      <c r="L3382" s="144"/>
      <c r="M3382" s="22" t="s">
        <v>8746</v>
      </c>
      <c r="N3382" s="84" t="str">
        <f>HYPERLINK("#N"&amp;ROW(N3384),"_x0005_`BDCOD|B04832_x0007_`POSS|"&amp;ROW(N3383)&amp;"_x0007_`POSE|"&amp;ROW(N3384)&amp;"_x0007_`")</f>
        <v>_x0005_`BDCOD|B04832_x0007_`POSS|3383_x0007_`POSE|3384_x0007_`</v>
      </c>
      <c r="O3382" s="7" t="s">
        <v>8747</v>
      </c>
    </row>
    <row r="3383" spans="1:26" ht="28.7" customHeight="1" x14ac:dyDescent="0.3">
      <c r="A3383" s="10"/>
      <c r="B3383" s="10" t="s">
        <v>8723</v>
      </c>
      <c r="C3383" s="75">
        <v>0</v>
      </c>
      <c r="D3383" s="31"/>
      <c r="E3383" s="33">
        <v>0</v>
      </c>
      <c r="F3383" s="11">
        <v>0</v>
      </c>
      <c r="G3383" s="42"/>
      <c r="H3383" s="11">
        <v>0</v>
      </c>
      <c r="I3383" s="42"/>
      <c r="J3383" s="33">
        <v>0</v>
      </c>
      <c r="K3383" s="46"/>
      <c r="L3383" s="33">
        <v>0</v>
      </c>
      <c r="M3383" s="22" t="s">
        <v>6509</v>
      </c>
      <c r="N3383" s="17" t="s">
        <v>6507</v>
      </c>
      <c r="O3383" s="7" t="s">
        <v>6508</v>
      </c>
      <c r="P3383" s="7" t="s">
        <v>6508</v>
      </c>
    </row>
    <row r="3384" spans="1:26" ht="28.7" customHeight="1" x14ac:dyDescent="0.3">
      <c r="A3384" s="10" t="s">
        <v>1845</v>
      </c>
      <c r="B3384" s="10" t="s">
        <v>1572</v>
      </c>
      <c r="C3384" s="75">
        <v>0.4</v>
      </c>
      <c r="D3384" s="31" t="s">
        <v>1010</v>
      </c>
      <c r="E3384" s="55">
        <f>I3384+G3384+K3384</f>
        <v>176338</v>
      </c>
      <c r="F3384" s="76">
        <f>J3384+H3384+L3384</f>
        <v>70535.199999999997</v>
      </c>
      <c r="G3384" s="78">
        <f>일위대가목록표!F723</f>
        <v>176338</v>
      </c>
      <c r="H3384" s="80">
        <f>IF(C3384=0,0,ROUNDDOWN(G3384*C3384,1))</f>
        <v>70535.199999999997</v>
      </c>
      <c r="I3384" s="78">
        <f>일위대가목록표!G723</f>
        <v>0</v>
      </c>
      <c r="J3384" s="80">
        <f>IF(C3384=0,0,ROUNDDOWN(I3384*C3384,1))</f>
        <v>0</v>
      </c>
      <c r="K3384" s="78">
        <f>일위대가목록표!H723</f>
        <v>0</v>
      </c>
      <c r="L3384" s="80">
        <f>IF(C3384=0,0,ROUNDDOWN(K3384*C3384,1))</f>
        <v>0</v>
      </c>
      <c r="M3384" s="22" t="s">
        <v>7708</v>
      </c>
      <c r="N3384" s="17" t="s">
        <v>7706</v>
      </c>
      <c r="O3384" s="7" t="s">
        <v>7707</v>
      </c>
      <c r="P3384" s="7" t="s">
        <v>6406</v>
      </c>
      <c r="Z3384" s="3" t="str">
        <f ca="1">HYPERLINK("#"&amp;일위대가목록표!J2&amp;"!A"&amp;ROW(일위대가목록표!A723),"대가720 →")</f>
        <v>대가720 →</v>
      </c>
    </row>
    <row r="3385" spans="1:26" ht="28.7" customHeight="1" x14ac:dyDescent="0.3">
      <c r="A3385" s="22" t="s">
        <v>6</v>
      </c>
      <c r="B3385" s="74"/>
      <c r="C3385" s="74"/>
      <c r="D3385" s="74"/>
      <c r="E3385" s="74"/>
      <c r="F3385" s="48">
        <f>J3385+H3385+L3385</f>
        <v>70535</v>
      </c>
      <c r="G3385" s="74"/>
      <c r="H3385" s="48">
        <f>ROUNDDOWN(SUMIF(P3383:P3384,O3385,H3383:H3384),0)</f>
        <v>70535</v>
      </c>
      <c r="I3385" s="74"/>
      <c r="J3385" s="48">
        <f>ROUNDDOWN(SUMIF(P3383:P3384,O3385,J3383:J3384),0)</f>
        <v>0</v>
      </c>
      <c r="K3385" s="74"/>
      <c r="L3385" s="48">
        <f>ROUNDDOWN(SUMIF(P3383:P3384,O3385,L3383:L3384),0)</f>
        <v>0</v>
      </c>
      <c r="M3385" s="74"/>
      <c r="O3385" s="7" t="s">
        <v>6406</v>
      </c>
    </row>
    <row r="3386" spans="1:26" ht="28.7" customHeight="1" x14ac:dyDescent="0.3">
      <c r="A3386" s="73"/>
      <c r="B3386" s="73"/>
      <c r="C3386" s="73"/>
      <c r="D3386" s="73"/>
      <c r="E3386" s="73"/>
      <c r="F3386" s="73"/>
      <c r="G3386" s="73"/>
      <c r="H3386" s="73"/>
      <c r="I3386" s="73"/>
      <c r="J3386" s="73"/>
      <c r="K3386" s="73"/>
      <c r="L3386" s="73"/>
      <c r="M3386" s="73"/>
    </row>
    <row r="3387" spans="1:26" ht="28.7" customHeight="1" x14ac:dyDescent="0.3">
      <c r="A3387" s="136" t="s">
        <v>1865</v>
      </c>
      <c r="B3387" s="127"/>
      <c r="C3387" s="127"/>
      <c r="D3387" s="127"/>
      <c r="E3387" s="127"/>
      <c r="F3387" s="127"/>
      <c r="G3387" s="127"/>
      <c r="H3387" s="127"/>
      <c r="I3387" s="127"/>
      <c r="J3387" s="127"/>
      <c r="K3387" s="127"/>
      <c r="L3387" s="144"/>
      <c r="M3387" s="22" t="s">
        <v>8748</v>
      </c>
      <c r="N3387" s="84" t="str">
        <f>HYPERLINK("#N"&amp;ROW(N3390),"_x0005_`BDCOD|B04828_x0007_`POSS|"&amp;ROW(N3388)&amp;"_x0007_`POSE|"&amp;ROW(N3390)&amp;"_x0007_`")</f>
        <v>_x0005_`BDCOD|B04828_x0007_`POSS|3388_x0007_`POSE|3390_x0007_`</v>
      </c>
      <c r="O3387" s="7" t="s">
        <v>8749</v>
      </c>
    </row>
    <row r="3388" spans="1:26" ht="28.7" customHeight="1" x14ac:dyDescent="0.3">
      <c r="A3388" s="10"/>
      <c r="B3388" s="10" t="s">
        <v>8723</v>
      </c>
      <c r="C3388" s="75">
        <v>0</v>
      </c>
      <c r="D3388" s="31"/>
      <c r="E3388" s="33">
        <v>0</v>
      </c>
      <c r="F3388" s="11">
        <v>0</v>
      </c>
      <c r="G3388" s="42"/>
      <c r="H3388" s="11">
        <v>0</v>
      </c>
      <c r="I3388" s="42"/>
      <c r="J3388" s="33">
        <v>0</v>
      </c>
      <c r="K3388" s="46"/>
      <c r="L3388" s="33">
        <v>0</v>
      </c>
      <c r="M3388" s="22" t="s">
        <v>6509</v>
      </c>
      <c r="N3388" s="17" t="s">
        <v>6507</v>
      </c>
      <c r="O3388" s="7" t="s">
        <v>6508</v>
      </c>
      <c r="P3388" s="7" t="s">
        <v>6508</v>
      </c>
    </row>
    <row r="3389" spans="1:26" ht="28.7" customHeight="1" x14ac:dyDescent="0.3">
      <c r="A3389" s="10" t="s">
        <v>3107</v>
      </c>
      <c r="B3389" s="10"/>
      <c r="C3389" s="75">
        <v>0.40699999999999997</v>
      </c>
      <c r="D3389" s="31" t="s">
        <v>3074</v>
      </c>
      <c r="E3389" s="55">
        <f>I3389+G3389+K3389</f>
        <v>320480</v>
      </c>
      <c r="F3389" s="76">
        <f>J3389+H3389+L3389</f>
        <v>130435.3</v>
      </c>
      <c r="G3389" s="78">
        <f>노무비목록표!E21</f>
        <v>320480</v>
      </c>
      <c r="H3389" s="81">
        <f>IF(C3389=0,0,ROUNDDOWN(G3389*C3389,1))</f>
        <v>130435.3</v>
      </c>
      <c r="I3389" s="51">
        <v>0</v>
      </c>
      <c r="J3389" s="77">
        <f>IF(C3389=0,0,ROUNDDOWN(I3389*C3389,1))</f>
        <v>0</v>
      </c>
      <c r="K3389" s="51">
        <v>0</v>
      </c>
      <c r="L3389" s="76">
        <f>IF(C3389=0,0,ROUNDDOWN(K3389*C3389,1))</f>
        <v>0</v>
      </c>
      <c r="M3389" s="22" t="s">
        <v>8730</v>
      </c>
      <c r="N3389" s="17" t="s">
        <v>8737</v>
      </c>
      <c r="O3389" s="7" t="s">
        <v>8729</v>
      </c>
      <c r="P3389" s="7" t="s">
        <v>6406</v>
      </c>
      <c r="Z3389" s="3" t="str">
        <f ca="1">HYPERLINK("#"&amp;노무비목록표!G2&amp;"!A"&amp;ROW(노무비목록표!A21),"노무18 →")</f>
        <v>노무18 →</v>
      </c>
    </row>
    <row r="3390" spans="1:26" ht="28.7" customHeight="1" x14ac:dyDescent="0.3">
      <c r="A3390" s="10" t="s">
        <v>3105</v>
      </c>
      <c r="B3390" s="10"/>
      <c r="C3390" s="75">
        <v>0.20300000000000001</v>
      </c>
      <c r="D3390" s="31" t="s">
        <v>3074</v>
      </c>
      <c r="E3390" s="55">
        <f>I3390+G3390+K3390</f>
        <v>226122</v>
      </c>
      <c r="F3390" s="76">
        <f>J3390+H3390+L3390</f>
        <v>45902.7</v>
      </c>
      <c r="G3390" s="78">
        <f>노무비목록표!E20</f>
        <v>226122</v>
      </c>
      <c r="H3390" s="81">
        <f>IF(C3390=0,0,ROUNDDOWN(G3390*C3390,1))</f>
        <v>45902.7</v>
      </c>
      <c r="I3390" s="51">
        <v>0</v>
      </c>
      <c r="J3390" s="77">
        <f>IF(C3390=0,0,ROUNDDOWN(I3390*C3390,1))</f>
        <v>0</v>
      </c>
      <c r="K3390" s="51">
        <v>0</v>
      </c>
      <c r="L3390" s="76">
        <f>IF(C3390=0,0,ROUNDDOWN(K3390*C3390,1))</f>
        <v>0</v>
      </c>
      <c r="M3390" s="22" t="s">
        <v>8455</v>
      </c>
      <c r="N3390" s="17" t="s">
        <v>8472</v>
      </c>
      <c r="O3390" s="7" t="s">
        <v>8454</v>
      </c>
      <c r="P3390" s="7" t="s">
        <v>6406</v>
      </c>
      <c r="Z3390" s="3" t="str">
        <f ca="1">HYPERLINK("#"&amp;노무비목록표!G2&amp;"!A"&amp;ROW(노무비목록표!A20),"노무17 →")</f>
        <v>노무17 →</v>
      </c>
    </row>
    <row r="3391" spans="1:26" ht="28.7" customHeight="1" x14ac:dyDescent="0.3">
      <c r="A3391" s="22" t="s">
        <v>6</v>
      </c>
      <c r="B3391" s="74"/>
      <c r="C3391" s="74"/>
      <c r="D3391" s="74"/>
      <c r="E3391" s="74"/>
      <c r="F3391" s="48">
        <f>J3391+H3391+L3391</f>
        <v>176338</v>
      </c>
      <c r="G3391" s="74"/>
      <c r="H3391" s="48">
        <f>ROUNDDOWN(SUMIF(P3388:P3390,O3391,H3388:H3390),0)</f>
        <v>176338</v>
      </c>
      <c r="I3391" s="74"/>
      <c r="J3391" s="48">
        <f>ROUNDDOWN(SUMIF(P3388:P3390,O3391,J3388:J3390),0)</f>
        <v>0</v>
      </c>
      <c r="K3391" s="74"/>
      <c r="L3391" s="48">
        <f>ROUNDDOWN(SUMIF(P3388:P3390,O3391,L3388:L3390),0)</f>
        <v>0</v>
      </c>
      <c r="M3391" s="74"/>
      <c r="O3391" s="7" t="s">
        <v>6406</v>
      </c>
    </row>
    <row r="3392" spans="1:26" ht="28.7" customHeight="1" x14ac:dyDescent="0.3">
      <c r="A3392" s="73"/>
      <c r="B3392" s="73"/>
      <c r="C3392" s="73"/>
      <c r="D3392" s="73"/>
      <c r="E3392" s="73"/>
      <c r="F3392" s="73"/>
      <c r="G3392" s="73"/>
      <c r="H3392" s="73"/>
      <c r="I3392" s="73"/>
      <c r="J3392" s="73"/>
      <c r="K3392" s="73"/>
      <c r="L3392" s="73"/>
      <c r="M3392" s="73"/>
    </row>
    <row r="3393" spans="1:26" ht="28.7" customHeight="1" x14ac:dyDescent="0.3">
      <c r="A3393" s="136" t="s">
        <v>1867</v>
      </c>
      <c r="B3393" s="127"/>
      <c r="C3393" s="127"/>
      <c r="D3393" s="127"/>
      <c r="E3393" s="127"/>
      <c r="F3393" s="127"/>
      <c r="G3393" s="127"/>
      <c r="H3393" s="127"/>
      <c r="I3393" s="127"/>
      <c r="J3393" s="127"/>
      <c r="K3393" s="127"/>
      <c r="L3393" s="144"/>
      <c r="M3393" s="22" t="s">
        <v>8750</v>
      </c>
      <c r="N3393" s="84" t="str">
        <f>HYPERLINK("#N"&amp;ROW(N3396),"_x0005_`BDCOD|B04833_x0007_`POSS|"&amp;ROW(N3394)&amp;"_x0007_`POSE|"&amp;ROW(N3396)&amp;"_x0007_`")</f>
        <v>_x0005_`BDCOD|B04833_x0007_`POSS|3394_x0007_`POSE|3396_x0007_`</v>
      </c>
      <c r="O3393" s="7" t="s">
        <v>8751</v>
      </c>
    </row>
    <row r="3394" spans="1:26" ht="28.7" customHeight="1" x14ac:dyDescent="0.3">
      <c r="A3394" s="10"/>
      <c r="B3394" s="10" t="s">
        <v>8723</v>
      </c>
      <c r="C3394" s="75">
        <v>0</v>
      </c>
      <c r="D3394" s="31"/>
      <c r="E3394" s="33">
        <v>0</v>
      </c>
      <c r="F3394" s="11">
        <v>0</v>
      </c>
      <c r="G3394" s="42"/>
      <c r="H3394" s="11">
        <v>0</v>
      </c>
      <c r="I3394" s="42"/>
      <c r="J3394" s="33">
        <v>0</v>
      </c>
      <c r="K3394" s="46"/>
      <c r="L3394" s="33">
        <v>0</v>
      </c>
      <c r="M3394" s="22" t="s">
        <v>6509</v>
      </c>
      <c r="N3394" s="17" t="s">
        <v>6507</v>
      </c>
      <c r="O3394" s="7" t="s">
        <v>6508</v>
      </c>
      <c r="P3394" s="7" t="s">
        <v>6508</v>
      </c>
    </row>
    <row r="3395" spans="1:26" ht="28.7" customHeight="1" x14ac:dyDescent="0.3">
      <c r="A3395" s="10" t="s">
        <v>1842</v>
      </c>
      <c r="B3395" s="10" t="s">
        <v>1869</v>
      </c>
      <c r="C3395" s="75">
        <v>1</v>
      </c>
      <c r="D3395" s="31" t="s">
        <v>1010</v>
      </c>
      <c r="E3395" s="55">
        <f>I3395+G3395+K3395</f>
        <v>17341</v>
      </c>
      <c r="F3395" s="76">
        <f>J3395+H3395+L3395</f>
        <v>17341</v>
      </c>
      <c r="G3395" s="78">
        <f>일위대가목록표!F725</f>
        <v>17341</v>
      </c>
      <c r="H3395" s="80">
        <f>IF(C3395=0,0,ROUNDDOWN(G3395*C3395,1))</f>
        <v>17341</v>
      </c>
      <c r="I3395" s="78">
        <f>일위대가목록표!G725</f>
        <v>0</v>
      </c>
      <c r="J3395" s="80">
        <f>IF(C3395=0,0,ROUNDDOWN(I3395*C3395,1))</f>
        <v>0</v>
      </c>
      <c r="K3395" s="78">
        <f>일위대가목록표!H725</f>
        <v>0</v>
      </c>
      <c r="L3395" s="80">
        <f>IF(C3395=0,0,ROUNDDOWN(K3395*C3395,1))</f>
        <v>0</v>
      </c>
      <c r="M3395" s="22" t="s">
        <v>7794</v>
      </c>
      <c r="N3395" s="17" t="s">
        <v>7792</v>
      </c>
      <c r="O3395" s="7" t="s">
        <v>7793</v>
      </c>
      <c r="P3395" s="7" t="s">
        <v>6406</v>
      </c>
      <c r="Z3395" s="3" t="str">
        <f ca="1">HYPERLINK("#"&amp;일위대가목록표!J2&amp;"!A"&amp;ROW(일위대가목록표!A725),"대가722 →")</f>
        <v>대가722 →</v>
      </c>
    </row>
    <row r="3396" spans="1:26" ht="28.7" customHeight="1" x14ac:dyDescent="0.3">
      <c r="A3396" s="10" t="s">
        <v>1845</v>
      </c>
      <c r="B3396" s="10" t="s">
        <v>1562</v>
      </c>
      <c r="C3396" s="75">
        <v>1</v>
      </c>
      <c r="D3396" s="31" t="s">
        <v>1010</v>
      </c>
      <c r="E3396" s="55">
        <f>I3396+G3396+K3396</f>
        <v>43354</v>
      </c>
      <c r="F3396" s="76">
        <f>J3396+H3396+L3396</f>
        <v>43354</v>
      </c>
      <c r="G3396" s="78">
        <f>일위대가목록표!F726</f>
        <v>43354</v>
      </c>
      <c r="H3396" s="80">
        <f>IF(C3396=0,0,ROUNDDOWN(G3396*C3396,1))</f>
        <v>43354</v>
      </c>
      <c r="I3396" s="78">
        <f>일위대가목록표!G726</f>
        <v>0</v>
      </c>
      <c r="J3396" s="80">
        <f>IF(C3396=0,0,ROUNDDOWN(I3396*C3396,1))</f>
        <v>0</v>
      </c>
      <c r="K3396" s="78">
        <f>일위대가목록표!H726</f>
        <v>0</v>
      </c>
      <c r="L3396" s="80">
        <f>IF(C3396=0,0,ROUNDDOWN(K3396*C3396,1))</f>
        <v>0</v>
      </c>
      <c r="M3396" s="22" t="s">
        <v>7776</v>
      </c>
      <c r="N3396" s="17" t="s">
        <v>7774</v>
      </c>
      <c r="O3396" s="7" t="s">
        <v>7775</v>
      </c>
      <c r="P3396" s="7" t="s">
        <v>6406</v>
      </c>
      <c r="Z3396" s="3" t="str">
        <f ca="1">HYPERLINK("#"&amp;일위대가목록표!J2&amp;"!A"&amp;ROW(일위대가목록표!A726),"대가723 →")</f>
        <v>대가723 →</v>
      </c>
    </row>
    <row r="3397" spans="1:26" ht="28.7" customHeight="1" x14ac:dyDescent="0.3">
      <c r="A3397" s="22" t="s">
        <v>6</v>
      </c>
      <c r="B3397" s="74"/>
      <c r="C3397" s="74"/>
      <c r="D3397" s="74"/>
      <c r="E3397" s="74"/>
      <c r="F3397" s="48">
        <f>J3397+H3397+L3397</f>
        <v>60695</v>
      </c>
      <c r="G3397" s="74"/>
      <c r="H3397" s="48">
        <f>ROUNDDOWN(SUMIF(P3394:P3396,O3397,H3394:H3396),0)</f>
        <v>60695</v>
      </c>
      <c r="I3397" s="74"/>
      <c r="J3397" s="48">
        <f>ROUNDDOWN(SUMIF(P3394:P3396,O3397,J3394:J3396),0)</f>
        <v>0</v>
      </c>
      <c r="K3397" s="74"/>
      <c r="L3397" s="48">
        <f>ROUNDDOWN(SUMIF(P3394:P3396,O3397,L3394:L3396),0)</f>
        <v>0</v>
      </c>
      <c r="M3397" s="74"/>
      <c r="O3397" s="7" t="s">
        <v>6406</v>
      </c>
    </row>
    <row r="3398" spans="1:26" ht="28.7" customHeight="1" x14ac:dyDescent="0.3">
      <c r="A3398" s="73"/>
      <c r="B3398" s="73"/>
      <c r="C3398" s="73"/>
      <c r="D3398" s="73"/>
      <c r="E3398" s="73"/>
      <c r="F3398" s="73"/>
      <c r="G3398" s="73"/>
      <c r="H3398" s="73"/>
      <c r="I3398" s="73"/>
      <c r="J3398" s="73"/>
      <c r="K3398" s="73"/>
      <c r="L3398" s="73"/>
      <c r="M3398" s="73"/>
    </row>
    <row r="3399" spans="1:26" ht="28.7" customHeight="1" x14ac:dyDescent="0.3">
      <c r="A3399" s="136" t="s">
        <v>1870</v>
      </c>
      <c r="B3399" s="127"/>
      <c r="C3399" s="127"/>
      <c r="D3399" s="127"/>
      <c r="E3399" s="127"/>
      <c r="F3399" s="127"/>
      <c r="G3399" s="127"/>
      <c r="H3399" s="127"/>
      <c r="I3399" s="127"/>
      <c r="J3399" s="127"/>
      <c r="K3399" s="127"/>
      <c r="L3399" s="144"/>
      <c r="M3399" s="22" t="s">
        <v>8752</v>
      </c>
      <c r="N3399" s="84" t="str">
        <f>HYPERLINK("#N"&amp;ROW(N3401),"_x0005_`BDCOD|B04812_x0007_`POSS|"&amp;ROW(N3400)&amp;"_x0007_`POSE|"&amp;ROW(N3401)&amp;"_x0007_`")</f>
        <v>_x0005_`BDCOD|B04812_x0007_`POSS|3400_x0007_`POSE|3401_x0007_`</v>
      </c>
      <c r="O3399" s="7" t="s">
        <v>8753</v>
      </c>
    </row>
    <row r="3400" spans="1:26" ht="28.7" customHeight="1" x14ac:dyDescent="0.3">
      <c r="A3400" s="10"/>
      <c r="B3400" s="10" t="s">
        <v>8723</v>
      </c>
      <c r="C3400" s="75">
        <v>0</v>
      </c>
      <c r="D3400" s="31"/>
      <c r="E3400" s="33">
        <v>0</v>
      </c>
      <c r="F3400" s="11">
        <v>0</v>
      </c>
      <c r="G3400" s="42"/>
      <c r="H3400" s="11">
        <v>0</v>
      </c>
      <c r="I3400" s="42"/>
      <c r="J3400" s="33">
        <v>0</v>
      </c>
      <c r="K3400" s="46"/>
      <c r="L3400" s="33">
        <v>0</v>
      </c>
      <c r="M3400" s="22" t="s">
        <v>6509</v>
      </c>
      <c r="N3400" s="17" t="s">
        <v>6507</v>
      </c>
      <c r="O3400" s="7" t="s">
        <v>6508</v>
      </c>
      <c r="P3400" s="7" t="s">
        <v>6508</v>
      </c>
    </row>
    <row r="3401" spans="1:26" ht="28.7" customHeight="1" x14ac:dyDescent="0.3">
      <c r="A3401" s="10" t="s">
        <v>1845</v>
      </c>
      <c r="B3401" s="10" t="s">
        <v>1562</v>
      </c>
      <c r="C3401" s="75">
        <v>0.4</v>
      </c>
      <c r="D3401" s="31" t="s">
        <v>1010</v>
      </c>
      <c r="E3401" s="55">
        <f>I3401+G3401+K3401</f>
        <v>43354</v>
      </c>
      <c r="F3401" s="76">
        <f>J3401+H3401+L3401</f>
        <v>17341.599999999999</v>
      </c>
      <c r="G3401" s="78">
        <f>일위대가목록표!F726</f>
        <v>43354</v>
      </c>
      <c r="H3401" s="80">
        <f>IF(C3401=0,0,ROUNDDOWN(G3401*C3401,1))</f>
        <v>17341.599999999999</v>
      </c>
      <c r="I3401" s="78">
        <f>일위대가목록표!G726</f>
        <v>0</v>
      </c>
      <c r="J3401" s="80">
        <f>IF(C3401=0,0,ROUNDDOWN(I3401*C3401,1))</f>
        <v>0</v>
      </c>
      <c r="K3401" s="78">
        <f>일위대가목록표!H726</f>
        <v>0</v>
      </c>
      <c r="L3401" s="80">
        <f>IF(C3401=0,0,ROUNDDOWN(K3401*C3401,1))</f>
        <v>0</v>
      </c>
      <c r="M3401" s="22" t="s">
        <v>7776</v>
      </c>
      <c r="N3401" s="17" t="s">
        <v>7774</v>
      </c>
      <c r="O3401" s="7" t="s">
        <v>7775</v>
      </c>
      <c r="P3401" s="7" t="s">
        <v>6406</v>
      </c>
      <c r="Z3401" s="3" t="str">
        <f ca="1">HYPERLINK("#"&amp;일위대가목록표!J2&amp;"!A"&amp;ROW(일위대가목록표!A726),"대가723 →")</f>
        <v>대가723 →</v>
      </c>
    </row>
    <row r="3402" spans="1:26" ht="28.7" customHeight="1" x14ac:dyDescent="0.3">
      <c r="A3402" s="22" t="s">
        <v>6</v>
      </c>
      <c r="B3402" s="74"/>
      <c r="C3402" s="74"/>
      <c r="D3402" s="74"/>
      <c r="E3402" s="74"/>
      <c r="F3402" s="48">
        <f>J3402+H3402+L3402</f>
        <v>17341</v>
      </c>
      <c r="G3402" s="74"/>
      <c r="H3402" s="48">
        <f>ROUNDDOWN(SUMIF(P3400:P3401,O3402,H3400:H3401),0)</f>
        <v>17341</v>
      </c>
      <c r="I3402" s="74"/>
      <c r="J3402" s="48">
        <f>ROUNDDOWN(SUMIF(P3400:P3401,O3402,J3400:J3401),0)</f>
        <v>0</v>
      </c>
      <c r="K3402" s="74"/>
      <c r="L3402" s="48">
        <f>ROUNDDOWN(SUMIF(P3400:P3401,O3402,L3400:L3401),0)</f>
        <v>0</v>
      </c>
      <c r="M3402" s="74"/>
      <c r="O3402" s="7" t="s">
        <v>6406</v>
      </c>
    </row>
    <row r="3403" spans="1:26" ht="28.7" customHeight="1" x14ac:dyDescent="0.3">
      <c r="A3403" s="73"/>
      <c r="B3403" s="73"/>
      <c r="C3403" s="73"/>
      <c r="D3403" s="73"/>
      <c r="E3403" s="73"/>
      <c r="F3403" s="73"/>
      <c r="G3403" s="73"/>
      <c r="H3403" s="73"/>
      <c r="I3403" s="73"/>
      <c r="J3403" s="73"/>
      <c r="K3403" s="73"/>
      <c r="L3403" s="73"/>
      <c r="M3403" s="73"/>
    </row>
    <row r="3404" spans="1:26" ht="28.7" customHeight="1" x14ac:dyDescent="0.3">
      <c r="A3404" s="136" t="s">
        <v>1872</v>
      </c>
      <c r="B3404" s="127"/>
      <c r="C3404" s="127"/>
      <c r="D3404" s="127"/>
      <c r="E3404" s="127"/>
      <c r="F3404" s="127"/>
      <c r="G3404" s="127"/>
      <c r="H3404" s="127"/>
      <c r="I3404" s="127"/>
      <c r="J3404" s="127"/>
      <c r="K3404" s="127"/>
      <c r="L3404" s="144"/>
      <c r="M3404" s="22" t="s">
        <v>8754</v>
      </c>
      <c r="N3404" s="84" t="str">
        <f>HYPERLINK("#N"&amp;ROW(N3407),"_x0005_`BDCOD|B04824_x0007_`POSS|"&amp;ROW(N3405)&amp;"_x0007_`POSE|"&amp;ROW(N3407)&amp;"_x0007_`")</f>
        <v>_x0005_`BDCOD|B04824_x0007_`POSS|3405_x0007_`POSE|3407_x0007_`</v>
      </c>
      <c r="O3404" s="7" t="s">
        <v>8755</v>
      </c>
    </row>
    <row r="3405" spans="1:26" ht="28.7" customHeight="1" x14ac:dyDescent="0.3">
      <c r="A3405" s="10"/>
      <c r="B3405" s="10" t="s">
        <v>8723</v>
      </c>
      <c r="C3405" s="75">
        <v>0</v>
      </c>
      <c r="D3405" s="31"/>
      <c r="E3405" s="33">
        <v>0</v>
      </c>
      <c r="F3405" s="11">
        <v>0</v>
      </c>
      <c r="G3405" s="42"/>
      <c r="H3405" s="11">
        <v>0</v>
      </c>
      <c r="I3405" s="42"/>
      <c r="J3405" s="33">
        <v>0</v>
      </c>
      <c r="K3405" s="46"/>
      <c r="L3405" s="33">
        <v>0</v>
      </c>
      <c r="M3405" s="22" t="s">
        <v>6509</v>
      </c>
      <c r="N3405" s="17" t="s">
        <v>6507</v>
      </c>
      <c r="O3405" s="7" t="s">
        <v>6508</v>
      </c>
      <c r="P3405" s="7" t="s">
        <v>6508</v>
      </c>
    </row>
    <row r="3406" spans="1:26" ht="28.7" customHeight="1" x14ac:dyDescent="0.3">
      <c r="A3406" s="10" t="s">
        <v>3107</v>
      </c>
      <c r="B3406" s="10"/>
      <c r="C3406" s="75">
        <v>0.1</v>
      </c>
      <c r="D3406" s="31" t="s">
        <v>3074</v>
      </c>
      <c r="E3406" s="55">
        <f>I3406+G3406+K3406</f>
        <v>320480</v>
      </c>
      <c r="F3406" s="76">
        <f>J3406+H3406+L3406</f>
        <v>32048</v>
      </c>
      <c r="G3406" s="78">
        <f>노무비목록표!E21</f>
        <v>320480</v>
      </c>
      <c r="H3406" s="81">
        <f>IF(C3406=0,0,ROUNDDOWN(G3406*C3406,1))</f>
        <v>32048</v>
      </c>
      <c r="I3406" s="51">
        <v>0</v>
      </c>
      <c r="J3406" s="77">
        <f>IF(C3406=0,0,ROUNDDOWN(I3406*C3406,1))</f>
        <v>0</v>
      </c>
      <c r="K3406" s="51">
        <v>0</v>
      </c>
      <c r="L3406" s="76">
        <f>IF(C3406=0,0,ROUNDDOWN(K3406*C3406,1))</f>
        <v>0</v>
      </c>
      <c r="M3406" s="22" t="s">
        <v>8730</v>
      </c>
      <c r="N3406" s="17" t="s">
        <v>8737</v>
      </c>
      <c r="O3406" s="7" t="s">
        <v>8729</v>
      </c>
      <c r="P3406" s="7" t="s">
        <v>6406</v>
      </c>
      <c r="Z3406" s="3" t="str">
        <f ca="1">HYPERLINK("#"&amp;노무비목록표!G2&amp;"!A"&amp;ROW(노무비목록표!A21),"노무18 →")</f>
        <v>노무18 →</v>
      </c>
    </row>
    <row r="3407" spans="1:26" ht="28.7" customHeight="1" x14ac:dyDescent="0.3">
      <c r="A3407" s="10" t="s">
        <v>3105</v>
      </c>
      <c r="B3407" s="10"/>
      <c r="C3407" s="75">
        <v>0.05</v>
      </c>
      <c r="D3407" s="31" t="s">
        <v>3074</v>
      </c>
      <c r="E3407" s="55">
        <f>I3407+G3407+K3407</f>
        <v>226122</v>
      </c>
      <c r="F3407" s="76">
        <f>J3407+H3407+L3407</f>
        <v>11306.1</v>
      </c>
      <c r="G3407" s="78">
        <f>노무비목록표!E20</f>
        <v>226122</v>
      </c>
      <c r="H3407" s="81">
        <f>IF(C3407=0,0,ROUNDDOWN(G3407*C3407,1))</f>
        <v>11306.1</v>
      </c>
      <c r="I3407" s="51">
        <v>0</v>
      </c>
      <c r="J3407" s="77">
        <f>IF(C3407=0,0,ROUNDDOWN(I3407*C3407,1))</f>
        <v>0</v>
      </c>
      <c r="K3407" s="51">
        <v>0</v>
      </c>
      <c r="L3407" s="76">
        <f>IF(C3407=0,0,ROUNDDOWN(K3407*C3407,1))</f>
        <v>0</v>
      </c>
      <c r="M3407" s="22" t="s">
        <v>8455</v>
      </c>
      <c r="N3407" s="17" t="s">
        <v>8472</v>
      </c>
      <c r="O3407" s="7" t="s">
        <v>8454</v>
      </c>
      <c r="P3407" s="7" t="s">
        <v>6406</v>
      </c>
      <c r="Z3407" s="3" t="str">
        <f ca="1">HYPERLINK("#"&amp;노무비목록표!G2&amp;"!A"&amp;ROW(노무비목록표!A20),"노무17 →")</f>
        <v>노무17 →</v>
      </c>
    </row>
    <row r="3408" spans="1:26" ht="28.7" customHeight="1" x14ac:dyDescent="0.3">
      <c r="A3408" s="22" t="s">
        <v>6</v>
      </c>
      <c r="B3408" s="74"/>
      <c r="C3408" s="74"/>
      <c r="D3408" s="74"/>
      <c r="E3408" s="74"/>
      <c r="F3408" s="48">
        <f>J3408+H3408+L3408</f>
        <v>43354</v>
      </c>
      <c r="G3408" s="74"/>
      <c r="H3408" s="48">
        <f>ROUNDDOWN(SUMIF(P3405:P3407,O3408,H3405:H3407),0)</f>
        <v>43354</v>
      </c>
      <c r="I3408" s="74"/>
      <c r="J3408" s="48">
        <f>ROUNDDOWN(SUMIF(P3405:P3407,O3408,J3405:J3407),0)</f>
        <v>0</v>
      </c>
      <c r="K3408" s="74"/>
      <c r="L3408" s="48">
        <f>ROUNDDOWN(SUMIF(P3405:P3407,O3408,L3405:L3407),0)</f>
        <v>0</v>
      </c>
      <c r="M3408" s="74"/>
      <c r="O3408" s="7" t="s">
        <v>6406</v>
      </c>
    </row>
    <row r="3409" spans="1:26" ht="28.7" customHeight="1" x14ac:dyDescent="0.3">
      <c r="A3409" s="73"/>
      <c r="B3409" s="73"/>
      <c r="C3409" s="73"/>
      <c r="D3409" s="73"/>
      <c r="E3409" s="73"/>
      <c r="F3409" s="73"/>
      <c r="G3409" s="73"/>
      <c r="H3409" s="73"/>
      <c r="I3409" s="73"/>
      <c r="J3409" s="73"/>
      <c r="K3409" s="73"/>
      <c r="L3409" s="73"/>
      <c r="M3409" s="73"/>
    </row>
    <row r="3410" spans="1:26" ht="28.7" customHeight="1" x14ac:dyDescent="0.3">
      <c r="A3410" s="136" t="s">
        <v>1874</v>
      </c>
      <c r="B3410" s="127"/>
      <c r="C3410" s="127"/>
      <c r="D3410" s="127"/>
      <c r="E3410" s="127"/>
      <c r="F3410" s="127"/>
      <c r="G3410" s="127"/>
      <c r="H3410" s="127"/>
      <c r="I3410" s="127"/>
      <c r="J3410" s="127"/>
      <c r="K3410" s="127"/>
      <c r="L3410" s="144"/>
      <c r="M3410" s="22" t="s">
        <v>8756</v>
      </c>
      <c r="N3410" s="84" t="str">
        <f>HYPERLINK("#N"&amp;ROW(N3412),"_x0005_`BDCOD|B05066_x0007_`POSS|"&amp;ROW(N3411)&amp;"_x0007_`POSE|"&amp;ROW(N3412)&amp;"_x0007_`")</f>
        <v>_x0005_`BDCOD|B05066_x0007_`POSS|3411_x0007_`POSE|3412_x0007_`</v>
      </c>
      <c r="O3410" s="7" t="s">
        <v>8757</v>
      </c>
    </row>
    <row r="3411" spans="1:26" ht="28.7" customHeight="1" x14ac:dyDescent="0.3">
      <c r="A3411" s="10"/>
      <c r="B3411" s="10" t="s">
        <v>8723</v>
      </c>
      <c r="C3411" s="75">
        <v>0</v>
      </c>
      <c r="D3411" s="31"/>
      <c r="E3411" s="33">
        <v>0</v>
      </c>
      <c r="F3411" s="11">
        <v>0</v>
      </c>
      <c r="G3411" s="42"/>
      <c r="H3411" s="11">
        <v>0</v>
      </c>
      <c r="I3411" s="42"/>
      <c r="J3411" s="33">
        <v>0</v>
      </c>
      <c r="K3411" s="46"/>
      <c r="L3411" s="33">
        <v>0</v>
      </c>
      <c r="M3411" s="22" t="s">
        <v>6509</v>
      </c>
      <c r="N3411" s="17" t="s">
        <v>6507</v>
      </c>
      <c r="O3411" s="7" t="s">
        <v>6508</v>
      </c>
      <c r="P3411" s="7" t="s">
        <v>6508</v>
      </c>
    </row>
    <row r="3412" spans="1:26" ht="28.7" customHeight="1" x14ac:dyDescent="0.3">
      <c r="A3412" s="10" t="s">
        <v>1845</v>
      </c>
      <c r="B3412" s="10" t="s">
        <v>1879</v>
      </c>
      <c r="C3412" s="75">
        <v>0.4</v>
      </c>
      <c r="D3412" s="31" t="s">
        <v>1010</v>
      </c>
      <c r="E3412" s="55">
        <f>I3412+G3412+K3412</f>
        <v>176338</v>
      </c>
      <c r="F3412" s="76">
        <f>J3412+H3412+L3412</f>
        <v>70535.199999999997</v>
      </c>
      <c r="G3412" s="78">
        <f>일위대가목록표!F728</f>
        <v>176338</v>
      </c>
      <c r="H3412" s="80">
        <f>IF(C3412=0,0,ROUNDDOWN(G3412*C3412,1))</f>
        <v>70535.199999999997</v>
      </c>
      <c r="I3412" s="78">
        <f>일위대가목록표!G728</f>
        <v>0</v>
      </c>
      <c r="J3412" s="80">
        <f>IF(C3412=0,0,ROUNDDOWN(I3412*C3412,1))</f>
        <v>0</v>
      </c>
      <c r="K3412" s="78">
        <f>일위대가목록표!H728</f>
        <v>0</v>
      </c>
      <c r="L3412" s="80">
        <f>IF(C3412=0,0,ROUNDDOWN(K3412*C3412,1))</f>
        <v>0</v>
      </c>
      <c r="M3412" s="22" t="s">
        <v>7789</v>
      </c>
      <c r="N3412" s="17" t="s">
        <v>7787</v>
      </c>
      <c r="O3412" s="7" t="s">
        <v>7788</v>
      </c>
      <c r="P3412" s="7" t="s">
        <v>6406</v>
      </c>
      <c r="Z3412" s="3" t="str">
        <f ca="1">HYPERLINK("#"&amp;일위대가목록표!J2&amp;"!A"&amp;ROW(일위대가목록표!A728),"대가725 →")</f>
        <v>대가725 →</v>
      </c>
    </row>
    <row r="3413" spans="1:26" ht="28.7" customHeight="1" x14ac:dyDescent="0.3">
      <c r="A3413" s="22" t="s">
        <v>6</v>
      </c>
      <c r="B3413" s="74"/>
      <c r="C3413" s="74"/>
      <c r="D3413" s="74"/>
      <c r="E3413" s="74"/>
      <c r="F3413" s="48">
        <f>J3413+H3413+L3413</f>
        <v>70535</v>
      </c>
      <c r="G3413" s="74"/>
      <c r="H3413" s="48">
        <f>ROUNDDOWN(SUMIF(P3411:P3412,O3413,H3411:H3412),0)</f>
        <v>70535</v>
      </c>
      <c r="I3413" s="74"/>
      <c r="J3413" s="48">
        <f>ROUNDDOWN(SUMIF(P3411:P3412,O3413,J3411:J3412),0)</f>
        <v>0</v>
      </c>
      <c r="K3413" s="74"/>
      <c r="L3413" s="48">
        <f>ROUNDDOWN(SUMIF(P3411:P3412,O3413,L3411:L3412),0)</f>
        <v>0</v>
      </c>
      <c r="M3413" s="74"/>
      <c r="O3413" s="7" t="s">
        <v>6406</v>
      </c>
    </row>
    <row r="3414" spans="1:26" ht="28.7" customHeight="1" x14ac:dyDescent="0.3">
      <c r="A3414" s="73"/>
      <c r="B3414" s="73"/>
      <c r="C3414" s="73"/>
      <c r="D3414" s="73"/>
      <c r="E3414" s="73"/>
      <c r="F3414" s="73"/>
      <c r="G3414" s="73"/>
      <c r="H3414" s="73"/>
      <c r="I3414" s="73"/>
      <c r="J3414" s="73"/>
      <c r="K3414" s="73"/>
      <c r="L3414" s="73"/>
      <c r="M3414" s="73"/>
    </row>
    <row r="3415" spans="1:26" ht="28.7" customHeight="1" x14ac:dyDescent="0.3">
      <c r="A3415" s="136" t="s">
        <v>1877</v>
      </c>
      <c r="B3415" s="127"/>
      <c r="C3415" s="127"/>
      <c r="D3415" s="127"/>
      <c r="E3415" s="127"/>
      <c r="F3415" s="127"/>
      <c r="G3415" s="127"/>
      <c r="H3415" s="127"/>
      <c r="I3415" s="127"/>
      <c r="J3415" s="127"/>
      <c r="K3415" s="127"/>
      <c r="L3415" s="144"/>
      <c r="M3415" s="22" t="s">
        <v>8758</v>
      </c>
      <c r="N3415" s="84" t="str">
        <f>HYPERLINK("#N"&amp;ROW(N3418),"_x0005_`BDCOD|B05069_x0007_`POSS|"&amp;ROW(N3416)&amp;"_x0007_`POSE|"&amp;ROW(N3418)&amp;"_x0007_`")</f>
        <v>_x0005_`BDCOD|B05069_x0007_`POSS|3416_x0007_`POSE|3418_x0007_`</v>
      </c>
      <c r="O3415" s="7" t="s">
        <v>8759</v>
      </c>
    </row>
    <row r="3416" spans="1:26" ht="28.7" customHeight="1" x14ac:dyDescent="0.3">
      <c r="A3416" s="10"/>
      <c r="B3416" s="10" t="s">
        <v>8723</v>
      </c>
      <c r="C3416" s="75">
        <v>0</v>
      </c>
      <c r="D3416" s="31"/>
      <c r="E3416" s="33">
        <v>0</v>
      </c>
      <c r="F3416" s="11">
        <v>0</v>
      </c>
      <c r="G3416" s="42"/>
      <c r="H3416" s="11">
        <v>0</v>
      </c>
      <c r="I3416" s="42"/>
      <c r="J3416" s="33">
        <v>0</v>
      </c>
      <c r="K3416" s="46"/>
      <c r="L3416" s="33">
        <v>0</v>
      </c>
      <c r="M3416" s="22" t="s">
        <v>6509</v>
      </c>
      <c r="N3416" s="17" t="s">
        <v>6507</v>
      </c>
      <c r="O3416" s="7" t="s">
        <v>6508</v>
      </c>
      <c r="P3416" s="7" t="s">
        <v>6508</v>
      </c>
    </row>
    <row r="3417" spans="1:26" ht="28.7" customHeight="1" x14ac:dyDescent="0.3">
      <c r="A3417" s="10" t="s">
        <v>3107</v>
      </c>
      <c r="B3417" s="10"/>
      <c r="C3417" s="75">
        <v>0.40699999999999997</v>
      </c>
      <c r="D3417" s="31" t="s">
        <v>3074</v>
      </c>
      <c r="E3417" s="55">
        <f>I3417+G3417+K3417</f>
        <v>320480</v>
      </c>
      <c r="F3417" s="76">
        <f>J3417+H3417+L3417</f>
        <v>130435.3</v>
      </c>
      <c r="G3417" s="78">
        <f>노무비목록표!E21</f>
        <v>320480</v>
      </c>
      <c r="H3417" s="81">
        <f>IF(C3417=0,0,ROUNDDOWN(G3417*C3417,1))</f>
        <v>130435.3</v>
      </c>
      <c r="I3417" s="51">
        <v>0</v>
      </c>
      <c r="J3417" s="77">
        <f>IF(C3417=0,0,ROUNDDOWN(I3417*C3417,1))</f>
        <v>0</v>
      </c>
      <c r="K3417" s="51">
        <v>0</v>
      </c>
      <c r="L3417" s="76">
        <f>IF(C3417=0,0,ROUNDDOWN(K3417*C3417,1))</f>
        <v>0</v>
      </c>
      <c r="M3417" s="22" t="s">
        <v>8730</v>
      </c>
      <c r="N3417" s="17" t="s">
        <v>8737</v>
      </c>
      <c r="O3417" s="7" t="s">
        <v>8729</v>
      </c>
      <c r="P3417" s="7" t="s">
        <v>6406</v>
      </c>
      <c r="Z3417" s="3" t="str">
        <f ca="1">HYPERLINK("#"&amp;노무비목록표!G2&amp;"!A"&amp;ROW(노무비목록표!A21),"노무18 →")</f>
        <v>노무18 →</v>
      </c>
    </row>
    <row r="3418" spans="1:26" ht="28.7" customHeight="1" x14ac:dyDescent="0.3">
      <c r="A3418" s="10" t="s">
        <v>3105</v>
      </c>
      <c r="B3418" s="10"/>
      <c r="C3418" s="75">
        <v>0.20300000000000001</v>
      </c>
      <c r="D3418" s="31" t="s">
        <v>3074</v>
      </c>
      <c r="E3418" s="55">
        <f>I3418+G3418+K3418</f>
        <v>226122</v>
      </c>
      <c r="F3418" s="76">
        <f>J3418+H3418+L3418</f>
        <v>45902.7</v>
      </c>
      <c r="G3418" s="78">
        <f>노무비목록표!E20</f>
        <v>226122</v>
      </c>
      <c r="H3418" s="81">
        <f>IF(C3418=0,0,ROUNDDOWN(G3418*C3418,1))</f>
        <v>45902.7</v>
      </c>
      <c r="I3418" s="51">
        <v>0</v>
      </c>
      <c r="J3418" s="77">
        <f>IF(C3418=0,0,ROUNDDOWN(I3418*C3418,1))</f>
        <v>0</v>
      </c>
      <c r="K3418" s="51">
        <v>0</v>
      </c>
      <c r="L3418" s="76">
        <f>IF(C3418=0,0,ROUNDDOWN(K3418*C3418,1))</f>
        <v>0</v>
      </c>
      <c r="M3418" s="22" t="s">
        <v>8455</v>
      </c>
      <c r="N3418" s="17" t="s">
        <v>8472</v>
      </c>
      <c r="O3418" s="7" t="s">
        <v>8454</v>
      </c>
      <c r="P3418" s="7" t="s">
        <v>6406</v>
      </c>
      <c r="Z3418" s="3" t="str">
        <f ca="1">HYPERLINK("#"&amp;노무비목록표!G2&amp;"!A"&amp;ROW(노무비목록표!A20),"노무17 →")</f>
        <v>노무17 →</v>
      </c>
    </row>
    <row r="3419" spans="1:26" ht="28.7" customHeight="1" x14ac:dyDescent="0.3">
      <c r="A3419" s="22" t="s">
        <v>6</v>
      </c>
      <c r="B3419" s="74"/>
      <c r="C3419" s="74"/>
      <c r="D3419" s="74"/>
      <c r="E3419" s="74"/>
      <c r="F3419" s="48">
        <f>J3419+H3419+L3419</f>
        <v>176338</v>
      </c>
      <c r="G3419" s="74"/>
      <c r="H3419" s="48">
        <f>ROUNDDOWN(SUMIF(P3416:P3418,O3419,H3416:H3418),0)</f>
        <v>176338</v>
      </c>
      <c r="I3419" s="74"/>
      <c r="J3419" s="48">
        <f>ROUNDDOWN(SUMIF(P3416:P3418,O3419,J3416:J3418),0)</f>
        <v>0</v>
      </c>
      <c r="K3419" s="74"/>
      <c r="L3419" s="48">
        <f>ROUNDDOWN(SUMIF(P3416:P3418,O3419,L3416:L3418),0)</f>
        <v>0</v>
      </c>
      <c r="M3419" s="74"/>
      <c r="O3419" s="7" t="s">
        <v>6406</v>
      </c>
    </row>
    <row r="3420" spans="1:26" ht="28.7" customHeight="1" x14ac:dyDescent="0.3">
      <c r="A3420" s="73"/>
      <c r="B3420" s="73"/>
      <c r="C3420" s="73"/>
      <c r="D3420" s="73"/>
      <c r="E3420" s="73"/>
      <c r="F3420" s="73"/>
      <c r="G3420" s="73"/>
      <c r="H3420" s="73"/>
      <c r="I3420" s="73"/>
      <c r="J3420" s="73"/>
      <c r="K3420" s="73"/>
      <c r="L3420" s="73"/>
      <c r="M3420" s="73"/>
    </row>
    <row r="3421" spans="1:26" ht="28.7" customHeight="1" x14ac:dyDescent="0.3">
      <c r="A3421" s="136" t="s">
        <v>1880</v>
      </c>
      <c r="B3421" s="127"/>
      <c r="C3421" s="127"/>
      <c r="D3421" s="127"/>
      <c r="E3421" s="127"/>
      <c r="F3421" s="127"/>
      <c r="G3421" s="127"/>
      <c r="H3421" s="127"/>
      <c r="I3421" s="127"/>
      <c r="J3421" s="127"/>
      <c r="K3421" s="127"/>
      <c r="L3421" s="144"/>
      <c r="M3421" s="22" t="s">
        <v>8760</v>
      </c>
      <c r="N3421" s="84" t="str">
        <f>HYPERLINK("#N"&amp;ROW(N3424),"_x0005_`BDCOD|B05068_x0007_`POSS|"&amp;ROW(N3422)&amp;"_x0007_`POSE|"&amp;ROW(N3424)&amp;"_x0007_`")</f>
        <v>_x0005_`BDCOD|B05068_x0007_`POSS|3422_x0007_`POSE|3424_x0007_`</v>
      </c>
      <c r="O3421" s="7" t="s">
        <v>8761</v>
      </c>
    </row>
    <row r="3422" spans="1:26" ht="28.7" customHeight="1" x14ac:dyDescent="0.3">
      <c r="A3422" s="10"/>
      <c r="B3422" s="10" t="s">
        <v>8723</v>
      </c>
      <c r="C3422" s="75">
        <v>0</v>
      </c>
      <c r="D3422" s="31"/>
      <c r="E3422" s="33">
        <v>0</v>
      </c>
      <c r="F3422" s="11">
        <v>0</v>
      </c>
      <c r="G3422" s="42"/>
      <c r="H3422" s="11">
        <v>0</v>
      </c>
      <c r="I3422" s="42"/>
      <c r="J3422" s="33">
        <v>0</v>
      </c>
      <c r="K3422" s="46"/>
      <c r="L3422" s="33">
        <v>0</v>
      </c>
      <c r="M3422" s="22" t="s">
        <v>6509</v>
      </c>
      <c r="N3422" s="17" t="s">
        <v>6507</v>
      </c>
      <c r="O3422" s="7" t="s">
        <v>6508</v>
      </c>
      <c r="P3422" s="7" t="s">
        <v>6508</v>
      </c>
    </row>
    <row r="3423" spans="1:26" ht="28.7" customHeight="1" x14ac:dyDescent="0.3">
      <c r="A3423" s="10" t="s">
        <v>1842</v>
      </c>
      <c r="B3423" s="10" t="s">
        <v>1869</v>
      </c>
      <c r="C3423" s="75">
        <v>1</v>
      </c>
      <c r="D3423" s="31" t="s">
        <v>1010</v>
      </c>
      <c r="E3423" s="55">
        <f>I3423+G3423+K3423</f>
        <v>17341</v>
      </c>
      <c r="F3423" s="76">
        <f>J3423+H3423+L3423</f>
        <v>17341</v>
      </c>
      <c r="G3423" s="78">
        <f>일위대가목록표!F725</f>
        <v>17341</v>
      </c>
      <c r="H3423" s="80">
        <f>IF(C3423=0,0,ROUNDDOWN(G3423*C3423,1))</f>
        <v>17341</v>
      </c>
      <c r="I3423" s="78">
        <f>일위대가목록표!G725</f>
        <v>0</v>
      </c>
      <c r="J3423" s="80">
        <f>IF(C3423=0,0,ROUNDDOWN(I3423*C3423,1))</f>
        <v>0</v>
      </c>
      <c r="K3423" s="78">
        <f>일위대가목록표!H725</f>
        <v>0</v>
      </c>
      <c r="L3423" s="80">
        <f>IF(C3423=0,0,ROUNDDOWN(K3423*C3423,1))</f>
        <v>0</v>
      </c>
      <c r="M3423" s="22" t="s">
        <v>7794</v>
      </c>
      <c r="N3423" s="17" t="s">
        <v>7792</v>
      </c>
      <c r="O3423" s="7" t="s">
        <v>7793</v>
      </c>
      <c r="P3423" s="7" t="s">
        <v>6406</v>
      </c>
      <c r="Z3423" s="3" t="str">
        <f ca="1">HYPERLINK("#"&amp;일위대가목록표!J2&amp;"!A"&amp;ROW(일위대가목록표!A725),"대가722 →")</f>
        <v>대가722 →</v>
      </c>
    </row>
    <row r="3424" spans="1:26" ht="28.7" customHeight="1" x14ac:dyDescent="0.3">
      <c r="A3424" s="10" t="s">
        <v>1845</v>
      </c>
      <c r="B3424" s="10" t="s">
        <v>1562</v>
      </c>
      <c r="C3424" s="75">
        <v>1</v>
      </c>
      <c r="D3424" s="31" t="s">
        <v>1010</v>
      </c>
      <c r="E3424" s="55">
        <f>I3424+G3424+K3424</f>
        <v>43354</v>
      </c>
      <c r="F3424" s="76">
        <f>J3424+H3424+L3424</f>
        <v>43354</v>
      </c>
      <c r="G3424" s="78">
        <f>일위대가목록표!F726</f>
        <v>43354</v>
      </c>
      <c r="H3424" s="80">
        <f>IF(C3424=0,0,ROUNDDOWN(G3424*C3424,1))</f>
        <v>43354</v>
      </c>
      <c r="I3424" s="78">
        <f>일위대가목록표!G726</f>
        <v>0</v>
      </c>
      <c r="J3424" s="80">
        <f>IF(C3424=0,0,ROUNDDOWN(I3424*C3424,1))</f>
        <v>0</v>
      </c>
      <c r="K3424" s="78">
        <f>일위대가목록표!H726</f>
        <v>0</v>
      </c>
      <c r="L3424" s="80">
        <f>IF(C3424=0,0,ROUNDDOWN(K3424*C3424,1))</f>
        <v>0</v>
      </c>
      <c r="M3424" s="22" t="s">
        <v>7776</v>
      </c>
      <c r="N3424" s="17" t="s">
        <v>7774</v>
      </c>
      <c r="O3424" s="7" t="s">
        <v>7775</v>
      </c>
      <c r="P3424" s="7" t="s">
        <v>6406</v>
      </c>
      <c r="Z3424" s="3" t="str">
        <f ca="1">HYPERLINK("#"&amp;일위대가목록표!J2&amp;"!A"&amp;ROW(일위대가목록표!A726),"대가723 →")</f>
        <v>대가723 →</v>
      </c>
    </row>
    <row r="3425" spans="1:26" ht="28.7" customHeight="1" x14ac:dyDescent="0.3">
      <c r="A3425" s="22" t="s">
        <v>6</v>
      </c>
      <c r="B3425" s="74"/>
      <c r="C3425" s="74"/>
      <c r="D3425" s="74"/>
      <c r="E3425" s="74"/>
      <c r="F3425" s="48">
        <f>J3425+H3425+L3425</f>
        <v>60695</v>
      </c>
      <c r="G3425" s="74"/>
      <c r="H3425" s="48">
        <f>ROUNDDOWN(SUMIF(P3422:P3424,O3425,H3422:H3424),0)</f>
        <v>60695</v>
      </c>
      <c r="I3425" s="74"/>
      <c r="J3425" s="48">
        <f>ROUNDDOWN(SUMIF(P3422:P3424,O3425,J3422:J3424),0)</f>
        <v>0</v>
      </c>
      <c r="K3425" s="74"/>
      <c r="L3425" s="48">
        <f>ROUNDDOWN(SUMIF(P3422:P3424,O3425,L3422:L3424),0)</f>
        <v>0</v>
      </c>
      <c r="M3425" s="74"/>
      <c r="O3425" s="7" t="s">
        <v>6406</v>
      </c>
    </row>
    <row r="3426" spans="1:26" ht="28.7" customHeight="1" x14ac:dyDescent="0.3">
      <c r="A3426" s="73"/>
      <c r="B3426" s="73"/>
      <c r="C3426" s="73"/>
      <c r="D3426" s="73"/>
      <c r="E3426" s="73"/>
      <c r="F3426" s="73"/>
      <c r="G3426" s="73"/>
      <c r="H3426" s="73"/>
      <c r="I3426" s="73"/>
      <c r="J3426" s="73"/>
      <c r="K3426" s="73"/>
      <c r="L3426" s="73"/>
      <c r="M3426" s="73"/>
    </row>
    <row r="3427" spans="1:26" ht="28.7" customHeight="1" x14ac:dyDescent="0.3">
      <c r="A3427" s="136" t="s">
        <v>1883</v>
      </c>
      <c r="B3427" s="127"/>
      <c r="C3427" s="127"/>
      <c r="D3427" s="127"/>
      <c r="E3427" s="127"/>
      <c r="F3427" s="127"/>
      <c r="G3427" s="127"/>
      <c r="H3427" s="127"/>
      <c r="I3427" s="127"/>
      <c r="J3427" s="127"/>
      <c r="K3427" s="127"/>
      <c r="L3427" s="144"/>
      <c r="M3427" s="22" t="s">
        <v>8762</v>
      </c>
      <c r="N3427" s="84" t="str">
        <f>HYPERLINK("#N"&amp;ROW(N3430),"_x0005_`BDCOD|B05071_x0007_`POSS|"&amp;ROW(N3428)&amp;"_x0007_`POSE|"&amp;ROW(N3430)&amp;"_x0007_`")</f>
        <v>_x0005_`BDCOD|B05071_x0007_`POSS|3428_x0007_`POSE|3430_x0007_`</v>
      </c>
      <c r="O3427" s="7" t="s">
        <v>8763</v>
      </c>
    </row>
    <row r="3428" spans="1:26" ht="28.7" customHeight="1" x14ac:dyDescent="0.3">
      <c r="A3428" s="10"/>
      <c r="B3428" s="10" t="s">
        <v>8723</v>
      </c>
      <c r="C3428" s="75">
        <v>0</v>
      </c>
      <c r="D3428" s="31"/>
      <c r="E3428" s="33">
        <v>0</v>
      </c>
      <c r="F3428" s="11">
        <v>0</v>
      </c>
      <c r="G3428" s="42"/>
      <c r="H3428" s="11">
        <v>0</v>
      </c>
      <c r="I3428" s="42"/>
      <c r="J3428" s="33">
        <v>0</v>
      </c>
      <c r="K3428" s="46"/>
      <c r="L3428" s="33">
        <v>0</v>
      </c>
      <c r="M3428" s="22" t="s">
        <v>6509</v>
      </c>
      <c r="N3428" s="17" t="s">
        <v>6507</v>
      </c>
      <c r="O3428" s="7" t="s">
        <v>6508</v>
      </c>
      <c r="P3428" s="7" t="s">
        <v>6508</v>
      </c>
    </row>
    <row r="3429" spans="1:26" ht="28.7" customHeight="1" x14ac:dyDescent="0.3">
      <c r="A3429" s="10" t="s">
        <v>1842</v>
      </c>
      <c r="B3429" s="10" t="s">
        <v>1862</v>
      </c>
      <c r="C3429" s="75">
        <v>1</v>
      </c>
      <c r="D3429" s="31" t="s">
        <v>1010</v>
      </c>
      <c r="E3429" s="55">
        <f>I3429+G3429+K3429</f>
        <v>70535</v>
      </c>
      <c r="F3429" s="76">
        <f>J3429+H3429+L3429</f>
        <v>70535</v>
      </c>
      <c r="G3429" s="78">
        <f>일위대가목록표!F722</f>
        <v>70535</v>
      </c>
      <c r="H3429" s="80">
        <f>IF(C3429=0,0,ROUNDDOWN(G3429*C3429,1))</f>
        <v>70535</v>
      </c>
      <c r="I3429" s="78">
        <f>일위대가목록표!G722</f>
        <v>0</v>
      </c>
      <c r="J3429" s="80">
        <f>IF(C3429=0,0,ROUNDDOWN(I3429*C3429,1))</f>
        <v>0</v>
      </c>
      <c r="K3429" s="78">
        <f>일위대가목록표!H722</f>
        <v>0</v>
      </c>
      <c r="L3429" s="80">
        <f>IF(C3429=0,0,ROUNDDOWN(K3429*C3429,1))</f>
        <v>0</v>
      </c>
      <c r="M3429" s="22" t="s">
        <v>7728</v>
      </c>
      <c r="N3429" s="17" t="s">
        <v>7726</v>
      </c>
      <c r="O3429" s="7" t="s">
        <v>7727</v>
      </c>
      <c r="P3429" s="7" t="s">
        <v>6406</v>
      </c>
      <c r="Z3429" s="3" t="str">
        <f ca="1">HYPERLINK("#"&amp;일위대가목록표!J2&amp;"!A"&amp;ROW(일위대가목록표!A722),"대가719 →")</f>
        <v>대가719 →</v>
      </c>
    </row>
    <row r="3430" spans="1:26" ht="28.7" customHeight="1" x14ac:dyDescent="0.3">
      <c r="A3430" s="10" t="s">
        <v>1845</v>
      </c>
      <c r="B3430" s="10" t="s">
        <v>1572</v>
      </c>
      <c r="C3430" s="75">
        <v>1</v>
      </c>
      <c r="D3430" s="31" t="s">
        <v>1010</v>
      </c>
      <c r="E3430" s="55">
        <f>I3430+G3430+K3430</f>
        <v>176338</v>
      </c>
      <c r="F3430" s="76">
        <f>J3430+H3430+L3430</f>
        <v>176338</v>
      </c>
      <c r="G3430" s="78">
        <f>일위대가목록표!F723</f>
        <v>176338</v>
      </c>
      <c r="H3430" s="80">
        <f>IF(C3430=0,0,ROUNDDOWN(G3430*C3430,1))</f>
        <v>176338</v>
      </c>
      <c r="I3430" s="78">
        <f>일위대가목록표!G723</f>
        <v>0</v>
      </c>
      <c r="J3430" s="80">
        <f>IF(C3430=0,0,ROUNDDOWN(I3430*C3430,1))</f>
        <v>0</v>
      </c>
      <c r="K3430" s="78">
        <f>일위대가목록표!H723</f>
        <v>0</v>
      </c>
      <c r="L3430" s="80">
        <f>IF(C3430=0,0,ROUNDDOWN(K3430*C3430,1))</f>
        <v>0</v>
      </c>
      <c r="M3430" s="22" t="s">
        <v>7708</v>
      </c>
      <c r="N3430" s="17" t="s">
        <v>7706</v>
      </c>
      <c r="O3430" s="7" t="s">
        <v>7707</v>
      </c>
      <c r="P3430" s="7" t="s">
        <v>6406</v>
      </c>
      <c r="Z3430" s="3" t="str">
        <f ca="1">HYPERLINK("#"&amp;일위대가목록표!J2&amp;"!A"&amp;ROW(일위대가목록표!A723),"대가720 →")</f>
        <v>대가720 →</v>
      </c>
    </row>
    <row r="3431" spans="1:26" ht="28.7" customHeight="1" x14ac:dyDescent="0.3">
      <c r="A3431" s="22" t="s">
        <v>6</v>
      </c>
      <c r="B3431" s="74"/>
      <c r="C3431" s="74"/>
      <c r="D3431" s="74"/>
      <c r="E3431" s="74"/>
      <c r="F3431" s="48">
        <f>J3431+H3431+L3431</f>
        <v>246873</v>
      </c>
      <c r="G3431" s="74"/>
      <c r="H3431" s="48">
        <f>ROUNDDOWN(SUMIF(P3428:P3430,O3431,H3428:H3430),0)</f>
        <v>246873</v>
      </c>
      <c r="I3431" s="74"/>
      <c r="J3431" s="48">
        <f>ROUNDDOWN(SUMIF(P3428:P3430,O3431,J3428:J3430),0)</f>
        <v>0</v>
      </c>
      <c r="K3431" s="74"/>
      <c r="L3431" s="48">
        <f>ROUNDDOWN(SUMIF(P3428:P3430,O3431,L3428:L3430),0)</f>
        <v>0</v>
      </c>
      <c r="M3431" s="74"/>
      <c r="O3431" s="7" t="s">
        <v>6406</v>
      </c>
    </row>
    <row r="3432" spans="1:26" ht="28.7" customHeight="1" x14ac:dyDescent="0.3">
      <c r="A3432" s="73"/>
      <c r="B3432" s="73"/>
      <c r="C3432" s="73"/>
      <c r="D3432" s="73"/>
      <c r="E3432" s="73"/>
      <c r="F3432" s="73"/>
      <c r="G3432" s="73"/>
      <c r="H3432" s="73"/>
      <c r="I3432" s="73"/>
      <c r="J3432" s="73"/>
      <c r="K3432" s="73"/>
      <c r="L3432" s="73"/>
      <c r="M3432" s="73"/>
    </row>
    <row r="3433" spans="1:26" ht="28.7" customHeight="1" x14ac:dyDescent="0.3">
      <c r="A3433" s="136" t="s">
        <v>1885</v>
      </c>
      <c r="B3433" s="127"/>
      <c r="C3433" s="127"/>
      <c r="D3433" s="127"/>
      <c r="E3433" s="127"/>
      <c r="F3433" s="127"/>
      <c r="G3433" s="127"/>
      <c r="H3433" s="127"/>
      <c r="I3433" s="127"/>
      <c r="J3433" s="127"/>
      <c r="K3433" s="127"/>
      <c r="L3433" s="144"/>
      <c r="M3433" s="22" t="s">
        <v>8764</v>
      </c>
      <c r="N3433" s="84" t="str">
        <f>HYPERLINK("#N"&amp;ROW(N3436),"_x0005_`BDCOD|B05038_x0007_`POSS|"&amp;ROW(N3434)&amp;"_x0007_`POSE|"&amp;ROW(N3436)&amp;"_x0007_`")</f>
        <v>_x0005_`BDCOD|B05038_x0007_`POSS|3434_x0007_`POSE|3436_x0007_`</v>
      </c>
      <c r="O3433" s="7" t="s">
        <v>8765</v>
      </c>
    </row>
    <row r="3434" spans="1:26" ht="28.7" customHeight="1" x14ac:dyDescent="0.3">
      <c r="A3434" s="10"/>
      <c r="B3434" s="10" t="s">
        <v>8766</v>
      </c>
      <c r="C3434" s="75">
        <v>0</v>
      </c>
      <c r="D3434" s="31"/>
      <c r="E3434" s="33">
        <v>0</v>
      </c>
      <c r="F3434" s="11">
        <v>0</v>
      </c>
      <c r="G3434" s="42"/>
      <c r="H3434" s="11">
        <v>0</v>
      </c>
      <c r="I3434" s="42"/>
      <c r="J3434" s="33">
        <v>0</v>
      </c>
      <c r="K3434" s="46"/>
      <c r="L3434" s="33">
        <v>0</v>
      </c>
      <c r="M3434" s="22" t="s">
        <v>6509</v>
      </c>
      <c r="N3434" s="17" t="s">
        <v>6507</v>
      </c>
      <c r="O3434" s="7" t="s">
        <v>6508</v>
      </c>
      <c r="P3434" s="7" t="s">
        <v>6508</v>
      </c>
    </row>
    <row r="3435" spans="1:26" ht="28.7" customHeight="1" x14ac:dyDescent="0.3">
      <c r="A3435" s="10" t="s">
        <v>1891</v>
      </c>
      <c r="B3435" s="10" t="s">
        <v>1888</v>
      </c>
      <c r="C3435" s="75">
        <v>1</v>
      </c>
      <c r="D3435" s="31" t="s">
        <v>1010</v>
      </c>
      <c r="E3435" s="55">
        <f>I3435+G3435+K3435</f>
        <v>14245</v>
      </c>
      <c r="F3435" s="76">
        <f>J3435+H3435+L3435</f>
        <v>14245</v>
      </c>
      <c r="G3435" s="78">
        <f>일위대가목록표!F732</f>
        <v>14245</v>
      </c>
      <c r="H3435" s="80">
        <f>IF(C3435=0,0,ROUNDDOWN(G3435*C3435,1))</f>
        <v>14245</v>
      </c>
      <c r="I3435" s="78">
        <f>일위대가목록표!G732</f>
        <v>0</v>
      </c>
      <c r="J3435" s="80">
        <f>IF(C3435=0,0,ROUNDDOWN(I3435*C3435,1))</f>
        <v>0</v>
      </c>
      <c r="K3435" s="78">
        <f>일위대가목록표!H732</f>
        <v>0</v>
      </c>
      <c r="L3435" s="80">
        <f>IF(C3435=0,0,ROUNDDOWN(K3435*C3435,1))</f>
        <v>0</v>
      </c>
      <c r="M3435" s="22" t="s">
        <v>8127</v>
      </c>
      <c r="N3435" s="17" t="s">
        <v>8125</v>
      </c>
      <c r="O3435" s="7" t="s">
        <v>8126</v>
      </c>
      <c r="P3435" s="7" t="s">
        <v>6406</v>
      </c>
      <c r="Z3435" s="3" t="str">
        <f ca="1">HYPERLINK("#"&amp;일위대가목록표!J2&amp;"!A"&amp;ROW(일위대가목록표!A732),"대가729 →")</f>
        <v>대가729 →</v>
      </c>
    </row>
    <row r="3436" spans="1:26" ht="28.7" customHeight="1" x14ac:dyDescent="0.3">
      <c r="A3436" s="10" t="s">
        <v>1894</v>
      </c>
      <c r="B3436" s="10" t="s">
        <v>1895</v>
      </c>
      <c r="C3436" s="75">
        <v>1</v>
      </c>
      <c r="D3436" s="31" t="s">
        <v>1010</v>
      </c>
      <c r="E3436" s="55">
        <f>I3436+G3436+K3436</f>
        <v>28490</v>
      </c>
      <c r="F3436" s="76">
        <f>J3436+H3436+L3436</f>
        <v>28490</v>
      </c>
      <c r="G3436" s="78">
        <f>일위대가목록표!F733</f>
        <v>28490</v>
      </c>
      <c r="H3436" s="80">
        <f>IF(C3436=0,0,ROUNDDOWN(G3436*C3436,1))</f>
        <v>28490</v>
      </c>
      <c r="I3436" s="78">
        <f>일위대가목록표!G733</f>
        <v>0</v>
      </c>
      <c r="J3436" s="80">
        <f>IF(C3436=0,0,ROUNDDOWN(I3436*C3436,1))</f>
        <v>0</v>
      </c>
      <c r="K3436" s="78">
        <f>일위대가목록표!H733</f>
        <v>0</v>
      </c>
      <c r="L3436" s="80">
        <f>IF(C3436=0,0,ROUNDDOWN(K3436*C3436,1))</f>
        <v>0</v>
      </c>
      <c r="M3436" s="22" t="s">
        <v>8097</v>
      </c>
      <c r="N3436" s="17" t="s">
        <v>8095</v>
      </c>
      <c r="O3436" s="7" t="s">
        <v>8096</v>
      </c>
      <c r="P3436" s="7" t="s">
        <v>6406</v>
      </c>
      <c r="Z3436" s="3" t="str">
        <f ca="1">HYPERLINK("#"&amp;일위대가목록표!J2&amp;"!A"&amp;ROW(일위대가목록표!A733),"대가730 →")</f>
        <v>대가730 →</v>
      </c>
    </row>
    <row r="3437" spans="1:26" ht="28.7" customHeight="1" x14ac:dyDescent="0.3">
      <c r="A3437" s="22" t="s">
        <v>6</v>
      </c>
      <c r="B3437" s="74"/>
      <c r="C3437" s="74"/>
      <c r="D3437" s="74"/>
      <c r="E3437" s="74"/>
      <c r="F3437" s="48">
        <f>J3437+H3437+L3437</f>
        <v>42735</v>
      </c>
      <c r="G3437" s="74"/>
      <c r="H3437" s="48">
        <f>ROUNDDOWN(SUMIF(P3434:P3436,O3437,H3434:H3436),0)</f>
        <v>42735</v>
      </c>
      <c r="I3437" s="74"/>
      <c r="J3437" s="48">
        <f>ROUNDDOWN(SUMIF(P3434:P3436,O3437,J3434:J3436),0)</f>
        <v>0</v>
      </c>
      <c r="K3437" s="74"/>
      <c r="L3437" s="48">
        <f>ROUNDDOWN(SUMIF(P3434:P3436,O3437,L3434:L3436),0)</f>
        <v>0</v>
      </c>
      <c r="M3437" s="74"/>
      <c r="O3437" s="7" t="s">
        <v>6406</v>
      </c>
    </row>
    <row r="3438" spans="1:26" ht="28.7" customHeight="1" x14ac:dyDescent="0.3">
      <c r="A3438" s="73"/>
      <c r="B3438" s="73"/>
      <c r="C3438" s="73"/>
      <c r="D3438" s="73"/>
      <c r="E3438" s="73"/>
      <c r="F3438" s="73"/>
      <c r="G3438" s="73"/>
      <c r="H3438" s="73"/>
      <c r="I3438" s="73"/>
      <c r="J3438" s="73"/>
      <c r="K3438" s="73"/>
      <c r="L3438" s="73"/>
      <c r="M3438" s="73"/>
    </row>
    <row r="3439" spans="1:26" ht="28.7" customHeight="1" x14ac:dyDescent="0.3">
      <c r="A3439" s="136" t="s">
        <v>1889</v>
      </c>
      <c r="B3439" s="127"/>
      <c r="C3439" s="127"/>
      <c r="D3439" s="127"/>
      <c r="E3439" s="127"/>
      <c r="F3439" s="127"/>
      <c r="G3439" s="127"/>
      <c r="H3439" s="127"/>
      <c r="I3439" s="127"/>
      <c r="J3439" s="127"/>
      <c r="K3439" s="127"/>
      <c r="L3439" s="144"/>
      <c r="M3439" s="22" t="s">
        <v>8767</v>
      </c>
      <c r="N3439" s="84" t="str">
        <f>HYPERLINK("#N"&amp;ROW(N3441),"_x0005_`BDCOD|B04845_x0007_`POSS|"&amp;ROW(N3440)&amp;"_x0007_`POSE|"&amp;ROW(N3441)&amp;"_x0007_`")</f>
        <v>_x0005_`BDCOD|B04845_x0007_`POSS|3440_x0007_`POSE|3441_x0007_`</v>
      </c>
      <c r="O3439" s="7" t="s">
        <v>8768</v>
      </c>
    </row>
    <row r="3440" spans="1:26" ht="28.7" customHeight="1" x14ac:dyDescent="0.3">
      <c r="A3440" s="10"/>
      <c r="B3440" s="10" t="s">
        <v>8766</v>
      </c>
      <c r="C3440" s="75">
        <v>0</v>
      </c>
      <c r="D3440" s="31"/>
      <c r="E3440" s="33">
        <v>0</v>
      </c>
      <c r="F3440" s="11">
        <v>0</v>
      </c>
      <c r="G3440" s="42"/>
      <c r="H3440" s="11">
        <v>0</v>
      </c>
      <c r="I3440" s="42"/>
      <c r="J3440" s="33">
        <v>0</v>
      </c>
      <c r="K3440" s="46"/>
      <c r="L3440" s="33">
        <v>0</v>
      </c>
      <c r="M3440" s="22" t="s">
        <v>6509</v>
      </c>
      <c r="N3440" s="17" t="s">
        <v>6507</v>
      </c>
      <c r="O3440" s="7" t="s">
        <v>6508</v>
      </c>
      <c r="P3440" s="7" t="s">
        <v>6508</v>
      </c>
    </row>
    <row r="3441" spans="1:26" ht="28.7" customHeight="1" x14ac:dyDescent="0.3">
      <c r="A3441" s="10" t="s">
        <v>1894</v>
      </c>
      <c r="B3441" s="10" t="s">
        <v>1895</v>
      </c>
      <c r="C3441" s="75">
        <v>0.5</v>
      </c>
      <c r="D3441" s="31" t="s">
        <v>1010</v>
      </c>
      <c r="E3441" s="55">
        <f>I3441+G3441+K3441</f>
        <v>28490</v>
      </c>
      <c r="F3441" s="76">
        <f>J3441+H3441+L3441</f>
        <v>14245</v>
      </c>
      <c r="G3441" s="78">
        <f>일위대가목록표!F733</f>
        <v>28490</v>
      </c>
      <c r="H3441" s="80">
        <f>IF(C3441=0,0,ROUNDDOWN(G3441*C3441,1))</f>
        <v>14245</v>
      </c>
      <c r="I3441" s="78">
        <f>일위대가목록표!G733</f>
        <v>0</v>
      </c>
      <c r="J3441" s="80">
        <f>IF(C3441=0,0,ROUNDDOWN(I3441*C3441,1))</f>
        <v>0</v>
      </c>
      <c r="K3441" s="78">
        <f>일위대가목록표!H733</f>
        <v>0</v>
      </c>
      <c r="L3441" s="80">
        <f>IF(C3441=0,0,ROUNDDOWN(K3441*C3441,1))</f>
        <v>0</v>
      </c>
      <c r="M3441" s="22" t="s">
        <v>8097</v>
      </c>
      <c r="N3441" s="17" t="s">
        <v>8095</v>
      </c>
      <c r="O3441" s="7" t="s">
        <v>8096</v>
      </c>
      <c r="P3441" s="7" t="s">
        <v>6406</v>
      </c>
      <c r="Z3441" s="3" t="str">
        <f ca="1">HYPERLINK("#"&amp;일위대가목록표!J2&amp;"!A"&amp;ROW(일위대가목록표!A733),"대가730 →")</f>
        <v>대가730 →</v>
      </c>
    </row>
    <row r="3442" spans="1:26" ht="28.7" customHeight="1" x14ac:dyDescent="0.3">
      <c r="A3442" s="22" t="s">
        <v>6</v>
      </c>
      <c r="B3442" s="74"/>
      <c r="C3442" s="74"/>
      <c r="D3442" s="74"/>
      <c r="E3442" s="74"/>
      <c r="F3442" s="48">
        <f>J3442+H3442+L3442</f>
        <v>14245</v>
      </c>
      <c r="G3442" s="74"/>
      <c r="H3442" s="48">
        <f>ROUNDDOWN(SUMIF(P3440:P3441,O3442,H3440:H3441),0)</f>
        <v>14245</v>
      </c>
      <c r="I3442" s="74"/>
      <c r="J3442" s="48">
        <f>ROUNDDOWN(SUMIF(P3440:P3441,O3442,J3440:J3441),0)</f>
        <v>0</v>
      </c>
      <c r="K3442" s="74"/>
      <c r="L3442" s="48">
        <f>ROUNDDOWN(SUMIF(P3440:P3441,O3442,L3440:L3441),0)</f>
        <v>0</v>
      </c>
      <c r="M3442" s="74"/>
      <c r="O3442" s="7" t="s">
        <v>6406</v>
      </c>
    </row>
    <row r="3443" spans="1:26" ht="28.7" customHeight="1" x14ac:dyDescent="0.3">
      <c r="A3443" s="73"/>
      <c r="B3443" s="73"/>
      <c r="C3443" s="73"/>
      <c r="D3443" s="73"/>
      <c r="E3443" s="73"/>
      <c r="F3443" s="73"/>
      <c r="G3443" s="73"/>
      <c r="H3443" s="73"/>
      <c r="I3443" s="73"/>
      <c r="J3443" s="73"/>
      <c r="K3443" s="73"/>
      <c r="L3443" s="73"/>
      <c r="M3443" s="73"/>
    </row>
    <row r="3444" spans="1:26" ht="28.7" customHeight="1" x14ac:dyDescent="0.3">
      <c r="A3444" s="136" t="s">
        <v>1892</v>
      </c>
      <c r="B3444" s="127"/>
      <c r="C3444" s="127"/>
      <c r="D3444" s="127"/>
      <c r="E3444" s="127"/>
      <c r="F3444" s="127"/>
      <c r="G3444" s="127"/>
      <c r="H3444" s="127"/>
      <c r="I3444" s="127"/>
      <c r="J3444" s="127"/>
      <c r="K3444" s="127"/>
      <c r="L3444" s="144"/>
      <c r="M3444" s="22" t="s">
        <v>8769</v>
      </c>
      <c r="N3444" s="84" t="str">
        <f>HYPERLINK("#N"&amp;ROW(N3447),"_x0005_`BDCOD|B04838_x0007_`POSS|"&amp;ROW(N3445)&amp;"_x0007_`POSE|"&amp;ROW(N3447)&amp;"_x0007_`")</f>
        <v>_x0005_`BDCOD|B04838_x0007_`POSS|3445_x0007_`POSE|3447_x0007_`</v>
      </c>
      <c r="O3444" s="7" t="s">
        <v>8770</v>
      </c>
    </row>
    <row r="3445" spans="1:26" ht="28.7" customHeight="1" x14ac:dyDescent="0.3">
      <c r="A3445" s="10"/>
      <c r="B3445" s="10" t="s">
        <v>8766</v>
      </c>
      <c r="C3445" s="75">
        <v>0</v>
      </c>
      <c r="D3445" s="31"/>
      <c r="E3445" s="33">
        <v>0</v>
      </c>
      <c r="F3445" s="11">
        <v>0</v>
      </c>
      <c r="G3445" s="42"/>
      <c r="H3445" s="11">
        <v>0</v>
      </c>
      <c r="I3445" s="42"/>
      <c r="J3445" s="33">
        <v>0</v>
      </c>
      <c r="K3445" s="46"/>
      <c r="L3445" s="33">
        <v>0</v>
      </c>
      <c r="M3445" s="22" t="s">
        <v>6509</v>
      </c>
      <c r="N3445" s="17" t="s">
        <v>6507</v>
      </c>
      <c r="O3445" s="7" t="s">
        <v>6508</v>
      </c>
      <c r="P3445" s="7" t="s">
        <v>6508</v>
      </c>
    </row>
    <row r="3446" spans="1:26" ht="28.7" customHeight="1" x14ac:dyDescent="0.3">
      <c r="A3446" s="10" t="s">
        <v>3086</v>
      </c>
      <c r="B3446" s="10"/>
      <c r="C3446" s="75">
        <v>8.3000000000000004E-2</v>
      </c>
      <c r="D3446" s="31" t="s">
        <v>3074</v>
      </c>
      <c r="E3446" s="55">
        <f>I3446+G3446+K3446</f>
        <v>247897</v>
      </c>
      <c r="F3446" s="76">
        <f>J3446+H3446+L3446</f>
        <v>20575.400000000001</v>
      </c>
      <c r="G3446" s="78">
        <f>노무비목록표!E10</f>
        <v>247897</v>
      </c>
      <c r="H3446" s="81">
        <f>IF(C3446=0,0,ROUNDDOWN(G3446*C3446,1))</f>
        <v>20575.400000000001</v>
      </c>
      <c r="I3446" s="51">
        <v>0</v>
      </c>
      <c r="J3446" s="77">
        <f>IF(C3446=0,0,ROUNDDOWN(I3446*C3446,1))</f>
        <v>0</v>
      </c>
      <c r="K3446" s="51">
        <v>0</v>
      </c>
      <c r="L3446" s="76">
        <f>IF(C3446=0,0,ROUNDDOWN(K3446*C3446,1))</f>
        <v>0</v>
      </c>
      <c r="M3446" s="22" t="s">
        <v>8367</v>
      </c>
      <c r="N3446" s="17" t="s">
        <v>8771</v>
      </c>
      <c r="O3446" s="7" t="s">
        <v>8366</v>
      </c>
      <c r="P3446" s="7" t="s">
        <v>6406</v>
      </c>
      <c r="Z3446" s="3" t="str">
        <f ca="1">HYPERLINK("#"&amp;노무비목록표!G2&amp;"!A"&amp;ROW(노무비목록표!A10),"노무7 →")</f>
        <v>노무7 →</v>
      </c>
    </row>
    <row r="3447" spans="1:26" ht="28.7" customHeight="1" x14ac:dyDescent="0.3">
      <c r="A3447" s="10" t="s">
        <v>3090</v>
      </c>
      <c r="B3447" s="10"/>
      <c r="C3447" s="75">
        <v>4.5999999999999999E-2</v>
      </c>
      <c r="D3447" s="31" t="s">
        <v>3074</v>
      </c>
      <c r="E3447" s="55">
        <f>I3447+G3447+K3447</f>
        <v>172068</v>
      </c>
      <c r="F3447" s="76">
        <f>J3447+H3447+L3447</f>
        <v>7915.1</v>
      </c>
      <c r="G3447" s="78">
        <f>노무비목록표!E12</f>
        <v>172068</v>
      </c>
      <c r="H3447" s="81">
        <f>IF(C3447=0,0,ROUNDDOWN(G3447*C3447,1))</f>
        <v>7915.1</v>
      </c>
      <c r="I3447" s="51">
        <v>0</v>
      </c>
      <c r="J3447" s="77">
        <f>IF(C3447=0,0,ROUNDDOWN(I3447*C3447,1))</f>
        <v>0</v>
      </c>
      <c r="K3447" s="51">
        <v>0</v>
      </c>
      <c r="L3447" s="76">
        <f>IF(C3447=0,0,ROUNDDOWN(K3447*C3447,1))</f>
        <v>0</v>
      </c>
      <c r="M3447" s="22" t="s">
        <v>8262</v>
      </c>
      <c r="N3447" s="17" t="s">
        <v>8473</v>
      </c>
      <c r="O3447" s="7" t="s">
        <v>8261</v>
      </c>
      <c r="P3447" s="7" t="s">
        <v>6406</v>
      </c>
      <c r="Z3447" s="3" t="str">
        <f ca="1">HYPERLINK("#"&amp;노무비목록표!G2&amp;"!A"&amp;ROW(노무비목록표!A12),"노무9 →")</f>
        <v>노무9 →</v>
      </c>
    </row>
    <row r="3448" spans="1:26" ht="28.7" customHeight="1" x14ac:dyDescent="0.3">
      <c r="A3448" s="22" t="s">
        <v>6</v>
      </c>
      <c r="B3448" s="74"/>
      <c r="C3448" s="74"/>
      <c r="D3448" s="74"/>
      <c r="E3448" s="74"/>
      <c r="F3448" s="48">
        <f>J3448+H3448+L3448</f>
        <v>28490</v>
      </c>
      <c r="G3448" s="74"/>
      <c r="H3448" s="48">
        <f>ROUNDDOWN(SUMIF(P3445:P3447,O3448,H3445:H3447),0)</f>
        <v>28490</v>
      </c>
      <c r="I3448" s="74"/>
      <c r="J3448" s="48">
        <f>ROUNDDOWN(SUMIF(P3445:P3447,O3448,J3445:J3447),0)</f>
        <v>0</v>
      </c>
      <c r="K3448" s="74"/>
      <c r="L3448" s="48">
        <f>ROUNDDOWN(SUMIF(P3445:P3447,O3448,L3445:L3447),0)</f>
        <v>0</v>
      </c>
      <c r="M3448" s="74"/>
      <c r="O3448" s="7" t="s">
        <v>6406</v>
      </c>
    </row>
    <row r="3449" spans="1:26" ht="28.7" customHeight="1" x14ac:dyDescent="0.3">
      <c r="A3449" s="73"/>
      <c r="B3449" s="73"/>
      <c r="C3449" s="73"/>
      <c r="D3449" s="73"/>
      <c r="E3449" s="73"/>
      <c r="F3449" s="73"/>
      <c r="G3449" s="73"/>
      <c r="H3449" s="73"/>
      <c r="I3449" s="73"/>
      <c r="J3449" s="73"/>
      <c r="K3449" s="73"/>
      <c r="L3449" s="73"/>
      <c r="M3449" s="73"/>
    </row>
    <row r="3450" spans="1:26" ht="28.7" customHeight="1" x14ac:dyDescent="0.3">
      <c r="A3450" s="136" t="s">
        <v>1896</v>
      </c>
      <c r="B3450" s="127"/>
      <c r="C3450" s="127"/>
      <c r="D3450" s="127"/>
      <c r="E3450" s="127"/>
      <c r="F3450" s="127"/>
      <c r="G3450" s="127"/>
      <c r="H3450" s="127"/>
      <c r="I3450" s="127"/>
      <c r="J3450" s="127"/>
      <c r="K3450" s="127"/>
      <c r="L3450" s="144"/>
      <c r="M3450" s="22" t="s">
        <v>8772</v>
      </c>
      <c r="N3450" s="84" t="str">
        <f>HYPERLINK("#N"&amp;ROW(N3453),"_x0005_`BDCOD|B05039_x0007_`POSS|"&amp;ROW(N3451)&amp;"_x0007_`POSE|"&amp;ROW(N3453)&amp;"_x0007_`")</f>
        <v>_x0005_`BDCOD|B05039_x0007_`POSS|3451_x0007_`POSE|3453_x0007_`</v>
      </c>
      <c r="O3450" s="7" t="s">
        <v>8773</v>
      </c>
    </row>
    <row r="3451" spans="1:26" ht="28.7" customHeight="1" x14ac:dyDescent="0.3">
      <c r="A3451" s="10"/>
      <c r="B3451" s="10" t="s">
        <v>8766</v>
      </c>
      <c r="C3451" s="75">
        <v>0</v>
      </c>
      <c r="D3451" s="31"/>
      <c r="E3451" s="33">
        <v>0</v>
      </c>
      <c r="F3451" s="11">
        <v>0</v>
      </c>
      <c r="G3451" s="42"/>
      <c r="H3451" s="11">
        <v>0</v>
      </c>
      <c r="I3451" s="42"/>
      <c r="J3451" s="33">
        <v>0</v>
      </c>
      <c r="K3451" s="46"/>
      <c r="L3451" s="33">
        <v>0</v>
      </c>
      <c r="M3451" s="22" t="s">
        <v>6509</v>
      </c>
      <c r="N3451" s="17" t="s">
        <v>6507</v>
      </c>
      <c r="O3451" s="7" t="s">
        <v>6508</v>
      </c>
      <c r="P3451" s="7" t="s">
        <v>6508</v>
      </c>
    </row>
    <row r="3452" spans="1:26" ht="28.7" customHeight="1" x14ac:dyDescent="0.3">
      <c r="A3452" s="10" t="s">
        <v>1891</v>
      </c>
      <c r="B3452" s="10" t="s">
        <v>1898</v>
      </c>
      <c r="C3452" s="75">
        <v>1</v>
      </c>
      <c r="D3452" s="31" t="s">
        <v>1010</v>
      </c>
      <c r="E3452" s="55">
        <f>I3452+G3452+K3452</f>
        <v>42034</v>
      </c>
      <c r="F3452" s="76">
        <f>J3452+H3452+L3452</f>
        <v>42034</v>
      </c>
      <c r="G3452" s="78">
        <f>일위대가목록표!F735</f>
        <v>42034</v>
      </c>
      <c r="H3452" s="80">
        <f>IF(C3452=0,0,ROUNDDOWN(G3452*C3452,1))</f>
        <v>42034</v>
      </c>
      <c r="I3452" s="78">
        <f>일위대가목록표!G735</f>
        <v>0</v>
      </c>
      <c r="J3452" s="80">
        <f>IF(C3452=0,0,ROUNDDOWN(I3452*C3452,1))</f>
        <v>0</v>
      </c>
      <c r="K3452" s="78">
        <f>일위대가목록표!H735</f>
        <v>0</v>
      </c>
      <c r="L3452" s="80">
        <f>IF(C3452=0,0,ROUNDDOWN(K3452*C3452,1))</f>
        <v>0</v>
      </c>
      <c r="M3452" s="22" t="s">
        <v>8132</v>
      </c>
      <c r="N3452" s="17" t="s">
        <v>8130</v>
      </c>
      <c r="O3452" s="7" t="s">
        <v>8131</v>
      </c>
      <c r="P3452" s="7" t="s">
        <v>6406</v>
      </c>
      <c r="Z3452" s="3" t="str">
        <f ca="1">HYPERLINK("#"&amp;일위대가목록표!J2&amp;"!A"&amp;ROW(일위대가목록표!A735),"대가732 →")</f>
        <v>대가732 →</v>
      </c>
    </row>
    <row r="3453" spans="1:26" ht="28.7" customHeight="1" x14ac:dyDescent="0.3">
      <c r="A3453" s="10" t="s">
        <v>1894</v>
      </c>
      <c r="B3453" s="10" t="s">
        <v>1903</v>
      </c>
      <c r="C3453" s="75">
        <v>1</v>
      </c>
      <c r="D3453" s="31" t="s">
        <v>1010</v>
      </c>
      <c r="E3453" s="55">
        <f>I3453+G3453+K3453</f>
        <v>84068</v>
      </c>
      <c r="F3453" s="76">
        <f>J3453+H3453+L3453</f>
        <v>84068</v>
      </c>
      <c r="G3453" s="78">
        <f>일위대가목록표!F736</f>
        <v>84068</v>
      </c>
      <c r="H3453" s="80">
        <f>IF(C3453=0,0,ROUNDDOWN(G3453*C3453,1))</f>
        <v>84068</v>
      </c>
      <c r="I3453" s="78">
        <f>일위대가목록표!G736</f>
        <v>0</v>
      </c>
      <c r="J3453" s="80">
        <f>IF(C3453=0,0,ROUNDDOWN(I3453*C3453,1))</f>
        <v>0</v>
      </c>
      <c r="K3453" s="78">
        <f>일위대가목록표!H736</f>
        <v>0</v>
      </c>
      <c r="L3453" s="80">
        <f>IF(C3453=0,0,ROUNDDOWN(K3453*C3453,1))</f>
        <v>0</v>
      </c>
      <c r="M3453" s="22" t="s">
        <v>8102</v>
      </c>
      <c r="N3453" s="17" t="s">
        <v>8100</v>
      </c>
      <c r="O3453" s="7" t="s">
        <v>8101</v>
      </c>
      <c r="P3453" s="7" t="s">
        <v>6406</v>
      </c>
      <c r="Z3453" s="3" t="str">
        <f ca="1">HYPERLINK("#"&amp;일위대가목록표!J2&amp;"!A"&amp;ROW(일위대가목록표!A736),"대가733 →")</f>
        <v>대가733 →</v>
      </c>
    </row>
    <row r="3454" spans="1:26" ht="28.7" customHeight="1" x14ac:dyDescent="0.3">
      <c r="A3454" s="22" t="s">
        <v>6</v>
      </c>
      <c r="B3454" s="74"/>
      <c r="C3454" s="74"/>
      <c r="D3454" s="74"/>
      <c r="E3454" s="74"/>
      <c r="F3454" s="48">
        <f>J3454+H3454+L3454</f>
        <v>126102</v>
      </c>
      <c r="G3454" s="74"/>
      <c r="H3454" s="48">
        <f>ROUNDDOWN(SUMIF(P3451:P3453,O3454,H3451:H3453),0)</f>
        <v>126102</v>
      </c>
      <c r="I3454" s="74"/>
      <c r="J3454" s="48">
        <f>ROUNDDOWN(SUMIF(P3451:P3453,O3454,J3451:J3453),0)</f>
        <v>0</v>
      </c>
      <c r="K3454" s="74"/>
      <c r="L3454" s="48">
        <f>ROUNDDOWN(SUMIF(P3451:P3453,O3454,L3451:L3453),0)</f>
        <v>0</v>
      </c>
      <c r="M3454" s="74"/>
      <c r="O3454" s="7" t="s">
        <v>6406</v>
      </c>
    </row>
    <row r="3455" spans="1:26" ht="28.7" customHeight="1" x14ac:dyDescent="0.3">
      <c r="A3455" s="73"/>
      <c r="B3455" s="73"/>
      <c r="C3455" s="73"/>
      <c r="D3455" s="73"/>
      <c r="E3455" s="73"/>
      <c r="F3455" s="73"/>
      <c r="G3455" s="73"/>
      <c r="H3455" s="73"/>
      <c r="I3455" s="73"/>
      <c r="J3455" s="73"/>
      <c r="K3455" s="73"/>
      <c r="L3455" s="73"/>
      <c r="M3455" s="73"/>
    </row>
    <row r="3456" spans="1:26" ht="28.7" customHeight="1" x14ac:dyDescent="0.3">
      <c r="A3456" s="136" t="s">
        <v>1899</v>
      </c>
      <c r="B3456" s="127"/>
      <c r="C3456" s="127"/>
      <c r="D3456" s="127"/>
      <c r="E3456" s="127"/>
      <c r="F3456" s="127"/>
      <c r="G3456" s="127"/>
      <c r="H3456" s="127"/>
      <c r="I3456" s="127"/>
      <c r="J3456" s="127"/>
      <c r="K3456" s="127"/>
      <c r="L3456" s="144"/>
      <c r="M3456" s="22" t="s">
        <v>8774</v>
      </c>
      <c r="N3456" s="84" t="str">
        <f>HYPERLINK("#N"&amp;ROW(N3458),"_x0005_`BDCOD|B04846_x0007_`POSS|"&amp;ROW(N3457)&amp;"_x0007_`POSE|"&amp;ROW(N3458)&amp;"_x0007_`")</f>
        <v>_x0005_`BDCOD|B04846_x0007_`POSS|3457_x0007_`POSE|3458_x0007_`</v>
      </c>
      <c r="O3456" s="7" t="s">
        <v>8775</v>
      </c>
    </row>
    <row r="3457" spans="1:26" ht="28.7" customHeight="1" x14ac:dyDescent="0.3">
      <c r="A3457" s="10"/>
      <c r="B3457" s="10" t="s">
        <v>8766</v>
      </c>
      <c r="C3457" s="75">
        <v>0</v>
      </c>
      <c r="D3457" s="31"/>
      <c r="E3457" s="33">
        <v>0</v>
      </c>
      <c r="F3457" s="11">
        <v>0</v>
      </c>
      <c r="G3457" s="42"/>
      <c r="H3457" s="11">
        <v>0</v>
      </c>
      <c r="I3457" s="42"/>
      <c r="J3457" s="33">
        <v>0</v>
      </c>
      <c r="K3457" s="46"/>
      <c r="L3457" s="33">
        <v>0</v>
      </c>
      <c r="M3457" s="22" t="s">
        <v>6509</v>
      </c>
      <c r="N3457" s="17" t="s">
        <v>6507</v>
      </c>
      <c r="O3457" s="7" t="s">
        <v>6508</v>
      </c>
      <c r="P3457" s="7" t="s">
        <v>6508</v>
      </c>
    </row>
    <row r="3458" spans="1:26" ht="28.7" customHeight="1" x14ac:dyDescent="0.3">
      <c r="A3458" s="10" t="s">
        <v>1894</v>
      </c>
      <c r="B3458" s="10" t="s">
        <v>1903</v>
      </c>
      <c r="C3458" s="75">
        <v>0.5</v>
      </c>
      <c r="D3458" s="31" t="s">
        <v>1010</v>
      </c>
      <c r="E3458" s="55">
        <f>I3458+G3458+K3458</f>
        <v>84068</v>
      </c>
      <c r="F3458" s="76">
        <f>J3458+H3458+L3458</f>
        <v>42034</v>
      </c>
      <c r="G3458" s="78">
        <f>일위대가목록표!F736</f>
        <v>84068</v>
      </c>
      <c r="H3458" s="80">
        <f>IF(C3458=0,0,ROUNDDOWN(G3458*C3458,1))</f>
        <v>42034</v>
      </c>
      <c r="I3458" s="78">
        <f>일위대가목록표!G736</f>
        <v>0</v>
      </c>
      <c r="J3458" s="80">
        <f>IF(C3458=0,0,ROUNDDOWN(I3458*C3458,1))</f>
        <v>0</v>
      </c>
      <c r="K3458" s="78">
        <f>일위대가목록표!H736</f>
        <v>0</v>
      </c>
      <c r="L3458" s="80">
        <f>IF(C3458=0,0,ROUNDDOWN(K3458*C3458,1))</f>
        <v>0</v>
      </c>
      <c r="M3458" s="22" t="s">
        <v>8102</v>
      </c>
      <c r="N3458" s="17" t="s">
        <v>8100</v>
      </c>
      <c r="O3458" s="7" t="s">
        <v>8101</v>
      </c>
      <c r="P3458" s="7" t="s">
        <v>6406</v>
      </c>
      <c r="Z3458" s="3" t="str">
        <f ca="1">HYPERLINK("#"&amp;일위대가목록표!J2&amp;"!A"&amp;ROW(일위대가목록표!A736),"대가733 →")</f>
        <v>대가733 →</v>
      </c>
    </row>
    <row r="3459" spans="1:26" ht="28.7" customHeight="1" x14ac:dyDescent="0.3">
      <c r="A3459" s="22" t="s">
        <v>6</v>
      </c>
      <c r="B3459" s="74"/>
      <c r="C3459" s="74"/>
      <c r="D3459" s="74"/>
      <c r="E3459" s="74"/>
      <c r="F3459" s="48">
        <f>J3459+H3459+L3459</f>
        <v>42034</v>
      </c>
      <c r="G3459" s="74"/>
      <c r="H3459" s="48">
        <f>ROUNDDOWN(SUMIF(P3457:P3458,O3459,H3457:H3458),0)</f>
        <v>42034</v>
      </c>
      <c r="I3459" s="74"/>
      <c r="J3459" s="48">
        <f>ROUNDDOWN(SUMIF(P3457:P3458,O3459,J3457:J3458),0)</f>
        <v>0</v>
      </c>
      <c r="K3459" s="74"/>
      <c r="L3459" s="48">
        <f>ROUNDDOWN(SUMIF(P3457:P3458,O3459,L3457:L3458),0)</f>
        <v>0</v>
      </c>
      <c r="M3459" s="74"/>
      <c r="O3459" s="7" t="s">
        <v>6406</v>
      </c>
    </row>
    <row r="3460" spans="1:26" ht="28.7" customHeight="1" x14ac:dyDescent="0.3">
      <c r="A3460" s="73"/>
      <c r="B3460" s="73"/>
      <c r="C3460" s="73"/>
      <c r="D3460" s="73"/>
      <c r="E3460" s="73"/>
      <c r="F3460" s="73"/>
      <c r="G3460" s="73"/>
      <c r="H3460" s="73"/>
      <c r="I3460" s="73"/>
      <c r="J3460" s="73"/>
      <c r="K3460" s="73"/>
      <c r="L3460" s="73"/>
      <c r="M3460" s="73"/>
    </row>
    <row r="3461" spans="1:26" ht="28.7" customHeight="1" x14ac:dyDescent="0.3">
      <c r="A3461" s="136" t="s">
        <v>1901</v>
      </c>
      <c r="B3461" s="127"/>
      <c r="C3461" s="127"/>
      <c r="D3461" s="127"/>
      <c r="E3461" s="127"/>
      <c r="F3461" s="127"/>
      <c r="G3461" s="127"/>
      <c r="H3461" s="127"/>
      <c r="I3461" s="127"/>
      <c r="J3461" s="127"/>
      <c r="K3461" s="127"/>
      <c r="L3461" s="144"/>
      <c r="M3461" s="22" t="s">
        <v>8776</v>
      </c>
      <c r="N3461" s="84" t="str">
        <f>HYPERLINK("#N"&amp;ROW(N3464),"_x0005_`BDCOD|B04839_x0007_`POSS|"&amp;ROW(N3462)&amp;"_x0007_`POSE|"&amp;ROW(N3464)&amp;"_x0007_`")</f>
        <v>_x0005_`BDCOD|B04839_x0007_`POSS|3462_x0007_`POSE|3464_x0007_`</v>
      </c>
      <c r="O3461" s="7" t="s">
        <v>8777</v>
      </c>
    </row>
    <row r="3462" spans="1:26" ht="28.7" customHeight="1" x14ac:dyDescent="0.3">
      <c r="A3462" s="10"/>
      <c r="B3462" s="10" t="s">
        <v>8766</v>
      </c>
      <c r="C3462" s="75">
        <v>0</v>
      </c>
      <c r="D3462" s="31"/>
      <c r="E3462" s="33">
        <v>0</v>
      </c>
      <c r="F3462" s="11">
        <v>0</v>
      </c>
      <c r="G3462" s="42"/>
      <c r="H3462" s="11">
        <v>0</v>
      </c>
      <c r="I3462" s="42"/>
      <c r="J3462" s="33">
        <v>0</v>
      </c>
      <c r="K3462" s="46"/>
      <c r="L3462" s="33">
        <v>0</v>
      </c>
      <c r="M3462" s="22" t="s">
        <v>6509</v>
      </c>
      <c r="N3462" s="17" t="s">
        <v>6507</v>
      </c>
      <c r="O3462" s="7" t="s">
        <v>6508</v>
      </c>
      <c r="P3462" s="7" t="s">
        <v>6508</v>
      </c>
    </row>
    <row r="3463" spans="1:26" ht="28.7" customHeight="1" x14ac:dyDescent="0.3">
      <c r="A3463" s="10" t="s">
        <v>3086</v>
      </c>
      <c r="B3463" s="10"/>
      <c r="C3463" s="75">
        <v>0.26</v>
      </c>
      <c r="D3463" s="31" t="s">
        <v>3074</v>
      </c>
      <c r="E3463" s="55">
        <f>I3463+G3463+K3463</f>
        <v>247897</v>
      </c>
      <c r="F3463" s="76">
        <f>J3463+H3463+L3463</f>
        <v>64453.2</v>
      </c>
      <c r="G3463" s="78">
        <f>노무비목록표!E10</f>
        <v>247897</v>
      </c>
      <c r="H3463" s="81">
        <f>IF(C3463=0,0,ROUNDDOWN(G3463*C3463,1))</f>
        <v>64453.2</v>
      </c>
      <c r="I3463" s="51">
        <v>0</v>
      </c>
      <c r="J3463" s="77">
        <f>IF(C3463=0,0,ROUNDDOWN(I3463*C3463,1))</f>
        <v>0</v>
      </c>
      <c r="K3463" s="51">
        <v>0</v>
      </c>
      <c r="L3463" s="76">
        <f>IF(C3463=0,0,ROUNDDOWN(K3463*C3463,1))</f>
        <v>0</v>
      </c>
      <c r="M3463" s="22" t="s">
        <v>8367</v>
      </c>
      <c r="N3463" s="17" t="s">
        <v>8771</v>
      </c>
      <c r="O3463" s="7" t="s">
        <v>8366</v>
      </c>
      <c r="P3463" s="7" t="s">
        <v>6406</v>
      </c>
      <c r="Z3463" s="3" t="str">
        <f ca="1">HYPERLINK("#"&amp;노무비목록표!G2&amp;"!A"&amp;ROW(노무비목록표!A10),"노무7 →")</f>
        <v>노무7 →</v>
      </c>
    </row>
    <row r="3464" spans="1:26" ht="28.7" customHeight="1" x14ac:dyDescent="0.3">
      <c r="A3464" s="10" t="s">
        <v>3090</v>
      </c>
      <c r="B3464" s="10"/>
      <c r="C3464" s="75">
        <v>0.114</v>
      </c>
      <c r="D3464" s="31" t="s">
        <v>3074</v>
      </c>
      <c r="E3464" s="55">
        <f>I3464+G3464+K3464</f>
        <v>172068</v>
      </c>
      <c r="F3464" s="76">
        <f>J3464+H3464+L3464</f>
        <v>19615.7</v>
      </c>
      <c r="G3464" s="78">
        <f>노무비목록표!E12</f>
        <v>172068</v>
      </c>
      <c r="H3464" s="81">
        <f>IF(C3464=0,0,ROUNDDOWN(G3464*C3464,1))</f>
        <v>19615.7</v>
      </c>
      <c r="I3464" s="51">
        <v>0</v>
      </c>
      <c r="J3464" s="77">
        <f>IF(C3464=0,0,ROUNDDOWN(I3464*C3464,1))</f>
        <v>0</v>
      </c>
      <c r="K3464" s="51">
        <v>0</v>
      </c>
      <c r="L3464" s="76">
        <f>IF(C3464=0,0,ROUNDDOWN(K3464*C3464,1))</f>
        <v>0</v>
      </c>
      <c r="M3464" s="22" t="s">
        <v>8262</v>
      </c>
      <c r="N3464" s="17" t="s">
        <v>8473</v>
      </c>
      <c r="O3464" s="7" t="s">
        <v>8261</v>
      </c>
      <c r="P3464" s="7" t="s">
        <v>6406</v>
      </c>
      <c r="Z3464" s="3" t="str">
        <f ca="1">HYPERLINK("#"&amp;노무비목록표!G2&amp;"!A"&amp;ROW(노무비목록표!A12),"노무9 →")</f>
        <v>노무9 →</v>
      </c>
    </row>
    <row r="3465" spans="1:26" ht="28.7" customHeight="1" x14ac:dyDescent="0.3">
      <c r="A3465" s="22" t="s">
        <v>6</v>
      </c>
      <c r="B3465" s="74"/>
      <c r="C3465" s="74"/>
      <c r="D3465" s="74"/>
      <c r="E3465" s="74"/>
      <c r="F3465" s="48">
        <f>J3465+H3465+L3465</f>
        <v>84068</v>
      </c>
      <c r="G3465" s="74"/>
      <c r="H3465" s="48">
        <f>ROUNDDOWN(SUMIF(P3462:P3464,O3465,H3462:H3464),0)</f>
        <v>84068</v>
      </c>
      <c r="I3465" s="74"/>
      <c r="J3465" s="48">
        <f>ROUNDDOWN(SUMIF(P3462:P3464,O3465,J3462:J3464),0)</f>
        <v>0</v>
      </c>
      <c r="K3465" s="74"/>
      <c r="L3465" s="48">
        <f>ROUNDDOWN(SUMIF(P3462:P3464,O3465,L3462:L3464),0)</f>
        <v>0</v>
      </c>
      <c r="M3465" s="74"/>
      <c r="O3465" s="7" t="s">
        <v>6406</v>
      </c>
    </row>
    <row r="3466" spans="1:26" ht="28.7" customHeight="1" x14ac:dyDescent="0.3">
      <c r="A3466" s="73"/>
      <c r="B3466" s="73"/>
      <c r="C3466" s="73"/>
      <c r="D3466" s="73"/>
      <c r="E3466" s="73"/>
      <c r="F3466" s="73"/>
      <c r="G3466" s="73"/>
      <c r="H3466" s="73"/>
      <c r="I3466" s="73"/>
      <c r="J3466" s="73"/>
      <c r="K3466" s="73"/>
      <c r="L3466" s="73"/>
      <c r="M3466" s="73"/>
    </row>
    <row r="3467" spans="1:26" ht="28.7" customHeight="1" x14ac:dyDescent="0.3">
      <c r="A3467" s="136" t="s">
        <v>1904</v>
      </c>
      <c r="B3467" s="127"/>
      <c r="C3467" s="127"/>
      <c r="D3467" s="127"/>
      <c r="E3467" s="127"/>
      <c r="F3467" s="127"/>
      <c r="G3467" s="127"/>
      <c r="H3467" s="127"/>
      <c r="I3467" s="127"/>
      <c r="J3467" s="127"/>
      <c r="K3467" s="127"/>
      <c r="L3467" s="144"/>
      <c r="M3467" s="22" t="s">
        <v>8778</v>
      </c>
      <c r="N3467" s="84" t="str">
        <f>HYPERLINK("#N"&amp;ROW(N3470),"_x0005_`BDCOD|B05040_x0007_`POSS|"&amp;ROW(N3468)&amp;"_x0007_`POSE|"&amp;ROW(N3470)&amp;"_x0007_`")</f>
        <v>_x0005_`BDCOD|B05040_x0007_`POSS|3468_x0007_`POSE|3470_x0007_`</v>
      </c>
      <c r="O3467" s="7" t="s">
        <v>8779</v>
      </c>
    </row>
    <row r="3468" spans="1:26" ht="28.7" customHeight="1" x14ac:dyDescent="0.3">
      <c r="A3468" s="10"/>
      <c r="B3468" s="10" t="s">
        <v>8766</v>
      </c>
      <c r="C3468" s="75">
        <v>0</v>
      </c>
      <c r="D3468" s="31"/>
      <c r="E3468" s="33">
        <v>0</v>
      </c>
      <c r="F3468" s="11">
        <v>0</v>
      </c>
      <c r="G3468" s="42"/>
      <c r="H3468" s="11">
        <v>0</v>
      </c>
      <c r="I3468" s="42"/>
      <c r="J3468" s="33">
        <v>0</v>
      </c>
      <c r="K3468" s="46"/>
      <c r="L3468" s="33">
        <v>0</v>
      </c>
      <c r="M3468" s="22" t="s">
        <v>6509</v>
      </c>
      <c r="N3468" s="17" t="s">
        <v>6507</v>
      </c>
      <c r="O3468" s="7" t="s">
        <v>6508</v>
      </c>
      <c r="P3468" s="7" t="s">
        <v>6508</v>
      </c>
    </row>
    <row r="3469" spans="1:26" ht="28.7" customHeight="1" x14ac:dyDescent="0.3">
      <c r="A3469" s="10" t="s">
        <v>1891</v>
      </c>
      <c r="B3469" s="10" t="s">
        <v>1906</v>
      </c>
      <c r="C3469" s="75">
        <v>1</v>
      </c>
      <c r="D3469" s="31" t="s">
        <v>1010</v>
      </c>
      <c r="E3469" s="55">
        <f>I3469+G3469+K3469</f>
        <v>62570</v>
      </c>
      <c r="F3469" s="76">
        <f>J3469+H3469+L3469</f>
        <v>62570</v>
      </c>
      <c r="G3469" s="78">
        <f>일위대가목록표!F738</f>
        <v>62570</v>
      </c>
      <c r="H3469" s="80">
        <f>IF(C3469=0,0,ROUNDDOWN(G3469*C3469,1))</f>
        <v>62570</v>
      </c>
      <c r="I3469" s="78">
        <f>일위대가목록표!G738</f>
        <v>0</v>
      </c>
      <c r="J3469" s="80">
        <f>IF(C3469=0,0,ROUNDDOWN(I3469*C3469,1))</f>
        <v>0</v>
      </c>
      <c r="K3469" s="78">
        <f>일위대가목록표!H738</f>
        <v>0</v>
      </c>
      <c r="L3469" s="80">
        <f>IF(C3469=0,0,ROUNDDOWN(K3469*C3469,1))</f>
        <v>0</v>
      </c>
      <c r="M3469" s="22" t="s">
        <v>8137</v>
      </c>
      <c r="N3469" s="17" t="s">
        <v>8135</v>
      </c>
      <c r="O3469" s="7" t="s">
        <v>8136</v>
      </c>
      <c r="P3469" s="7" t="s">
        <v>6406</v>
      </c>
      <c r="Z3469" s="3" t="str">
        <f ca="1">HYPERLINK("#"&amp;일위대가목록표!J2&amp;"!A"&amp;ROW(일위대가목록표!A738),"대가735 →")</f>
        <v>대가735 →</v>
      </c>
    </row>
    <row r="3470" spans="1:26" ht="28.7" customHeight="1" x14ac:dyDescent="0.3">
      <c r="A3470" s="10" t="s">
        <v>1894</v>
      </c>
      <c r="B3470" s="10" t="s">
        <v>1911</v>
      </c>
      <c r="C3470" s="75">
        <v>1</v>
      </c>
      <c r="D3470" s="31" t="s">
        <v>1010</v>
      </c>
      <c r="E3470" s="55">
        <f>I3470+G3470+K3470</f>
        <v>125141</v>
      </c>
      <c r="F3470" s="76">
        <f>J3470+H3470+L3470</f>
        <v>125141</v>
      </c>
      <c r="G3470" s="78">
        <f>일위대가목록표!F739</f>
        <v>125141</v>
      </c>
      <c r="H3470" s="80">
        <f>IF(C3470=0,0,ROUNDDOWN(G3470*C3470,1))</f>
        <v>125141</v>
      </c>
      <c r="I3470" s="78">
        <f>일위대가목록표!G739</f>
        <v>0</v>
      </c>
      <c r="J3470" s="80">
        <f>IF(C3470=0,0,ROUNDDOWN(I3470*C3470,1))</f>
        <v>0</v>
      </c>
      <c r="K3470" s="78">
        <f>일위대가목록표!H739</f>
        <v>0</v>
      </c>
      <c r="L3470" s="80">
        <f>IF(C3470=0,0,ROUNDDOWN(K3470*C3470,1))</f>
        <v>0</v>
      </c>
      <c r="M3470" s="22" t="s">
        <v>8107</v>
      </c>
      <c r="N3470" s="17" t="s">
        <v>8105</v>
      </c>
      <c r="O3470" s="7" t="s">
        <v>8106</v>
      </c>
      <c r="P3470" s="7" t="s">
        <v>6406</v>
      </c>
      <c r="Z3470" s="3" t="str">
        <f ca="1">HYPERLINK("#"&amp;일위대가목록표!J2&amp;"!A"&amp;ROW(일위대가목록표!A739),"대가736 →")</f>
        <v>대가736 →</v>
      </c>
    </row>
    <row r="3471" spans="1:26" ht="28.7" customHeight="1" x14ac:dyDescent="0.3">
      <c r="A3471" s="22" t="s">
        <v>6</v>
      </c>
      <c r="B3471" s="74"/>
      <c r="C3471" s="74"/>
      <c r="D3471" s="74"/>
      <c r="E3471" s="74"/>
      <c r="F3471" s="48">
        <f>J3471+H3471+L3471</f>
        <v>187711</v>
      </c>
      <c r="G3471" s="74"/>
      <c r="H3471" s="48">
        <f>ROUNDDOWN(SUMIF(P3468:P3470,O3471,H3468:H3470),0)</f>
        <v>187711</v>
      </c>
      <c r="I3471" s="74"/>
      <c r="J3471" s="48">
        <f>ROUNDDOWN(SUMIF(P3468:P3470,O3471,J3468:J3470),0)</f>
        <v>0</v>
      </c>
      <c r="K3471" s="74"/>
      <c r="L3471" s="48">
        <f>ROUNDDOWN(SUMIF(P3468:P3470,O3471,L3468:L3470),0)</f>
        <v>0</v>
      </c>
      <c r="M3471" s="74"/>
      <c r="O3471" s="7" t="s">
        <v>6406</v>
      </c>
    </row>
    <row r="3472" spans="1:26" ht="28.7" customHeight="1" x14ac:dyDescent="0.3">
      <c r="A3472" s="73"/>
      <c r="B3472" s="73"/>
      <c r="C3472" s="73"/>
      <c r="D3472" s="73"/>
      <c r="E3472" s="73"/>
      <c r="F3472" s="73"/>
      <c r="G3472" s="73"/>
      <c r="H3472" s="73"/>
      <c r="I3472" s="73"/>
      <c r="J3472" s="73"/>
      <c r="K3472" s="73"/>
      <c r="L3472" s="73"/>
      <c r="M3472" s="73"/>
    </row>
    <row r="3473" spans="1:26" ht="28.7" customHeight="1" x14ac:dyDescent="0.3">
      <c r="A3473" s="136" t="s">
        <v>1907</v>
      </c>
      <c r="B3473" s="127"/>
      <c r="C3473" s="127"/>
      <c r="D3473" s="127"/>
      <c r="E3473" s="127"/>
      <c r="F3473" s="127"/>
      <c r="G3473" s="127"/>
      <c r="H3473" s="127"/>
      <c r="I3473" s="127"/>
      <c r="J3473" s="127"/>
      <c r="K3473" s="127"/>
      <c r="L3473" s="144"/>
      <c r="M3473" s="22" t="s">
        <v>8780</v>
      </c>
      <c r="N3473" s="84" t="str">
        <f>HYPERLINK("#N"&amp;ROW(N3475),"_x0005_`BDCOD|B04847_x0007_`POSS|"&amp;ROW(N3474)&amp;"_x0007_`POSE|"&amp;ROW(N3475)&amp;"_x0007_`")</f>
        <v>_x0005_`BDCOD|B04847_x0007_`POSS|3474_x0007_`POSE|3475_x0007_`</v>
      </c>
      <c r="O3473" s="7" t="s">
        <v>8781</v>
      </c>
    </row>
    <row r="3474" spans="1:26" ht="28.7" customHeight="1" x14ac:dyDescent="0.3">
      <c r="A3474" s="10"/>
      <c r="B3474" s="10" t="s">
        <v>8766</v>
      </c>
      <c r="C3474" s="75">
        <v>0</v>
      </c>
      <c r="D3474" s="31"/>
      <c r="E3474" s="33">
        <v>0</v>
      </c>
      <c r="F3474" s="11">
        <v>0</v>
      </c>
      <c r="G3474" s="42"/>
      <c r="H3474" s="11">
        <v>0</v>
      </c>
      <c r="I3474" s="42"/>
      <c r="J3474" s="33">
        <v>0</v>
      </c>
      <c r="K3474" s="46"/>
      <c r="L3474" s="33">
        <v>0</v>
      </c>
      <c r="M3474" s="22" t="s">
        <v>6509</v>
      </c>
      <c r="N3474" s="17" t="s">
        <v>6507</v>
      </c>
      <c r="O3474" s="7" t="s">
        <v>6508</v>
      </c>
      <c r="P3474" s="7" t="s">
        <v>6508</v>
      </c>
    </row>
    <row r="3475" spans="1:26" ht="28.7" customHeight="1" x14ac:dyDescent="0.3">
      <c r="A3475" s="10" t="s">
        <v>1894</v>
      </c>
      <c r="B3475" s="10" t="s">
        <v>1911</v>
      </c>
      <c r="C3475" s="75">
        <v>0.5</v>
      </c>
      <c r="D3475" s="31" t="s">
        <v>1010</v>
      </c>
      <c r="E3475" s="55">
        <f>I3475+G3475+K3475</f>
        <v>125141</v>
      </c>
      <c r="F3475" s="76">
        <f>J3475+H3475+L3475</f>
        <v>62570.5</v>
      </c>
      <c r="G3475" s="78">
        <f>일위대가목록표!F739</f>
        <v>125141</v>
      </c>
      <c r="H3475" s="80">
        <f>IF(C3475=0,0,ROUNDDOWN(G3475*C3475,1))</f>
        <v>62570.5</v>
      </c>
      <c r="I3475" s="78">
        <f>일위대가목록표!G739</f>
        <v>0</v>
      </c>
      <c r="J3475" s="80">
        <f>IF(C3475=0,0,ROUNDDOWN(I3475*C3475,1))</f>
        <v>0</v>
      </c>
      <c r="K3475" s="78">
        <f>일위대가목록표!H739</f>
        <v>0</v>
      </c>
      <c r="L3475" s="80">
        <f>IF(C3475=0,0,ROUNDDOWN(K3475*C3475,1))</f>
        <v>0</v>
      </c>
      <c r="M3475" s="22" t="s">
        <v>8107</v>
      </c>
      <c r="N3475" s="17" t="s">
        <v>8105</v>
      </c>
      <c r="O3475" s="7" t="s">
        <v>8106</v>
      </c>
      <c r="P3475" s="7" t="s">
        <v>6406</v>
      </c>
      <c r="Z3475" s="3" t="str">
        <f ca="1">HYPERLINK("#"&amp;일위대가목록표!J2&amp;"!A"&amp;ROW(일위대가목록표!A739),"대가736 →")</f>
        <v>대가736 →</v>
      </c>
    </row>
    <row r="3476" spans="1:26" ht="28.7" customHeight="1" x14ac:dyDescent="0.3">
      <c r="A3476" s="22" t="s">
        <v>6</v>
      </c>
      <c r="B3476" s="74"/>
      <c r="C3476" s="74"/>
      <c r="D3476" s="74"/>
      <c r="E3476" s="74"/>
      <c r="F3476" s="48">
        <f>J3476+H3476+L3476</f>
        <v>62570</v>
      </c>
      <c r="G3476" s="74"/>
      <c r="H3476" s="48">
        <f>ROUNDDOWN(SUMIF(P3474:P3475,O3476,H3474:H3475),0)</f>
        <v>62570</v>
      </c>
      <c r="I3476" s="74"/>
      <c r="J3476" s="48">
        <f>ROUNDDOWN(SUMIF(P3474:P3475,O3476,J3474:J3475),0)</f>
        <v>0</v>
      </c>
      <c r="K3476" s="74"/>
      <c r="L3476" s="48">
        <f>ROUNDDOWN(SUMIF(P3474:P3475,O3476,L3474:L3475),0)</f>
        <v>0</v>
      </c>
      <c r="M3476" s="74"/>
      <c r="O3476" s="7" t="s">
        <v>6406</v>
      </c>
    </row>
    <row r="3477" spans="1:26" ht="28.7" customHeight="1" x14ac:dyDescent="0.3">
      <c r="A3477" s="73"/>
      <c r="B3477" s="73"/>
      <c r="C3477" s="73"/>
      <c r="D3477" s="73"/>
      <c r="E3477" s="73"/>
      <c r="F3477" s="73"/>
      <c r="G3477" s="73"/>
      <c r="H3477" s="73"/>
      <c r="I3477" s="73"/>
      <c r="J3477" s="73"/>
      <c r="K3477" s="73"/>
      <c r="L3477" s="73"/>
      <c r="M3477" s="73"/>
    </row>
    <row r="3478" spans="1:26" ht="28.7" customHeight="1" x14ac:dyDescent="0.3">
      <c r="A3478" s="136" t="s">
        <v>1909</v>
      </c>
      <c r="B3478" s="127"/>
      <c r="C3478" s="127"/>
      <c r="D3478" s="127"/>
      <c r="E3478" s="127"/>
      <c r="F3478" s="127"/>
      <c r="G3478" s="127"/>
      <c r="H3478" s="127"/>
      <c r="I3478" s="127"/>
      <c r="J3478" s="127"/>
      <c r="K3478" s="127"/>
      <c r="L3478" s="144"/>
      <c r="M3478" s="22" t="s">
        <v>8782</v>
      </c>
      <c r="N3478" s="84" t="str">
        <f>HYPERLINK("#N"&amp;ROW(N3481),"_x0005_`BDCOD|B04840_x0007_`POSS|"&amp;ROW(N3479)&amp;"_x0007_`POSE|"&amp;ROW(N3481)&amp;"_x0007_`")</f>
        <v>_x0005_`BDCOD|B04840_x0007_`POSS|3479_x0007_`POSE|3481_x0007_`</v>
      </c>
      <c r="O3478" s="7" t="s">
        <v>8783</v>
      </c>
    </row>
    <row r="3479" spans="1:26" ht="28.7" customHeight="1" x14ac:dyDescent="0.3">
      <c r="A3479" s="10"/>
      <c r="B3479" s="10" t="s">
        <v>8766</v>
      </c>
      <c r="C3479" s="75">
        <v>0</v>
      </c>
      <c r="D3479" s="31"/>
      <c r="E3479" s="33">
        <v>0</v>
      </c>
      <c r="F3479" s="11">
        <v>0</v>
      </c>
      <c r="G3479" s="42"/>
      <c r="H3479" s="11">
        <v>0</v>
      </c>
      <c r="I3479" s="42"/>
      <c r="J3479" s="33">
        <v>0</v>
      </c>
      <c r="K3479" s="46"/>
      <c r="L3479" s="33">
        <v>0</v>
      </c>
      <c r="M3479" s="22" t="s">
        <v>6509</v>
      </c>
      <c r="N3479" s="17" t="s">
        <v>6507</v>
      </c>
      <c r="O3479" s="7" t="s">
        <v>6508</v>
      </c>
      <c r="P3479" s="7" t="s">
        <v>6508</v>
      </c>
    </row>
    <row r="3480" spans="1:26" ht="28.7" customHeight="1" x14ac:dyDescent="0.3">
      <c r="A3480" s="10" t="s">
        <v>3086</v>
      </c>
      <c r="B3480" s="10"/>
      <c r="C3480" s="75">
        <v>0.4</v>
      </c>
      <c r="D3480" s="31" t="s">
        <v>3074</v>
      </c>
      <c r="E3480" s="55">
        <f>I3480+G3480+K3480</f>
        <v>247897</v>
      </c>
      <c r="F3480" s="76">
        <f>J3480+H3480+L3480</f>
        <v>99158.8</v>
      </c>
      <c r="G3480" s="78">
        <f>노무비목록표!E10</f>
        <v>247897</v>
      </c>
      <c r="H3480" s="81">
        <f>IF(C3480=0,0,ROUNDDOWN(G3480*C3480,1))</f>
        <v>99158.8</v>
      </c>
      <c r="I3480" s="51">
        <v>0</v>
      </c>
      <c r="J3480" s="77">
        <f>IF(C3480=0,0,ROUNDDOWN(I3480*C3480,1))</f>
        <v>0</v>
      </c>
      <c r="K3480" s="51">
        <v>0</v>
      </c>
      <c r="L3480" s="76">
        <f>IF(C3480=0,0,ROUNDDOWN(K3480*C3480,1))</f>
        <v>0</v>
      </c>
      <c r="M3480" s="22" t="s">
        <v>8367</v>
      </c>
      <c r="N3480" s="17" t="s">
        <v>8771</v>
      </c>
      <c r="O3480" s="7" t="s">
        <v>8366</v>
      </c>
      <c r="P3480" s="7" t="s">
        <v>6406</v>
      </c>
      <c r="Z3480" s="3" t="str">
        <f ca="1">HYPERLINK("#"&amp;노무비목록표!G2&amp;"!A"&amp;ROW(노무비목록표!A10),"노무7 →")</f>
        <v>노무7 →</v>
      </c>
    </row>
    <row r="3481" spans="1:26" ht="28.7" customHeight="1" x14ac:dyDescent="0.3">
      <c r="A3481" s="10" t="s">
        <v>3090</v>
      </c>
      <c r="B3481" s="10"/>
      <c r="C3481" s="75">
        <v>0.151</v>
      </c>
      <c r="D3481" s="31" t="s">
        <v>3074</v>
      </c>
      <c r="E3481" s="55">
        <f>I3481+G3481+K3481</f>
        <v>172068</v>
      </c>
      <c r="F3481" s="76">
        <f>J3481+H3481+L3481</f>
        <v>25982.2</v>
      </c>
      <c r="G3481" s="78">
        <f>노무비목록표!E12</f>
        <v>172068</v>
      </c>
      <c r="H3481" s="81">
        <f>IF(C3481=0,0,ROUNDDOWN(G3481*C3481,1))</f>
        <v>25982.2</v>
      </c>
      <c r="I3481" s="51">
        <v>0</v>
      </c>
      <c r="J3481" s="77">
        <f>IF(C3481=0,0,ROUNDDOWN(I3481*C3481,1))</f>
        <v>0</v>
      </c>
      <c r="K3481" s="51">
        <v>0</v>
      </c>
      <c r="L3481" s="76">
        <f>IF(C3481=0,0,ROUNDDOWN(K3481*C3481,1))</f>
        <v>0</v>
      </c>
      <c r="M3481" s="22" t="s">
        <v>8262</v>
      </c>
      <c r="N3481" s="17" t="s">
        <v>8473</v>
      </c>
      <c r="O3481" s="7" t="s">
        <v>8261</v>
      </c>
      <c r="P3481" s="7" t="s">
        <v>6406</v>
      </c>
      <c r="Z3481" s="3" t="str">
        <f ca="1">HYPERLINK("#"&amp;노무비목록표!G2&amp;"!A"&amp;ROW(노무비목록표!A12),"노무9 →")</f>
        <v>노무9 →</v>
      </c>
    </row>
    <row r="3482" spans="1:26" ht="28.7" customHeight="1" x14ac:dyDescent="0.3">
      <c r="A3482" s="22" t="s">
        <v>6</v>
      </c>
      <c r="B3482" s="74"/>
      <c r="C3482" s="74"/>
      <c r="D3482" s="74"/>
      <c r="E3482" s="74"/>
      <c r="F3482" s="48">
        <f>J3482+H3482+L3482</f>
        <v>125141</v>
      </c>
      <c r="G3482" s="74"/>
      <c r="H3482" s="48">
        <f>ROUNDDOWN(SUMIF(P3479:P3481,O3482,H3479:H3481),0)</f>
        <v>125141</v>
      </c>
      <c r="I3482" s="74"/>
      <c r="J3482" s="48">
        <f>ROUNDDOWN(SUMIF(P3479:P3481,O3482,J3479:J3481),0)</f>
        <v>0</v>
      </c>
      <c r="K3482" s="74"/>
      <c r="L3482" s="48">
        <f>ROUNDDOWN(SUMIF(P3479:P3481,O3482,L3479:L3481),0)</f>
        <v>0</v>
      </c>
      <c r="M3482" s="74"/>
      <c r="O3482" s="7" t="s">
        <v>6406</v>
      </c>
    </row>
    <row r="3483" spans="1:26" ht="28.7" customHeight="1" x14ac:dyDescent="0.3">
      <c r="A3483" s="73"/>
      <c r="B3483" s="73"/>
      <c r="C3483" s="73"/>
      <c r="D3483" s="73"/>
      <c r="E3483" s="73"/>
      <c r="F3483" s="73"/>
      <c r="G3483" s="73"/>
      <c r="H3483" s="73"/>
      <c r="I3483" s="73"/>
      <c r="J3483" s="73"/>
      <c r="K3483" s="73"/>
      <c r="L3483" s="73"/>
      <c r="M3483" s="73"/>
    </row>
    <row r="3484" spans="1:26" ht="28.7" customHeight="1" x14ac:dyDescent="0.3">
      <c r="A3484" s="136" t="s">
        <v>1912</v>
      </c>
      <c r="B3484" s="127"/>
      <c r="C3484" s="127"/>
      <c r="D3484" s="127"/>
      <c r="E3484" s="127"/>
      <c r="F3484" s="127"/>
      <c r="G3484" s="127"/>
      <c r="H3484" s="127"/>
      <c r="I3484" s="127"/>
      <c r="J3484" s="127"/>
      <c r="K3484" s="127"/>
      <c r="L3484" s="144"/>
      <c r="M3484" s="22" t="s">
        <v>8784</v>
      </c>
      <c r="N3484" s="84" t="str">
        <f>HYPERLINK("#N"&amp;ROW(N3487),"_x0005_`BDCOD|B05041_x0007_`POSS|"&amp;ROW(N3485)&amp;"_x0007_`POSE|"&amp;ROW(N3487)&amp;"_x0007_`")</f>
        <v>_x0005_`BDCOD|B05041_x0007_`POSS|3485_x0007_`POSE|3487_x0007_`</v>
      </c>
      <c r="O3484" s="7" t="s">
        <v>8785</v>
      </c>
    </row>
    <row r="3485" spans="1:26" ht="28.7" customHeight="1" x14ac:dyDescent="0.3">
      <c r="A3485" s="10"/>
      <c r="B3485" s="10" t="s">
        <v>8766</v>
      </c>
      <c r="C3485" s="75">
        <v>0</v>
      </c>
      <c r="D3485" s="31"/>
      <c r="E3485" s="33">
        <v>0</v>
      </c>
      <c r="F3485" s="11">
        <v>0</v>
      </c>
      <c r="G3485" s="42"/>
      <c r="H3485" s="11">
        <v>0</v>
      </c>
      <c r="I3485" s="42"/>
      <c r="J3485" s="33">
        <v>0</v>
      </c>
      <c r="K3485" s="46"/>
      <c r="L3485" s="33">
        <v>0</v>
      </c>
      <c r="M3485" s="22" t="s">
        <v>6509</v>
      </c>
      <c r="N3485" s="17" t="s">
        <v>6507</v>
      </c>
      <c r="O3485" s="7" t="s">
        <v>6508</v>
      </c>
      <c r="P3485" s="7" t="s">
        <v>6508</v>
      </c>
    </row>
    <row r="3486" spans="1:26" ht="28.7" customHeight="1" x14ac:dyDescent="0.3">
      <c r="A3486" s="10" t="s">
        <v>1891</v>
      </c>
      <c r="B3486" s="10" t="s">
        <v>1914</v>
      </c>
      <c r="C3486" s="75">
        <v>1</v>
      </c>
      <c r="D3486" s="31" t="s">
        <v>1010</v>
      </c>
      <c r="E3486" s="55">
        <f>I3486+G3486+K3486</f>
        <v>106658</v>
      </c>
      <c r="F3486" s="76">
        <f>J3486+H3486+L3486</f>
        <v>106658</v>
      </c>
      <c r="G3486" s="78">
        <f>일위대가목록표!F741</f>
        <v>106658</v>
      </c>
      <c r="H3486" s="80">
        <f>IF(C3486=0,0,ROUNDDOWN(G3486*C3486,1))</f>
        <v>106658</v>
      </c>
      <c r="I3486" s="78">
        <f>일위대가목록표!G741</f>
        <v>0</v>
      </c>
      <c r="J3486" s="80">
        <f>IF(C3486=0,0,ROUNDDOWN(I3486*C3486,1))</f>
        <v>0</v>
      </c>
      <c r="K3486" s="78">
        <f>일위대가목록표!H741</f>
        <v>0</v>
      </c>
      <c r="L3486" s="80">
        <f>IF(C3486=0,0,ROUNDDOWN(K3486*C3486,1))</f>
        <v>0</v>
      </c>
      <c r="M3486" s="22" t="s">
        <v>8142</v>
      </c>
      <c r="N3486" s="17" t="s">
        <v>8140</v>
      </c>
      <c r="O3486" s="7" t="s">
        <v>8141</v>
      </c>
      <c r="P3486" s="7" t="s">
        <v>6406</v>
      </c>
      <c r="Z3486" s="3" t="str">
        <f ca="1">HYPERLINK("#"&amp;일위대가목록표!J2&amp;"!A"&amp;ROW(일위대가목록표!A741),"대가738 →")</f>
        <v>대가738 →</v>
      </c>
    </row>
    <row r="3487" spans="1:26" ht="28.7" customHeight="1" x14ac:dyDescent="0.3">
      <c r="A3487" s="10" t="s">
        <v>1894</v>
      </c>
      <c r="B3487" s="10" t="s">
        <v>1919</v>
      </c>
      <c r="C3487" s="75">
        <v>1</v>
      </c>
      <c r="D3487" s="31" t="s">
        <v>1010</v>
      </c>
      <c r="E3487" s="55">
        <f>I3487+G3487+K3487</f>
        <v>213316</v>
      </c>
      <c r="F3487" s="76">
        <f>J3487+H3487+L3487</f>
        <v>213316</v>
      </c>
      <c r="G3487" s="78">
        <f>일위대가목록표!F742</f>
        <v>213316</v>
      </c>
      <c r="H3487" s="80">
        <f>IF(C3487=0,0,ROUNDDOWN(G3487*C3487,1))</f>
        <v>213316</v>
      </c>
      <c r="I3487" s="78">
        <f>일위대가목록표!G742</f>
        <v>0</v>
      </c>
      <c r="J3487" s="80">
        <f>IF(C3487=0,0,ROUNDDOWN(I3487*C3487,1))</f>
        <v>0</v>
      </c>
      <c r="K3487" s="78">
        <f>일위대가목록표!H742</f>
        <v>0</v>
      </c>
      <c r="L3487" s="80">
        <f>IF(C3487=0,0,ROUNDDOWN(K3487*C3487,1))</f>
        <v>0</v>
      </c>
      <c r="M3487" s="22" t="s">
        <v>8112</v>
      </c>
      <c r="N3487" s="17" t="s">
        <v>8110</v>
      </c>
      <c r="O3487" s="7" t="s">
        <v>8111</v>
      </c>
      <c r="P3487" s="7" t="s">
        <v>6406</v>
      </c>
      <c r="Z3487" s="3" t="str">
        <f ca="1">HYPERLINK("#"&amp;일위대가목록표!J2&amp;"!A"&amp;ROW(일위대가목록표!A742),"대가739 →")</f>
        <v>대가739 →</v>
      </c>
    </row>
    <row r="3488" spans="1:26" ht="28.7" customHeight="1" x14ac:dyDescent="0.3">
      <c r="A3488" s="22" t="s">
        <v>6</v>
      </c>
      <c r="B3488" s="74"/>
      <c r="C3488" s="74"/>
      <c r="D3488" s="74"/>
      <c r="E3488" s="74"/>
      <c r="F3488" s="48">
        <f>J3488+H3488+L3488</f>
        <v>319974</v>
      </c>
      <c r="G3488" s="74"/>
      <c r="H3488" s="48">
        <f>ROUNDDOWN(SUMIF(P3485:P3487,O3488,H3485:H3487),0)</f>
        <v>319974</v>
      </c>
      <c r="I3488" s="74"/>
      <c r="J3488" s="48">
        <f>ROUNDDOWN(SUMIF(P3485:P3487,O3488,J3485:J3487),0)</f>
        <v>0</v>
      </c>
      <c r="K3488" s="74"/>
      <c r="L3488" s="48">
        <f>ROUNDDOWN(SUMIF(P3485:P3487,O3488,L3485:L3487),0)</f>
        <v>0</v>
      </c>
      <c r="M3488" s="74"/>
      <c r="O3488" s="7" t="s">
        <v>6406</v>
      </c>
    </row>
    <row r="3489" spans="1:26" ht="28.7" customHeight="1" x14ac:dyDescent="0.3">
      <c r="A3489" s="73"/>
      <c r="B3489" s="73"/>
      <c r="C3489" s="73"/>
      <c r="D3489" s="73"/>
      <c r="E3489" s="73"/>
      <c r="F3489" s="73"/>
      <c r="G3489" s="73"/>
      <c r="H3489" s="73"/>
      <c r="I3489" s="73"/>
      <c r="J3489" s="73"/>
      <c r="K3489" s="73"/>
      <c r="L3489" s="73"/>
      <c r="M3489" s="73"/>
    </row>
    <row r="3490" spans="1:26" ht="28.7" customHeight="1" x14ac:dyDescent="0.3">
      <c r="A3490" s="136" t="s">
        <v>1915</v>
      </c>
      <c r="B3490" s="127"/>
      <c r="C3490" s="127"/>
      <c r="D3490" s="127"/>
      <c r="E3490" s="127"/>
      <c r="F3490" s="127"/>
      <c r="G3490" s="127"/>
      <c r="H3490" s="127"/>
      <c r="I3490" s="127"/>
      <c r="J3490" s="127"/>
      <c r="K3490" s="127"/>
      <c r="L3490" s="144"/>
      <c r="M3490" s="22" t="s">
        <v>8786</v>
      </c>
      <c r="N3490" s="84" t="str">
        <f>HYPERLINK("#N"&amp;ROW(N3492),"_x0005_`BDCOD|B04848_x0007_`POSS|"&amp;ROW(N3491)&amp;"_x0007_`POSE|"&amp;ROW(N3492)&amp;"_x0007_`")</f>
        <v>_x0005_`BDCOD|B04848_x0007_`POSS|3491_x0007_`POSE|3492_x0007_`</v>
      </c>
      <c r="O3490" s="7" t="s">
        <v>8787</v>
      </c>
    </row>
    <row r="3491" spans="1:26" ht="28.7" customHeight="1" x14ac:dyDescent="0.3">
      <c r="A3491" s="10"/>
      <c r="B3491" s="10" t="s">
        <v>8766</v>
      </c>
      <c r="C3491" s="75">
        <v>0</v>
      </c>
      <c r="D3491" s="31"/>
      <c r="E3491" s="33">
        <v>0</v>
      </c>
      <c r="F3491" s="11">
        <v>0</v>
      </c>
      <c r="G3491" s="42"/>
      <c r="H3491" s="11">
        <v>0</v>
      </c>
      <c r="I3491" s="42"/>
      <c r="J3491" s="33">
        <v>0</v>
      </c>
      <c r="K3491" s="46"/>
      <c r="L3491" s="33">
        <v>0</v>
      </c>
      <c r="M3491" s="22" t="s">
        <v>6509</v>
      </c>
      <c r="N3491" s="17" t="s">
        <v>6507</v>
      </c>
      <c r="O3491" s="7" t="s">
        <v>6508</v>
      </c>
      <c r="P3491" s="7" t="s">
        <v>6508</v>
      </c>
    </row>
    <row r="3492" spans="1:26" ht="28.7" customHeight="1" x14ac:dyDescent="0.3">
      <c r="A3492" s="10" t="s">
        <v>1894</v>
      </c>
      <c r="B3492" s="10" t="s">
        <v>1919</v>
      </c>
      <c r="C3492" s="75">
        <v>0.5</v>
      </c>
      <c r="D3492" s="31" t="s">
        <v>1010</v>
      </c>
      <c r="E3492" s="55">
        <f>I3492+G3492+K3492</f>
        <v>213316</v>
      </c>
      <c r="F3492" s="76">
        <f>J3492+H3492+L3492</f>
        <v>106658</v>
      </c>
      <c r="G3492" s="78">
        <f>일위대가목록표!F742</f>
        <v>213316</v>
      </c>
      <c r="H3492" s="80">
        <f>IF(C3492=0,0,ROUNDDOWN(G3492*C3492,1))</f>
        <v>106658</v>
      </c>
      <c r="I3492" s="78">
        <f>일위대가목록표!G742</f>
        <v>0</v>
      </c>
      <c r="J3492" s="80">
        <f>IF(C3492=0,0,ROUNDDOWN(I3492*C3492,1))</f>
        <v>0</v>
      </c>
      <c r="K3492" s="78">
        <f>일위대가목록표!H742</f>
        <v>0</v>
      </c>
      <c r="L3492" s="80">
        <f>IF(C3492=0,0,ROUNDDOWN(K3492*C3492,1))</f>
        <v>0</v>
      </c>
      <c r="M3492" s="22" t="s">
        <v>8112</v>
      </c>
      <c r="N3492" s="17" t="s">
        <v>8110</v>
      </c>
      <c r="O3492" s="7" t="s">
        <v>8111</v>
      </c>
      <c r="P3492" s="7" t="s">
        <v>6406</v>
      </c>
      <c r="Z3492" s="3" t="str">
        <f ca="1">HYPERLINK("#"&amp;일위대가목록표!J2&amp;"!A"&amp;ROW(일위대가목록표!A742),"대가739 →")</f>
        <v>대가739 →</v>
      </c>
    </row>
    <row r="3493" spans="1:26" ht="28.7" customHeight="1" x14ac:dyDescent="0.3">
      <c r="A3493" s="22" t="s">
        <v>6</v>
      </c>
      <c r="B3493" s="74"/>
      <c r="C3493" s="74"/>
      <c r="D3493" s="74"/>
      <c r="E3493" s="74"/>
      <c r="F3493" s="48">
        <f>J3493+H3493+L3493</f>
        <v>106658</v>
      </c>
      <c r="G3493" s="74"/>
      <c r="H3493" s="48">
        <f>ROUNDDOWN(SUMIF(P3491:P3492,O3493,H3491:H3492),0)</f>
        <v>106658</v>
      </c>
      <c r="I3493" s="74"/>
      <c r="J3493" s="48">
        <f>ROUNDDOWN(SUMIF(P3491:P3492,O3493,J3491:J3492),0)</f>
        <v>0</v>
      </c>
      <c r="K3493" s="74"/>
      <c r="L3493" s="48">
        <f>ROUNDDOWN(SUMIF(P3491:P3492,O3493,L3491:L3492),0)</f>
        <v>0</v>
      </c>
      <c r="M3493" s="74"/>
      <c r="O3493" s="7" t="s">
        <v>6406</v>
      </c>
    </row>
    <row r="3494" spans="1:26" ht="28.7" customHeight="1" x14ac:dyDescent="0.3">
      <c r="A3494" s="73"/>
      <c r="B3494" s="73"/>
      <c r="C3494" s="73"/>
      <c r="D3494" s="73"/>
      <c r="E3494" s="73"/>
      <c r="F3494" s="73"/>
      <c r="G3494" s="73"/>
      <c r="H3494" s="73"/>
      <c r="I3494" s="73"/>
      <c r="J3494" s="73"/>
      <c r="K3494" s="73"/>
      <c r="L3494" s="73"/>
      <c r="M3494" s="73"/>
    </row>
    <row r="3495" spans="1:26" ht="28.7" customHeight="1" x14ac:dyDescent="0.3">
      <c r="A3495" s="136" t="s">
        <v>1917</v>
      </c>
      <c r="B3495" s="127"/>
      <c r="C3495" s="127"/>
      <c r="D3495" s="127"/>
      <c r="E3495" s="127"/>
      <c r="F3495" s="127"/>
      <c r="G3495" s="127"/>
      <c r="H3495" s="127"/>
      <c r="I3495" s="127"/>
      <c r="J3495" s="127"/>
      <c r="K3495" s="127"/>
      <c r="L3495" s="144"/>
      <c r="M3495" s="22" t="s">
        <v>8788</v>
      </c>
      <c r="N3495" s="84" t="str">
        <f>HYPERLINK("#N"&amp;ROW(N3498),"_x0005_`BDCOD|B04841_x0007_`POSS|"&amp;ROW(N3496)&amp;"_x0007_`POSE|"&amp;ROW(N3498)&amp;"_x0007_`")</f>
        <v>_x0005_`BDCOD|B04841_x0007_`POSS|3496_x0007_`POSE|3498_x0007_`</v>
      </c>
      <c r="O3495" s="7" t="s">
        <v>8789</v>
      </c>
    </row>
    <row r="3496" spans="1:26" ht="28.7" customHeight="1" x14ac:dyDescent="0.3">
      <c r="A3496" s="10"/>
      <c r="B3496" s="10" t="s">
        <v>8766</v>
      </c>
      <c r="C3496" s="75">
        <v>0</v>
      </c>
      <c r="D3496" s="31"/>
      <c r="E3496" s="33">
        <v>0</v>
      </c>
      <c r="F3496" s="11">
        <v>0</v>
      </c>
      <c r="G3496" s="42"/>
      <c r="H3496" s="11">
        <v>0</v>
      </c>
      <c r="I3496" s="42"/>
      <c r="J3496" s="33">
        <v>0</v>
      </c>
      <c r="K3496" s="46"/>
      <c r="L3496" s="33">
        <v>0</v>
      </c>
      <c r="M3496" s="22" t="s">
        <v>6509</v>
      </c>
      <c r="N3496" s="17" t="s">
        <v>6507</v>
      </c>
      <c r="O3496" s="7" t="s">
        <v>6508</v>
      </c>
      <c r="P3496" s="7" t="s">
        <v>6508</v>
      </c>
    </row>
    <row r="3497" spans="1:26" ht="28.7" customHeight="1" x14ac:dyDescent="0.3">
      <c r="A3497" s="10" t="s">
        <v>3086</v>
      </c>
      <c r="B3497" s="10"/>
      <c r="C3497" s="75">
        <v>0.69599999999999995</v>
      </c>
      <c r="D3497" s="31" t="s">
        <v>3074</v>
      </c>
      <c r="E3497" s="55">
        <f>I3497+G3497+K3497</f>
        <v>247897</v>
      </c>
      <c r="F3497" s="76">
        <f>J3497+H3497+L3497</f>
        <v>172536.3</v>
      </c>
      <c r="G3497" s="78">
        <f>노무비목록표!E10</f>
        <v>247897</v>
      </c>
      <c r="H3497" s="81">
        <f>IF(C3497=0,0,ROUNDDOWN(G3497*C3497,1))</f>
        <v>172536.3</v>
      </c>
      <c r="I3497" s="51">
        <v>0</v>
      </c>
      <c r="J3497" s="77">
        <f>IF(C3497=0,0,ROUNDDOWN(I3497*C3497,1))</f>
        <v>0</v>
      </c>
      <c r="K3497" s="51">
        <v>0</v>
      </c>
      <c r="L3497" s="76">
        <f>IF(C3497=0,0,ROUNDDOWN(K3497*C3497,1))</f>
        <v>0</v>
      </c>
      <c r="M3497" s="22" t="s">
        <v>8367</v>
      </c>
      <c r="N3497" s="17" t="s">
        <v>8771</v>
      </c>
      <c r="O3497" s="7" t="s">
        <v>8366</v>
      </c>
      <c r="P3497" s="7" t="s">
        <v>6406</v>
      </c>
      <c r="Z3497" s="3" t="str">
        <f ca="1">HYPERLINK("#"&amp;노무비목록표!G2&amp;"!A"&amp;ROW(노무비목록표!A10),"노무7 →")</f>
        <v>노무7 →</v>
      </c>
    </row>
    <row r="3498" spans="1:26" ht="28.7" customHeight="1" x14ac:dyDescent="0.3">
      <c r="A3498" s="10" t="s">
        <v>3090</v>
      </c>
      <c r="B3498" s="10"/>
      <c r="C3498" s="75">
        <v>0.23699999999999999</v>
      </c>
      <c r="D3498" s="31" t="s">
        <v>3074</v>
      </c>
      <c r="E3498" s="55">
        <f>I3498+G3498+K3498</f>
        <v>172068</v>
      </c>
      <c r="F3498" s="76">
        <f>J3498+H3498+L3498</f>
        <v>40780.1</v>
      </c>
      <c r="G3498" s="78">
        <f>노무비목록표!E12</f>
        <v>172068</v>
      </c>
      <c r="H3498" s="81">
        <f>IF(C3498=0,0,ROUNDDOWN(G3498*C3498,1))</f>
        <v>40780.1</v>
      </c>
      <c r="I3498" s="51">
        <v>0</v>
      </c>
      <c r="J3498" s="77">
        <f>IF(C3498=0,0,ROUNDDOWN(I3498*C3498,1))</f>
        <v>0</v>
      </c>
      <c r="K3498" s="51">
        <v>0</v>
      </c>
      <c r="L3498" s="76">
        <f>IF(C3498=0,0,ROUNDDOWN(K3498*C3498,1))</f>
        <v>0</v>
      </c>
      <c r="M3498" s="22" t="s">
        <v>8262</v>
      </c>
      <c r="N3498" s="17" t="s">
        <v>8473</v>
      </c>
      <c r="O3498" s="7" t="s">
        <v>8261</v>
      </c>
      <c r="P3498" s="7" t="s">
        <v>6406</v>
      </c>
      <c r="Z3498" s="3" t="str">
        <f ca="1">HYPERLINK("#"&amp;노무비목록표!G2&amp;"!A"&amp;ROW(노무비목록표!A12),"노무9 →")</f>
        <v>노무9 →</v>
      </c>
    </row>
    <row r="3499" spans="1:26" ht="28.7" customHeight="1" x14ac:dyDescent="0.3">
      <c r="A3499" s="22" t="s">
        <v>6</v>
      </c>
      <c r="B3499" s="74"/>
      <c r="C3499" s="74"/>
      <c r="D3499" s="74"/>
      <c r="E3499" s="74"/>
      <c r="F3499" s="48">
        <f>J3499+H3499+L3499</f>
        <v>213316</v>
      </c>
      <c r="G3499" s="74"/>
      <c r="H3499" s="48">
        <f>ROUNDDOWN(SUMIF(P3496:P3498,O3499,H3496:H3498),0)</f>
        <v>213316</v>
      </c>
      <c r="I3499" s="74"/>
      <c r="J3499" s="48">
        <f>ROUNDDOWN(SUMIF(P3496:P3498,O3499,J3496:J3498),0)</f>
        <v>0</v>
      </c>
      <c r="K3499" s="74"/>
      <c r="L3499" s="48">
        <f>ROUNDDOWN(SUMIF(P3496:P3498,O3499,L3496:L3498),0)</f>
        <v>0</v>
      </c>
      <c r="M3499" s="74"/>
      <c r="O3499" s="7" t="s">
        <v>6406</v>
      </c>
    </row>
    <row r="3500" spans="1:26" ht="28.7" customHeight="1" x14ac:dyDescent="0.3">
      <c r="A3500" s="73"/>
      <c r="B3500" s="73"/>
      <c r="C3500" s="73"/>
      <c r="D3500" s="73"/>
      <c r="E3500" s="73"/>
      <c r="F3500" s="73"/>
      <c r="G3500" s="73"/>
      <c r="H3500" s="73"/>
      <c r="I3500" s="73"/>
      <c r="J3500" s="73"/>
      <c r="K3500" s="73"/>
      <c r="L3500" s="73"/>
      <c r="M3500" s="73"/>
    </row>
    <row r="3501" spans="1:26" ht="28.7" customHeight="1" x14ac:dyDescent="0.3">
      <c r="A3501" s="136" t="s">
        <v>1920</v>
      </c>
      <c r="B3501" s="127"/>
      <c r="C3501" s="127"/>
      <c r="D3501" s="127"/>
      <c r="E3501" s="127"/>
      <c r="F3501" s="127"/>
      <c r="G3501" s="127"/>
      <c r="H3501" s="127"/>
      <c r="I3501" s="127"/>
      <c r="J3501" s="127"/>
      <c r="K3501" s="127"/>
      <c r="L3501" s="144"/>
      <c r="M3501" s="22" t="s">
        <v>8790</v>
      </c>
      <c r="N3501" s="84" t="str">
        <f>HYPERLINK("#N"&amp;ROW(N3504),"_x0005_`BDCOD|B05042_x0007_`POSS|"&amp;ROW(N3502)&amp;"_x0007_`POSE|"&amp;ROW(N3504)&amp;"_x0007_`")</f>
        <v>_x0005_`BDCOD|B05042_x0007_`POSS|3502_x0007_`POSE|3504_x0007_`</v>
      </c>
      <c r="O3501" s="7" t="s">
        <v>8791</v>
      </c>
    </row>
    <row r="3502" spans="1:26" ht="28.7" customHeight="1" x14ac:dyDescent="0.3">
      <c r="A3502" s="10"/>
      <c r="B3502" s="10" t="s">
        <v>8766</v>
      </c>
      <c r="C3502" s="75">
        <v>0</v>
      </c>
      <c r="D3502" s="31"/>
      <c r="E3502" s="33">
        <v>0</v>
      </c>
      <c r="F3502" s="11">
        <v>0</v>
      </c>
      <c r="G3502" s="42"/>
      <c r="H3502" s="11">
        <v>0</v>
      </c>
      <c r="I3502" s="42"/>
      <c r="J3502" s="33">
        <v>0</v>
      </c>
      <c r="K3502" s="46"/>
      <c r="L3502" s="33">
        <v>0</v>
      </c>
      <c r="M3502" s="22" t="s">
        <v>6509</v>
      </c>
      <c r="N3502" s="17" t="s">
        <v>6507</v>
      </c>
      <c r="O3502" s="7" t="s">
        <v>6508</v>
      </c>
      <c r="P3502" s="7" t="s">
        <v>6508</v>
      </c>
    </row>
    <row r="3503" spans="1:26" ht="28.7" customHeight="1" x14ac:dyDescent="0.3">
      <c r="A3503" s="10" t="s">
        <v>1891</v>
      </c>
      <c r="B3503" s="10" t="s">
        <v>1922</v>
      </c>
      <c r="C3503" s="75">
        <v>1</v>
      </c>
      <c r="D3503" s="31" t="s">
        <v>1010</v>
      </c>
      <c r="E3503" s="55">
        <f>I3503+G3503+K3503</f>
        <v>147082</v>
      </c>
      <c r="F3503" s="76">
        <f>J3503+H3503+L3503</f>
        <v>147082</v>
      </c>
      <c r="G3503" s="78">
        <f>일위대가목록표!F744</f>
        <v>147082</v>
      </c>
      <c r="H3503" s="80">
        <f>IF(C3503=0,0,ROUNDDOWN(G3503*C3503,1))</f>
        <v>147082</v>
      </c>
      <c r="I3503" s="78">
        <f>일위대가목록표!G744</f>
        <v>0</v>
      </c>
      <c r="J3503" s="80">
        <f>IF(C3503=0,0,ROUNDDOWN(I3503*C3503,1))</f>
        <v>0</v>
      </c>
      <c r="K3503" s="78">
        <f>일위대가목록표!H744</f>
        <v>0</v>
      </c>
      <c r="L3503" s="80">
        <f>IF(C3503=0,0,ROUNDDOWN(K3503*C3503,1))</f>
        <v>0</v>
      </c>
      <c r="M3503" s="22" t="s">
        <v>8147</v>
      </c>
      <c r="N3503" s="17" t="s">
        <v>8145</v>
      </c>
      <c r="O3503" s="7" t="s">
        <v>8146</v>
      </c>
      <c r="P3503" s="7" t="s">
        <v>6406</v>
      </c>
      <c r="Z3503" s="3" t="str">
        <f ca="1">HYPERLINK("#"&amp;일위대가목록표!J2&amp;"!A"&amp;ROW(일위대가목록표!A744),"대가741 →")</f>
        <v>대가741 →</v>
      </c>
    </row>
    <row r="3504" spans="1:26" ht="28.7" customHeight="1" x14ac:dyDescent="0.3">
      <c r="A3504" s="10" t="s">
        <v>1894</v>
      </c>
      <c r="B3504" s="10" t="s">
        <v>1927</v>
      </c>
      <c r="C3504" s="75">
        <v>1</v>
      </c>
      <c r="D3504" s="31" t="s">
        <v>1010</v>
      </c>
      <c r="E3504" s="55">
        <f>I3504+G3504+K3504</f>
        <v>294165</v>
      </c>
      <c r="F3504" s="76">
        <f>J3504+H3504+L3504</f>
        <v>294165</v>
      </c>
      <c r="G3504" s="78">
        <f>일위대가목록표!F745</f>
        <v>294165</v>
      </c>
      <c r="H3504" s="80">
        <f>IF(C3504=0,0,ROUNDDOWN(G3504*C3504,1))</f>
        <v>294165</v>
      </c>
      <c r="I3504" s="78">
        <f>일위대가목록표!G745</f>
        <v>0</v>
      </c>
      <c r="J3504" s="80">
        <f>IF(C3504=0,0,ROUNDDOWN(I3504*C3504,1))</f>
        <v>0</v>
      </c>
      <c r="K3504" s="78">
        <f>일위대가목록표!H745</f>
        <v>0</v>
      </c>
      <c r="L3504" s="80">
        <f>IF(C3504=0,0,ROUNDDOWN(K3504*C3504,1))</f>
        <v>0</v>
      </c>
      <c r="M3504" s="22" t="s">
        <v>8117</v>
      </c>
      <c r="N3504" s="17" t="s">
        <v>8115</v>
      </c>
      <c r="O3504" s="7" t="s">
        <v>8116</v>
      </c>
      <c r="P3504" s="7" t="s">
        <v>6406</v>
      </c>
      <c r="Z3504" s="3" t="str">
        <f ca="1">HYPERLINK("#"&amp;일위대가목록표!J2&amp;"!A"&amp;ROW(일위대가목록표!A745),"대가742 →")</f>
        <v>대가742 →</v>
      </c>
    </row>
    <row r="3505" spans="1:26" ht="28.7" customHeight="1" x14ac:dyDescent="0.3">
      <c r="A3505" s="22" t="s">
        <v>6</v>
      </c>
      <c r="B3505" s="74"/>
      <c r="C3505" s="74"/>
      <c r="D3505" s="74"/>
      <c r="E3505" s="74"/>
      <c r="F3505" s="48">
        <f>J3505+H3505+L3505</f>
        <v>441247</v>
      </c>
      <c r="G3505" s="74"/>
      <c r="H3505" s="48">
        <f>ROUNDDOWN(SUMIF(P3502:P3504,O3505,H3502:H3504),0)</f>
        <v>441247</v>
      </c>
      <c r="I3505" s="74"/>
      <c r="J3505" s="48">
        <f>ROUNDDOWN(SUMIF(P3502:P3504,O3505,J3502:J3504),0)</f>
        <v>0</v>
      </c>
      <c r="K3505" s="74"/>
      <c r="L3505" s="48">
        <f>ROUNDDOWN(SUMIF(P3502:P3504,O3505,L3502:L3504),0)</f>
        <v>0</v>
      </c>
      <c r="M3505" s="74"/>
      <c r="O3505" s="7" t="s">
        <v>6406</v>
      </c>
    </row>
    <row r="3506" spans="1:26" ht="28.7" customHeight="1" x14ac:dyDescent="0.3">
      <c r="A3506" s="73"/>
      <c r="B3506" s="73"/>
      <c r="C3506" s="73"/>
      <c r="D3506" s="73"/>
      <c r="E3506" s="73"/>
      <c r="F3506" s="73"/>
      <c r="G3506" s="73"/>
      <c r="H3506" s="73"/>
      <c r="I3506" s="73"/>
      <c r="J3506" s="73"/>
      <c r="K3506" s="73"/>
      <c r="L3506" s="73"/>
      <c r="M3506" s="73"/>
    </row>
    <row r="3507" spans="1:26" ht="28.7" customHeight="1" x14ac:dyDescent="0.3">
      <c r="A3507" s="136" t="s">
        <v>1923</v>
      </c>
      <c r="B3507" s="127"/>
      <c r="C3507" s="127"/>
      <c r="D3507" s="127"/>
      <c r="E3507" s="127"/>
      <c r="F3507" s="127"/>
      <c r="G3507" s="127"/>
      <c r="H3507" s="127"/>
      <c r="I3507" s="127"/>
      <c r="J3507" s="127"/>
      <c r="K3507" s="127"/>
      <c r="L3507" s="144"/>
      <c r="M3507" s="22" t="s">
        <v>8792</v>
      </c>
      <c r="N3507" s="84" t="str">
        <f>HYPERLINK("#N"&amp;ROW(N3509),"_x0005_`BDCOD|B04849_x0007_`POSS|"&amp;ROW(N3508)&amp;"_x0007_`POSE|"&amp;ROW(N3509)&amp;"_x0007_`")</f>
        <v>_x0005_`BDCOD|B04849_x0007_`POSS|3508_x0007_`POSE|3509_x0007_`</v>
      </c>
      <c r="O3507" s="7" t="s">
        <v>8793</v>
      </c>
    </row>
    <row r="3508" spans="1:26" ht="28.7" customHeight="1" x14ac:dyDescent="0.3">
      <c r="A3508" s="10"/>
      <c r="B3508" s="10" t="s">
        <v>8766</v>
      </c>
      <c r="C3508" s="75">
        <v>0</v>
      </c>
      <c r="D3508" s="31"/>
      <c r="E3508" s="33">
        <v>0</v>
      </c>
      <c r="F3508" s="11">
        <v>0</v>
      </c>
      <c r="G3508" s="42"/>
      <c r="H3508" s="11">
        <v>0</v>
      </c>
      <c r="I3508" s="42"/>
      <c r="J3508" s="33">
        <v>0</v>
      </c>
      <c r="K3508" s="46"/>
      <c r="L3508" s="33">
        <v>0</v>
      </c>
      <c r="M3508" s="22" t="s">
        <v>6509</v>
      </c>
      <c r="N3508" s="17" t="s">
        <v>6507</v>
      </c>
      <c r="O3508" s="7" t="s">
        <v>6508</v>
      </c>
      <c r="P3508" s="7" t="s">
        <v>6508</v>
      </c>
    </row>
    <row r="3509" spans="1:26" ht="28.7" customHeight="1" x14ac:dyDescent="0.3">
      <c r="A3509" s="10" t="s">
        <v>1894</v>
      </c>
      <c r="B3509" s="10" t="s">
        <v>1927</v>
      </c>
      <c r="C3509" s="75">
        <v>0.5</v>
      </c>
      <c r="D3509" s="31" t="s">
        <v>1010</v>
      </c>
      <c r="E3509" s="55">
        <f>I3509+G3509+K3509</f>
        <v>294165</v>
      </c>
      <c r="F3509" s="76">
        <f>J3509+H3509+L3509</f>
        <v>147082.5</v>
      </c>
      <c r="G3509" s="78">
        <f>일위대가목록표!F745</f>
        <v>294165</v>
      </c>
      <c r="H3509" s="80">
        <f>IF(C3509=0,0,ROUNDDOWN(G3509*C3509,1))</f>
        <v>147082.5</v>
      </c>
      <c r="I3509" s="78">
        <f>일위대가목록표!G745</f>
        <v>0</v>
      </c>
      <c r="J3509" s="80">
        <f>IF(C3509=0,0,ROUNDDOWN(I3509*C3509,1))</f>
        <v>0</v>
      </c>
      <c r="K3509" s="78">
        <f>일위대가목록표!H745</f>
        <v>0</v>
      </c>
      <c r="L3509" s="80">
        <f>IF(C3509=0,0,ROUNDDOWN(K3509*C3509,1))</f>
        <v>0</v>
      </c>
      <c r="M3509" s="22" t="s">
        <v>8117</v>
      </c>
      <c r="N3509" s="17" t="s">
        <v>8115</v>
      </c>
      <c r="O3509" s="7" t="s">
        <v>8116</v>
      </c>
      <c r="P3509" s="7" t="s">
        <v>6406</v>
      </c>
      <c r="Z3509" s="3" t="str">
        <f ca="1">HYPERLINK("#"&amp;일위대가목록표!J2&amp;"!A"&amp;ROW(일위대가목록표!A745),"대가742 →")</f>
        <v>대가742 →</v>
      </c>
    </row>
    <row r="3510" spans="1:26" ht="28.7" customHeight="1" x14ac:dyDescent="0.3">
      <c r="A3510" s="22" t="s">
        <v>6</v>
      </c>
      <c r="B3510" s="74"/>
      <c r="C3510" s="74"/>
      <c r="D3510" s="74"/>
      <c r="E3510" s="74"/>
      <c r="F3510" s="48">
        <f>J3510+H3510+L3510</f>
        <v>147082</v>
      </c>
      <c r="G3510" s="74"/>
      <c r="H3510" s="48">
        <f>ROUNDDOWN(SUMIF(P3508:P3509,O3510,H3508:H3509),0)</f>
        <v>147082</v>
      </c>
      <c r="I3510" s="74"/>
      <c r="J3510" s="48">
        <f>ROUNDDOWN(SUMIF(P3508:P3509,O3510,J3508:J3509),0)</f>
        <v>0</v>
      </c>
      <c r="K3510" s="74"/>
      <c r="L3510" s="48">
        <f>ROUNDDOWN(SUMIF(P3508:P3509,O3510,L3508:L3509),0)</f>
        <v>0</v>
      </c>
      <c r="M3510" s="74"/>
      <c r="O3510" s="7" t="s">
        <v>6406</v>
      </c>
    </row>
    <row r="3511" spans="1:26" ht="28.7" customHeight="1" x14ac:dyDescent="0.3">
      <c r="A3511" s="73"/>
      <c r="B3511" s="73"/>
      <c r="C3511" s="73"/>
      <c r="D3511" s="73"/>
      <c r="E3511" s="73"/>
      <c r="F3511" s="73"/>
      <c r="G3511" s="73"/>
      <c r="H3511" s="73"/>
      <c r="I3511" s="73"/>
      <c r="J3511" s="73"/>
      <c r="K3511" s="73"/>
      <c r="L3511" s="73"/>
      <c r="M3511" s="73"/>
    </row>
    <row r="3512" spans="1:26" ht="28.7" customHeight="1" x14ac:dyDescent="0.3">
      <c r="A3512" s="136" t="s">
        <v>1925</v>
      </c>
      <c r="B3512" s="127"/>
      <c r="C3512" s="127"/>
      <c r="D3512" s="127"/>
      <c r="E3512" s="127"/>
      <c r="F3512" s="127"/>
      <c r="G3512" s="127"/>
      <c r="H3512" s="127"/>
      <c r="I3512" s="127"/>
      <c r="J3512" s="127"/>
      <c r="K3512" s="127"/>
      <c r="L3512" s="144"/>
      <c r="M3512" s="22" t="s">
        <v>8794</v>
      </c>
      <c r="N3512" s="84" t="str">
        <f>HYPERLINK("#N"&amp;ROW(N3515),"_x0005_`BDCOD|B04842_x0007_`POSS|"&amp;ROW(N3513)&amp;"_x0007_`POSE|"&amp;ROW(N3515)&amp;"_x0007_`")</f>
        <v>_x0005_`BDCOD|B04842_x0007_`POSS|3513_x0007_`POSE|3515_x0007_`</v>
      </c>
      <c r="O3512" s="7" t="s">
        <v>8795</v>
      </c>
    </row>
    <row r="3513" spans="1:26" ht="28.7" customHeight="1" x14ac:dyDescent="0.3">
      <c r="A3513" s="10"/>
      <c r="B3513" s="10" t="s">
        <v>8766</v>
      </c>
      <c r="C3513" s="75">
        <v>0</v>
      </c>
      <c r="D3513" s="31"/>
      <c r="E3513" s="33">
        <v>0</v>
      </c>
      <c r="F3513" s="11">
        <v>0</v>
      </c>
      <c r="G3513" s="42"/>
      <c r="H3513" s="11">
        <v>0</v>
      </c>
      <c r="I3513" s="42"/>
      <c r="J3513" s="33">
        <v>0</v>
      </c>
      <c r="K3513" s="46"/>
      <c r="L3513" s="33">
        <v>0</v>
      </c>
      <c r="M3513" s="22" t="s">
        <v>6509</v>
      </c>
      <c r="N3513" s="17" t="s">
        <v>6507</v>
      </c>
      <c r="O3513" s="7" t="s">
        <v>6508</v>
      </c>
      <c r="P3513" s="7" t="s">
        <v>6508</v>
      </c>
    </row>
    <row r="3514" spans="1:26" ht="28.7" customHeight="1" x14ac:dyDescent="0.3">
      <c r="A3514" s="10" t="s">
        <v>3086</v>
      </c>
      <c r="B3514" s="10"/>
      <c r="C3514" s="75">
        <v>0.96799999999999997</v>
      </c>
      <c r="D3514" s="31" t="s">
        <v>3074</v>
      </c>
      <c r="E3514" s="55">
        <f>I3514+G3514+K3514</f>
        <v>247897</v>
      </c>
      <c r="F3514" s="76">
        <f>J3514+H3514+L3514</f>
        <v>239964.2</v>
      </c>
      <c r="G3514" s="78">
        <f>노무비목록표!E10</f>
        <v>247897</v>
      </c>
      <c r="H3514" s="81">
        <f>IF(C3514=0,0,ROUNDDOWN(G3514*C3514,1))</f>
        <v>239964.2</v>
      </c>
      <c r="I3514" s="51">
        <v>0</v>
      </c>
      <c r="J3514" s="77">
        <f>IF(C3514=0,0,ROUNDDOWN(I3514*C3514,1))</f>
        <v>0</v>
      </c>
      <c r="K3514" s="51">
        <v>0</v>
      </c>
      <c r="L3514" s="76">
        <f>IF(C3514=0,0,ROUNDDOWN(K3514*C3514,1))</f>
        <v>0</v>
      </c>
      <c r="M3514" s="22" t="s">
        <v>8367</v>
      </c>
      <c r="N3514" s="17" t="s">
        <v>8771</v>
      </c>
      <c r="O3514" s="7" t="s">
        <v>8366</v>
      </c>
      <c r="P3514" s="7" t="s">
        <v>6406</v>
      </c>
      <c r="Z3514" s="3" t="str">
        <f ca="1">HYPERLINK("#"&amp;노무비목록표!G2&amp;"!A"&amp;ROW(노무비목록표!A10),"노무7 →")</f>
        <v>노무7 →</v>
      </c>
    </row>
    <row r="3515" spans="1:26" ht="28.7" customHeight="1" x14ac:dyDescent="0.3">
      <c r="A3515" s="10" t="s">
        <v>3090</v>
      </c>
      <c r="B3515" s="10"/>
      <c r="C3515" s="75">
        <v>0.315</v>
      </c>
      <c r="D3515" s="31" t="s">
        <v>3074</v>
      </c>
      <c r="E3515" s="55">
        <f>I3515+G3515+K3515</f>
        <v>172068</v>
      </c>
      <c r="F3515" s="76">
        <f>J3515+H3515+L3515</f>
        <v>54201.4</v>
      </c>
      <c r="G3515" s="78">
        <f>노무비목록표!E12</f>
        <v>172068</v>
      </c>
      <c r="H3515" s="81">
        <f>IF(C3515=0,0,ROUNDDOWN(G3515*C3515,1))</f>
        <v>54201.4</v>
      </c>
      <c r="I3515" s="51">
        <v>0</v>
      </c>
      <c r="J3515" s="77">
        <f>IF(C3515=0,0,ROUNDDOWN(I3515*C3515,1))</f>
        <v>0</v>
      </c>
      <c r="K3515" s="51">
        <v>0</v>
      </c>
      <c r="L3515" s="76">
        <f>IF(C3515=0,0,ROUNDDOWN(K3515*C3515,1))</f>
        <v>0</v>
      </c>
      <c r="M3515" s="22" t="s">
        <v>8262</v>
      </c>
      <c r="N3515" s="17" t="s">
        <v>8473</v>
      </c>
      <c r="O3515" s="7" t="s">
        <v>8261</v>
      </c>
      <c r="P3515" s="7" t="s">
        <v>6406</v>
      </c>
      <c r="Z3515" s="3" t="str">
        <f ca="1">HYPERLINK("#"&amp;노무비목록표!G2&amp;"!A"&amp;ROW(노무비목록표!A12),"노무9 →")</f>
        <v>노무9 →</v>
      </c>
    </row>
    <row r="3516" spans="1:26" ht="28.7" customHeight="1" x14ac:dyDescent="0.3">
      <c r="A3516" s="22" t="s">
        <v>6</v>
      </c>
      <c r="B3516" s="74"/>
      <c r="C3516" s="74"/>
      <c r="D3516" s="74"/>
      <c r="E3516" s="74"/>
      <c r="F3516" s="48">
        <f>J3516+H3516+L3516</f>
        <v>294165</v>
      </c>
      <c r="G3516" s="74"/>
      <c r="H3516" s="48">
        <f>ROUNDDOWN(SUMIF(P3513:P3515,O3516,H3513:H3515),0)</f>
        <v>294165</v>
      </c>
      <c r="I3516" s="74"/>
      <c r="J3516" s="48">
        <f>ROUNDDOWN(SUMIF(P3513:P3515,O3516,J3513:J3515),0)</f>
        <v>0</v>
      </c>
      <c r="K3516" s="74"/>
      <c r="L3516" s="48">
        <f>ROUNDDOWN(SUMIF(P3513:P3515,O3516,L3513:L3515),0)</f>
        <v>0</v>
      </c>
      <c r="M3516" s="74"/>
      <c r="O3516" s="7" t="s">
        <v>6406</v>
      </c>
    </row>
    <row r="3517" spans="1:26" ht="28.7" customHeight="1" x14ac:dyDescent="0.3">
      <c r="A3517" s="73"/>
      <c r="B3517" s="73"/>
      <c r="C3517" s="73"/>
      <c r="D3517" s="73"/>
      <c r="E3517" s="73"/>
      <c r="F3517" s="73"/>
      <c r="G3517" s="73"/>
      <c r="H3517" s="73"/>
      <c r="I3517" s="73"/>
      <c r="J3517" s="73"/>
      <c r="K3517" s="73"/>
      <c r="L3517" s="73"/>
      <c r="M3517" s="73"/>
    </row>
    <row r="3518" spans="1:26" ht="28.7" customHeight="1" x14ac:dyDescent="0.3">
      <c r="A3518" s="136" t="s">
        <v>1928</v>
      </c>
      <c r="B3518" s="127"/>
      <c r="C3518" s="127"/>
      <c r="D3518" s="127"/>
      <c r="E3518" s="127"/>
      <c r="F3518" s="127"/>
      <c r="G3518" s="127"/>
      <c r="H3518" s="127"/>
      <c r="I3518" s="127"/>
      <c r="J3518" s="127"/>
      <c r="K3518" s="127"/>
      <c r="L3518" s="144"/>
      <c r="M3518" s="22" t="s">
        <v>8796</v>
      </c>
      <c r="N3518" s="84" t="str">
        <f>HYPERLINK("#N"&amp;ROW(N3521),"_x0005_`BDCOD|B05043_x0007_`POSS|"&amp;ROW(N3519)&amp;"_x0007_`POSE|"&amp;ROW(N3521)&amp;"_x0007_`")</f>
        <v>_x0005_`BDCOD|B05043_x0007_`POSS|3519_x0007_`POSE|3521_x0007_`</v>
      </c>
      <c r="O3518" s="7" t="s">
        <v>8797</v>
      </c>
    </row>
    <row r="3519" spans="1:26" ht="28.7" customHeight="1" x14ac:dyDescent="0.3">
      <c r="A3519" s="10"/>
      <c r="B3519" s="10" t="s">
        <v>8766</v>
      </c>
      <c r="C3519" s="75">
        <v>0</v>
      </c>
      <c r="D3519" s="31"/>
      <c r="E3519" s="33">
        <v>0</v>
      </c>
      <c r="F3519" s="11">
        <v>0</v>
      </c>
      <c r="G3519" s="42"/>
      <c r="H3519" s="11">
        <v>0</v>
      </c>
      <c r="I3519" s="42"/>
      <c r="J3519" s="33">
        <v>0</v>
      </c>
      <c r="K3519" s="46"/>
      <c r="L3519" s="33">
        <v>0</v>
      </c>
      <c r="M3519" s="22" t="s">
        <v>6509</v>
      </c>
      <c r="N3519" s="17" t="s">
        <v>6507</v>
      </c>
      <c r="O3519" s="7" t="s">
        <v>6508</v>
      </c>
      <c r="P3519" s="7" t="s">
        <v>6508</v>
      </c>
    </row>
    <row r="3520" spans="1:26" ht="28.7" customHeight="1" x14ac:dyDescent="0.3">
      <c r="A3520" s="10" t="s">
        <v>1891</v>
      </c>
      <c r="B3520" s="10" t="s">
        <v>1930</v>
      </c>
      <c r="C3520" s="75">
        <v>1</v>
      </c>
      <c r="D3520" s="31" t="s">
        <v>1010</v>
      </c>
      <c r="E3520" s="55">
        <f>I3520+G3520+K3520</f>
        <v>188746</v>
      </c>
      <c r="F3520" s="76">
        <f>J3520+H3520+L3520</f>
        <v>188746</v>
      </c>
      <c r="G3520" s="78">
        <f>일위대가목록표!F747</f>
        <v>188746</v>
      </c>
      <c r="H3520" s="80">
        <f>IF(C3520=0,0,ROUNDDOWN(G3520*C3520,1))</f>
        <v>188746</v>
      </c>
      <c r="I3520" s="78">
        <f>일위대가목록표!G747</f>
        <v>0</v>
      </c>
      <c r="J3520" s="80">
        <f>IF(C3520=0,0,ROUNDDOWN(I3520*C3520,1))</f>
        <v>0</v>
      </c>
      <c r="K3520" s="78">
        <f>일위대가목록표!H747</f>
        <v>0</v>
      </c>
      <c r="L3520" s="80">
        <f>IF(C3520=0,0,ROUNDDOWN(K3520*C3520,1))</f>
        <v>0</v>
      </c>
      <c r="M3520" s="22" t="s">
        <v>8152</v>
      </c>
      <c r="N3520" s="17" t="s">
        <v>8150</v>
      </c>
      <c r="O3520" s="7" t="s">
        <v>8151</v>
      </c>
      <c r="P3520" s="7" t="s">
        <v>6406</v>
      </c>
      <c r="Z3520" s="3" t="str">
        <f ca="1">HYPERLINK("#"&amp;일위대가목록표!J2&amp;"!A"&amp;ROW(일위대가목록표!A747),"대가744 →")</f>
        <v>대가744 →</v>
      </c>
    </row>
    <row r="3521" spans="1:26" ht="28.7" customHeight="1" x14ac:dyDescent="0.3">
      <c r="A3521" s="10" t="s">
        <v>1894</v>
      </c>
      <c r="B3521" s="10" t="s">
        <v>1935</v>
      </c>
      <c r="C3521" s="75">
        <v>1</v>
      </c>
      <c r="D3521" s="31" t="s">
        <v>1010</v>
      </c>
      <c r="E3521" s="55">
        <f>I3521+G3521+K3521</f>
        <v>377493</v>
      </c>
      <c r="F3521" s="76">
        <f>J3521+H3521+L3521</f>
        <v>377493</v>
      </c>
      <c r="G3521" s="78">
        <f>일위대가목록표!F748</f>
        <v>377493</v>
      </c>
      <c r="H3521" s="80">
        <f>IF(C3521=0,0,ROUNDDOWN(G3521*C3521,1))</f>
        <v>377493</v>
      </c>
      <c r="I3521" s="78">
        <f>일위대가목록표!G748</f>
        <v>0</v>
      </c>
      <c r="J3521" s="80">
        <f>IF(C3521=0,0,ROUNDDOWN(I3521*C3521,1))</f>
        <v>0</v>
      </c>
      <c r="K3521" s="78">
        <f>일위대가목록표!H748</f>
        <v>0</v>
      </c>
      <c r="L3521" s="80">
        <f>IF(C3521=0,0,ROUNDDOWN(K3521*C3521,1))</f>
        <v>0</v>
      </c>
      <c r="M3521" s="22" t="s">
        <v>8122</v>
      </c>
      <c r="N3521" s="17" t="s">
        <v>8120</v>
      </c>
      <c r="O3521" s="7" t="s">
        <v>8121</v>
      </c>
      <c r="P3521" s="7" t="s">
        <v>6406</v>
      </c>
      <c r="Z3521" s="3" t="str">
        <f ca="1">HYPERLINK("#"&amp;일위대가목록표!J2&amp;"!A"&amp;ROW(일위대가목록표!A748),"대가745 →")</f>
        <v>대가745 →</v>
      </c>
    </row>
    <row r="3522" spans="1:26" ht="28.7" customHeight="1" x14ac:dyDescent="0.3">
      <c r="A3522" s="22" t="s">
        <v>6</v>
      </c>
      <c r="B3522" s="74"/>
      <c r="C3522" s="74"/>
      <c r="D3522" s="74"/>
      <c r="E3522" s="74"/>
      <c r="F3522" s="48">
        <f>J3522+H3522+L3522</f>
        <v>566239</v>
      </c>
      <c r="G3522" s="74"/>
      <c r="H3522" s="48">
        <f>ROUNDDOWN(SUMIF(P3519:P3521,O3522,H3519:H3521),0)</f>
        <v>566239</v>
      </c>
      <c r="I3522" s="74"/>
      <c r="J3522" s="48">
        <f>ROUNDDOWN(SUMIF(P3519:P3521,O3522,J3519:J3521),0)</f>
        <v>0</v>
      </c>
      <c r="K3522" s="74"/>
      <c r="L3522" s="48">
        <f>ROUNDDOWN(SUMIF(P3519:P3521,O3522,L3519:L3521),0)</f>
        <v>0</v>
      </c>
      <c r="M3522" s="74"/>
      <c r="O3522" s="7" t="s">
        <v>6406</v>
      </c>
    </row>
    <row r="3523" spans="1:26" ht="28.7" customHeight="1" x14ac:dyDescent="0.3">
      <c r="A3523" s="73"/>
      <c r="B3523" s="73"/>
      <c r="C3523" s="73"/>
      <c r="D3523" s="73"/>
      <c r="E3523" s="73"/>
      <c r="F3523" s="73"/>
      <c r="G3523" s="73"/>
      <c r="H3523" s="73"/>
      <c r="I3523" s="73"/>
      <c r="J3523" s="73"/>
      <c r="K3523" s="73"/>
      <c r="L3523" s="73"/>
      <c r="M3523" s="73"/>
    </row>
    <row r="3524" spans="1:26" ht="28.7" customHeight="1" x14ac:dyDescent="0.3">
      <c r="A3524" s="136" t="s">
        <v>1931</v>
      </c>
      <c r="B3524" s="127"/>
      <c r="C3524" s="127"/>
      <c r="D3524" s="127"/>
      <c r="E3524" s="127"/>
      <c r="F3524" s="127"/>
      <c r="G3524" s="127"/>
      <c r="H3524" s="127"/>
      <c r="I3524" s="127"/>
      <c r="J3524" s="127"/>
      <c r="K3524" s="127"/>
      <c r="L3524" s="144"/>
      <c r="M3524" s="22" t="s">
        <v>8798</v>
      </c>
      <c r="N3524" s="84" t="str">
        <f>HYPERLINK("#N"&amp;ROW(N3526),"_x0005_`BDCOD|B04850_x0007_`POSS|"&amp;ROW(N3525)&amp;"_x0007_`POSE|"&amp;ROW(N3526)&amp;"_x0007_`")</f>
        <v>_x0005_`BDCOD|B04850_x0007_`POSS|3525_x0007_`POSE|3526_x0007_`</v>
      </c>
      <c r="O3524" s="7" t="s">
        <v>8799</v>
      </c>
    </row>
    <row r="3525" spans="1:26" ht="28.7" customHeight="1" x14ac:dyDescent="0.3">
      <c r="A3525" s="10"/>
      <c r="B3525" s="10" t="s">
        <v>8766</v>
      </c>
      <c r="C3525" s="75">
        <v>0</v>
      </c>
      <c r="D3525" s="31"/>
      <c r="E3525" s="33">
        <v>0</v>
      </c>
      <c r="F3525" s="11">
        <v>0</v>
      </c>
      <c r="G3525" s="42"/>
      <c r="H3525" s="11">
        <v>0</v>
      </c>
      <c r="I3525" s="42"/>
      <c r="J3525" s="33">
        <v>0</v>
      </c>
      <c r="K3525" s="46"/>
      <c r="L3525" s="33">
        <v>0</v>
      </c>
      <c r="M3525" s="22" t="s">
        <v>6509</v>
      </c>
      <c r="N3525" s="17" t="s">
        <v>6507</v>
      </c>
      <c r="O3525" s="7" t="s">
        <v>6508</v>
      </c>
      <c r="P3525" s="7" t="s">
        <v>6508</v>
      </c>
    </row>
    <row r="3526" spans="1:26" ht="28.7" customHeight="1" x14ac:dyDescent="0.3">
      <c r="A3526" s="10" t="s">
        <v>1894</v>
      </c>
      <c r="B3526" s="10" t="s">
        <v>1935</v>
      </c>
      <c r="C3526" s="75">
        <v>0.5</v>
      </c>
      <c r="D3526" s="31" t="s">
        <v>1010</v>
      </c>
      <c r="E3526" s="55">
        <f>I3526+G3526+K3526</f>
        <v>377493</v>
      </c>
      <c r="F3526" s="76">
        <f>J3526+H3526+L3526</f>
        <v>188746.5</v>
      </c>
      <c r="G3526" s="78">
        <f>일위대가목록표!F748</f>
        <v>377493</v>
      </c>
      <c r="H3526" s="80">
        <f>IF(C3526=0,0,ROUNDDOWN(G3526*C3526,1))</f>
        <v>188746.5</v>
      </c>
      <c r="I3526" s="78">
        <f>일위대가목록표!G748</f>
        <v>0</v>
      </c>
      <c r="J3526" s="80">
        <f>IF(C3526=0,0,ROUNDDOWN(I3526*C3526,1))</f>
        <v>0</v>
      </c>
      <c r="K3526" s="78">
        <f>일위대가목록표!H748</f>
        <v>0</v>
      </c>
      <c r="L3526" s="80">
        <f>IF(C3526=0,0,ROUNDDOWN(K3526*C3526,1))</f>
        <v>0</v>
      </c>
      <c r="M3526" s="22" t="s">
        <v>8122</v>
      </c>
      <c r="N3526" s="17" t="s">
        <v>8120</v>
      </c>
      <c r="O3526" s="7" t="s">
        <v>8121</v>
      </c>
      <c r="P3526" s="7" t="s">
        <v>6406</v>
      </c>
      <c r="Z3526" s="3" t="str">
        <f ca="1">HYPERLINK("#"&amp;일위대가목록표!J2&amp;"!A"&amp;ROW(일위대가목록표!A748),"대가745 →")</f>
        <v>대가745 →</v>
      </c>
    </row>
    <row r="3527" spans="1:26" ht="28.7" customHeight="1" x14ac:dyDescent="0.3">
      <c r="A3527" s="22" t="s">
        <v>6</v>
      </c>
      <c r="B3527" s="74"/>
      <c r="C3527" s="74"/>
      <c r="D3527" s="74"/>
      <c r="E3527" s="74"/>
      <c r="F3527" s="48">
        <f>J3527+H3527+L3527</f>
        <v>188746</v>
      </c>
      <c r="G3527" s="74"/>
      <c r="H3527" s="48">
        <f>ROUNDDOWN(SUMIF(P3525:P3526,O3527,H3525:H3526),0)</f>
        <v>188746</v>
      </c>
      <c r="I3527" s="74"/>
      <c r="J3527" s="48">
        <f>ROUNDDOWN(SUMIF(P3525:P3526,O3527,J3525:J3526),0)</f>
        <v>0</v>
      </c>
      <c r="K3527" s="74"/>
      <c r="L3527" s="48">
        <f>ROUNDDOWN(SUMIF(P3525:P3526,O3527,L3525:L3526),0)</f>
        <v>0</v>
      </c>
      <c r="M3527" s="74"/>
      <c r="O3527" s="7" t="s">
        <v>6406</v>
      </c>
    </row>
    <row r="3528" spans="1:26" ht="28.7" customHeight="1" x14ac:dyDescent="0.3">
      <c r="A3528" s="73"/>
      <c r="B3528" s="73"/>
      <c r="C3528" s="73"/>
      <c r="D3528" s="73"/>
      <c r="E3528" s="73"/>
      <c r="F3528" s="73"/>
      <c r="G3528" s="73"/>
      <c r="H3528" s="73"/>
      <c r="I3528" s="73"/>
      <c r="J3528" s="73"/>
      <c r="K3528" s="73"/>
      <c r="L3528" s="73"/>
      <c r="M3528" s="73"/>
    </row>
    <row r="3529" spans="1:26" ht="28.7" customHeight="1" x14ac:dyDescent="0.3">
      <c r="A3529" s="136" t="s">
        <v>1933</v>
      </c>
      <c r="B3529" s="127"/>
      <c r="C3529" s="127"/>
      <c r="D3529" s="127"/>
      <c r="E3529" s="127"/>
      <c r="F3529" s="127"/>
      <c r="G3529" s="127"/>
      <c r="H3529" s="127"/>
      <c r="I3529" s="127"/>
      <c r="J3529" s="127"/>
      <c r="K3529" s="127"/>
      <c r="L3529" s="144"/>
      <c r="M3529" s="22" t="s">
        <v>8800</v>
      </c>
      <c r="N3529" s="84" t="str">
        <f>HYPERLINK("#N"&amp;ROW(N3532),"_x0005_`BDCOD|B04843_x0007_`POSS|"&amp;ROW(N3530)&amp;"_x0007_`POSE|"&amp;ROW(N3532)&amp;"_x0007_`")</f>
        <v>_x0005_`BDCOD|B04843_x0007_`POSS|3530_x0007_`POSE|3532_x0007_`</v>
      </c>
      <c r="O3529" s="7" t="s">
        <v>8801</v>
      </c>
    </row>
    <row r="3530" spans="1:26" ht="28.7" customHeight="1" x14ac:dyDescent="0.3">
      <c r="A3530" s="10"/>
      <c r="B3530" s="10" t="s">
        <v>8766</v>
      </c>
      <c r="C3530" s="75">
        <v>0</v>
      </c>
      <c r="D3530" s="31"/>
      <c r="E3530" s="33">
        <v>0</v>
      </c>
      <c r="F3530" s="11">
        <v>0</v>
      </c>
      <c r="G3530" s="42"/>
      <c r="H3530" s="11">
        <v>0</v>
      </c>
      <c r="I3530" s="42"/>
      <c r="J3530" s="33">
        <v>0</v>
      </c>
      <c r="K3530" s="46"/>
      <c r="L3530" s="33">
        <v>0</v>
      </c>
      <c r="M3530" s="22" t="s">
        <v>6509</v>
      </c>
      <c r="N3530" s="17" t="s">
        <v>6507</v>
      </c>
      <c r="O3530" s="7" t="s">
        <v>6508</v>
      </c>
      <c r="P3530" s="7" t="s">
        <v>6508</v>
      </c>
    </row>
    <row r="3531" spans="1:26" ht="28.7" customHeight="1" x14ac:dyDescent="0.3">
      <c r="A3531" s="10" t="s">
        <v>3086</v>
      </c>
      <c r="B3531" s="10"/>
      <c r="C3531" s="75">
        <v>1.25</v>
      </c>
      <c r="D3531" s="31" t="s">
        <v>3074</v>
      </c>
      <c r="E3531" s="55">
        <f>I3531+G3531+K3531</f>
        <v>247897</v>
      </c>
      <c r="F3531" s="76">
        <f>J3531+H3531+L3531</f>
        <v>309871.2</v>
      </c>
      <c r="G3531" s="78">
        <f>노무비목록표!E10</f>
        <v>247897</v>
      </c>
      <c r="H3531" s="81">
        <f>IF(C3531=0,0,ROUNDDOWN(G3531*C3531,1))</f>
        <v>309871.2</v>
      </c>
      <c r="I3531" s="51">
        <v>0</v>
      </c>
      <c r="J3531" s="77">
        <f>IF(C3531=0,0,ROUNDDOWN(I3531*C3531,1))</f>
        <v>0</v>
      </c>
      <c r="K3531" s="51">
        <v>0</v>
      </c>
      <c r="L3531" s="76">
        <f>IF(C3531=0,0,ROUNDDOWN(K3531*C3531,1))</f>
        <v>0</v>
      </c>
      <c r="M3531" s="22" t="s">
        <v>8367</v>
      </c>
      <c r="N3531" s="17" t="s">
        <v>8771</v>
      </c>
      <c r="O3531" s="7" t="s">
        <v>8366</v>
      </c>
      <c r="P3531" s="7" t="s">
        <v>6406</v>
      </c>
      <c r="Z3531" s="3" t="str">
        <f ca="1">HYPERLINK("#"&amp;노무비목록표!G2&amp;"!A"&amp;ROW(노무비목록표!A10),"노무7 →")</f>
        <v>노무7 →</v>
      </c>
    </row>
    <row r="3532" spans="1:26" ht="28.7" customHeight="1" x14ac:dyDescent="0.3">
      <c r="A3532" s="10" t="s">
        <v>3090</v>
      </c>
      <c r="B3532" s="10"/>
      <c r="C3532" s="75">
        <v>0.39300000000000002</v>
      </c>
      <c r="D3532" s="31" t="s">
        <v>3074</v>
      </c>
      <c r="E3532" s="55">
        <f>I3532+G3532+K3532</f>
        <v>172068</v>
      </c>
      <c r="F3532" s="76">
        <f>J3532+H3532+L3532</f>
        <v>67622.7</v>
      </c>
      <c r="G3532" s="78">
        <f>노무비목록표!E12</f>
        <v>172068</v>
      </c>
      <c r="H3532" s="81">
        <f>IF(C3532=0,0,ROUNDDOWN(G3532*C3532,1))</f>
        <v>67622.7</v>
      </c>
      <c r="I3532" s="51">
        <v>0</v>
      </c>
      <c r="J3532" s="77">
        <f>IF(C3532=0,0,ROUNDDOWN(I3532*C3532,1))</f>
        <v>0</v>
      </c>
      <c r="K3532" s="51">
        <v>0</v>
      </c>
      <c r="L3532" s="76">
        <f>IF(C3532=0,0,ROUNDDOWN(K3532*C3532,1))</f>
        <v>0</v>
      </c>
      <c r="M3532" s="22" t="s">
        <v>8262</v>
      </c>
      <c r="N3532" s="17" t="s">
        <v>8473</v>
      </c>
      <c r="O3532" s="7" t="s">
        <v>8261</v>
      </c>
      <c r="P3532" s="7" t="s">
        <v>6406</v>
      </c>
      <c r="Z3532" s="3" t="str">
        <f ca="1">HYPERLINK("#"&amp;노무비목록표!G2&amp;"!A"&amp;ROW(노무비목록표!A12),"노무9 →")</f>
        <v>노무9 →</v>
      </c>
    </row>
    <row r="3533" spans="1:26" ht="28.7" customHeight="1" x14ac:dyDescent="0.3">
      <c r="A3533" s="22" t="s">
        <v>6</v>
      </c>
      <c r="B3533" s="74"/>
      <c r="C3533" s="74"/>
      <c r="D3533" s="74"/>
      <c r="E3533" s="74"/>
      <c r="F3533" s="48">
        <f>J3533+H3533+L3533</f>
        <v>377493</v>
      </c>
      <c r="G3533" s="74"/>
      <c r="H3533" s="48">
        <f>ROUNDDOWN(SUMIF(P3530:P3532,O3533,H3530:H3532),0)</f>
        <v>377493</v>
      </c>
      <c r="I3533" s="74"/>
      <c r="J3533" s="48">
        <f>ROUNDDOWN(SUMIF(P3530:P3532,O3533,J3530:J3532),0)</f>
        <v>0</v>
      </c>
      <c r="K3533" s="74"/>
      <c r="L3533" s="48">
        <f>ROUNDDOWN(SUMIF(P3530:P3532,O3533,L3530:L3532),0)</f>
        <v>0</v>
      </c>
      <c r="M3533" s="74"/>
      <c r="O3533" s="7" t="s">
        <v>6406</v>
      </c>
    </row>
    <row r="3534" spans="1:26" ht="28.7" customHeight="1" x14ac:dyDescent="0.3">
      <c r="A3534" s="73"/>
      <c r="B3534" s="73"/>
      <c r="C3534" s="73"/>
      <c r="D3534" s="73"/>
      <c r="E3534" s="73"/>
      <c r="F3534" s="73"/>
      <c r="G3534" s="73"/>
      <c r="H3534" s="73"/>
      <c r="I3534" s="73"/>
      <c r="J3534" s="73"/>
      <c r="K3534" s="73"/>
      <c r="L3534" s="73"/>
      <c r="M3534" s="73"/>
    </row>
    <row r="3535" spans="1:26" ht="28.7" customHeight="1" x14ac:dyDescent="0.3">
      <c r="A3535" s="136" t="s">
        <v>1936</v>
      </c>
      <c r="B3535" s="127"/>
      <c r="C3535" s="127"/>
      <c r="D3535" s="127"/>
      <c r="E3535" s="127"/>
      <c r="F3535" s="127"/>
      <c r="G3535" s="127"/>
      <c r="H3535" s="127"/>
      <c r="I3535" s="127"/>
      <c r="J3535" s="127"/>
      <c r="K3535" s="127"/>
      <c r="L3535" s="144"/>
      <c r="M3535" s="22" t="s">
        <v>8802</v>
      </c>
      <c r="N3535" s="84" t="str">
        <f>HYPERLINK("#N"&amp;ROW(N3536),"_x0005_`BDCOD|B01015_x0007_`POSS|"&amp;ROW(N3536)&amp;"_x0007_`POSE|"&amp;ROW(N3536)&amp;"_x0007_`")</f>
        <v>_x0005_`BDCOD|B01015_x0007_`POSS|3536_x0007_`POSE|3536_x0007_`</v>
      </c>
      <c r="O3535" s="7" t="s">
        <v>8803</v>
      </c>
    </row>
    <row r="3536" spans="1:26" ht="28.7" customHeight="1" x14ac:dyDescent="0.3">
      <c r="A3536" s="10" t="s">
        <v>1986</v>
      </c>
      <c r="B3536" s="10" t="s">
        <v>1987</v>
      </c>
      <c r="C3536" s="75">
        <v>1</v>
      </c>
      <c r="D3536" s="31" t="s">
        <v>1490</v>
      </c>
      <c r="E3536" s="55">
        <f>I3536+G3536+K3536</f>
        <v>24042</v>
      </c>
      <c r="F3536" s="76">
        <f>J3536+H3536+L3536</f>
        <v>24042</v>
      </c>
      <c r="G3536" s="78">
        <f>단가산출근거목록표!F5</f>
        <v>23571</v>
      </c>
      <c r="H3536" s="80">
        <f>IF(C3536=0,0,ROUNDDOWN(G3536*C3536,1))</f>
        <v>23571</v>
      </c>
      <c r="I3536" s="78">
        <f>단가산출근거목록표!G5</f>
        <v>0</v>
      </c>
      <c r="J3536" s="80">
        <f>IF(C3536=0,0,ROUNDDOWN(I3536*C3536,1))</f>
        <v>0</v>
      </c>
      <c r="K3536" s="78">
        <f>단가산출근거목록표!H5</f>
        <v>471</v>
      </c>
      <c r="L3536" s="80">
        <f>IF(C3536=0,0,ROUNDDOWN(K3536*C3536,1))</f>
        <v>471</v>
      </c>
      <c r="M3536" s="22" t="s">
        <v>8806</v>
      </c>
      <c r="N3536" s="17" t="s">
        <v>8804</v>
      </c>
      <c r="O3536" s="7" t="s">
        <v>8805</v>
      </c>
      <c r="P3536" s="7" t="s">
        <v>6406</v>
      </c>
      <c r="Z3536" s="3" t="str">
        <f ca="1">HYPERLINK("#"&amp;단가산출근거목록표!J2&amp;"!A"&amp;ROW(단가산출근거목록표!A5),"산근2 →")</f>
        <v>산근2 →</v>
      </c>
    </row>
    <row r="3537" spans="1:26" ht="28.7" customHeight="1" x14ac:dyDescent="0.3">
      <c r="A3537" s="22" t="s">
        <v>6</v>
      </c>
      <c r="B3537" s="74"/>
      <c r="C3537" s="74"/>
      <c r="D3537" s="74"/>
      <c r="E3537" s="74"/>
      <c r="F3537" s="48">
        <f>J3537+H3537+L3537</f>
        <v>24042</v>
      </c>
      <c r="G3537" s="74"/>
      <c r="H3537" s="48">
        <f>ROUNDDOWN(SUMIF(P3536:P3536,O3537,H3536:H3536),0)</f>
        <v>23571</v>
      </c>
      <c r="I3537" s="74"/>
      <c r="J3537" s="48">
        <f>ROUNDDOWN(SUMIF(P3536:P3536,O3537,J3536:J3536),0)</f>
        <v>0</v>
      </c>
      <c r="K3537" s="74"/>
      <c r="L3537" s="48">
        <f>ROUNDDOWN(SUMIF(P3536:P3536,O3537,L3536:L3536),0)</f>
        <v>471</v>
      </c>
      <c r="M3537" s="74"/>
      <c r="O3537" s="7" t="s">
        <v>6406</v>
      </c>
    </row>
    <row r="3538" spans="1:26" ht="28.7" customHeight="1" x14ac:dyDescent="0.3">
      <c r="A3538" s="73"/>
      <c r="B3538" s="73"/>
      <c r="C3538" s="73"/>
      <c r="D3538" s="73"/>
      <c r="E3538" s="73"/>
      <c r="F3538" s="73"/>
      <c r="G3538" s="73"/>
      <c r="H3538" s="73"/>
      <c r="I3538" s="73"/>
      <c r="J3538" s="73"/>
      <c r="K3538" s="73"/>
      <c r="L3538" s="73"/>
      <c r="M3538" s="73"/>
    </row>
    <row r="3539" spans="1:26" ht="28.7" customHeight="1" x14ac:dyDescent="0.3">
      <c r="A3539" s="136" t="s">
        <v>1940</v>
      </c>
      <c r="B3539" s="127"/>
      <c r="C3539" s="127"/>
      <c r="D3539" s="127"/>
      <c r="E3539" s="127"/>
      <c r="F3539" s="127"/>
      <c r="G3539" s="127"/>
      <c r="H3539" s="127"/>
      <c r="I3539" s="127"/>
      <c r="J3539" s="127"/>
      <c r="K3539" s="127"/>
      <c r="L3539" s="144"/>
      <c r="M3539" s="22" t="s">
        <v>8807</v>
      </c>
      <c r="N3539" s="84" t="str">
        <f>HYPERLINK("#N"&amp;ROW(N3540),"_x0005_`BDCOD|B02875_x0007_`POSS|"&amp;ROW(N3540)&amp;"_x0007_`POSE|"&amp;ROW(N3540)&amp;"_x0007_`")</f>
        <v>_x0005_`BDCOD|B02875_x0007_`POSS|3540_x0007_`POSE|3540_x0007_`</v>
      </c>
      <c r="O3539" s="7" t="s">
        <v>8808</v>
      </c>
    </row>
    <row r="3540" spans="1:26" ht="28.7" customHeight="1" x14ac:dyDescent="0.3">
      <c r="A3540" s="10" t="s">
        <v>1986</v>
      </c>
      <c r="B3540" s="10" t="s">
        <v>1989</v>
      </c>
      <c r="C3540" s="75">
        <v>1</v>
      </c>
      <c r="D3540" s="31" t="s">
        <v>1490</v>
      </c>
      <c r="E3540" s="55">
        <f>I3540+G3540+K3540</f>
        <v>33660</v>
      </c>
      <c r="F3540" s="76">
        <f>J3540+H3540+L3540</f>
        <v>33660</v>
      </c>
      <c r="G3540" s="78">
        <f>단가산출근거목록표!F6</f>
        <v>33000</v>
      </c>
      <c r="H3540" s="80">
        <f>IF(C3540=0,0,ROUNDDOWN(G3540*C3540,1))</f>
        <v>33000</v>
      </c>
      <c r="I3540" s="78">
        <f>단가산출근거목록표!G6</f>
        <v>0</v>
      </c>
      <c r="J3540" s="80">
        <f>IF(C3540=0,0,ROUNDDOWN(I3540*C3540,1))</f>
        <v>0</v>
      </c>
      <c r="K3540" s="78">
        <f>단가산출근거목록표!H6</f>
        <v>660</v>
      </c>
      <c r="L3540" s="80">
        <f>IF(C3540=0,0,ROUNDDOWN(K3540*C3540,1))</f>
        <v>660</v>
      </c>
      <c r="M3540" s="22" t="s">
        <v>8811</v>
      </c>
      <c r="N3540" s="17" t="s">
        <v>8809</v>
      </c>
      <c r="O3540" s="7" t="s">
        <v>8810</v>
      </c>
      <c r="P3540" s="7" t="s">
        <v>6406</v>
      </c>
      <c r="Z3540" s="3" t="str">
        <f ca="1">HYPERLINK("#"&amp;단가산출근거목록표!J2&amp;"!A"&amp;ROW(단가산출근거목록표!A6),"산근3 →")</f>
        <v>산근3 →</v>
      </c>
    </row>
    <row r="3541" spans="1:26" ht="28.7" customHeight="1" x14ac:dyDescent="0.3">
      <c r="A3541" s="22" t="s">
        <v>6</v>
      </c>
      <c r="B3541" s="74"/>
      <c r="C3541" s="74"/>
      <c r="D3541" s="74"/>
      <c r="E3541" s="74"/>
      <c r="F3541" s="48">
        <f>J3541+H3541+L3541</f>
        <v>33660</v>
      </c>
      <c r="G3541" s="74"/>
      <c r="H3541" s="48">
        <f>ROUNDDOWN(SUMIF(P3540:P3540,O3541,H3540:H3540),0)</f>
        <v>33000</v>
      </c>
      <c r="I3541" s="74"/>
      <c r="J3541" s="48">
        <f>ROUNDDOWN(SUMIF(P3540:P3540,O3541,J3540:J3540),0)</f>
        <v>0</v>
      </c>
      <c r="K3541" s="74"/>
      <c r="L3541" s="48">
        <f>ROUNDDOWN(SUMIF(P3540:P3540,O3541,L3540:L3540),0)</f>
        <v>660</v>
      </c>
      <c r="M3541" s="74"/>
      <c r="O3541" s="7" t="s">
        <v>6406</v>
      </c>
    </row>
    <row r="3542" spans="1:26" ht="28.7" customHeight="1" x14ac:dyDescent="0.3">
      <c r="A3542" s="73"/>
      <c r="B3542" s="73"/>
      <c r="C3542" s="73"/>
      <c r="D3542" s="73"/>
      <c r="E3542" s="73"/>
      <c r="F3542" s="73"/>
      <c r="G3542" s="73"/>
      <c r="H3542" s="73"/>
      <c r="I3542" s="73"/>
      <c r="J3542" s="73"/>
      <c r="K3542" s="73"/>
      <c r="L3542" s="73"/>
      <c r="M3542" s="73"/>
    </row>
    <row r="3543" spans="1:26" ht="28.7" customHeight="1" x14ac:dyDescent="0.3">
      <c r="A3543" s="136" t="s">
        <v>1942</v>
      </c>
      <c r="B3543" s="127"/>
      <c r="C3543" s="127"/>
      <c r="D3543" s="127"/>
      <c r="E3543" s="127"/>
      <c r="F3543" s="127"/>
      <c r="G3543" s="127"/>
      <c r="H3543" s="127"/>
      <c r="I3543" s="127"/>
      <c r="J3543" s="127"/>
      <c r="K3543" s="127"/>
      <c r="L3543" s="144"/>
      <c r="M3543" s="22" t="s">
        <v>8812</v>
      </c>
      <c r="N3543" s="84" t="str">
        <f>HYPERLINK("#N"&amp;ROW(N3544),"_x0005_`BDCOD|B04852_x0007_`POSS|"&amp;ROW(N3544)&amp;"_x0007_`POSE|"&amp;ROW(N3544)&amp;"_x0007_`")</f>
        <v>_x0005_`BDCOD|B04852_x0007_`POSS|3544_x0007_`POSE|3544_x0007_`</v>
      </c>
      <c r="O3543" s="7" t="s">
        <v>8813</v>
      </c>
    </row>
    <row r="3544" spans="1:26" ht="28.7" customHeight="1" x14ac:dyDescent="0.3">
      <c r="A3544" s="10" t="s">
        <v>1986</v>
      </c>
      <c r="B3544" s="10" t="s">
        <v>1991</v>
      </c>
      <c r="C3544" s="75">
        <v>1</v>
      </c>
      <c r="D3544" s="31" t="s">
        <v>1490</v>
      </c>
      <c r="E3544" s="55">
        <f>I3544+G3544+K3544</f>
        <v>46749</v>
      </c>
      <c r="F3544" s="76">
        <f>J3544+H3544+L3544</f>
        <v>46749</v>
      </c>
      <c r="G3544" s="78">
        <f>단가산출근거목록표!F7</f>
        <v>45833</v>
      </c>
      <c r="H3544" s="80">
        <f>IF(C3544=0,0,ROUNDDOWN(G3544*C3544,1))</f>
        <v>45833</v>
      </c>
      <c r="I3544" s="78">
        <f>단가산출근거목록표!G7</f>
        <v>0</v>
      </c>
      <c r="J3544" s="80">
        <f>IF(C3544=0,0,ROUNDDOWN(I3544*C3544,1))</f>
        <v>0</v>
      </c>
      <c r="K3544" s="78">
        <f>단가산출근거목록표!H7</f>
        <v>916</v>
      </c>
      <c r="L3544" s="80">
        <f>IF(C3544=0,0,ROUNDDOWN(K3544*C3544,1))</f>
        <v>916</v>
      </c>
      <c r="M3544" s="22" t="s">
        <v>8816</v>
      </c>
      <c r="N3544" s="17" t="s">
        <v>8814</v>
      </c>
      <c r="O3544" s="7" t="s">
        <v>8815</v>
      </c>
      <c r="P3544" s="7" t="s">
        <v>6406</v>
      </c>
      <c r="Z3544" s="3" t="str">
        <f ca="1">HYPERLINK("#"&amp;단가산출근거목록표!J2&amp;"!A"&amp;ROW(단가산출근거목록표!A7),"산근4 →")</f>
        <v>산근4 →</v>
      </c>
    </row>
    <row r="3545" spans="1:26" ht="28.7" customHeight="1" x14ac:dyDescent="0.3">
      <c r="A3545" s="22" t="s">
        <v>6</v>
      </c>
      <c r="B3545" s="74"/>
      <c r="C3545" s="74"/>
      <c r="D3545" s="74"/>
      <c r="E3545" s="74"/>
      <c r="F3545" s="48">
        <f>J3545+H3545+L3545</f>
        <v>46749</v>
      </c>
      <c r="G3545" s="74"/>
      <c r="H3545" s="48">
        <f>ROUNDDOWN(SUMIF(P3544:P3544,O3545,H3544:H3544),0)</f>
        <v>45833</v>
      </c>
      <c r="I3545" s="74"/>
      <c r="J3545" s="48">
        <f>ROUNDDOWN(SUMIF(P3544:P3544,O3545,J3544:J3544),0)</f>
        <v>0</v>
      </c>
      <c r="K3545" s="74"/>
      <c r="L3545" s="48">
        <f>ROUNDDOWN(SUMIF(P3544:P3544,O3545,L3544:L3544),0)</f>
        <v>916</v>
      </c>
      <c r="M3545" s="74"/>
      <c r="O3545" s="7" t="s">
        <v>6406</v>
      </c>
    </row>
    <row r="3546" spans="1:26" ht="28.7" customHeight="1" x14ac:dyDescent="0.3">
      <c r="A3546" s="73"/>
      <c r="B3546" s="73"/>
      <c r="C3546" s="73"/>
      <c r="D3546" s="73"/>
      <c r="E3546" s="73"/>
      <c r="F3546" s="73"/>
      <c r="G3546" s="73"/>
      <c r="H3546" s="73"/>
      <c r="I3546" s="73"/>
      <c r="J3546" s="73"/>
      <c r="K3546" s="73"/>
      <c r="L3546" s="73"/>
      <c r="M3546" s="73"/>
    </row>
    <row r="3547" spans="1:26" ht="28.7" customHeight="1" x14ac:dyDescent="0.3">
      <c r="A3547" s="136" t="s">
        <v>1944</v>
      </c>
      <c r="B3547" s="127"/>
      <c r="C3547" s="127"/>
      <c r="D3547" s="127"/>
      <c r="E3547" s="127"/>
      <c r="F3547" s="127"/>
      <c r="G3547" s="127"/>
      <c r="H3547" s="127"/>
      <c r="I3547" s="127"/>
      <c r="J3547" s="127"/>
      <c r="K3547" s="127"/>
      <c r="L3547" s="144"/>
      <c r="M3547" s="22" t="s">
        <v>8817</v>
      </c>
      <c r="N3547" s="84" t="str">
        <f>HYPERLINK("#N"&amp;ROW(N3548),"_x0005_`BDCOD|B04853_x0007_`POSS|"&amp;ROW(N3548)&amp;"_x0007_`POSE|"&amp;ROW(N3548)&amp;"_x0007_`")</f>
        <v>_x0005_`BDCOD|B04853_x0007_`POSS|3548_x0007_`POSE|3548_x0007_`</v>
      </c>
      <c r="O3547" s="7" t="s">
        <v>8818</v>
      </c>
    </row>
    <row r="3548" spans="1:26" ht="28.7" customHeight="1" x14ac:dyDescent="0.3">
      <c r="A3548" s="10" t="s">
        <v>1986</v>
      </c>
      <c r="B3548" s="10" t="s">
        <v>1993</v>
      </c>
      <c r="C3548" s="75">
        <v>1</v>
      </c>
      <c r="D3548" s="31" t="s">
        <v>1490</v>
      </c>
      <c r="E3548" s="55">
        <f>I3548+G3548+K3548</f>
        <v>70125</v>
      </c>
      <c r="F3548" s="76">
        <f>J3548+H3548+L3548</f>
        <v>70125</v>
      </c>
      <c r="G3548" s="78">
        <f>단가산출근거목록표!F8</f>
        <v>68750</v>
      </c>
      <c r="H3548" s="80">
        <f>IF(C3548=0,0,ROUNDDOWN(G3548*C3548,1))</f>
        <v>68750</v>
      </c>
      <c r="I3548" s="78">
        <f>단가산출근거목록표!G8</f>
        <v>0</v>
      </c>
      <c r="J3548" s="80">
        <f>IF(C3548=0,0,ROUNDDOWN(I3548*C3548,1))</f>
        <v>0</v>
      </c>
      <c r="K3548" s="78">
        <f>단가산출근거목록표!H8</f>
        <v>1375</v>
      </c>
      <c r="L3548" s="80">
        <f>IF(C3548=0,0,ROUNDDOWN(K3548*C3548,1))</f>
        <v>1375</v>
      </c>
      <c r="M3548" s="22" t="s">
        <v>8821</v>
      </c>
      <c r="N3548" s="17" t="s">
        <v>8819</v>
      </c>
      <c r="O3548" s="7" t="s">
        <v>8820</v>
      </c>
      <c r="P3548" s="7" t="s">
        <v>6406</v>
      </c>
      <c r="Z3548" s="3" t="str">
        <f ca="1">HYPERLINK("#"&amp;단가산출근거목록표!J2&amp;"!A"&amp;ROW(단가산출근거목록표!A8),"산근5 →")</f>
        <v>산근5 →</v>
      </c>
    </row>
    <row r="3549" spans="1:26" ht="28.7" customHeight="1" x14ac:dyDescent="0.3">
      <c r="A3549" s="22" t="s">
        <v>6</v>
      </c>
      <c r="B3549" s="74"/>
      <c r="C3549" s="74"/>
      <c r="D3549" s="74"/>
      <c r="E3549" s="74"/>
      <c r="F3549" s="48">
        <f>J3549+H3549+L3549</f>
        <v>70125</v>
      </c>
      <c r="G3549" s="74"/>
      <c r="H3549" s="48">
        <f>ROUNDDOWN(SUMIF(P3548:P3548,O3549,H3548:H3548),0)</f>
        <v>68750</v>
      </c>
      <c r="I3549" s="74"/>
      <c r="J3549" s="48">
        <f>ROUNDDOWN(SUMIF(P3548:P3548,O3549,J3548:J3548),0)</f>
        <v>0</v>
      </c>
      <c r="K3549" s="74"/>
      <c r="L3549" s="48">
        <f>ROUNDDOWN(SUMIF(P3548:P3548,O3549,L3548:L3548),0)</f>
        <v>1375</v>
      </c>
      <c r="M3549" s="74"/>
      <c r="O3549" s="7" t="s">
        <v>6406</v>
      </c>
    </row>
    <row r="3550" spans="1:26" ht="28.7" customHeight="1" x14ac:dyDescent="0.3">
      <c r="A3550" s="73"/>
      <c r="B3550" s="73"/>
      <c r="C3550" s="73"/>
      <c r="D3550" s="73"/>
      <c r="E3550" s="73"/>
      <c r="F3550" s="73"/>
      <c r="G3550" s="73"/>
      <c r="H3550" s="73"/>
      <c r="I3550" s="73"/>
      <c r="J3550" s="73"/>
      <c r="K3550" s="73"/>
      <c r="L3550" s="73"/>
      <c r="M3550" s="73"/>
    </row>
    <row r="3551" spans="1:26" ht="28.7" customHeight="1" x14ac:dyDescent="0.3">
      <c r="A3551" s="136" t="s">
        <v>1946</v>
      </c>
      <c r="B3551" s="127"/>
      <c r="C3551" s="127"/>
      <c r="D3551" s="127"/>
      <c r="E3551" s="127"/>
      <c r="F3551" s="127"/>
      <c r="G3551" s="127"/>
      <c r="H3551" s="127"/>
      <c r="I3551" s="127"/>
      <c r="J3551" s="127"/>
      <c r="K3551" s="127"/>
      <c r="L3551" s="144"/>
      <c r="M3551" s="22" t="s">
        <v>8822</v>
      </c>
      <c r="N3551" s="84" t="str">
        <f>HYPERLINK("#N"&amp;ROW(N3552),"_x0005_`BDCOD|B04854_x0007_`POSS|"&amp;ROW(N3552)&amp;"_x0007_`POSE|"&amp;ROW(N3552)&amp;"_x0007_`")</f>
        <v>_x0005_`BDCOD|B04854_x0007_`POSS|3552_x0007_`POSE|3552_x0007_`</v>
      </c>
      <c r="O3551" s="7" t="s">
        <v>8823</v>
      </c>
    </row>
    <row r="3552" spans="1:26" ht="28.7" customHeight="1" x14ac:dyDescent="0.3">
      <c r="A3552" s="10" t="s">
        <v>1986</v>
      </c>
      <c r="B3552" s="10" t="s">
        <v>1995</v>
      </c>
      <c r="C3552" s="75">
        <v>1</v>
      </c>
      <c r="D3552" s="31" t="s">
        <v>1490</v>
      </c>
      <c r="E3552" s="55">
        <f>I3552+G3552+K3552</f>
        <v>97209</v>
      </c>
      <c r="F3552" s="76">
        <f>J3552+H3552+L3552</f>
        <v>97209</v>
      </c>
      <c r="G3552" s="78">
        <f>단가산출근거목록표!F9</f>
        <v>95303</v>
      </c>
      <c r="H3552" s="80">
        <f>IF(C3552=0,0,ROUNDDOWN(G3552*C3552,1))</f>
        <v>95303</v>
      </c>
      <c r="I3552" s="78">
        <f>단가산출근거목록표!G9</f>
        <v>0</v>
      </c>
      <c r="J3552" s="80">
        <f>IF(C3552=0,0,ROUNDDOWN(I3552*C3552,1))</f>
        <v>0</v>
      </c>
      <c r="K3552" s="78">
        <f>단가산출근거목록표!H9</f>
        <v>1906</v>
      </c>
      <c r="L3552" s="80">
        <f>IF(C3552=0,0,ROUNDDOWN(K3552*C3552,1))</f>
        <v>1906</v>
      </c>
      <c r="M3552" s="22" t="s">
        <v>8826</v>
      </c>
      <c r="N3552" s="17" t="s">
        <v>8824</v>
      </c>
      <c r="O3552" s="7" t="s">
        <v>8825</v>
      </c>
      <c r="P3552" s="7" t="s">
        <v>6406</v>
      </c>
      <c r="Z3552" s="3" t="str">
        <f ca="1">HYPERLINK("#"&amp;단가산출근거목록표!J2&amp;"!A"&amp;ROW(단가산출근거목록표!A9),"산근6 →")</f>
        <v>산근6 →</v>
      </c>
    </row>
    <row r="3553" spans="1:26" ht="28.7" customHeight="1" x14ac:dyDescent="0.3">
      <c r="A3553" s="22" t="s">
        <v>6</v>
      </c>
      <c r="B3553" s="74"/>
      <c r="C3553" s="74"/>
      <c r="D3553" s="74"/>
      <c r="E3553" s="74"/>
      <c r="F3553" s="48">
        <f>J3553+H3553+L3553</f>
        <v>97209</v>
      </c>
      <c r="G3553" s="74"/>
      <c r="H3553" s="48">
        <f>ROUNDDOWN(SUMIF(P3552:P3552,O3553,H3552:H3552),0)</f>
        <v>95303</v>
      </c>
      <c r="I3553" s="74"/>
      <c r="J3553" s="48">
        <f>ROUNDDOWN(SUMIF(P3552:P3552,O3553,J3552:J3552),0)</f>
        <v>0</v>
      </c>
      <c r="K3553" s="74"/>
      <c r="L3553" s="48">
        <f>ROUNDDOWN(SUMIF(P3552:P3552,O3553,L3552:L3552),0)</f>
        <v>1906</v>
      </c>
      <c r="M3553" s="74"/>
      <c r="O3553" s="7" t="s">
        <v>6406</v>
      </c>
    </row>
    <row r="3554" spans="1:26" ht="28.7" customHeight="1" x14ac:dyDescent="0.3">
      <c r="A3554" s="73"/>
      <c r="B3554" s="73"/>
      <c r="C3554" s="73"/>
      <c r="D3554" s="73"/>
      <c r="E3554" s="73"/>
      <c r="F3554" s="73"/>
      <c r="G3554" s="73"/>
      <c r="H3554" s="73"/>
      <c r="I3554" s="73"/>
      <c r="J3554" s="73"/>
      <c r="K3554" s="73"/>
      <c r="L3554" s="73"/>
      <c r="M3554" s="73"/>
    </row>
    <row r="3555" spans="1:26" ht="28.7" customHeight="1" x14ac:dyDescent="0.3">
      <c r="A3555" s="136" t="s">
        <v>1948</v>
      </c>
      <c r="B3555" s="127"/>
      <c r="C3555" s="127"/>
      <c r="D3555" s="127"/>
      <c r="E3555" s="127"/>
      <c r="F3555" s="127"/>
      <c r="G3555" s="127"/>
      <c r="H3555" s="127"/>
      <c r="I3555" s="127"/>
      <c r="J3555" s="127"/>
      <c r="K3555" s="127"/>
      <c r="L3555" s="144"/>
      <c r="M3555" s="22" t="s">
        <v>8827</v>
      </c>
      <c r="N3555" s="84" t="str">
        <f>HYPERLINK("#N"&amp;ROW(N3556),"_x0005_`BDCOD|B04855_x0007_`POSS|"&amp;ROW(N3556)&amp;"_x0007_`POSE|"&amp;ROW(N3556)&amp;"_x0007_`")</f>
        <v>_x0005_`BDCOD|B04855_x0007_`POSS|3556_x0007_`POSE|3556_x0007_`</v>
      </c>
      <c r="O3555" s="7" t="s">
        <v>8828</v>
      </c>
    </row>
    <row r="3556" spans="1:26" ht="28.7" customHeight="1" x14ac:dyDescent="0.3">
      <c r="A3556" s="10" t="s">
        <v>1986</v>
      </c>
      <c r="B3556" s="10" t="s">
        <v>1997</v>
      </c>
      <c r="C3556" s="75">
        <v>1</v>
      </c>
      <c r="D3556" s="31" t="s">
        <v>1490</v>
      </c>
      <c r="E3556" s="55">
        <f>I3556+G3556+K3556</f>
        <v>133662</v>
      </c>
      <c r="F3556" s="76">
        <f>J3556+H3556+L3556</f>
        <v>133662</v>
      </c>
      <c r="G3556" s="78">
        <f>단가산출근거목록표!F10</f>
        <v>131042</v>
      </c>
      <c r="H3556" s="80">
        <f>IF(C3556=0,0,ROUNDDOWN(G3556*C3556,1))</f>
        <v>131042</v>
      </c>
      <c r="I3556" s="78">
        <f>단가산출근거목록표!G10</f>
        <v>0</v>
      </c>
      <c r="J3556" s="80">
        <f>IF(C3556=0,0,ROUNDDOWN(I3556*C3556,1))</f>
        <v>0</v>
      </c>
      <c r="K3556" s="78">
        <f>단가산출근거목록표!H10</f>
        <v>2620</v>
      </c>
      <c r="L3556" s="80">
        <f>IF(C3556=0,0,ROUNDDOWN(K3556*C3556,1))</f>
        <v>2620</v>
      </c>
      <c r="M3556" s="22" t="s">
        <v>8831</v>
      </c>
      <c r="N3556" s="17" t="s">
        <v>8829</v>
      </c>
      <c r="O3556" s="7" t="s">
        <v>8830</v>
      </c>
      <c r="P3556" s="7" t="s">
        <v>6406</v>
      </c>
      <c r="Z3556" s="3" t="str">
        <f ca="1">HYPERLINK("#"&amp;단가산출근거목록표!J2&amp;"!A"&amp;ROW(단가산출근거목록표!A10),"산근7 →")</f>
        <v>산근7 →</v>
      </c>
    </row>
    <row r="3557" spans="1:26" ht="28.7" customHeight="1" x14ac:dyDescent="0.3">
      <c r="A3557" s="22" t="s">
        <v>6</v>
      </c>
      <c r="B3557" s="74"/>
      <c r="C3557" s="74"/>
      <c r="D3557" s="74"/>
      <c r="E3557" s="74"/>
      <c r="F3557" s="48">
        <f>J3557+H3557+L3557</f>
        <v>133662</v>
      </c>
      <c r="G3557" s="74"/>
      <c r="H3557" s="48">
        <f>ROUNDDOWN(SUMIF(P3556:P3556,O3557,H3556:H3556),0)</f>
        <v>131042</v>
      </c>
      <c r="I3557" s="74"/>
      <c r="J3557" s="48">
        <f>ROUNDDOWN(SUMIF(P3556:P3556,O3557,J3556:J3556),0)</f>
        <v>0</v>
      </c>
      <c r="K3557" s="74"/>
      <c r="L3557" s="48">
        <f>ROUNDDOWN(SUMIF(P3556:P3556,O3557,L3556:L3556),0)</f>
        <v>2620</v>
      </c>
      <c r="M3557" s="74"/>
      <c r="O3557" s="7" t="s">
        <v>6406</v>
      </c>
    </row>
    <row r="3558" spans="1:26" ht="28.7" customHeight="1" x14ac:dyDescent="0.3">
      <c r="A3558" s="73"/>
      <c r="B3558" s="73"/>
      <c r="C3558" s="73"/>
      <c r="D3558" s="73"/>
      <c r="E3558" s="73"/>
      <c r="F3558" s="73"/>
      <c r="G3558" s="73"/>
      <c r="H3558" s="73"/>
      <c r="I3558" s="73"/>
      <c r="J3558" s="73"/>
      <c r="K3558" s="73"/>
      <c r="L3558" s="73"/>
      <c r="M3558" s="73"/>
    </row>
    <row r="3559" spans="1:26" ht="28.7" customHeight="1" x14ac:dyDescent="0.3">
      <c r="A3559" s="136" t="s">
        <v>1950</v>
      </c>
      <c r="B3559" s="127"/>
      <c r="C3559" s="127"/>
      <c r="D3559" s="127"/>
      <c r="E3559" s="127"/>
      <c r="F3559" s="127"/>
      <c r="G3559" s="127"/>
      <c r="H3559" s="127"/>
      <c r="I3559" s="127"/>
      <c r="J3559" s="127"/>
      <c r="K3559" s="127"/>
      <c r="L3559" s="144"/>
      <c r="M3559" s="22" t="s">
        <v>8832</v>
      </c>
      <c r="N3559" s="84" t="str">
        <f>HYPERLINK("#N"&amp;ROW(N3561),"_x0005_`BDCOD|B02644_x0007_`POSS|"&amp;ROW(N3560)&amp;"_x0007_`POSE|"&amp;ROW(N3561)&amp;"_x0007_`")</f>
        <v>_x0005_`BDCOD|B02644_x0007_`POSS|3560_x0007_`POSE|3561_x0007_`</v>
      </c>
      <c r="O3559" s="7" t="s">
        <v>8833</v>
      </c>
    </row>
    <row r="3560" spans="1:26" ht="28.7" customHeight="1" x14ac:dyDescent="0.3">
      <c r="A3560" s="10" t="s">
        <v>3086</v>
      </c>
      <c r="B3560" s="10"/>
      <c r="C3560" s="75">
        <v>7.3999999999999996E-2</v>
      </c>
      <c r="D3560" s="31" t="s">
        <v>3074</v>
      </c>
      <c r="E3560" s="55">
        <f>I3560+G3560+K3560</f>
        <v>247897</v>
      </c>
      <c r="F3560" s="76">
        <f>J3560+H3560+L3560</f>
        <v>18344.3</v>
      </c>
      <c r="G3560" s="78">
        <f>노무비목록표!E10</f>
        <v>247897</v>
      </c>
      <c r="H3560" s="81">
        <f>IF(C3560=0,0,ROUNDDOWN(G3560*C3560,1))</f>
        <v>18344.3</v>
      </c>
      <c r="I3560" s="51">
        <v>0</v>
      </c>
      <c r="J3560" s="77">
        <f>IF(C3560=0,0,ROUNDDOWN(I3560*C3560,1))</f>
        <v>0</v>
      </c>
      <c r="K3560" s="51">
        <v>0</v>
      </c>
      <c r="L3560" s="76">
        <f>IF(C3560=0,0,ROUNDDOWN(K3560*C3560,1))</f>
        <v>0</v>
      </c>
      <c r="M3560" s="22" t="s">
        <v>8367</v>
      </c>
      <c r="N3560" s="17" t="s">
        <v>8365</v>
      </c>
      <c r="O3560" s="7" t="s">
        <v>8366</v>
      </c>
      <c r="P3560" s="7" t="s">
        <v>6406</v>
      </c>
      <c r="Q3560" s="7" t="s">
        <v>7061</v>
      </c>
      <c r="Z3560" s="3" t="str">
        <f ca="1">HYPERLINK("#"&amp;노무비목록표!G2&amp;"!A"&amp;ROW(노무비목록표!A10),"노무7 →")</f>
        <v>노무7 →</v>
      </c>
    </row>
    <row r="3561" spans="1:26" ht="28.7" customHeight="1" x14ac:dyDescent="0.3">
      <c r="A3561" s="10" t="s">
        <v>8834</v>
      </c>
      <c r="B3561" s="10" t="s">
        <v>7063</v>
      </c>
      <c r="C3561" s="75">
        <v>2</v>
      </c>
      <c r="D3561" s="31" t="s">
        <v>7064</v>
      </c>
      <c r="E3561" s="55">
        <f>I3561+G3561+K3561</f>
        <v>18344.3</v>
      </c>
      <c r="F3561" s="77">
        <f>J3561+H3561+L3561</f>
        <v>366.8</v>
      </c>
      <c r="G3561" s="13">
        <v>0</v>
      </c>
      <c r="H3561" s="77">
        <f>IF(C3561=0,0,ROUNDDOWN(G3561*C3561/100,1))</f>
        <v>0</v>
      </c>
      <c r="I3561" s="13">
        <v>0</v>
      </c>
      <c r="J3561" s="76">
        <f>IF(C3561=0,0,ROUNDDOWN(I3561*C3561/100,1))</f>
        <v>0</v>
      </c>
      <c r="K3561" s="82">
        <f>H3560</f>
        <v>18344.3</v>
      </c>
      <c r="L3561" s="76">
        <f>IF(C3561=0,0,ROUNDDOWN(K3561*C3561/100,1))</f>
        <v>366.8</v>
      </c>
      <c r="M3561" s="22"/>
      <c r="N3561" s="17" t="s">
        <v>7065</v>
      </c>
      <c r="O3561" s="7" t="s">
        <v>7066</v>
      </c>
      <c r="P3561" s="7" t="s">
        <v>6406</v>
      </c>
    </row>
    <row r="3562" spans="1:26" ht="28.7" customHeight="1" x14ac:dyDescent="0.3">
      <c r="A3562" s="22" t="s">
        <v>6</v>
      </c>
      <c r="B3562" s="74"/>
      <c r="C3562" s="74"/>
      <c r="D3562" s="74"/>
      <c r="E3562" s="74"/>
      <c r="F3562" s="48">
        <f>J3562+H3562+L3562</f>
        <v>18710</v>
      </c>
      <c r="G3562" s="74"/>
      <c r="H3562" s="48">
        <f>ROUNDDOWN(SUMIF(P3560:P3561,O3562,H3560:H3561),0)</f>
        <v>18344</v>
      </c>
      <c r="I3562" s="74"/>
      <c r="J3562" s="48">
        <f>ROUNDDOWN(SUMIF(P3560:P3561,O3562,J3560:J3561),0)</f>
        <v>0</v>
      </c>
      <c r="K3562" s="74"/>
      <c r="L3562" s="48">
        <f>ROUNDDOWN(SUMIF(P3560:P3561,O3562,L3560:L3561),0)</f>
        <v>366</v>
      </c>
      <c r="M3562" s="74"/>
      <c r="O3562" s="7" t="s">
        <v>6406</v>
      </c>
    </row>
    <row r="3563" spans="1:26" ht="28.7" customHeight="1" x14ac:dyDescent="0.3">
      <c r="A3563" s="73"/>
      <c r="B3563" s="73"/>
      <c r="C3563" s="73"/>
      <c r="D3563" s="73"/>
      <c r="E3563" s="73"/>
      <c r="F3563" s="73"/>
      <c r="G3563" s="73"/>
      <c r="H3563" s="73"/>
      <c r="I3563" s="73"/>
      <c r="J3563" s="73"/>
      <c r="K3563" s="73"/>
      <c r="L3563" s="73"/>
      <c r="M3563" s="73"/>
    </row>
    <row r="3564" spans="1:26" ht="28.7" customHeight="1" x14ac:dyDescent="0.3">
      <c r="A3564" s="136" t="s">
        <v>1954</v>
      </c>
      <c r="B3564" s="127"/>
      <c r="C3564" s="127"/>
      <c r="D3564" s="127"/>
      <c r="E3564" s="127"/>
      <c r="F3564" s="127"/>
      <c r="G3564" s="127"/>
      <c r="H3564" s="127"/>
      <c r="I3564" s="127"/>
      <c r="J3564" s="127"/>
      <c r="K3564" s="127"/>
      <c r="L3564" s="144"/>
      <c r="M3564" s="22" t="s">
        <v>8835</v>
      </c>
      <c r="N3564" s="84" t="str">
        <f>HYPERLINK("#N"&amp;ROW(N3567),"_x0005_`BDCOD|B02866_x0007_`POSS|"&amp;ROW(N3565)&amp;"_x0007_`POSE|"&amp;ROW(N3567)&amp;"_x0007_`")</f>
        <v>_x0005_`BDCOD|B02866_x0007_`POSS|3565_x0007_`POSE|3567_x0007_`</v>
      </c>
      <c r="O3564" s="7" t="s">
        <v>8836</v>
      </c>
    </row>
    <row r="3565" spans="1:26" ht="28.7" customHeight="1" x14ac:dyDescent="0.3">
      <c r="A3565" s="10" t="s">
        <v>3086</v>
      </c>
      <c r="B3565" s="10"/>
      <c r="C3565" s="75">
        <v>0.14099999999999999</v>
      </c>
      <c r="D3565" s="31" t="s">
        <v>3074</v>
      </c>
      <c r="E3565" s="55">
        <f t="shared" ref="E3565:F3567" si="47">I3565+G3565+K3565</f>
        <v>247897</v>
      </c>
      <c r="F3565" s="76">
        <f t="shared" si="47"/>
        <v>34953.4</v>
      </c>
      <c r="G3565" s="78">
        <f>노무비목록표!E10</f>
        <v>247897</v>
      </c>
      <c r="H3565" s="81">
        <f>IF(C3565=0,0,ROUNDDOWN(G3565*C3565,1))</f>
        <v>34953.4</v>
      </c>
      <c r="I3565" s="51">
        <v>0</v>
      </c>
      <c r="J3565" s="77">
        <f>IF(C3565=0,0,ROUNDDOWN(I3565*C3565,1))</f>
        <v>0</v>
      </c>
      <c r="K3565" s="51">
        <v>0</v>
      </c>
      <c r="L3565" s="76">
        <f>IF(C3565=0,0,ROUNDDOWN(K3565*C3565,1))</f>
        <v>0</v>
      </c>
      <c r="M3565" s="22" t="s">
        <v>8367</v>
      </c>
      <c r="N3565" s="17" t="s">
        <v>8365</v>
      </c>
      <c r="O3565" s="7" t="s">
        <v>8366</v>
      </c>
      <c r="P3565" s="7" t="s">
        <v>6406</v>
      </c>
      <c r="Q3565" s="7" t="s">
        <v>7061</v>
      </c>
      <c r="Z3565" s="3" t="str">
        <f ca="1">HYPERLINK("#"&amp;노무비목록표!G2&amp;"!A"&amp;ROW(노무비목록표!A10),"노무7 →")</f>
        <v>노무7 →</v>
      </c>
    </row>
    <row r="3566" spans="1:26" ht="28.7" customHeight="1" x14ac:dyDescent="0.3">
      <c r="A3566" s="10" t="s">
        <v>3090</v>
      </c>
      <c r="B3566" s="10"/>
      <c r="C3566" s="75">
        <v>8.3000000000000004E-2</v>
      </c>
      <c r="D3566" s="31" t="s">
        <v>3074</v>
      </c>
      <c r="E3566" s="55">
        <f t="shared" si="47"/>
        <v>172068</v>
      </c>
      <c r="F3566" s="76">
        <f t="shared" si="47"/>
        <v>14281.6</v>
      </c>
      <c r="G3566" s="78">
        <f>노무비목록표!E12</f>
        <v>172068</v>
      </c>
      <c r="H3566" s="81">
        <f>IF(C3566=0,0,ROUNDDOWN(G3566*C3566,1))</f>
        <v>14281.6</v>
      </c>
      <c r="I3566" s="51">
        <v>0</v>
      </c>
      <c r="J3566" s="77">
        <f>IF(C3566=0,0,ROUNDDOWN(I3566*C3566,1))</f>
        <v>0</v>
      </c>
      <c r="K3566" s="51">
        <v>0</v>
      </c>
      <c r="L3566" s="76">
        <f>IF(C3566=0,0,ROUNDDOWN(K3566*C3566,1))</f>
        <v>0</v>
      </c>
      <c r="M3566" s="22" t="s">
        <v>8262</v>
      </c>
      <c r="N3566" s="17" t="s">
        <v>8260</v>
      </c>
      <c r="O3566" s="7" t="s">
        <v>8261</v>
      </c>
      <c r="P3566" s="7" t="s">
        <v>6406</v>
      </c>
      <c r="Q3566" s="7" t="s">
        <v>7061</v>
      </c>
      <c r="Z3566" s="3" t="str">
        <f ca="1">HYPERLINK("#"&amp;노무비목록표!G2&amp;"!A"&amp;ROW(노무비목록표!A12),"노무9 →")</f>
        <v>노무9 →</v>
      </c>
    </row>
    <row r="3567" spans="1:26" ht="28.7" customHeight="1" x14ac:dyDescent="0.3">
      <c r="A3567" s="10" t="s">
        <v>8368</v>
      </c>
      <c r="B3567" s="10" t="s">
        <v>7063</v>
      </c>
      <c r="C3567" s="75">
        <v>2</v>
      </c>
      <c r="D3567" s="31" t="s">
        <v>7064</v>
      </c>
      <c r="E3567" s="55">
        <f t="shared" si="47"/>
        <v>49235</v>
      </c>
      <c r="F3567" s="77">
        <f t="shared" si="47"/>
        <v>984.7</v>
      </c>
      <c r="G3567" s="13">
        <v>0</v>
      </c>
      <c r="H3567" s="77">
        <f>IF(C3567=0,0,ROUNDDOWN(G3567*C3567/100,1))</f>
        <v>0</v>
      </c>
      <c r="I3567" s="13">
        <v>0</v>
      </c>
      <c r="J3567" s="76">
        <f>IF(C3567=0,0,ROUNDDOWN(I3567*C3567/100,1))</f>
        <v>0</v>
      </c>
      <c r="K3567" s="82">
        <f>H3565+H3566</f>
        <v>49235</v>
      </c>
      <c r="L3567" s="76">
        <f>IF(C3567=0,0,ROUNDDOWN(K3567*C3567/100,1))</f>
        <v>984.7</v>
      </c>
      <c r="M3567" s="22"/>
      <c r="N3567" s="17" t="s">
        <v>7065</v>
      </c>
      <c r="O3567" s="7" t="s">
        <v>7066</v>
      </c>
      <c r="P3567" s="7" t="s">
        <v>6406</v>
      </c>
    </row>
    <row r="3568" spans="1:26" ht="28.7" customHeight="1" x14ac:dyDescent="0.3">
      <c r="A3568" s="22" t="s">
        <v>6</v>
      </c>
      <c r="B3568" s="74"/>
      <c r="C3568" s="74"/>
      <c r="D3568" s="74"/>
      <c r="E3568" s="74"/>
      <c r="F3568" s="48">
        <f>J3568+H3568+L3568</f>
        <v>50219</v>
      </c>
      <c r="G3568" s="74"/>
      <c r="H3568" s="48">
        <f>ROUNDDOWN(SUMIF(P3565:P3567,O3568,H3565:H3567),0)</f>
        <v>49235</v>
      </c>
      <c r="I3568" s="74"/>
      <c r="J3568" s="48">
        <f>ROUNDDOWN(SUMIF(P3565:P3567,O3568,J3565:J3567),0)</f>
        <v>0</v>
      </c>
      <c r="K3568" s="74"/>
      <c r="L3568" s="48">
        <f>ROUNDDOWN(SUMIF(P3565:P3567,O3568,L3565:L3567),0)</f>
        <v>984</v>
      </c>
      <c r="M3568" s="74"/>
      <c r="O3568" s="7" t="s">
        <v>6406</v>
      </c>
    </row>
    <row r="3569" spans="1:26" ht="28.7" customHeight="1" x14ac:dyDescent="0.3">
      <c r="A3569" s="73"/>
      <c r="B3569" s="73"/>
      <c r="C3569" s="73"/>
      <c r="D3569" s="73"/>
      <c r="E3569" s="73"/>
      <c r="F3569" s="73"/>
      <c r="G3569" s="73"/>
      <c r="H3569" s="73"/>
      <c r="I3569" s="73"/>
      <c r="J3569" s="73"/>
      <c r="K3569" s="73"/>
      <c r="L3569" s="73"/>
      <c r="M3569" s="73"/>
    </row>
    <row r="3570" spans="1:26" ht="28.7" customHeight="1" x14ac:dyDescent="0.3">
      <c r="A3570" s="136" t="s">
        <v>1956</v>
      </c>
      <c r="B3570" s="127"/>
      <c r="C3570" s="127"/>
      <c r="D3570" s="127"/>
      <c r="E3570" s="127"/>
      <c r="F3570" s="127"/>
      <c r="G3570" s="127"/>
      <c r="H3570" s="127"/>
      <c r="I3570" s="127"/>
      <c r="J3570" s="127"/>
      <c r="K3570" s="127"/>
      <c r="L3570" s="144"/>
      <c r="M3570" s="22" t="s">
        <v>8837</v>
      </c>
      <c r="N3570" s="84" t="str">
        <f>HYPERLINK("#N"&amp;ROW(N3573),"_x0005_`BDCOD|B02865_x0007_`POSS|"&amp;ROW(N3571)&amp;"_x0007_`POSE|"&amp;ROW(N3573)&amp;"_x0007_`")</f>
        <v>_x0005_`BDCOD|B02865_x0007_`POSS|3571_x0007_`POSE|3573_x0007_`</v>
      </c>
      <c r="O3570" s="7" t="s">
        <v>8838</v>
      </c>
    </row>
    <row r="3571" spans="1:26" ht="28.7" customHeight="1" x14ac:dyDescent="0.3">
      <c r="A3571" s="10" t="s">
        <v>3086</v>
      </c>
      <c r="B3571" s="10"/>
      <c r="C3571" s="75">
        <v>0.214</v>
      </c>
      <c r="D3571" s="31" t="s">
        <v>3074</v>
      </c>
      <c r="E3571" s="55">
        <f t="shared" ref="E3571:F3573" si="48">I3571+G3571+K3571</f>
        <v>247897</v>
      </c>
      <c r="F3571" s="76">
        <f t="shared" si="48"/>
        <v>53049.9</v>
      </c>
      <c r="G3571" s="78">
        <f>노무비목록표!E10</f>
        <v>247897</v>
      </c>
      <c r="H3571" s="81">
        <f>IF(C3571=0,0,ROUNDDOWN(G3571*C3571,1))</f>
        <v>53049.9</v>
      </c>
      <c r="I3571" s="51">
        <v>0</v>
      </c>
      <c r="J3571" s="77">
        <f>IF(C3571=0,0,ROUNDDOWN(I3571*C3571,1))</f>
        <v>0</v>
      </c>
      <c r="K3571" s="51">
        <v>0</v>
      </c>
      <c r="L3571" s="76">
        <f>IF(C3571=0,0,ROUNDDOWN(K3571*C3571,1))</f>
        <v>0</v>
      </c>
      <c r="M3571" s="22" t="s">
        <v>8367</v>
      </c>
      <c r="N3571" s="17" t="s">
        <v>8365</v>
      </c>
      <c r="O3571" s="7" t="s">
        <v>8366</v>
      </c>
      <c r="P3571" s="7" t="s">
        <v>6406</v>
      </c>
      <c r="Q3571" s="7" t="s">
        <v>7061</v>
      </c>
      <c r="Z3571" s="3" t="str">
        <f ca="1">HYPERLINK("#"&amp;노무비목록표!G2&amp;"!A"&amp;ROW(노무비목록표!A10),"노무7 →")</f>
        <v>노무7 →</v>
      </c>
    </row>
    <row r="3572" spans="1:26" ht="28.7" customHeight="1" x14ac:dyDescent="0.3">
      <c r="A3572" s="10" t="s">
        <v>3090</v>
      </c>
      <c r="B3572" s="10"/>
      <c r="C3572" s="75">
        <v>0.105</v>
      </c>
      <c r="D3572" s="31" t="s">
        <v>3074</v>
      </c>
      <c r="E3572" s="55">
        <f t="shared" si="48"/>
        <v>172068</v>
      </c>
      <c r="F3572" s="76">
        <f t="shared" si="48"/>
        <v>18067.099999999999</v>
      </c>
      <c r="G3572" s="78">
        <f>노무비목록표!E12</f>
        <v>172068</v>
      </c>
      <c r="H3572" s="81">
        <f>IF(C3572=0,0,ROUNDDOWN(G3572*C3572,1))</f>
        <v>18067.099999999999</v>
      </c>
      <c r="I3572" s="51">
        <v>0</v>
      </c>
      <c r="J3572" s="77">
        <f>IF(C3572=0,0,ROUNDDOWN(I3572*C3572,1))</f>
        <v>0</v>
      </c>
      <c r="K3572" s="51">
        <v>0</v>
      </c>
      <c r="L3572" s="76">
        <f>IF(C3572=0,0,ROUNDDOWN(K3572*C3572,1))</f>
        <v>0</v>
      </c>
      <c r="M3572" s="22" t="s">
        <v>8262</v>
      </c>
      <c r="N3572" s="17" t="s">
        <v>8260</v>
      </c>
      <c r="O3572" s="7" t="s">
        <v>8261</v>
      </c>
      <c r="P3572" s="7" t="s">
        <v>6406</v>
      </c>
      <c r="Q3572" s="7" t="s">
        <v>7061</v>
      </c>
      <c r="Z3572" s="3" t="str">
        <f ca="1">HYPERLINK("#"&amp;노무비목록표!G2&amp;"!A"&amp;ROW(노무비목록표!A12),"노무9 →")</f>
        <v>노무9 →</v>
      </c>
    </row>
    <row r="3573" spans="1:26" ht="28.7" customHeight="1" x14ac:dyDescent="0.3">
      <c r="A3573" s="10" t="s">
        <v>8368</v>
      </c>
      <c r="B3573" s="10" t="s">
        <v>7063</v>
      </c>
      <c r="C3573" s="75">
        <v>2</v>
      </c>
      <c r="D3573" s="31" t="s">
        <v>7064</v>
      </c>
      <c r="E3573" s="55">
        <f t="shared" si="48"/>
        <v>71117</v>
      </c>
      <c r="F3573" s="77">
        <f t="shared" si="48"/>
        <v>1422.3</v>
      </c>
      <c r="G3573" s="13">
        <v>0</v>
      </c>
      <c r="H3573" s="77">
        <f>IF(C3573=0,0,ROUNDDOWN(G3573*C3573/100,1))</f>
        <v>0</v>
      </c>
      <c r="I3573" s="13">
        <v>0</v>
      </c>
      <c r="J3573" s="76">
        <f>IF(C3573=0,0,ROUNDDOWN(I3573*C3573/100,1))</f>
        <v>0</v>
      </c>
      <c r="K3573" s="82">
        <f>H3571+H3572</f>
        <v>71117</v>
      </c>
      <c r="L3573" s="76">
        <f>IF(C3573=0,0,ROUNDDOWN(K3573*C3573/100,1))</f>
        <v>1422.3</v>
      </c>
      <c r="M3573" s="22"/>
      <c r="N3573" s="17" t="s">
        <v>7065</v>
      </c>
      <c r="O3573" s="7" t="s">
        <v>7066</v>
      </c>
      <c r="P3573" s="7" t="s">
        <v>6406</v>
      </c>
    </row>
    <row r="3574" spans="1:26" ht="28.7" customHeight="1" x14ac:dyDescent="0.3">
      <c r="A3574" s="22" t="s">
        <v>6</v>
      </c>
      <c r="B3574" s="74"/>
      <c r="C3574" s="74"/>
      <c r="D3574" s="74"/>
      <c r="E3574" s="74"/>
      <c r="F3574" s="48">
        <f>J3574+H3574+L3574</f>
        <v>72539</v>
      </c>
      <c r="G3574" s="74"/>
      <c r="H3574" s="48">
        <f>ROUNDDOWN(SUMIF(P3571:P3573,O3574,H3571:H3573),0)</f>
        <v>71117</v>
      </c>
      <c r="I3574" s="74"/>
      <c r="J3574" s="48">
        <f>ROUNDDOWN(SUMIF(P3571:P3573,O3574,J3571:J3573),0)</f>
        <v>0</v>
      </c>
      <c r="K3574" s="74"/>
      <c r="L3574" s="48">
        <f>ROUNDDOWN(SUMIF(P3571:P3573,O3574,L3571:L3573),0)</f>
        <v>1422</v>
      </c>
      <c r="M3574" s="74"/>
      <c r="O3574" s="7" t="s">
        <v>6406</v>
      </c>
    </row>
    <row r="3575" spans="1:26" ht="28.7" customHeight="1" x14ac:dyDescent="0.3">
      <c r="A3575" s="73"/>
      <c r="B3575" s="73"/>
      <c r="C3575" s="73"/>
      <c r="D3575" s="73"/>
      <c r="E3575" s="73"/>
      <c r="F3575" s="73"/>
      <c r="G3575" s="73"/>
      <c r="H3575" s="73"/>
      <c r="I3575" s="73"/>
      <c r="J3575" s="73"/>
      <c r="K3575" s="73"/>
      <c r="L3575" s="73"/>
      <c r="M3575" s="73"/>
    </row>
    <row r="3576" spans="1:26" ht="28.7" customHeight="1" x14ac:dyDescent="0.3">
      <c r="A3576" s="136" t="s">
        <v>1958</v>
      </c>
      <c r="B3576" s="127"/>
      <c r="C3576" s="127"/>
      <c r="D3576" s="127"/>
      <c r="E3576" s="127"/>
      <c r="F3576" s="127"/>
      <c r="G3576" s="127"/>
      <c r="H3576" s="127"/>
      <c r="I3576" s="127"/>
      <c r="J3576" s="127"/>
      <c r="K3576" s="127"/>
      <c r="L3576" s="144"/>
      <c r="M3576" s="22" t="s">
        <v>8839</v>
      </c>
      <c r="N3576" s="84" t="str">
        <f>HYPERLINK("#N"&amp;ROW(N3579),"_x0005_`BDCOD|B05102_x0007_`POSS|"&amp;ROW(N3577)&amp;"_x0007_`POSE|"&amp;ROW(N3579)&amp;"_x0007_`")</f>
        <v>_x0005_`BDCOD|B05102_x0007_`POSS|3577_x0007_`POSE|3579_x0007_`</v>
      </c>
      <c r="O3576" s="7" t="s">
        <v>8840</v>
      </c>
    </row>
    <row r="3577" spans="1:26" ht="28.7" customHeight="1" x14ac:dyDescent="0.3">
      <c r="A3577" s="10" t="s">
        <v>3086</v>
      </c>
      <c r="B3577" s="10"/>
      <c r="C3577" s="75">
        <v>0.34300000000000003</v>
      </c>
      <c r="D3577" s="31" t="s">
        <v>3074</v>
      </c>
      <c r="E3577" s="55">
        <f t="shared" ref="E3577:F3579" si="49">I3577+G3577+K3577</f>
        <v>247897</v>
      </c>
      <c r="F3577" s="76">
        <f t="shared" si="49"/>
        <v>85028.6</v>
      </c>
      <c r="G3577" s="78">
        <f>노무비목록표!E10</f>
        <v>247897</v>
      </c>
      <c r="H3577" s="81">
        <f>IF(C3577=0,0,ROUNDDOWN(G3577*C3577,1))</f>
        <v>85028.6</v>
      </c>
      <c r="I3577" s="51">
        <v>0</v>
      </c>
      <c r="J3577" s="77">
        <f>IF(C3577=0,0,ROUNDDOWN(I3577*C3577,1))</f>
        <v>0</v>
      </c>
      <c r="K3577" s="51">
        <v>0</v>
      </c>
      <c r="L3577" s="76">
        <f>IF(C3577=0,0,ROUNDDOWN(K3577*C3577,1))</f>
        <v>0</v>
      </c>
      <c r="M3577" s="22" t="s">
        <v>8367</v>
      </c>
      <c r="N3577" s="17" t="s">
        <v>8365</v>
      </c>
      <c r="O3577" s="7" t="s">
        <v>8366</v>
      </c>
      <c r="P3577" s="7" t="s">
        <v>6406</v>
      </c>
      <c r="Q3577" s="7" t="s">
        <v>7061</v>
      </c>
      <c r="Z3577" s="3" t="str">
        <f ca="1">HYPERLINK("#"&amp;노무비목록표!G2&amp;"!A"&amp;ROW(노무비목록표!A10),"노무7 →")</f>
        <v>노무7 →</v>
      </c>
    </row>
    <row r="3578" spans="1:26" ht="28.7" customHeight="1" x14ac:dyDescent="0.3">
      <c r="A3578" s="10" t="s">
        <v>3090</v>
      </c>
      <c r="B3578" s="10"/>
      <c r="C3578" s="75">
        <v>0.14699999999999999</v>
      </c>
      <c r="D3578" s="31" t="s">
        <v>3074</v>
      </c>
      <c r="E3578" s="55">
        <f t="shared" si="49"/>
        <v>172068</v>
      </c>
      <c r="F3578" s="76">
        <f t="shared" si="49"/>
        <v>25293.9</v>
      </c>
      <c r="G3578" s="78">
        <f>노무비목록표!E12</f>
        <v>172068</v>
      </c>
      <c r="H3578" s="81">
        <f>IF(C3578=0,0,ROUNDDOWN(G3578*C3578,1))</f>
        <v>25293.9</v>
      </c>
      <c r="I3578" s="51">
        <v>0</v>
      </c>
      <c r="J3578" s="77">
        <f>IF(C3578=0,0,ROUNDDOWN(I3578*C3578,1))</f>
        <v>0</v>
      </c>
      <c r="K3578" s="51">
        <v>0</v>
      </c>
      <c r="L3578" s="76">
        <f>IF(C3578=0,0,ROUNDDOWN(K3578*C3578,1))</f>
        <v>0</v>
      </c>
      <c r="M3578" s="22" t="s">
        <v>8262</v>
      </c>
      <c r="N3578" s="17" t="s">
        <v>8260</v>
      </c>
      <c r="O3578" s="7" t="s">
        <v>8261</v>
      </c>
      <c r="P3578" s="7" t="s">
        <v>6406</v>
      </c>
      <c r="Q3578" s="7" t="s">
        <v>7061</v>
      </c>
      <c r="Z3578" s="3" t="str">
        <f ca="1">HYPERLINK("#"&amp;노무비목록표!G2&amp;"!A"&amp;ROW(노무비목록표!A12),"노무9 →")</f>
        <v>노무9 →</v>
      </c>
    </row>
    <row r="3579" spans="1:26" ht="28.7" customHeight="1" x14ac:dyDescent="0.3">
      <c r="A3579" s="10" t="s">
        <v>8368</v>
      </c>
      <c r="B3579" s="10" t="s">
        <v>7063</v>
      </c>
      <c r="C3579" s="75">
        <v>2</v>
      </c>
      <c r="D3579" s="31" t="s">
        <v>7064</v>
      </c>
      <c r="E3579" s="55">
        <f t="shared" si="49"/>
        <v>110322.5</v>
      </c>
      <c r="F3579" s="77">
        <f t="shared" si="49"/>
        <v>2206.4</v>
      </c>
      <c r="G3579" s="13">
        <v>0</v>
      </c>
      <c r="H3579" s="77">
        <f>IF(C3579=0,0,ROUNDDOWN(G3579*C3579/100,1))</f>
        <v>0</v>
      </c>
      <c r="I3579" s="13">
        <v>0</v>
      </c>
      <c r="J3579" s="76">
        <f>IF(C3579=0,0,ROUNDDOWN(I3579*C3579/100,1))</f>
        <v>0</v>
      </c>
      <c r="K3579" s="82">
        <f>H3577+H3578</f>
        <v>110322.5</v>
      </c>
      <c r="L3579" s="76">
        <f>IF(C3579=0,0,ROUNDDOWN(K3579*C3579/100,1))</f>
        <v>2206.4</v>
      </c>
      <c r="M3579" s="22"/>
      <c r="N3579" s="17" t="s">
        <v>7065</v>
      </c>
      <c r="O3579" s="7" t="s">
        <v>7066</v>
      </c>
      <c r="P3579" s="7" t="s">
        <v>6406</v>
      </c>
    </row>
    <row r="3580" spans="1:26" ht="28.7" customHeight="1" x14ac:dyDescent="0.3">
      <c r="A3580" s="22" t="s">
        <v>6</v>
      </c>
      <c r="B3580" s="74"/>
      <c r="C3580" s="74"/>
      <c r="D3580" s="74"/>
      <c r="E3580" s="74"/>
      <c r="F3580" s="48">
        <f>J3580+H3580+L3580</f>
        <v>112528</v>
      </c>
      <c r="G3580" s="74"/>
      <c r="H3580" s="48">
        <f>ROUNDDOWN(SUMIF(P3577:P3579,O3580,H3577:H3579),0)</f>
        <v>110322</v>
      </c>
      <c r="I3580" s="74"/>
      <c r="J3580" s="48">
        <f>ROUNDDOWN(SUMIF(P3577:P3579,O3580,J3577:J3579),0)</f>
        <v>0</v>
      </c>
      <c r="K3580" s="74"/>
      <c r="L3580" s="48">
        <f>ROUNDDOWN(SUMIF(P3577:P3579,O3580,L3577:L3579),0)</f>
        <v>2206</v>
      </c>
      <c r="M3580" s="74"/>
      <c r="O3580" s="7" t="s">
        <v>6406</v>
      </c>
    </row>
    <row r="3581" spans="1:26" ht="28.7" customHeight="1" x14ac:dyDescent="0.3">
      <c r="A3581" s="73"/>
      <c r="B3581" s="73"/>
      <c r="C3581" s="73"/>
      <c r="D3581" s="73"/>
      <c r="E3581" s="73"/>
      <c r="F3581" s="73"/>
      <c r="G3581" s="73"/>
      <c r="H3581" s="73"/>
      <c r="I3581" s="73"/>
      <c r="J3581" s="73"/>
      <c r="K3581" s="73"/>
      <c r="L3581" s="73"/>
      <c r="M3581" s="73"/>
    </row>
    <row r="3582" spans="1:26" ht="28.7" customHeight="1" x14ac:dyDescent="0.3">
      <c r="A3582" s="136" t="s">
        <v>1960</v>
      </c>
      <c r="B3582" s="127"/>
      <c r="C3582" s="127"/>
      <c r="D3582" s="127"/>
      <c r="E3582" s="127"/>
      <c r="F3582" s="127"/>
      <c r="G3582" s="127"/>
      <c r="H3582" s="127"/>
      <c r="I3582" s="127"/>
      <c r="J3582" s="127"/>
      <c r="K3582" s="127"/>
      <c r="L3582" s="144"/>
      <c r="M3582" s="22" t="s">
        <v>8841</v>
      </c>
      <c r="N3582" s="84" t="str">
        <f>HYPERLINK("#N"&amp;ROW(N3585),"_x0005_`BDCOD|B05103_x0007_`POSS|"&amp;ROW(N3583)&amp;"_x0007_`POSE|"&amp;ROW(N3585)&amp;"_x0007_`")</f>
        <v>_x0005_`BDCOD|B05103_x0007_`POSS|3583_x0007_`POSE|3585_x0007_`</v>
      </c>
      <c r="O3582" s="7" t="s">
        <v>8842</v>
      </c>
    </row>
    <row r="3583" spans="1:26" ht="28.7" customHeight="1" x14ac:dyDescent="0.3">
      <c r="A3583" s="10" t="s">
        <v>3086</v>
      </c>
      <c r="B3583" s="10"/>
      <c r="C3583" s="75">
        <v>0.47099999999999997</v>
      </c>
      <c r="D3583" s="31" t="s">
        <v>3074</v>
      </c>
      <c r="E3583" s="55">
        <f t="shared" ref="E3583:F3585" si="50">I3583+G3583+K3583</f>
        <v>247897</v>
      </c>
      <c r="F3583" s="76">
        <f t="shared" si="50"/>
        <v>116759.4</v>
      </c>
      <c r="G3583" s="78">
        <f>노무비목록표!E10</f>
        <v>247897</v>
      </c>
      <c r="H3583" s="81">
        <f>IF(C3583=0,0,ROUNDDOWN(G3583*C3583,1))</f>
        <v>116759.4</v>
      </c>
      <c r="I3583" s="51">
        <v>0</v>
      </c>
      <c r="J3583" s="77">
        <f>IF(C3583=0,0,ROUNDDOWN(I3583*C3583,1))</f>
        <v>0</v>
      </c>
      <c r="K3583" s="51">
        <v>0</v>
      </c>
      <c r="L3583" s="76">
        <f>IF(C3583=0,0,ROUNDDOWN(K3583*C3583,1))</f>
        <v>0</v>
      </c>
      <c r="M3583" s="22" t="s">
        <v>8367</v>
      </c>
      <c r="N3583" s="17" t="s">
        <v>8365</v>
      </c>
      <c r="O3583" s="7" t="s">
        <v>8366</v>
      </c>
      <c r="P3583" s="7" t="s">
        <v>6406</v>
      </c>
      <c r="Q3583" s="7" t="s">
        <v>7061</v>
      </c>
      <c r="Z3583" s="3" t="str">
        <f ca="1">HYPERLINK("#"&amp;노무비목록표!G2&amp;"!A"&amp;ROW(노무비목록표!A10),"노무7 →")</f>
        <v>노무7 →</v>
      </c>
    </row>
    <row r="3584" spans="1:26" ht="28.7" customHeight="1" x14ac:dyDescent="0.3">
      <c r="A3584" s="10" t="s">
        <v>3090</v>
      </c>
      <c r="B3584" s="10"/>
      <c r="C3584" s="75">
        <v>0.188</v>
      </c>
      <c r="D3584" s="31" t="s">
        <v>3074</v>
      </c>
      <c r="E3584" s="55">
        <f t="shared" si="50"/>
        <v>172068</v>
      </c>
      <c r="F3584" s="76">
        <f t="shared" si="50"/>
        <v>32348.7</v>
      </c>
      <c r="G3584" s="78">
        <f>노무비목록표!E12</f>
        <v>172068</v>
      </c>
      <c r="H3584" s="81">
        <f>IF(C3584=0,0,ROUNDDOWN(G3584*C3584,1))</f>
        <v>32348.7</v>
      </c>
      <c r="I3584" s="51">
        <v>0</v>
      </c>
      <c r="J3584" s="77">
        <f>IF(C3584=0,0,ROUNDDOWN(I3584*C3584,1))</f>
        <v>0</v>
      </c>
      <c r="K3584" s="51">
        <v>0</v>
      </c>
      <c r="L3584" s="76">
        <f>IF(C3584=0,0,ROUNDDOWN(K3584*C3584,1))</f>
        <v>0</v>
      </c>
      <c r="M3584" s="22" t="s">
        <v>8262</v>
      </c>
      <c r="N3584" s="17" t="s">
        <v>8260</v>
      </c>
      <c r="O3584" s="7" t="s">
        <v>8261</v>
      </c>
      <c r="P3584" s="7" t="s">
        <v>6406</v>
      </c>
      <c r="Q3584" s="7" t="s">
        <v>7061</v>
      </c>
      <c r="Z3584" s="3" t="str">
        <f ca="1">HYPERLINK("#"&amp;노무비목록표!G2&amp;"!A"&amp;ROW(노무비목록표!A12),"노무9 →")</f>
        <v>노무9 →</v>
      </c>
    </row>
    <row r="3585" spans="1:26" ht="28.7" customHeight="1" x14ac:dyDescent="0.3">
      <c r="A3585" s="10" t="s">
        <v>8368</v>
      </c>
      <c r="B3585" s="10" t="s">
        <v>7063</v>
      </c>
      <c r="C3585" s="75">
        <v>2</v>
      </c>
      <c r="D3585" s="31" t="s">
        <v>7064</v>
      </c>
      <c r="E3585" s="55">
        <f t="shared" si="50"/>
        <v>149108.1</v>
      </c>
      <c r="F3585" s="77">
        <f t="shared" si="50"/>
        <v>2982.1</v>
      </c>
      <c r="G3585" s="13">
        <v>0</v>
      </c>
      <c r="H3585" s="77">
        <f>IF(C3585=0,0,ROUNDDOWN(G3585*C3585/100,1))</f>
        <v>0</v>
      </c>
      <c r="I3585" s="13">
        <v>0</v>
      </c>
      <c r="J3585" s="76">
        <f>IF(C3585=0,0,ROUNDDOWN(I3585*C3585/100,1))</f>
        <v>0</v>
      </c>
      <c r="K3585" s="82">
        <f>H3583+H3584</f>
        <v>149108.1</v>
      </c>
      <c r="L3585" s="76">
        <f>IF(C3585=0,0,ROUNDDOWN(K3585*C3585/100,1))</f>
        <v>2982.1</v>
      </c>
      <c r="M3585" s="22"/>
      <c r="N3585" s="17" t="s">
        <v>7065</v>
      </c>
      <c r="O3585" s="7" t="s">
        <v>7066</v>
      </c>
      <c r="P3585" s="7" t="s">
        <v>6406</v>
      </c>
    </row>
    <row r="3586" spans="1:26" ht="28.7" customHeight="1" x14ac:dyDescent="0.3">
      <c r="A3586" s="22" t="s">
        <v>6</v>
      </c>
      <c r="B3586" s="74"/>
      <c r="C3586" s="74"/>
      <c r="D3586" s="74"/>
      <c r="E3586" s="74"/>
      <c r="F3586" s="48">
        <f>J3586+H3586+L3586</f>
        <v>152090</v>
      </c>
      <c r="G3586" s="74"/>
      <c r="H3586" s="48">
        <f>ROUNDDOWN(SUMIF(P3583:P3585,O3586,H3583:H3585),0)</f>
        <v>149108</v>
      </c>
      <c r="I3586" s="74"/>
      <c r="J3586" s="48">
        <f>ROUNDDOWN(SUMIF(P3583:P3585,O3586,J3583:J3585),0)</f>
        <v>0</v>
      </c>
      <c r="K3586" s="74"/>
      <c r="L3586" s="48">
        <f>ROUNDDOWN(SUMIF(P3583:P3585,O3586,L3583:L3585),0)</f>
        <v>2982</v>
      </c>
      <c r="M3586" s="74"/>
      <c r="O3586" s="7" t="s">
        <v>6406</v>
      </c>
    </row>
    <row r="3587" spans="1:26" ht="28.7" customHeight="1" x14ac:dyDescent="0.3">
      <c r="A3587" s="73"/>
      <c r="B3587" s="73"/>
      <c r="C3587" s="73"/>
      <c r="D3587" s="73"/>
      <c r="E3587" s="73"/>
      <c r="F3587" s="73"/>
      <c r="G3587" s="73"/>
      <c r="H3587" s="73"/>
      <c r="I3587" s="73"/>
      <c r="J3587" s="73"/>
      <c r="K3587" s="73"/>
      <c r="L3587" s="73"/>
      <c r="M3587" s="73"/>
    </row>
    <row r="3588" spans="1:26" ht="28.7" customHeight="1" x14ac:dyDescent="0.3">
      <c r="A3588" s="136" t="s">
        <v>1962</v>
      </c>
      <c r="B3588" s="127"/>
      <c r="C3588" s="127"/>
      <c r="D3588" s="127"/>
      <c r="E3588" s="127"/>
      <c r="F3588" s="127"/>
      <c r="G3588" s="127"/>
      <c r="H3588" s="127"/>
      <c r="I3588" s="127"/>
      <c r="J3588" s="127"/>
      <c r="K3588" s="127"/>
      <c r="L3588" s="144"/>
      <c r="M3588" s="22" t="s">
        <v>8843</v>
      </c>
      <c r="N3588" s="84" t="str">
        <f>HYPERLINK("#N"&amp;ROW(N3593),"_x0005_`BDCOD|B04867_x0007_`POSS|"&amp;ROW(N3589)&amp;"_x0007_`POSE|"&amp;ROW(N3593)&amp;"_x0007_`")</f>
        <v>_x0005_`BDCOD|B04867_x0007_`POSS|3589_x0007_`POSE|3593_x0007_`</v>
      </c>
      <c r="O3588" s="7" t="s">
        <v>8844</v>
      </c>
    </row>
    <row r="3589" spans="1:26" ht="28.7" customHeight="1" x14ac:dyDescent="0.3">
      <c r="A3589" s="10" t="s">
        <v>3103</v>
      </c>
      <c r="B3589" s="10"/>
      <c r="C3589" s="75">
        <v>0.9</v>
      </c>
      <c r="D3589" s="31" t="s">
        <v>3074</v>
      </c>
      <c r="E3589" s="55">
        <f t="shared" ref="E3589:F3593" si="51">I3589+G3589+K3589</f>
        <v>273540</v>
      </c>
      <c r="F3589" s="76">
        <f t="shared" si="51"/>
        <v>246186</v>
      </c>
      <c r="G3589" s="78">
        <f>노무비목록표!E19</f>
        <v>273540</v>
      </c>
      <c r="H3589" s="81">
        <f>IF(C3589=0,0,ROUNDDOWN(G3589*C3589,1))</f>
        <v>246186</v>
      </c>
      <c r="I3589" s="51">
        <v>0</v>
      </c>
      <c r="J3589" s="77">
        <f>IF(C3589=0,0,ROUNDDOWN(I3589*C3589,1))</f>
        <v>0</v>
      </c>
      <c r="K3589" s="51">
        <v>0</v>
      </c>
      <c r="L3589" s="76">
        <f>IF(C3589=0,0,ROUNDDOWN(K3589*C3589,1))</f>
        <v>0</v>
      </c>
      <c r="M3589" s="22" t="s">
        <v>8847</v>
      </c>
      <c r="N3589" s="17" t="s">
        <v>8845</v>
      </c>
      <c r="O3589" s="7" t="s">
        <v>8846</v>
      </c>
      <c r="P3589" s="7" t="s">
        <v>6406</v>
      </c>
      <c r="Z3589" s="3" t="str">
        <f ca="1">HYPERLINK("#"&amp;노무비목록표!G2&amp;"!A"&amp;ROW(노무비목록표!A19),"노무16 →")</f>
        <v>노무16 →</v>
      </c>
    </row>
    <row r="3590" spans="1:26" ht="28.7" customHeight="1" x14ac:dyDescent="0.3">
      <c r="A3590" s="10" t="s">
        <v>3090</v>
      </c>
      <c r="B3590" s="10"/>
      <c r="C3590" s="75">
        <v>0.9</v>
      </c>
      <c r="D3590" s="31" t="s">
        <v>3074</v>
      </c>
      <c r="E3590" s="55">
        <f t="shared" si="51"/>
        <v>172068</v>
      </c>
      <c r="F3590" s="76">
        <f t="shared" si="51"/>
        <v>154861.20000000001</v>
      </c>
      <c r="G3590" s="78">
        <f>노무비목록표!E12</f>
        <v>172068</v>
      </c>
      <c r="H3590" s="81">
        <f>IF(C3590=0,0,ROUNDDOWN(G3590*C3590,1))</f>
        <v>154861.20000000001</v>
      </c>
      <c r="I3590" s="51">
        <v>0</v>
      </c>
      <c r="J3590" s="77">
        <f>IF(C3590=0,0,ROUNDDOWN(I3590*C3590,1))</f>
        <v>0</v>
      </c>
      <c r="K3590" s="51">
        <v>0</v>
      </c>
      <c r="L3590" s="76">
        <f>IF(C3590=0,0,ROUNDDOWN(K3590*C3590,1))</f>
        <v>0</v>
      </c>
      <c r="M3590" s="22" t="s">
        <v>8262</v>
      </c>
      <c r="N3590" s="17" t="s">
        <v>8473</v>
      </c>
      <c r="O3590" s="7" t="s">
        <v>8261</v>
      </c>
      <c r="P3590" s="7" t="s">
        <v>6406</v>
      </c>
      <c r="Z3590" s="3" t="str">
        <f ca="1">HYPERLINK("#"&amp;노무비목록표!G2&amp;"!A"&amp;ROW(노무비목록표!A12),"노무9 →")</f>
        <v>노무9 →</v>
      </c>
    </row>
    <row r="3591" spans="1:26" ht="28.7" customHeight="1" x14ac:dyDescent="0.3">
      <c r="A3591" s="10" t="s">
        <v>2680</v>
      </c>
      <c r="B3591" s="10" t="s">
        <v>2681</v>
      </c>
      <c r="C3591" s="75">
        <v>220</v>
      </c>
      <c r="D3591" s="31" t="s">
        <v>2629</v>
      </c>
      <c r="E3591" s="55">
        <f t="shared" si="51"/>
        <v>185</v>
      </c>
      <c r="F3591" s="77">
        <f t="shared" si="51"/>
        <v>40700</v>
      </c>
      <c r="G3591" s="51">
        <v>0</v>
      </c>
      <c r="H3591" s="76">
        <f>IF(C3591=0,0,ROUNDDOWN(G3591*C3591,1))</f>
        <v>0</v>
      </c>
      <c r="I3591" s="78">
        <f>재료비목록표!E232</f>
        <v>185</v>
      </c>
      <c r="J3591" s="81">
        <f>IF(C3591=0,0,ROUNDDOWN(I3591*C3591,1))</f>
        <v>40700</v>
      </c>
      <c r="K3591" s="51">
        <v>0</v>
      </c>
      <c r="L3591" s="76">
        <f>IF(C3591=0,0,ROUNDDOWN(K3591*C3591,1))</f>
        <v>0</v>
      </c>
      <c r="M3591" s="22" t="s">
        <v>8850</v>
      </c>
      <c r="N3591" s="17" t="s">
        <v>8848</v>
      </c>
      <c r="O3591" s="7" t="s">
        <v>8849</v>
      </c>
      <c r="P3591" s="7" t="s">
        <v>6406</v>
      </c>
      <c r="Z3591" s="3" t="str">
        <f ca="1">HYPERLINK("#"&amp;재료비목록표!G2&amp;"!A"&amp;ROW(재료비목록표!A232),"자재229 →")</f>
        <v>자재229 →</v>
      </c>
    </row>
    <row r="3592" spans="1:26" ht="28.7" customHeight="1" x14ac:dyDescent="0.3">
      <c r="A3592" s="10" t="s">
        <v>2263</v>
      </c>
      <c r="B3592" s="10" t="s">
        <v>2264</v>
      </c>
      <c r="C3592" s="75">
        <v>0.47</v>
      </c>
      <c r="D3592" s="31" t="s">
        <v>1603</v>
      </c>
      <c r="E3592" s="55">
        <f t="shared" si="51"/>
        <v>37000</v>
      </c>
      <c r="F3592" s="77">
        <f t="shared" si="51"/>
        <v>17390</v>
      </c>
      <c r="G3592" s="51">
        <v>0</v>
      </c>
      <c r="H3592" s="76">
        <f>IF(C3592=0,0,ROUNDDOWN(G3592*C3592,1))</f>
        <v>0</v>
      </c>
      <c r="I3592" s="78">
        <f>재료비목록표!E81</f>
        <v>37000</v>
      </c>
      <c r="J3592" s="81">
        <f>IF(C3592=0,0,ROUNDDOWN(I3592*C3592,1))</f>
        <v>17390</v>
      </c>
      <c r="K3592" s="51">
        <v>0</v>
      </c>
      <c r="L3592" s="76">
        <f>IF(C3592=0,0,ROUNDDOWN(K3592*C3592,1))</f>
        <v>0</v>
      </c>
      <c r="M3592" s="22" t="s">
        <v>8853</v>
      </c>
      <c r="N3592" s="17" t="s">
        <v>8851</v>
      </c>
      <c r="O3592" s="7" t="s">
        <v>8852</v>
      </c>
      <c r="P3592" s="7" t="s">
        <v>6406</v>
      </c>
      <c r="Z3592" s="3" t="str">
        <f ca="1">HYPERLINK("#"&amp;재료비목록표!G2&amp;"!A"&amp;ROW(재료비목록표!A81),"자재78 →")</f>
        <v>자재78 →</v>
      </c>
    </row>
    <row r="3593" spans="1:26" ht="28.7" customHeight="1" x14ac:dyDescent="0.3">
      <c r="A3593" s="10" t="s">
        <v>2844</v>
      </c>
      <c r="B3593" s="10" t="s">
        <v>2845</v>
      </c>
      <c r="C3593" s="75">
        <v>0.94</v>
      </c>
      <c r="D3593" s="31" t="s">
        <v>1603</v>
      </c>
      <c r="E3593" s="55">
        <f t="shared" si="51"/>
        <v>30000</v>
      </c>
      <c r="F3593" s="77">
        <f t="shared" si="51"/>
        <v>28200</v>
      </c>
      <c r="G3593" s="51">
        <v>0</v>
      </c>
      <c r="H3593" s="76">
        <f>IF(C3593=0,0,ROUNDDOWN(G3593*C3593,1))</f>
        <v>0</v>
      </c>
      <c r="I3593" s="78">
        <f>재료비목록표!E295</f>
        <v>30000</v>
      </c>
      <c r="J3593" s="81">
        <f>IF(C3593=0,0,ROUNDDOWN(I3593*C3593,1))</f>
        <v>28200</v>
      </c>
      <c r="K3593" s="51">
        <v>0</v>
      </c>
      <c r="L3593" s="76">
        <f>IF(C3593=0,0,ROUNDDOWN(K3593*C3593,1))</f>
        <v>0</v>
      </c>
      <c r="M3593" s="22" t="s">
        <v>8856</v>
      </c>
      <c r="N3593" s="17" t="s">
        <v>8854</v>
      </c>
      <c r="O3593" s="7" t="s">
        <v>8855</v>
      </c>
      <c r="P3593" s="7" t="s">
        <v>6406</v>
      </c>
      <c r="Z3593" s="3" t="str">
        <f ca="1">HYPERLINK("#"&amp;재료비목록표!G2&amp;"!A"&amp;ROW(재료비목록표!A295),"자재292 →")</f>
        <v>자재292 →</v>
      </c>
    </row>
    <row r="3594" spans="1:26" ht="28.7" customHeight="1" x14ac:dyDescent="0.3">
      <c r="A3594" s="22" t="s">
        <v>6</v>
      </c>
      <c r="B3594" s="74"/>
      <c r="C3594" s="74"/>
      <c r="D3594" s="74"/>
      <c r="E3594" s="74"/>
      <c r="F3594" s="48">
        <f>J3594+H3594+L3594</f>
        <v>487337</v>
      </c>
      <c r="G3594" s="74"/>
      <c r="H3594" s="48">
        <f>ROUNDDOWN(SUMIF(P3589:P3593,O3594,H3589:H3593),0)</f>
        <v>401047</v>
      </c>
      <c r="I3594" s="74"/>
      <c r="J3594" s="48">
        <f>ROUNDDOWN(SUMIF(P3589:P3593,O3594,J3589:J3593),0)</f>
        <v>86290</v>
      </c>
      <c r="K3594" s="74"/>
      <c r="L3594" s="48">
        <f>ROUNDDOWN(SUMIF(P3589:P3593,O3594,L3589:L3593),0)</f>
        <v>0</v>
      </c>
      <c r="M3594" s="74"/>
      <c r="O3594" s="7" t="s">
        <v>6406</v>
      </c>
    </row>
    <row r="3595" spans="1:26" ht="28.7" customHeight="1" x14ac:dyDescent="0.3">
      <c r="A3595" s="73"/>
      <c r="B3595" s="73"/>
      <c r="C3595" s="73"/>
      <c r="D3595" s="73"/>
      <c r="E3595" s="73"/>
      <c r="F3595" s="73"/>
      <c r="G3595" s="73"/>
      <c r="H3595" s="73"/>
      <c r="I3595" s="73"/>
      <c r="J3595" s="73"/>
      <c r="K3595" s="73"/>
      <c r="L3595" s="73"/>
      <c r="M3595" s="73"/>
    </row>
    <row r="3596" spans="1:26" ht="28.7" customHeight="1" x14ac:dyDescent="0.3">
      <c r="A3596" s="136" t="s">
        <v>1966</v>
      </c>
      <c r="B3596" s="127"/>
      <c r="C3596" s="127"/>
      <c r="D3596" s="127"/>
      <c r="E3596" s="127"/>
      <c r="F3596" s="127"/>
      <c r="G3596" s="127"/>
      <c r="H3596" s="127"/>
      <c r="I3596" s="127"/>
      <c r="J3596" s="127"/>
      <c r="K3596" s="127"/>
      <c r="L3596" s="144"/>
      <c r="M3596" s="22" t="s">
        <v>8857</v>
      </c>
      <c r="N3596" s="84" t="str">
        <f>HYPERLINK("#N"&amp;ROW(N3599),"_x0005_`BDCOD|B01343_x0007_`POSS|"&amp;ROW(N3597)&amp;"_x0007_`POSE|"&amp;ROW(N3599)&amp;"_x0007_`")</f>
        <v>_x0005_`BDCOD|B01343_x0007_`POSS|3597_x0007_`POSE|3599_x0007_`</v>
      </c>
      <c r="O3596" s="7" t="s">
        <v>8858</v>
      </c>
    </row>
    <row r="3597" spans="1:26" ht="28.7" customHeight="1" x14ac:dyDescent="0.3">
      <c r="A3597" s="10"/>
      <c r="B3597" s="10" t="s">
        <v>8859</v>
      </c>
      <c r="C3597" s="75">
        <v>0</v>
      </c>
      <c r="D3597" s="31"/>
      <c r="E3597" s="33">
        <v>0</v>
      </c>
      <c r="F3597" s="11">
        <v>0</v>
      </c>
      <c r="G3597" s="42"/>
      <c r="H3597" s="11">
        <v>0</v>
      </c>
      <c r="I3597" s="42"/>
      <c r="J3597" s="33">
        <v>0</v>
      </c>
      <c r="K3597" s="46"/>
      <c r="L3597" s="33">
        <v>0</v>
      </c>
      <c r="M3597" s="22" t="s">
        <v>6509</v>
      </c>
      <c r="N3597" s="17" t="s">
        <v>6507</v>
      </c>
      <c r="O3597" s="7" t="s">
        <v>6508</v>
      </c>
      <c r="P3597" s="7" t="s">
        <v>6508</v>
      </c>
    </row>
    <row r="3598" spans="1:26" ht="28.7" customHeight="1" x14ac:dyDescent="0.3">
      <c r="A3598" s="10" t="s">
        <v>8860</v>
      </c>
      <c r="B3598" s="10"/>
      <c r="C3598" s="75">
        <v>0</v>
      </c>
      <c r="D3598" s="31"/>
      <c r="E3598" s="33">
        <v>0</v>
      </c>
      <c r="F3598" s="11">
        <v>0</v>
      </c>
      <c r="G3598" s="42"/>
      <c r="H3598" s="11">
        <v>0</v>
      </c>
      <c r="I3598" s="42"/>
      <c r="J3598" s="33">
        <v>0</v>
      </c>
      <c r="K3598" s="46"/>
      <c r="L3598" s="33">
        <v>0</v>
      </c>
      <c r="M3598" s="22" t="s">
        <v>6509</v>
      </c>
      <c r="N3598" s="17" t="s">
        <v>6507</v>
      </c>
      <c r="O3598" s="7" t="s">
        <v>6508</v>
      </c>
      <c r="P3598" s="7" t="s">
        <v>6508</v>
      </c>
    </row>
    <row r="3599" spans="1:26" ht="28.7" customHeight="1" x14ac:dyDescent="0.3">
      <c r="A3599" s="10" t="s">
        <v>1968</v>
      </c>
      <c r="B3599" s="10" t="s">
        <v>1969</v>
      </c>
      <c r="C3599" s="75">
        <v>1</v>
      </c>
      <c r="D3599" s="31" t="s">
        <v>1676</v>
      </c>
      <c r="E3599" s="55">
        <f>I3599+G3599+K3599</f>
        <v>48340</v>
      </c>
      <c r="F3599" s="76">
        <f>J3599+H3599+L3599</f>
        <v>48340</v>
      </c>
      <c r="G3599" s="78">
        <f>단가산출근거목록표!F11</f>
        <v>34461</v>
      </c>
      <c r="H3599" s="80">
        <f>IF(C3599=0,0,ROUNDDOWN(G3599*C3599,1))</f>
        <v>34461</v>
      </c>
      <c r="I3599" s="78">
        <f>단가산출근거목록표!G11</f>
        <v>13535</v>
      </c>
      <c r="J3599" s="80">
        <f>IF(C3599=0,0,ROUNDDOWN(I3599*C3599,1))</f>
        <v>13535</v>
      </c>
      <c r="K3599" s="78">
        <f>단가산출근거목록표!H11</f>
        <v>344</v>
      </c>
      <c r="L3599" s="80">
        <f>IF(C3599=0,0,ROUNDDOWN(K3599*C3599,1))</f>
        <v>344</v>
      </c>
      <c r="M3599" s="22" t="s">
        <v>8863</v>
      </c>
      <c r="N3599" s="17" t="s">
        <v>8861</v>
      </c>
      <c r="O3599" s="7" t="s">
        <v>8862</v>
      </c>
      <c r="P3599" s="7" t="s">
        <v>6406</v>
      </c>
      <c r="Z3599" s="3" t="str">
        <f ca="1">HYPERLINK("#"&amp;단가산출근거목록표!J2&amp;"!A"&amp;ROW(단가산출근거목록표!A11),"산근8 →")</f>
        <v>산근8 →</v>
      </c>
    </row>
    <row r="3600" spans="1:26" ht="28.7" customHeight="1" x14ac:dyDescent="0.3">
      <c r="A3600" s="22" t="s">
        <v>6</v>
      </c>
      <c r="B3600" s="74"/>
      <c r="C3600" s="74"/>
      <c r="D3600" s="74"/>
      <c r="E3600" s="74"/>
      <c r="F3600" s="48">
        <f>J3600+H3600+L3600</f>
        <v>48340</v>
      </c>
      <c r="G3600" s="74"/>
      <c r="H3600" s="48">
        <f>ROUNDDOWN(SUMIF(P3597:P3599,O3600,H3597:H3599),0)</f>
        <v>34461</v>
      </c>
      <c r="I3600" s="74"/>
      <c r="J3600" s="48">
        <f>ROUNDDOWN(SUMIF(P3597:P3599,O3600,J3597:J3599),0)</f>
        <v>13535</v>
      </c>
      <c r="K3600" s="74"/>
      <c r="L3600" s="48">
        <f>ROUNDDOWN(SUMIF(P3597:P3599,O3600,L3597:L3599),0)</f>
        <v>344</v>
      </c>
      <c r="M3600" s="74"/>
      <c r="O3600" s="7" t="s">
        <v>6406</v>
      </c>
    </row>
    <row r="3601" spans="1:26" ht="28.7" customHeight="1" x14ac:dyDescent="0.3">
      <c r="A3601" s="73"/>
      <c r="B3601" s="73"/>
      <c r="C3601" s="73"/>
      <c r="D3601" s="73"/>
      <c r="E3601" s="73"/>
      <c r="F3601" s="73"/>
      <c r="G3601" s="73"/>
      <c r="H3601" s="73"/>
      <c r="I3601" s="73"/>
      <c r="J3601" s="73"/>
      <c r="K3601" s="73"/>
      <c r="L3601" s="73"/>
      <c r="M3601" s="73"/>
    </row>
    <row r="3602" spans="1:26" ht="28.7" customHeight="1" x14ac:dyDescent="0.3">
      <c r="A3602" s="136" t="s">
        <v>1970</v>
      </c>
      <c r="B3602" s="127"/>
      <c r="C3602" s="127"/>
      <c r="D3602" s="127"/>
      <c r="E3602" s="127"/>
      <c r="F3602" s="127"/>
      <c r="G3602" s="127"/>
      <c r="H3602" s="127"/>
      <c r="I3602" s="127"/>
      <c r="J3602" s="127"/>
      <c r="K3602" s="127"/>
      <c r="L3602" s="144"/>
      <c r="M3602" s="22" t="s">
        <v>8864</v>
      </c>
      <c r="N3602" s="84" t="str">
        <f>HYPERLINK("#N"&amp;ROW(N3604),"_x0005_`BDCOD|B01337_x0007_`POSS|"&amp;ROW(N3603)&amp;"_x0007_`POSE|"&amp;ROW(N3604)&amp;"_x0007_`")</f>
        <v>_x0005_`BDCOD|B01337_x0007_`POSS|3603_x0007_`POSE|3604_x0007_`</v>
      </c>
      <c r="O3602" s="7" t="s">
        <v>8865</v>
      </c>
    </row>
    <row r="3603" spans="1:26" ht="28.7" customHeight="1" x14ac:dyDescent="0.3">
      <c r="A3603" s="10"/>
      <c r="B3603" s="10" t="s">
        <v>8866</v>
      </c>
      <c r="C3603" s="75">
        <v>0</v>
      </c>
      <c r="D3603" s="31"/>
      <c r="E3603" s="33">
        <v>0</v>
      </c>
      <c r="F3603" s="11">
        <v>0</v>
      </c>
      <c r="G3603" s="42"/>
      <c r="H3603" s="11">
        <v>0</v>
      </c>
      <c r="I3603" s="42"/>
      <c r="J3603" s="33">
        <v>0</v>
      </c>
      <c r="K3603" s="46"/>
      <c r="L3603" s="33">
        <v>0</v>
      </c>
      <c r="M3603" s="22" t="s">
        <v>6509</v>
      </c>
      <c r="N3603" s="17" t="s">
        <v>6507</v>
      </c>
      <c r="O3603" s="7" t="s">
        <v>6508</v>
      </c>
      <c r="P3603" s="7" t="s">
        <v>6508</v>
      </c>
    </row>
    <row r="3604" spans="1:26" ht="28.7" customHeight="1" x14ac:dyDescent="0.3">
      <c r="A3604" s="10" t="s">
        <v>2000</v>
      </c>
      <c r="B3604" s="10" t="s">
        <v>2001</v>
      </c>
      <c r="C3604" s="75">
        <v>1</v>
      </c>
      <c r="D3604" s="31" t="s">
        <v>1603</v>
      </c>
      <c r="E3604" s="55">
        <f>I3604+G3604+K3604</f>
        <v>62811</v>
      </c>
      <c r="F3604" s="76">
        <f>J3604+H3604+L3604</f>
        <v>62811</v>
      </c>
      <c r="G3604" s="78">
        <f>단가산출근거목록표!F12</f>
        <v>62811</v>
      </c>
      <c r="H3604" s="80">
        <f>IF(C3604=0,0,ROUNDDOWN(G3604*C3604,1))</f>
        <v>62811</v>
      </c>
      <c r="I3604" s="78">
        <f>단가산출근거목록표!G12</f>
        <v>0</v>
      </c>
      <c r="J3604" s="80">
        <f>IF(C3604=0,0,ROUNDDOWN(I3604*C3604,1))</f>
        <v>0</v>
      </c>
      <c r="K3604" s="78">
        <f>단가산출근거목록표!H12</f>
        <v>0</v>
      </c>
      <c r="L3604" s="80">
        <f>IF(C3604=0,0,ROUNDDOWN(K3604*C3604,1))</f>
        <v>0</v>
      </c>
      <c r="M3604" s="22" t="s">
        <v>8869</v>
      </c>
      <c r="N3604" s="17" t="s">
        <v>8867</v>
      </c>
      <c r="O3604" s="7" t="s">
        <v>8868</v>
      </c>
      <c r="P3604" s="7" t="s">
        <v>6406</v>
      </c>
      <c r="Z3604" s="3" t="str">
        <f ca="1">HYPERLINK("#"&amp;단가산출근거목록표!J2&amp;"!A"&amp;ROW(단가산출근거목록표!A12),"산근9 →")</f>
        <v>산근9 →</v>
      </c>
    </row>
    <row r="3605" spans="1:26" ht="28.7" customHeight="1" x14ac:dyDescent="0.3">
      <c r="A3605" s="22" t="s">
        <v>6</v>
      </c>
      <c r="B3605" s="74"/>
      <c r="C3605" s="74"/>
      <c r="D3605" s="74"/>
      <c r="E3605" s="74"/>
      <c r="F3605" s="48">
        <f>J3605+H3605+L3605</f>
        <v>62811</v>
      </c>
      <c r="G3605" s="74"/>
      <c r="H3605" s="48">
        <f>ROUNDDOWN(SUMIF(P3603:P3604,O3605,H3603:H3604),0)</f>
        <v>62811</v>
      </c>
      <c r="I3605" s="74"/>
      <c r="J3605" s="48">
        <f>ROUNDDOWN(SUMIF(P3603:P3604,O3605,J3603:J3604),0)</f>
        <v>0</v>
      </c>
      <c r="K3605" s="74"/>
      <c r="L3605" s="48">
        <f>ROUNDDOWN(SUMIF(P3603:P3604,O3605,L3603:L3604),0)</f>
        <v>0</v>
      </c>
      <c r="M3605" s="74"/>
      <c r="O3605" s="7" t="s">
        <v>6406</v>
      </c>
    </row>
    <row r="3606" spans="1:26" ht="28.7" customHeight="1" x14ac:dyDescent="0.3">
      <c r="A3606" s="73"/>
      <c r="B3606" s="73"/>
      <c r="C3606" s="73"/>
      <c r="D3606" s="73"/>
      <c r="E3606" s="73"/>
      <c r="F3606" s="73"/>
      <c r="G3606" s="73"/>
      <c r="H3606" s="73"/>
      <c r="I3606" s="73"/>
      <c r="J3606" s="73"/>
      <c r="K3606" s="73"/>
      <c r="L3606" s="73"/>
      <c r="M3606" s="73"/>
    </row>
    <row r="3607" spans="1:26" ht="28.7" customHeight="1" x14ac:dyDescent="0.3">
      <c r="A3607" s="136" t="s">
        <v>1973</v>
      </c>
      <c r="B3607" s="127"/>
      <c r="C3607" s="127"/>
      <c r="D3607" s="127"/>
      <c r="E3607" s="127"/>
      <c r="F3607" s="127"/>
      <c r="G3607" s="127"/>
      <c r="H3607" s="127"/>
      <c r="I3607" s="127"/>
      <c r="J3607" s="127"/>
      <c r="K3607" s="127"/>
      <c r="L3607" s="144"/>
      <c r="M3607" s="22" t="s">
        <v>8870</v>
      </c>
      <c r="N3607" s="84" t="str">
        <f>HYPERLINK("#N"&amp;ROW(N3608),"_x0005_`BDCOD|B00036_x0007_`POSS|"&amp;ROW(N3608)&amp;"_x0007_`POSE|"&amp;ROW(N3608)&amp;"_x0007_`")</f>
        <v>_x0005_`BDCOD|B00036_x0007_`POSS|3608_x0007_`POSE|3608_x0007_`</v>
      </c>
      <c r="O3607" s="7" t="s">
        <v>8871</v>
      </c>
    </row>
    <row r="3608" spans="1:26" ht="28.7" customHeight="1" x14ac:dyDescent="0.3">
      <c r="A3608" s="10" t="s">
        <v>1975</v>
      </c>
      <c r="B3608" s="10" t="s">
        <v>2003</v>
      </c>
      <c r="C3608" s="75">
        <v>1</v>
      </c>
      <c r="D3608" s="31" t="s">
        <v>1603</v>
      </c>
      <c r="E3608" s="55">
        <f>I3608+G3608+K3608</f>
        <v>17206</v>
      </c>
      <c r="F3608" s="76">
        <f>J3608+H3608+L3608</f>
        <v>17206</v>
      </c>
      <c r="G3608" s="78">
        <f>단가산출근거목록표!F13</f>
        <v>17206</v>
      </c>
      <c r="H3608" s="80">
        <f>IF(C3608=0,0,ROUNDDOWN(G3608*C3608,1))</f>
        <v>17206</v>
      </c>
      <c r="I3608" s="78">
        <f>단가산출근거목록표!G13</f>
        <v>0</v>
      </c>
      <c r="J3608" s="80">
        <f>IF(C3608=0,0,ROUNDDOWN(I3608*C3608,1))</f>
        <v>0</v>
      </c>
      <c r="K3608" s="78">
        <f>단가산출근거목록표!H13</f>
        <v>0</v>
      </c>
      <c r="L3608" s="80">
        <f>IF(C3608=0,0,ROUNDDOWN(K3608*C3608,1))</f>
        <v>0</v>
      </c>
      <c r="M3608" s="22" t="s">
        <v>8874</v>
      </c>
      <c r="N3608" s="17" t="s">
        <v>8872</v>
      </c>
      <c r="O3608" s="7" t="s">
        <v>8873</v>
      </c>
      <c r="P3608" s="7" t="s">
        <v>6406</v>
      </c>
      <c r="Z3608" s="3" t="str">
        <f ca="1">HYPERLINK("#"&amp;단가산출근거목록표!J2&amp;"!A"&amp;ROW(단가산출근거목록표!A13),"산근10 →")</f>
        <v>산근10 →</v>
      </c>
    </row>
    <row r="3609" spans="1:26" ht="28.7" customHeight="1" x14ac:dyDescent="0.3">
      <c r="A3609" s="22" t="s">
        <v>6</v>
      </c>
      <c r="B3609" s="74"/>
      <c r="C3609" s="74"/>
      <c r="D3609" s="74"/>
      <c r="E3609" s="74"/>
      <c r="F3609" s="48">
        <f>J3609+H3609+L3609</f>
        <v>17206</v>
      </c>
      <c r="G3609" s="74"/>
      <c r="H3609" s="48">
        <f>ROUNDDOWN(SUMIF(P3608:P3608,O3609,H3608:H3608),0)</f>
        <v>17206</v>
      </c>
      <c r="I3609" s="74"/>
      <c r="J3609" s="48">
        <f>ROUNDDOWN(SUMIF(P3608:P3608,O3609,J3608:J3608),0)</f>
        <v>0</v>
      </c>
      <c r="K3609" s="74"/>
      <c r="L3609" s="48">
        <f>ROUNDDOWN(SUMIF(P3608:P3608,O3609,L3608:L3608),0)</f>
        <v>0</v>
      </c>
      <c r="M3609" s="74"/>
      <c r="O3609" s="7" t="s">
        <v>6406</v>
      </c>
    </row>
    <row r="3610" spans="1:26" ht="28.7" customHeight="1" x14ac:dyDescent="0.3">
      <c r="A3610" s="73"/>
      <c r="B3610" s="73"/>
      <c r="C3610" s="73"/>
      <c r="D3610" s="73"/>
      <c r="E3610" s="73"/>
      <c r="F3610" s="73"/>
      <c r="G3610" s="73"/>
      <c r="H3610" s="73"/>
      <c r="I3610" s="73"/>
      <c r="J3610" s="73"/>
      <c r="K3610" s="73"/>
      <c r="L3610" s="73"/>
      <c r="M3610" s="73"/>
    </row>
    <row r="3611" spans="1:26" ht="28.7" customHeight="1" x14ac:dyDescent="0.3">
      <c r="A3611" s="136" t="s">
        <v>1977</v>
      </c>
      <c r="B3611" s="127"/>
      <c r="C3611" s="127"/>
      <c r="D3611" s="127"/>
      <c r="E3611" s="127"/>
      <c r="F3611" s="127"/>
      <c r="G3611" s="127"/>
      <c r="H3611" s="127"/>
      <c r="I3611" s="127"/>
      <c r="J3611" s="127"/>
      <c r="K3611" s="127"/>
      <c r="L3611" s="144"/>
      <c r="M3611" s="22" t="s">
        <v>8875</v>
      </c>
      <c r="N3611" s="84" t="str">
        <f>HYPERLINK("#N"&amp;ROW(N3613),"_x0005_`BDCOD|B00037_x0007_`POSS|"&amp;ROW(N3612)&amp;"_x0007_`POSE|"&amp;ROW(N3613)&amp;"_x0007_`")</f>
        <v>_x0005_`BDCOD|B00037_x0007_`POSS|3612_x0007_`POSE|3613_x0007_`</v>
      </c>
      <c r="O3611" s="7" t="s">
        <v>8876</v>
      </c>
    </row>
    <row r="3612" spans="1:26" ht="28.7" customHeight="1" x14ac:dyDescent="0.3">
      <c r="A3612" s="10"/>
      <c r="B3612" s="10" t="s">
        <v>8877</v>
      </c>
      <c r="C3612" s="75">
        <v>0</v>
      </c>
      <c r="D3612" s="31"/>
      <c r="E3612" s="33">
        <v>0</v>
      </c>
      <c r="F3612" s="11">
        <v>0</v>
      </c>
      <c r="G3612" s="42"/>
      <c r="H3612" s="11">
        <v>0</v>
      </c>
      <c r="I3612" s="42"/>
      <c r="J3612" s="33">
        <v>0</v>
      </c>
      <c r="K3612" s="46"/>
      <c r="L3612" s="33">
        <v>0</v>
      </c>
      <c r="M3612" s="22" t="s">
        <v>6509</v>
      </c>
      <c r="N3612" s="17" t="s">
        <v>6507</v>
      </c>
      <c r="O3612" s="7" t="s">
        <v>6508</v>
      </c>
      <c r="P3612" s="7" t="s">
        <v>6508</v>
      </c>
    </row>
    <row r="3613" spans="1:26" ht="28.7" customHeight="1" x14ac:dyDescent="0.3">
      <c r="A3613" s="10" t="s">
        <v>3090</v>
      </c>
      <c r="B3613" s="10"/>
      <c r="C3613" s="75">
        <v>0.2</v>
      </c>
      <c r="D3613" s="31" t="s">
        <v>3074</v>
      </c>
      <c r="E3613" s="55">
        <f>I3613+G3613+K3613</f>
        <v>172068</v>
      </c>
      <c r="F3613" s="76">
        <f>J3613+H3613+L3613</f>
        <v>34413.599999999999</v>
      </c>
      <c r="G3613" s="78">
        <f>노무비목록표!E12</f>
        <v>172068</v>
      </c>
      <c r="H3613" s="81">
        <f>IF(C3613=0,0,ROUNDDOWN(G3613*C3613,1))</f>
        <v>34413.599999999999</v>
      </c>
      <c r="I3613" s="51">
        <v>0</v>
      </c>
      <c r="J3613" s="77">
        <f>IF(C3613=0,0,ROUNDDOWN(I3613*C3613,1))</f>
        <v>0</v>
      </c>
      <c r="K3613" s="51">
        <v>0</v>
      </c>
      <c r="L3613" s="76">
        <f>IF(C3613=0,0,ROUNDDOWN(K3613*C3613,1))</f>
        <v>0</v>
      </c>
      <c r="M3613" s="22" t="s">
        <v>8262</v>
      </c>
      <c r="N3613" s="17" t="s">
        <v>8473</v>
      </c>
      <c r="O3613" s="7" t="s">
        <v>8261</v>
      </c>
      <c r="P3613" s="7" t="s">
        <v>6406</v>
      </c>
      <c r="Z3613" s="3" t="str">
        <f ca="1">HYPERLINK("#"&amp;노무비목록표!G2&amp;"!A"&amp;ROW(노무비목록표!A12),"노무9 →")</f>
        <v>노무9 →</v>
      </c>
    </row>
    <row r="3614" spans="1:26" ht="28.7" customHeight="1" x14ac:dyDescent="0.3">
      <c r="A3614" s="22" t="s">
        <v>6</v>
      </c>
      <c r="B3614" s="74"/>
      <c r="C3614" s="74"/>
      <c r="D3614" s="74"/>
      <c r="E3614" s="74"/>
      <c r="F3614" s="48">
        <f>J3614+H3614+L3614</f>
        <v>34413</v>
      </c>
      <c r="G3614" s="74"/>
      <c r="H3614" s="48">
        <f>ROUNDDOWN(SUMIF(P3612:P3613,O3614,H3612:H3613),0)</f>
        <v>34413</v>
      </c>
      <c r="I3614" s="74"/>
      <c r="J3614" s="48">
        <f>ROUNDDOWN(SUMIF(P3612:P3613,O3614,J3612:J3613),0)</f>
        <v>0</v>
      </c>
      <c r="K3614" s="74"/>
      <c r="L3614" s="48">
        <f>ROUNDDOWN(SUMIF(P3612:P3613,O3614,L3612:L3613),0)</f>
        <v>0</v>
      </c>
      <c r="M3614" s="74"/>
      <c r="O3614" s="7" t="s">
        <v>6406</v>
      </c>
    </row>
  </sheetData>
  <mergeCells count="771">
    <mergeCell ref="A6:L6"/>
    <mergeCell ref="A11:L11"/>
    <mergeCell ref="A16:L16"/>
    <mergeCell ref="A21:L21"/>
    <mergeCell ref="A26:L26"/>
    <mergeCell ref="A31:L31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66:L66"/>
    <mergeCell ref="A70:L70"/>
    <mergeCell ref="A74:L74"/>
    <mergeCell ref="A78:L78"/>
    <mergeCell ref="A82:L82"/>
    <mergeCell ref="A86:L86"/>
    <mergeCell ref="A36:L36"/>
    <mergeCell ref="A41:L41"/>
    <mergeCell ref="A46:L46"/>
    <mergeCell ref="A51:L51"/>
    <mergeCell ref="A56:L56"/>
    <mergeCell ref="A61:L61"/>
    <mergeCell ref="A114:L114"/>
    <mergeCell ref="A119:L119"/>
    <mergeCell ref="A124:L124"/>
    <mergeCell ref="A128:L128"/>
    <mergeCell ref="A132:L132"/>
    <mergeCell ref="A136:L136"/>
    <mergeCell ref="A90:L90"/>
    <mergeCell ref="A94:L94"/>
    <mergeCell ref="A98:L98"/>
    <mergeCell ref="A102:L102"/>
    <mergeCell ref="A106:L106"/>
    <mergeCell ref="A110:L110"/>
    <mergeCell ref="A164:L164"/>
    <mergeCell ref="A168:L168"/>
    <mergeCell ref="A172:L172"/>
    <mergeCell ref="A176:L176"/>
    <mergeCell ref="A180:L180"/>
    <mergeCell ref="A184:L184"/>
    <mergeCell ref="A140:L140"/>
    <mergeCell ref="A144:L144"/>
    <mergeCell ref="A148:L148"/>
    <mergeCell ref="A152:L152"/>
    <mergeCell ref="A156:L156"/>
    <mergeCell ref="A160:L160"/>
    <mergeCell ref="A213:L213"/>
    <mergeCell ref="A218:L218"/>
    <mergeCell ref="A223:L223"/>
    <mergeCell ref="A228:L228"/>
    <mergeCell ref="A233:L233"/>
    <mergeCell ref="A238:L238"/>
    <mergeCell ref="A188:L188"/>
    <mergeCell ref="A192:L192"/>
    <mergeCell ref="A196:L196"/>
    <mergeCell ref="A200:L200"/>
    <mergeCell ref="A204:L204"/>
    <mergeCell ref="A208:L208"/>
    <mergeCell ref="A272:L272"/>
    <mergeCell ref="A276:L276"/>
    <mergeCell ref="A280:L280"/>
    <mergeCell ref="A284:L284"/>
    <mergeCell ref="A288:L288"/>
    <mergeCell ref="A292:L292"/>
    <mergeCell ref="A243:L243"/>
    <mergeCell ref="A248:L248"/>
    <mergeCell ref="A253:L253"/>
    <mergeCell ref="A258:L258"/>
    <mergeCell ref="A263:L263"/>
    <mergeCell ref="A268:L268"/>
    <mergeCell ref="A320:L320"/>
    <mergeCell ref="A324:L324"/>
    <mergeCell ref="A328:L328"/>
    <mergeCell ref="A332:L332"/>
    <mergeCell ref="A336:L336"/>
    <mergeCell ref="A340:L340"/>
    <mergeCell ref="A296:L296"/>
    <mergeCell ref="A300:L300"/>
    <mergeCell ref="A304:L304"/>
    <mergeCell ref="A308:L308"/>
    <mergeCell ref="A312:L312"/>
    <mergeCell ref="A316:L316"/>
    <mergeCell ref="A368:L368"/>
    <mergeCell ref="A372:L372"/>
    <mergeCell ref="A376:L376"/>
    <mergeCell ref="A380:L380"/>
    <mergeCell ref="A384:L384"/>
    <mergeCell ref="A388:L388"/>
    <mergeCell ref="A344:L344"/>
    <mergeCell ref="A348:L348"/>
    <mergeCell ref="A352:L352"/>
    <mergeCell ref="A356:L356"/>
    <mergeCell ref="A360:L360"/>
    <mergeCell ref="A364:L364"/>
    <mergeCell ref="A417:L417"/>
    <mergeCell ref="A422:L422"/>
    <mergeCell ref="A427:L427"/>
    <mergeCell ref="A432:L432"/>
    <mergeCell ref="A437:L437"/>
    <mergeCell ref="A442:L442"/>
    <mergeCell ref="A392:L392"/>
    <mergeCell ref="A396:L396"/>
    <mergeCell ref="A400:L400"/>
    <mergeCell ref="A404:L404"/>
    <mergeCell ref="A408:L408"/>
    <mergeCell ref="A412:L412"/>
    <mergeCell ref="A476:L476"/>
    <mergeCell ref="A480:L480"/>
    <mergeCell ref="A484:L484"/>
    <mergeCell ref="A488:L488"/>
    <mergeCell ref="A492:L492"/>
    <mergeCell ref="A496:L496"/>
    <mergeCell ref="A447:L447"/>
    <mergeCell ref="A452:L452"/>
    <mergeCell ref="A457:L457"/>
    <mergeCell ref="A462:L462"/>
    <mergeCell ref="A467:L467"/>
    <mergeCell ref="A472:L472"/>
    <mergeCell ref="A524:L524"/>
    <mergeCell ref="A528:L528"/>
    <mergeCell ref="A532:L532"/>
    <mergeCell ref="A536:L536"/>
    <mergeCell ref="A540:L540"/>
    <mergeCell ref="A544:L544"/>
    <mergeCell ref="A500:L500"/>
    <mergeCell ref="A504:L504"/>
    <mergeCell ref="A508:L508"/>
    <mergeCell ref="A512:L512"/>
    <mergeCell ref="A516:L516"/>
    <mergeCell ref="A520:L520"/>
    <mergeCell ref="A572:L572"/>
    <mergeCell ref="A576:L576"/>
    <mergeCell ref="A580:L580"/>
    <mergeCell ref="A584:L584"/>
    <mergeCell ref="A588:L588"/>
    <mergeCell ref="A592:L592"/>
    <mergeCell ref="A548:L548"/>
    <mergeCell ref="A552:L552"/>
    <mergeCell ref="A556:L556"/>
    <mergeCell ref="A560:L560"/>
    <mergeCell ref="A564:L564"/>
    <mergeCell ref="A568:L568"/>
    <mergeCell ref="A621:L621"/>
    <mergeCell ref="A626:L626"/>
    <mergeCell ref="A631:L631"/>
    <mergeCell ref="A636:L636"/>
    <mergeCell ref="A641:L641"/>
    <mergeCell ref="A646:L646"/>
    <mergeCell ref="A596:L596"/>
    <mergeCell ref="A600:L600"/>
    <mergeCell ref="A604:L604"/>
    <mergeCell ref="A608:L608"/>
    <mergeCell ref="A612:L612"/>
    <mergeCell ref="A616:L616"/>
    <mergeCell ref="A681:L681"/>
    <mergeCell ref="A685:L685"/>
    <mergeCell ref="A689:L689"/>
    <mergeCell ref="A693:L693"/>
    <mergeCell ref="A697:L697"/>
    <mergeCell ref="A701:L701"/>
    <mergeCell ref="A651:L651"/>
    <mergeCell ref="A656:L656"/>
    <mergeCell ref="A661:L661"/>
    <mergeCell ref="A666:L666"/>
    <mergeCell ref="A671:L671"/>
    <mergeCell ref="A676:L676"/>
    <mergeCell ref="A729:L729"/>
    <mergeCell ref="A733:L733"/>
    <mergeCell ref="A737:L737"/>
    <mergeCell ref="A741:L741"/>
    <mergeCell ref="A745:L745"/>
    <mergeCell ref="A749:L749"/>
    <mergeCell ref="A705:L705"/>
    <mergeCell ref="A709:L709"/>
    <mergeCell ref="A713:L713"/>
    <mergeCell ref="A717:L717"/>
    <mergeCell ref="A721:L721"/>
    <mergeCell ref="A725:L725"/>
    <mergeCell ref="A777:L777"/>
    <mergeCell ref="A781:L781"/>
    <mergeCell ref="A785:L785"/>
    <mergeCell ref="A789:L789"/>
    <mergeCell ref="A793:L793"/>
    <mergeCell ref="A797:L797"/>
    <mergeCell ref="A753:L753"/>
    <mergeCell ref="A757:L757"/>
    <mergeCell ref="A761:L761"/>
    <mergeCell ref="A765:L765"/>
    <mergeCell ref="A769:L769"/>
    <mergeCell ref="A773:L773"/>
    <mergeCell ref="A825:L825"/>
    <mergeCell ref="A829:L829"/>
    <mergeCell ref="A833:L833"/>
    <mergeCell ref="A837:L837"/>
    <mergeCell ref="A842:L842"/>
    <mergeCell ref="A847:L847"/>
    <mergeCell ref="A801:L801"/>
    <mergeCell ref="A805:L805"/>
    <mergeCell ref="A809:L809"/>
    <mergeCell ref="A813:L813"/>
    <mergeCell ref="A817:L817"/>
    <mergeCell ref="A821:L821"/>
    <mergeCell ref="A877:L877"/>
    <mergeCell ref="A881:L881"/>
    <mergeCell ref="A886:L886"/>
    <mergeCell ref="A890:L890"/>
    <mergeCell ref="A894:L894"/>
    <mergeCell ref="A898:L898"/>
    <mergeCell ref="A852:L852"/>
    <mergeCell ref="A857:L857"/>
    <mergeCell ref="A861:L861"/>
    <mergeCell ref="A865:L865"/>
    <mergeCell ref="A869:L869"/>
    <mergeCell ref="A873:L873"/>
    <mergeCell ref="A929:L929"/>
    <mergeCell ref="A933:L933"/>
    <mergeCell ref="A937:L937"/>
    <mergeCell ref="A941:L941"/>
    <mergeCell ref="A945:L945"/>
    <mergeCell ref="A949:L949"/>
    <mergeCell ref="A902:L902"/>
    <mergeCell ref="A906:L906"/>
    <mergeCell ref="A911:L911"/>
    <mergeCell ref="A916:L916"/>
    <mergeCell ref="A921:L921"/>
    <mergeCell ref="A925:L925"/>
    <mergeCell ref="A979:L979"/>
    <mergeCell ref="A983:L983"/>
    <mergeCell ref="A987:L987"/>
    <mergeCell ref="A991:L991"/>
    <mergeCell ref="A996:L996"/>
    <mergeCell ref="A1000:L1000"/>
    <mergeCell ref="A953:L953"/>
    <mergeCell ref="A957:L957"/>
    <mergeCell ref="A962:L962"/>
    <mergeCell ref="A966:L966"/>
    <mergeCell ref="A970:L970"/>
    <mergeCell ref="A974:L974"/>
    <mergeCell ref="A1033:L1033"/>
    <mergeCell ref="A1038:L1038"/>
    <mergeCell ref="A1043:L1043"/>
    <mergeCell ref="A1048:L1048"/>
    <mergeCell ref="A1053:L1053"/>
    <mergeCell ref="A1058:L1058"/>
    <mergeCell ref="A1004:L1004"/>
    <mergeCell ref="A1008:L1008"/>
    <mergeCell ref="A1013:L1013"/>
    <mergeCell ref="A1018:L1018"/>
    <mergeCell ref="A1023:L1023"/>
    <mergeCell ref="A1028:L1028"/>
    <mergeCell ref="A1088:L1088"/>
    <mergeCell ref="A1092:L1092"/>
    <mergeCell ref="A1096:L1096"/>
    <mergeCell ref="A1100:L1100"/>
    <mergeCell ref="A1104:L1104"/>
    <mergeCell ref="A1108:L1108"/>
    <mergeCell ref="A1063:L1063"/>
    <mergeCell ref="A1068:L1068"/>
    <mergeCell ref="A1072:L1072"/>
    <mergeCell ref="A1076:L1076"/>
    <mergeCell ref="A1080:L1080"/>
    <mergeCell ref="A1084:L1084"/>
    <mergeCell ref="A1136:L1136"/>
    <mergeCell ref="A1140:L1140"/>
    <mergeCell ref="A1144:L1144"/>
    <mergeCell ref="A1148:L1148"/>
    <mergeCell ref="A1152:L1152"/>
    <mergeCell ref="A1156:L1156"/>
    <mergeCell ref="A1112:L1112"/>
    <mergeCell ref="A1116:L1116"/>
    <mergeCell ref="A1120:L1120"/>
    <mergeCell ref="A1124:L1124"/>
    <mergeCell ref="A1128:L1128"/>
    <mergeCell ref="A1132:L1132"/>
    <mergeCell ref="A1184:L1184"/>
    <mergeCell ref="A1188:L1188"/>
    <mergeCell ref="A1192:L1192"/>
    <mergeCell ref="A1196:L1196"/>
    <mergeCell ref="A1200:L1200"/>
    <mergeCell ref="A1204:L1204"/>
    <mergeCell ref="A1160:L1160"/>
    <mergeCell ref="A1164:L1164"/>
    <mergeCell ref="A1168:L1168"/>
    <mergeCell ref="A1172:L1172"/>
    <mergeCell ref="A1176:L1176"/>
    <mergeCell ref="A1180:L1180"/>
    <mergeCell ref="A1234:L1234"/>
    <mergeCell ref="A1238:L1238"/>
    <mergeCell ref="A1242:L1242"/>
    <mergeCell ref="A1246:L1246"/>
    <mergeCell ref="A1251:L1251"/>
    <mergeCell ref="A1256:L1256"/>
    <mergeCell ref="A1208:L1208"/>
    <mergeCell ref="A1212:L1212"/>
    <mergeCell ref="A1217:L1217"/>
    <mergeCell ref="A1222:L1222"/>
    <mergeCell ref="A1226:L1226"/>
    <mergeCell ref="A1230:L1230"/>
    <mergeCell ref="A1291:L1291"/>
    <mergeCell ref="A1296:L1296"/>
    <mergeCell ref="A1300:L1300"/>
    <mergeCell ref="A1304:L1304"/>
    <mergeCell ref="A1308:L1308"/>
    <mergeCell ref="A1312:L1312"/>
    <mergeCell ref="A1261:L1261"/>
    <mergeCell ref="A1266:L1266"/>
    <mergeCell ref="A1271:L1271"/>
    <mergeCell ref="A1276:L1276"/>
    <mergeCell ref="A1281:L1281"/>
    <mergeCell ref="A1286:L1286"/>
    <mergeCell ref="A1340:L1340"/>
    <mergeCell ref="A1344:L1344"/>
    <mergeCell ref="A1348:L1348"/>
    <mergeCell ref="A1352:L1352"/>
    <mergeCell ref="A1356:L1356"/>
    <mergeCell ref="A1360:L1360"/>
    <mergeCell ref="A1316:L1316"/>
    <mergeCell ref="A1320:L1320"/>
    <mergeCell ref="A1324:L1324"/>
    <mergeCell ref="A1328:L1328"/>
    <mergeCell ref="A1332:L1332"/>
    <mergeCell ref="A1336:L1336"/>
    <mergeCell ref="A1388:L1388"/>
    <mergeCell ref="A1392:L1392"/>
    <mergeCell ref="A1396:L1396"/>
    <mergeCell ref="A1400:L1400"/>
    <mergeCell ref="A1404:L1404"/>
    <mergeCell ref="A1408:L1408"/>
    <mergeCell ref="A1364:L1364"/>
    <mergeCell ref="A1368:L1368"/>
    <mergeCell ref="A1372:L1372"/>
    <mergeCell ref="A1376:L1376"/>
    <mergeCell ref="A1380:L1380"/>
    <mergeCell ref="A1384:L1384"/>
    <mergeCell ref="A1441:L1441"/>
    <mergeCell ref="A1446:L1446"/>
    <mergeCell ref="A1451:L1451"/>
    <mergeCell ref="A1456:L1456"/>
    <mergeCell ref="A1461:L1461"/>
    <mergeCell ref="A1466:L1466"/>
    <mergeCell ref="A1412:L1412"/>
    <mergeCell ref="A1416:L1416"/>
    <mergeCell ref="A1421:L1421"/>
    <mergeCell ref="A1426:L1426"/>
    <mergeCell ref="A1431:L1431"/>
    <mergeCell ref="A1436:L1436"/>
    <mergeCell ref="A1506:L1506"/>
    <mergeCell ref="A1512:L1512"/>
    <mergeCell ref="A1518:L1518"/>
    <mergeCell ref="A1524:L1524"/>
    <mergeCell ref="A1530:L1530"/>
    <mergeCell ref="A1536:L1536"/>
    <mergeCell ref="A1471:L1471"/>
    <mergeCell ref="A1476:L1476"/>
    <mergeCell ref="A1482:L1482"/>
    <mergeCell ref="A1488:L1488"/>
    <mergeCell ref="A1494:L1494"/>
    <mergeCell ref="A1500:L1500"/>
    <mergeCell ref="A1573:L1573"/>
    <mergeCell ref="A1578:L1578"/>
    <mergeCell ref="A1583:L1583"/>
    <mergeCell ref="A1588:L1588"/>
    <mergeCell ref="A1593:L1593"/>
    <mergeCell ref="A1598:L1598"/>
    <mergeCell ref="A1542:L1542"/>
    <mergeCell ref="A1548:L1548"/>
    <mergeCell ref="A1553:L1553"/>
    <mergeCell ref="A1558:L1558"/>
    <mergeCell ref="A1563:L1563"/>
    <mergeCell ref="A1568:L1568"/>
    <mergeCell ref="A1633:L1633"/>
    <mergeCell ref="A1638:L1638"/>
    <mergeCell ref="A1643:L1643"/>
    <mergeCell ref="A1648:L1648"/>
    <mergeCell ref="A1653:L1653"/>
    <mergeCell ref="A1658:L1658"/>
    <mergeCell ref="A1603:L1603"/>
    <mergeCell ref="A1608:L1608"/>
    <mergeCell ref="A1613:L1613"/>
    <mergeCell ref="A1618:L1618"/>
    <mergeCell ref="A1623:L1623"/>
    <mergeCell ref="A1628:L1628"/>
    <mergeCell ref="A1693:L1693"/>
    <mergeCell ref="A1698:L1698"/>
    <mergeCell ref="A1702:L1702"/>
    <mergeCell ref="A1706:L1706"/>
    <mergeCell ref="A1710:L1710"/>
    <mergeCell ref="A1714:L1714"/>
    <mergeCell ref="A1663:L1663"/>
    <mergeCell ref="A1668:L1668"/>
    <mergeCell ref="A1673:L1673"/>
    <mergeCell ref="A1678:L1678"/>
    <mergeCell ref="A1683:L1683"/>
    <mergeCell ref="A1688:L1688"/>
    <mergeCell ref="A1746:L1746"/>
    <mergeCell ref="A1750:L1750"/>
    <mergeCell ref="A1754:L1754"/>
    <mergeCell ref="A1759:L1759"/>
    <mergeCell ref="A1764:L1764"/>
    <mergeCell ref="A1769:L1769"/>
    <mergeCell ref="A1718:L1718"/>
    <mergeCell ref="A1723:L1723"/>
    <mergeCell ref="A1728:L1728"/>
    <mergeCell ref="A1733:L1733"/>
    <mergeCell ref="A1738:L1738"/>
    <mergeCell ref="A1742:L1742"/>
    <mergeCell ref="A1798:L1798"/>
    <mergeCell ref="A1802:L1802"/>
    <mergeCell ref="A1806:L1806"/>
    <mergeCell ref="A1810:L1810"/>
    <mergeCell ref="A1814:L1814"/>
    <mergeCell ref="A1818:L1818"/>
    <mergeCell ref="A1774:L1774"/>
    <mergeCell ref="A1778:L1778"/>
    <mergeCell ref="A1782:L1782"/>
    <mergeCell ref="A1786:L1786"/>
    <mergeCell ref="A1790:L1790"/>
    <mergeCell ref="A1794:L1794"/>
    <mergeCell ref="A1852:L1852"/>
    <mergeCell ref="A1856:L1856"/>
    <mergeCell ref="A1860:L1860"/>
    <mergeCell ref="A1864:L1864"/>
    <mergeCell ref="A1868:L1868"/>
    <mergeCell ref="A1872:L1872"/>
    <mergeCell ref="A1822:L1822"/>
    <mergeCell ref="A1827:L1827"/>
    <mergeCell ref="A1832:L1832"/>
    <mergeCell ref="A1837:L1837"/>
    <mergeCell ref="A1842:L1842"/>
    <mergeCell ref="A1847:L1847"/>
    <mergeCell ref="A1900:L1900"/>
    <mergeCell ref="A1904:L1904"/>
    <mergeCell ref="A1908:L1908"/>
    <mergeCell ref="A1912:L1912"/>
    <mergeCell ref="A1916:L1916"/>
    <mergeCell ref="A1920:L1920"/>
    <mergeCell ref="A1876:L1876"/>
    <mergeCell ref="A1880:L1880"/>
    <mergeCell ref="A1884:L1884"/>
    <mergeCell ref="A1888:L1888"/>
    <mergeCell ref="A1892:L1892"/>
    <mergeCell ref="A1896:L1896"/>
    <mergeCell ref="A1953:L1953"/>
    <mergeCell ref="A1957:L1957"/>
    <mergeCell ref="A1961:L1961"/>
    <mergeCell ref="A1965:L1965"/>
    <mergeCell ref="A1969:L1969"/>
    <mergeCell ref="A1973:L1973"/>
    <mergeCell ref="A1924:L1924"/>
    <mergeCell ref="A1929:L1929"/>
    <mergeCell ref="A1934:L1934"/>
    <mergeCell ref="A1939:L1939"/>
    <mergeCell ref="A1944:L1944"/>
    <mergeCell ref="A1949:L1949"/>
    <mergeCell ref="A2001:L2001"/>
    <mergeCell ref="A2005:L2005"/>
    <mergeCell ref="A2009:L2009"/>
    <mergeCell ref="A2014:L2014"/>
    <mergeCell ref="A2019:L2019"/>
    <mergeCell ref="A2023:L2023"/>
    <mergeCell ref="A1977:L1977"/>
    <mergeCell ref="A1981:L1981"/>
    <mergeCell ref="A1985:L1985"/>
    <mergeCell ref="A1989:L1989"/>
    <mergeCell ref="A1993:L1993"/>
    <mergeCell ref="A1997:L1997"/>
    <mergeCell ref="A2053:L2053"/>
    <mergeCell ref="A2058:L2058"/>
    <mergeCell ref="A2063:L2063"/>
    <mergeCell ref="A2068:L2068"/>
    <mergeCell ref="A2072:L2072"/>
    <mergeCell ref="A2076:L2076"/>
    <mergeCell ref="A2027:L2027"/>
    <mergeCell ref="A2031:L2031"/>
    <mergeCell ref="A2035:L2035"/>
    <mergeCell ref="A2039:L2039"/>
    <mergeCell ref="A2043:L2043"/>
    <mergeCell ref="A2048:L2048"/>
    <mergeCell ref="A2104:L2104"/>
    <mergeCell ref="A2108:L2108"/>
    <mergeCell ref="A2112:L2112"/>
    <mergeCell ref="A2116:L2116"/>
    <mergeCell ref="A2121:L2121"/>
    <mergeCell ref="A2126:L2126"/>
    <mergeCell ref="A2080:L2080"/>
    <mergeCell ref="A2084:L2084"/>
    <mergeCell ref="A2088:L2088"/>
    <mergeCell ref="A2092:L2092"/>
    <mergeCell ref="A2096:L2096"/>
    <mergeCell ref="A2100:L2100"/>
    <mergeCell ref="A2158:L2158"/>
    <mergeCell ref="A2162:L2162"/>
    <mergeCell ref="A2166:L2166"/>
    <mergeCell ref="A2170:L2170"/>
    <mergeCell ref="A2174:L2174"/>
    <mergeCell ref="A2178:L2178"/>
    <mergeCell ref="A2131:L2131"/>
    <mergeCell ref="A2136:L2136"/>
    <mergeCell ref="A2141:L2141"/>
    <mergeCell ref="A2146:L2146"/>
    <mergeCell ref="A2150:L2150"/>
    <mergeCell ref="A2154:L2154"/>
    <mergeCell ref="A2206:L2206"/>
    <mergeCell ref="A2210:L2210"/>
    <mergeCell ref="A2214:L2214"/>
    <mergeCell ref="A2218:L2218"/>
    <mergeCell ref="A2223:L2223"/>
    <mergeCell ref="A2228:L2228"/>
    <mergeCell ref="A2182:L2182"/>
    <mergeCell ref="A2186:L2186"/>
    <mergeCell ref="A2190:L2190"/>
    <mergeCell ref="A2194:L2194"/>
    <mergeCell ref="A2198:L2198"/>
    <mergeCell ref="A2202:L2202"/>
    <mergeCell ref="A2259:L2259"/>
    <mergeCell ref="A2263:L2263"/>
    <mergeCell ref="A2267:L2267"/>
    <mergeCell ref="A2271:L2271"/>
    <mergeCell ref="A2275:L2275"/>
    <mergeCell ref="A2279:L2279"/>
    <mergeCell ref="A2233:L2233"/>
    <mergeCell ref="A2238:L2238"/>
    <mergeCell ref="A2243:L2243"/>
    <mergeCell ref="A2247:L2247"/>
    <mergeCell ref="A2251:L2251"/>
    <mergeCell ref="A2255:L2255"/>
    <mergeCell ref="A2308:L2308"/>
    <mergeCell ref="A2313:L2313"/>
    <mergeCell ref="A2318:L2318"/>
    <mergeCell ref="A2323:L2323"/>
    <mergeCell ref="A2328:L2328"/>
    <mergeCell ref="A2333:L2333"/>
    <mergeCell ref="A2283:L2283"/>
    <mergeCell ref="A2287:L2287"/>
    <mergeCell ref="A2291:L2291"/>
    <mergeCell ref="A2295:L2295"/>
    <mergeCell ref="A2299:L2299"/>
    <mergeCell ref="A2303:L2303"/>
    <mergeCell ref="A2361:L2361"/>
    <mergeCell ref="A2365:L2365"/>
    <mergeCell ref="A2369:L2369"/>
    <mergeCell ref="A2373:L2373"/>
    <mergeCell ref="A2377:L2377"/>
    <mergeCell ref="A2381:L2381"/>
    <mergeCell ref="A2337:L2337"/>
    <mergeCell ref="A2341:L2341"/>
    <mergeCell ref="A2345:L2345"/>
    <mergeCell ref="A2349:L2349"/>
    <mergeCell ref="A2353:L2353"/>
    <mergeCell ref="A2357:L2357"/>
    <mergeCell ref="A2410:L2410"/>
    <mergeCell ref="A2415:L2415"/>
    <mergeCell ref="A2420:L2420"/>
    <mergeCell ref="A2425:L2425"/>
    <mergeCell ref="A2429:L2429"/>
    <mergeCell ref="A2433:L2433"/>
    <mergeCell ref="A2385:L2385"/>
    <mergeCell ref="A2389:L2389"/>
    <mergeCell ref="A2393:L2393"/>
    <mergeCell ref="A2397:L2397"/>
    <mergeCell ref="A2401:L2401"/>
    <mergeCell ref="A2405:L2405"/>
    <mergeCell ref="A2461:L2461"/>
    <mergeCell ref="A2465:L2465"/>
    <mergeCell ref="A2469:L2469"/>
    <mergeCell ref="A2473:L2473"/>
    <mergeCell ref="A2478:L2478"/>
    <mergeCell ref="A2483:L2483"/>
    <mergeCell ref="A2437:L2437"/>
    <mergeCell ref="A2441:L2441"/>
    <mergeCell ref="A2445:L2445"/>
    <mergeCell ref="A2449:L2449"/>
    <mergeCell ref="A2453:L2453"/>
    <mergeCell ref="A2457:L2457"/>
    <mergeCell ref="A2517:L2517"/>
    <mergeCell ref="A2523:L2523"/>
    <mergeCell ref="A2529:L2529"/>
    <mergeCell ref="A2535:L2535"/>
    <mergeCell ref="A2541:L2541"/>
    <mergeCell ref="A2547:L2547"/>
    <mergeCell ref="A2487:L2487"/>
    <mergeCell ref="A2491:L2491"/>
    <mergeCell ref="A2495:L2495"/>
    <mergeCell ref="A2499:L2499"/>
    <mergeCell ref="A2505:L2505"/>
    <mergeCell ref="A2511:L2511"/>
    <mergeCell ref="A2594:L2594"/>
    <mergeCell ref="A2599:L2599"/>
    <mergeCell ref="A2604:L2604"/>
    <mergeCell ref="A2609:L2609"/>
    <mergeCell ref="A2614:L2614"/>
    <mergeCell ref="A2619:L2619"/>
    <mergeCell ref="A2554:L2554"/>
    <mergeCell ref="A2561:L2561"/>
    <mergeCell ref="A2568:L2568"/>
    <mergeCell ref="A2575:L2575"/>
    <mergeCell ref="A2582:L2582"/>
    <mergeCell ref="A2589:L2589"/>
    <mergeCell ref="A2654:L2654"/>
    <mergeCell ref="A2661:L2661"/>
    <mergeCell ref="A2668:L2668"/>
    <mergeCell ref="A2675:L2675"/>
    <mergeCell ref="A2682:L2682"/>
    <mergeCell ref="A2689:L2689"/>
    <mergeCell ref="A2624:L2624"/>
    <mergeCell ref="A2629:L2629"/>
    <mergeCell ref="A2634:L2634"/>
    <mergeCell ref="A2639:L2639"/>
    <mergeCell ref="A2644:L2644"/>
    <mergeCell ref="A2649:L2649"/>
    <mergeCell ref="A2733:L2733"/>
    <mergeCell ref="A2738:L2738"/>
    <mergeCell ref="A2743:L2743"/>
    <mergeCell ref="A2748:L2748"/>
    <mergeCell ref="A2753:L2753"/>
    <mergeCell ref="A2758:L2758"/>
    <mergeCell ref="A2696:L2696"/>
    <mergeCell ref="A2703:L2703"/>
    <mergeCell ref="A2709:L2709"/>
    <mergeCell ref="A2715:L2715"/>
    <mergeCell ref="A2721:L2721"/>
    <mergeCell ref="A2727:L2727"/>
    <mergeCell ref="A2797:L2797"/>
    <mergeCell ref="A2802:L2802"/>
    <mergeCell ref="A2812:L2812"/>
    <mergeCell ref="A2822:L2822"/>
    <mergeCell ref="A2841:L2841"/>
    <mergeCell ref="A2845:L2845"/>
    <mergeCell ref="A2763:L2763"/>
    <mergeCell ref="A2768:L2768"/>
    <mergeCell ref="A2773:L2773"/>
    <mergeCell ref="A2778:L2778"/>
    <mergeCell ref="A2784:L2784"/>
    <mergeCell ref="A2790:L2790"/>
    <mergeCell ref="A2891:L2891"/>
    <mergeCell ref="A2898:L2898"/>
    <mergeCell ref="A2905:L2905"/>
    <mergeCell ref="A2912:L2912"/>
    <mergeCell ref="A2919:L2919"/>
    <mergeCell ref="A2926:L2926"/>
    <mergeCell ref="A2849:L2849"/>
    <mergeCell ref="A2856:L2856"/>
    <mergeCell ref="A2863:L2863"/>
    <mergeCell ref="A2870:L2870"/>
    <mergeCell ref="A2877:L2877"/>
    <mergeCell ref="A2884:L2884"/>
    <mergeCell ref="A2975:L2975"/>
    <mergeCell ref="A2982:L2982"/>
    <mergeCell ref="A2988:L2988"/>
    <mergeCell ref="A2992:L2992"/>
    <mergeCell ref="A2996:L2996"/>
    <mergeCell ref="A3001:L3001"/>
    <mergeCell ref="A2933:L2933"/>
    <mergeCell ref="A2940:L2940"/>
    <mergeCell ref="A2947:L2947"/>
    <mergeCell ref="A2954:L2954"/>
    <mergeCell ref="A2961:L2961"/>
    <mergeCell ref="A2968:L2968"/>
    <mergeCell ref="A3042:L3042"/>
    <mergeCell ref="A3048:L3048"/>
    <mergeCell ref="A3053:L3053"/>
    <mergeCell ref="A3060:L3060"/>
    <mergeCell ref="A3066:L3066"/>
    <mergeCell ref="A3071:L3071"/>
    <mergeCell ref="A3006:L3006"/>
    <mergeCell ref="A3012:L3012"/>
    <mergeCell ref="A3017:L3017"/>
    <mergeCell ref="A3024:L3024"/>
    <mergeCell ref="A3030:L3030"/>
    <mergeCell ref="A3035:L3035"/>
    <mergeCell ref="A3114:L3114"/>
    <mergeCell ref="A3120:L3120"/>
    <mergeCell ref="A3125:L3125"/>
    <mergeCell ref="A3132:L3132"/>
    <mergeCell ref="A3138:L3138"/>
    <mergeCell ref="A3143:L3143"/>
    <mergeCell ref="A3078:L3078"/>
    <mergeCell ref="A3084:L3084"/>
    <mergeCell ref="A3089:L3089"/>
    <mergeCell ref="A3096:L3096"/>
    <mergeCell ref="A3102:L3102"/>
    <mergeCell ref="A3107:L3107"/>
    <mergeCell ref="A3186:L3186"/>
    <mergeCell ref="A3192:L3192"/>
    <mergeCell ref="A3197:L3197"/>
    <mergeCell ref="A3204:L3204"/>
    <mergeCell ref="A3210:L3210"/>
    <mergeCell ref="A3215:L3215"/>
    <mergeCell ref="A3150:L3150"/>
    <mergeCell ref="A3156:L3156"/>
    <mergeCell ref="A3161:L3161"/>
    <mergeCell ref="A3168:L3168"/>
    <mergeCell ref="A3174:L3174"/>
    <mergeCell ref="A3179:L3179"/>
    <mergeCell ref="A3256:L3256"/>
    <mergeCell ref="A3262:L3262"/>
    <mergeCell ref="A3266:L3266"/>
    <mergeCell ref="A3273:L3273"/>
    <mergeCell ref="A3279:L3279"/>
    <mergeCell ref="A3283:L3283"/>
    <mergeCell ref="A3222:L3222"/>
    <mergeCell ref="A3228:L3228"/>
    <mergeCell ref="A3232:L3232"/>
    <mergeCell ref="A3239:L3239"/>
    <mergeCell ref="A3245:L3245"/>
    <mergeCell ref="A3249:L3249"/>
    <mergeCell ref="A3324:L3324"/>
    <mergeCell ref="A3330:L3330"/>
    <mergeCell ref="A3335:L3335"/>
    <mergeCell ref="A3342:L3342"/>
    <mergeCell ref="A3348:L3348"/>
    <mergeCell ref="A3353:L3353"/>
    <mergeCell ref="A3290:L3290"/>
    <mergeCell ref="A3296:L3296"/>
    <mergeCell ref="A3300:L3300"/>
    <mergeCell ref="A3307:L3307"/>
    <mergeCell ref="A3313:L3313"/>
    <mergeCell ref="A3317:L3317"/>
    <mergeCell ref="A3393:L3393"/>
    <mergeCell ref="A3399:L3399"/>
    <mergeCell ref="A3404:L3404"/>
    <mergeCell ref="A3410:L3410"/>
    <mergeCell ref="A3415:L3415"/>
    <mergeCell ref="A3421:L3421"/>
    <mergeCell ref="A3359:L3359"/>
    <mergeCell ref="A3365:L3365"/>
    <mergeCell ref="A3370:L3370"/>
    <mergeCell ref="A3376:L3376"/>
    <mergeCell ref="A3382:L3382"/>
    <mergeCell ref="A3387:L3387"/>
    <mergeCell ref="A3461:L3461"/>
    <mergeCell ref="A3467:L3467"/>
    <mergeCell ref="A3473:L3473"/>
    <mergeCell ref="A3478:L3478"/>
    <mergeCell ref="A3484:L3484"/>
    <mergeCell ref="A3490:L3490"/>
    <mergeCell ref="A3427:L3427"/>
    <mergeCell ref="A3433:L3433"/>
    <mergeCell ref="A3439:L3439"/>
    <mergeCell ref="A3444:L3444"/>
    <mergeCell ref="A3450:L3450"/>
    <mergeCell ref="A3456:L3456"/>
    <mergeCell ref="A3529:L3529"/>
    <mergeCell ref="A3535:L3535"/>
    <mergeCell ref="A3539:L3539"/>
    <mergeCell ref="A3543:L3543"/>
    <mergeCell ref="A3547:L3547"/>
    <mergeCell ref="A3551:L3551"/>
    <mergeCell ref="A3495:L3495"/>
    <mergeCell ref="A3501:L3501"/>
    <mergeCell ref="A3507:L3507"/>
    <mergeCell ref="A3512:L3512"/>
    <mergeCell ref="A3518:L3518"/>
    <mergeCell ref="A3524:L3524"/>
    <mergeCell ref="A3588:L3588"/>
    <mergeCell ref="A3596:L3596"/>
    <mergeCell ref="A3602:L3602"/>
    <mergeCell ref="A3607:L3607"/>
    <mergeCell ref="A3611:L3611"/>
    <mergeCell ref="A3555:L3555"/>
    <mergeCell ref="A3559:L3559"/>
    <mergeCell ref="A3564:L3564"/>
    <mergeCell ref="A3570:L3570"/>
    <mergeCell ref="A3576:L3576"/>
    <mergeCell ref="A3582:L3582"/>
  </mergeCells>
  <phoneticPr fontId="25" type="noConversion"/>
  <conditionalFormatting sqref="C5:M3614">
    <cfRule type="expression" dxfId="3" priority="1" stopIfTrue="1">
      <formula>AND(C5&lt;&gt;0,INT(C5)=C5)</formula>
    </cfRule>
  </conditionalFormatting>
  <hyperlinks>
    <hyperlink ref="Z1" r:id="rId1" tooltip="설계예산시스템(STmate w26.07)으로 작성 하였으며,_x000a_엑셀 인쇄품질 600 dpi에 최적화 되어 있습니다._x000a_경영정보(주) http://www.stma.co.kr_x000a_Tel) 070-4350-0040_x000a_Fax) 0505-300-3948" xr:uid="{5DA1F23E-272E-4CB3-A9E8-FDD53337A926}"/>
    <hyperlink ref="N1" r:id="rId2" tooltip="설계예산시스템(STmate w26.07)으로 작성 하였으며,_x000a_엑셀 인쇄품질 600 dpi에 최적화 되어 있습니다._x000a_경영정보(주) http://www.stma.co.kr_x000a_Tel) 070-4350-0040_x000a_Fax) 0505-300-3948" xr:uid="{3FE9EE61-831A-4AA8-8FE3-BAFF40460692}"/>
  </hyperlinks>
  <printOptions horizontalCentered="1"/>
  <pageMargins left="0.78740157480314965" right="0.78740157480314965" top="0.59055118110236215" bottom="0.59055118110236215" header="0" footer="0.39370078740157477"/>
  <pageSetup paperSize="9" scale="73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E8692-01BA-43D4-9C15-2F4ECE68D385}">
  <dimension ref="A1:K16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1" t="s">
        <v>1983</v>
      </c>
      <c r="B1" s="121"/>
      <c r="C1" s="121"/>
      <c r="D1" s="121"/>
      <c r="E1" s="121"/>
      <c r="F1" s="121"/>
      <c r="G1" s="121"/>
      <c r="H1" s="121"/>
      <c r="I1" s="121"/>
      <c r="J1" s="5" t="s">
        <v>1982</v>
      </c>
      <c r="K1" s="19" t="s">
        <v>1982</v>
      </c>
    </row>
    <row r="2" spans="1:11" ht="23.1" customHeight="1" x14ac:dyDescent="0.3">
      <c r="A2" s="1" t="s">
        <v>1</v>
      </c>
      <c r="J2" s="20" t="str">
        <f ca="1">MID(CELL("filename",$A$1),FIND("]",CELL("filename",$A$1))+1,LEN(CELL("filename",$A$1)))</f>
        <v>단가산출근거목록표</v>
      </c>
    </row>
    <row r="3" spans="1:11" ht="23.1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3.1" customHeight="1" x14ac:dyDescent="0.3">
      <c r="A4" s="9" t="s">
        <v>11</v>
      </c>
      <c r="B4" s="10" t="s">
        <v>1984</v>
      </c>
      <c r="C4" s="10"/>
      <c r="D4" s="9" t="s">
        <v>1603</v>
      </c>
      <c r="E4" s="48">
        <f>단가산출근거!C154</f>
        <v>178008</v>
      </c>
      <c r="F4" s="47">
        <f>단가산출근거!D154</f>
        <v>75948</v>
      </c>
      <c r="G4" s="56">
        <f>단가산출근거!E154</f>
        <v>48933</v>
      </c>
      <c r="H4" s="48">
        <f>단가산출근거!F154</f>
        <v>53127</v>
      </c>
      <c r="I4" s="15" t="s">
        <v>11</v>
      </c>
      <c r="J4" s="17" t="str">
        <f>"_x0007_`COD|D03653_x0005_`QTY1|1_x0005_`BQC|_x0005_`EQC|_x0005_`JDC|_x0005_`WQC|_x0005_`EDT|_x0005_`ADJ|F_x0005_`DET|"&amp;ROW(단가산출근거!A5)&amp;"_x0005_`"</f>
        <v>_x0007_`COD|D03653_x0005_`QTY1|1_x0005_`BQC|_x0005_`EQC|_x0005_`JDC|_x0005_`WQC|_x0005_`EDT|_x0005_`ADJ|F_x0005_`DET|5_x0005_`</v>
      </c>
      <c r="K4" s="3" t="str">
        <f ca="1">HYPERLINK("#"&amp;단가산출근거!G2&amp;"!A"&amp;ROW(단가산출근거!A5),"산근1 →")</f>
        <v>산근1 →</v>
      </c>
    </row>
    <row r="5" spans="1:11" ht="23.1" customHeight="1" x14ac:dyDescent="0.3">
      <c r="A5" s="9" t="s">
        <v>16</v>
      </c>
      <c r="B5" s="10" t="s">
        <v>1986</v>
      </c>
      <c r="C5" s="10" t="s">
        <v>1987</v>
      </c>
      <c r="D5" s="9" t="s">
        <v>1490</v>
      </c>
      <c r="E5" s="48">
        <f>단가산출근거!C204</f>
        <v>24042</v>
      </c>
      <c r="F5" s="47">
        <f>단가산출근거!D204</f>
        <v>23571</v>
      </c>
      <c r="G5" s="56">
        <f>단가산출근거!E204</f>
        <v>0</v>
      </c>
      <c r="H5" s="48">
        <f>단가산출근거!F204</f>
        <v>471</v>
      </c>
      <c r="I5" s="15" t="s">
        <v>16</v>
      </c>
      <c r="J5" s="17" t="str">
        <f>"_x0007_`COD|D04188_x0005_`QTY1|1_x0005_`BQC|_x0005_`EQC|_x0005_`JDC|_x0005_`WQC|_x0005_`EDT|_x0005_`ADJ|F_x0005_`DET|"&amp;ROW(단가산출근거!A155)&amp;"_x0005_`"</f>
        <v>_x0007_`COD|D04188_x0005_`QTY1|1_x0005_`BQC|_x0005_`EQC|_x0005_`JDC|_x0005_`WQC|_x0005_`EDT|_x0005_`ADJ|F_x0005_`DET|155_x0005_`</v>
      </c>
      <c r="K5" s="3" t="str">
        <f ca="1">HYPERLINK("#"&amp;단가산출근거!G2&amp;"!A"&amp;ROW(단가산출근거!A155),"산근2 →")</f>
        <v>산근2 →</v>
      </c>
    </row>
    <row r="6" spans="1:11" ht="23.1" customHeight="1" x14ac:dyDescent="0.3">
      <c r="A6" s="9" t="s">
        <v>19</v>
      </c>
      <c r="B6" s="10" t="s">
        <v>1986</v>
      </c>
      <c r="C6" s="10" t="s">
        <v>1989</v>
      </c>
      <c r="D6" s="9" t="s">
        <v>1490</v>
      </c>
      <c r="E6" s="48">
        <f>단가산출근거!C254</f>
        <v>33660</v>
      </c>
      <c r="F6" s="47">
        <f>단가산출근거!D254</f>
        <v>33000</v>
      </c>
      <c r="G6" s="56">
        <f>단가산출근거!E254</f>
        <v>0</v>
      </c>
      <c r="H6" s="48">
        <f>단가산출근거!F254</f>
        <v>660</v>
      </c>
      <c r="I6" s="15" t="s">
        <v>19</v>
      </c>
      <c r="J6" s="17" t="str">
        <f>"_x0007_`COD|D00119_x0005_`QTY1|1_x0005_`BQC|_x0005_`EQC|_x0005_`JDC|_x0005_`WQC|_x0005_`EDT|_x0005_`ADJ|F_x0005_`DET|"&amp;ROW(단가산출근거!A205)&amp;"_x0005_`"</f>
        <v>_x0007_`COD|D00119_x0005_`QTY1|1_x0005_`BQC|_x0005_`EQC|_x0005_`JDC|_x0005_`WQC|_x0005_`EDT|_x0005_`ADJ|F_x0005_`DET|205_x0005_`</v>
      </c>
      <c r="K6" s="3" t="str">
        <f ca="1">HYPERLINK("#"&amp;단가산출근거!G2&amp;"!A"&amp;ROW(단가산출근거!A205),"산근3 →")</f>
        <v>산근3 →</v>
      </c>
    </row>
    <row r="7" spans="1:11" ht="23.1" customHeight="1" x14ac:dyDescent="0.3">
      <c r="A7" s="9" t="s">
        <v>22</v>
      </c>
      <c r="B7" s="10" t="s">
        <v>1986</v>
      </c>
      <c r="C7" s="10" t="s">
        <v>1991</v>
      </c>
      <c r="D7" s="9" t="s">
        <v>1490</v>
      </c>
      <c r="E7" s="48">
        <f>단가산출근거!C304</f>
        <v>46749</v>
      </c>
      <c r="F7" s="47">
        <f>단가산출근거!D304</f>
        <v>45833</v>
      </c>
      <c r="G7" s="56">
        <f>단가산출근거!E304</f>
        <v>0</v>
      </c>
      <c r="H7" s="48">
        <f>단가산출근거!F304</f>
        <v>916</v>
      </c>
      <c r="I7" s="15" t="s">
        <v>22</v>
      </c>
      <c r="J7" s="17" t="str">
        <f>"_x0007_`COD|D03271_x0005_`QTY1|1_x0005_`BQC|_x0005_`EQC|_x0005_`JDC|_x0005_`WQC|_x0005_`EDT|_x0005_`ADJ|F_x0005_`DET|"&amp;ROW(단가산출근거!A255)&amp;"_x0005_`"</f>
        <v>_x0007_`COD|D03271_x0005_`QTY1|1_x0005_`BQC|_x0005_`EQC|_x0005_`JDC|_x0005_`WQC|_x0005_`EDT|_x0005_`ADJ|F_x0005_`DET|255_x0005_`</v>
      </c>
      <c r="K7" s="3" t="str">
        <f ca="1">HYPERLINK("#"&amp;단가산출근거!G2&amp;"!A"&amp;ROW(단가산출근거!A255),"산근4 →")</f>
        <v>산근4 →</v>
      </c>
    </row>
    <row r="8" spans="1:11" ht="23.1" customHeight="1" x14ac:dyDescent="0.3">
      <c r="A8" s="9" t="s">
        <v>25</v>
      </c>
      <c r="B8" s="10" t="s">
        <v>1986</v>
      </c>
      <c r="C8" s="10" t="s">
        <v>1993</v>
      </c>
      <c r="D8" s="9" t="s">
        <v>1490</v>
      </c>
      <c r="E8" s="48">
        <f>단가산출근거!C354</f>
        <v>70125</v>
      </c>
      <c r="F8" s="47">
        <f>단가산출근거!D354</f>
        <v>68750</v>
      </c>
      <c r="G8" s="56">
        <f>단가산출근거!E354</f>
        <v>0</v>
      </c>
      <c r="H8" s="48">
        <f>단가산출근거!F354</f>
        <v>1375</v>
      </c>
      <c r="I8" s="15" t="s">
        <v>25</v>
      </c>
      <c r="J8" s="17" t="str">
        <f>"_x0007_`COD|D00118_x0005_`QTY1|1_x0005_`BQC|_x0005_`EQC|_x0005_`JDC|_x0005_`WQC|_x0005_`EDT|_x0005_`ADJ|F_x0005_`DET|"&amp;ROW(단가산출근거!A305)&amp;"_x0005_`"</f>
        <v>_x0007_`COD|D00118_x0005_`QTY1|1_x0005_`BQC|_x0005_`EQC|_x0005_`JDC|_x0005_`WQC|_x0005_`EDT|_x0005_`ADJ|F_x0005_`DET|305_x0005_`</v>
      </c>
      <c r="K8" s="3" t="str">
        <f ca="1">HYPERLINK("#"&amp;단가산출근거!G2&amp;"!A"&amp;ROW(단가산출근거!A305),"산근5 →")</f>
        <v>산근5 →</v>
      </c>
    </row>
    <row r="9" spans="1:11" ht="23.1" customHeight="1" x14ac:dyDescent="0.3">
      <c r="A9" s="9" t="s">
        <v>28</v>
      </c>
      <c r="B9" s="10" t="s">
        <v>1986</v>
      </c>
      <c r="C9" s="10" t="s">
        <v>1995</v>
      </c>
      <c r="D9" s="9" t="s">
        <v>1490</v>
      </c>
      <c r="E9" s="48">
        <f>단가산출근거!C404</f>
        <v>97209</v>
      </c>
      <c r="F9" s="47">
        <f>단가산출근거!D404</f>
        <v>95303</v>
      </c>
      <c r="G9" s="56">
        <f>단가산출근거!E404</f>
        <v>0</v>
      </c>
      <c r="H9" s="48">
        <f>단가산출근거!F404</f>
        <v>1906</v>
      </c>
      <c r="I9" s="15" t="s">
        <v>28</v>
      </c>
      <c r="J9" s="17" t="str">
        <f>"_x0007_`COD|D01585_x0005_`QTY1|1_x0005_`BQC|_x0005_`EQC|_x0005_`JDC|_x0005_`WQC|_x0005_`EDT|_x0005_`ADJ|F_x0005_`DET|"&amp;ROW(단가산출근거!A355)&amp;"_x0005_`"</f>
        <v>_x0007_`COD|D01585_x0005_`QTY1|1_x0005_`BQC|_x0005_`EQC|_x0005_`JDC|_x0005_`WQC|_x0005_`EDT|_x0005_`ADJ|F_x0005_`DET|355_x0005_`</v>
      </c>
      <c r="K9" s="3" t="str">
        <f ca="1">HYPERLINK("#"&amp;단가산출근거!G2&amp;"!A"&amp;ROW(단가산출근거!A355),"산근6 →")</f>
        <v>산근6 →</v>
      </c>
    </row>
    <row r="10" spans="1:11" ht="23.1" customHeight="1" x14ac:dyDescent="0.3">
      <c r="A10" s="9" t="s">
        <v>31</v>
      </c>
      <c r="B10" s="10" t="s">
        <v>1986</v>
      </c>
      <c r="C10" s="10" t="s">
        <v>1997</v>
      </c>
      <c r="D10" s="9" t="s">
        <v>1490</v>
      </c>
      <c r="E10" s="48">
        <f>단가산출근거!C454</f>
        <v>133662</v>
      </c>
      <c r="F10" s="47">
        <f>단가산출근거!D454</f>
        <v>131042</v>
      </c>
      <c r="G10" s="56">
        <f>단가산출근거!E454</f>
        <v>0</v>
      </c>
      <c r="H10" s="48">
        <f>단가산출근거!F454</f>
        <v>2620</v>
      </c>
      <c r="I10" s="15" t="s">
        <v>31</v>
      </c>
      <c r="J10" s="17" t="str">
        <f>"_x0007_`COD|D04200_x0005_`QTY1|1_x0005_`BQC|_x0005_`EQC|_x0005_`JDC|_x0005_`WQC|_x0005_`EDT|_x0005_`ADJ|F_x0005_`DET|"&amp;ROW(단가산출근거!A405)&amp;"_x0005_`"</f>
        <v>_x0007_`COD|D04200_x0005_`QTY1|1_x0005_`BQC|_x0005_`EQC|_x0005_`JDC|_x0005_`WQC|_x0005_`EDT|_x0005_`ADJ|F_x0005_`DET|405_x0005_`</v>
      </c>
      <c r="K10" s="3" t="str">
        <f ca="1">HYPERLINK("#"&amp;단가산출근거!G2&amp;"!A"&amp;ROW(단가산출근거!A405),"산근7 →")</f>
        <v>산근7 →</v>
      </c>
    </row>
    <row r="11" spans="1:11" ht="23.1" customHeight="1" x14ac:dyDescent="0.3">
      <c r="A11" s="9" t="s">
        <v>34</v>
      </c>
      <c r="B11" s="10" t="s">
        <v>1968</v>
      </c>
      <c r="C11" s="10" t="s">
        <v>1969</v>
      </c>
      <c r="D11" s="9" t="s">
        <v>1676</v>
      </c>
      <c r="E11" s="48">
        <f>단가산출근거!C504</f>
        <v>48340</v>
      </c>
      <c r="F11" s="47">
        <f>단가산출근거!D504</f>
        <v>34461</v>
      </c>
      <c r="G11" s="56">
        <f>단가산출근거!E504</f>
        <v>13535</v>
      </c>
      <c r="H11" s="48">
        <f>단가산출근거!F504</f>
        <v>344</v>
      </c>
      <c r="I11" s="15" t="s">
        <v>34</v>
      </c>
      <c r="J11" s="17" t="str">
        <f>"_x0007_`COD|D00362_x0005_`QTY1|1_x0005_`BQC|_x0005_`EQC|도로_x0005_`JDC|_x0005_`WQC|_x0005_`EDT|_x0005_`ADJ|F_x0005_`DET|"&amp;ROW(단가산출근거!A455)&amp;"_x0005_`"</f>
        <v>_x0007_`COD|D00362_x0005_`QTY1|1_x0005_`BQC|_x0005_`EQC|도로_x0005_`JDC|_x0005_`WQC|_x0005_`EDT|_x0005_`ADJ|F_x0005_`DET|455_x0005_`</v>
      </c>
      <c r="K11" s="3" t="str">
        <f ca="1">HYPERLINK("#"&amp;단가산출근거!G2&amp;"!A"&amp;ROW(단가산출근거!A455),"산근8 →")</f>
        <v>산근8 →</v>
      </c>
    </row>
    <row r="12" spans="1:11" ht="23.1" customHeight="1" x14ac:dyDescent="0.3">
      <c r="A12" s="9" t="s">
        <v>37</v>
      </c>
      <c r="B12" s="10" t="s">
        <v>2000</v>
      </c>
      <c r="C12" s="10" t="s">
        <v>2001</v>
      </c>
      <c r="D12" s="9" t="s">
        <v>1603</v>
      </c>
      <c r="E12" s="48">
        <f>단가산출근거!C554</f>
        <v>62811</v>
      </c>
      <c r="F12" s="47">
        <f>단가산출근거!D554</f>
        <v>62811</v>
      </c>
      <c r="G12" s="56">
        <f>단가산출근거!E554</f>
        <v>0</v>
      </c>
      <c r="H12" s="48">
        <f>단가산출근거!F554</f>
        <v>0</v>
      </c>
      <c r="I12" s="15" t="s">
        <v>37</v>
      </c>
      <c r="J12" s="17" t="str">
        <f>"_x0007_`COD|D04119_x0005_`QTY1|1_x0005_`BQC|_x0005_`EQC|_x0005_`JDC|_x0005_`WQC|_x0005_`EDT|_x0005_`ADJ|F_x0005_`DET|"&amp;ROW(단가산출근거!A505)&amp;"_x0005_`"</f>
        <v>_x0007_`COD|D04119_x0005_`QTY1|1_x0005_`BQC|_x0005_`EQC|_x0005_`JDC|_x0005_`WQC|_x0005_`EDT|_x0005_`ADJ|F_x0005_`DET|505_x0005_`</v>
      </c>
      <c r="K12" s="3" t="str">
        <f ca="1">HYPERLINK("#"&amp;단가산출근거!G2&amp;"!A"&amp;ROW(단가산출근거!A505),"산근9 →")</f>
        <v>산근9 →</v>
      </c>
    </row>
    <row r="13" spans="1:11" ht="23.1" customHeight="1" x14ac:dyDescent="0.3">
      <c r="A13" s="9" t="s">
        <v>40</v>
      </c>
      <c r="B13" s="10" t="s">
        <v>1975</v>
      </c>
      <c r="C13" s="10" t="s">
        <v>2003</v>
      </c>
      <c r="D13" s="9" t="s">
        <v>1603</v>
      </c>
      <c r="E13" s="48">
        <f>단가산출근거!C604</f>
        <v>17206</v>
      </c>
      <c r="F13" s="47">
        <f>단가산출근거!D604</f>
        <v>17206</v>
      </c>
      <c r="G13" s="56">
        <f>단가산출근거!E604</f>
        <v>0</v>
      </c>
      <c r="H13" s="48">
        <f>단가산출근거!F604</f>
        <v>0</v>
      </c>
      <c r="I13" s="15" t="s">
        <v>40</v>
      </c>
      <c r="J13" s="17" t="str">
        <f>"_x0007_`COD|D03632_x0005_`QTY1|1_x0005_`BQC|_x0005_`EQC|_x0005_`JDC|_x0005_`WQC|_x0005_`EDT|_x0005_`ADJ|F_x0005_`DET|"&amp;ROW(단가산출근거!A555)&amp;"_x0005_`"</f>
        <v>_x0007_`COD|D03632_x0005_`QTY1|1_x0005_`BQC|_x0005_`EQC|_x0005_`JDC|_x0005_`WQC|_x0005_`EDT|_x0005_`ADJ|F_x0005_`DET|555_x0005_`</v>
      </c>
      <c r="K13" s="3" t="str">
        <f ca="1">HYPERLINK("#"&amp;단가산출근거!G2&amp;"!A"&amp;ROW(단가산출근거!A555),"산근10 →")</f>
        <v>산근10 →</v>
      </c>
    </row>
    <row r="14" spans="1:11" ht="23.1" customHeight="1" x14ac:dyDescent="0.3">
      <c r="A14" s="9" t="s">
        <v>43</v>
      </c>
      <c r="B14" s="10" t="s">
        <v>2005</v>
      </c>
      <c r="C14" s="10" t="s">
        <v>2001</v>
      </c>
      <c r="D14" s="9" t="s">
        <v>1603</v>
      </c>
      <c r="E14" s="48">
        <f>단가산출근거!C654</f>
        <v>83748</v>
      </c>
      <c r="F14" s="47">
        <f>단가산출근거!D654</f>
        <v>83748</v>
      </c>
      <c r="G14" s="56">
        <f>단가산출근거!E654</f>
        <v>0</v>
      </c>
      <c r="H14" s="48">
        <f>단가산출근거!F654</f>
        <v>0</v>
      </c>
      <c r="I14" s="15" t="s">
        <v>43</v>
      </c>
      <c r="J14" s="17" t="str">
        <f>"_x0007_`COD|D04120_x0005_`QTY1|1_x0005_`BQC|_x0005_`EQC|_x0005_`JDC|_x0005_`WQC|_x0005_`EDT|_x0005_`ADJ|F_x0005_`DET|"&amp;ROW(단가산출근거!A605)&amp;"_x0005_`"</f>
        <v>_x0007_`COD|D04120_x0005_`QTY1|1_x0005_`BQC|_x0005_`EQC|_x0005_`JDC|_x0005_`WQC|_x0005_`EDT|_x0005_`ADJ|F_x0005_`DET|605_x0005_`</v>
      </c>
      <c r="K14" s="3" t="str">
        <f ca="1">HYPERLINK("#"&amp;단가산출근거!G2&amp;"!A"&amp;ROW(단가산출근거!A605),"산근11 →")</f>
        <v>산근11 →</v>
      </c>
    </row>
    <row r="15" spans="1:11" ht="23.1" customHeight="1" x14ac:dyDescent="0.3">
      <c r="A15" s="9" t="s">
        <v>46</v>
      </c>
      <c r="B15" s="10" t="s">
        <v>2007</v>
      </c>
      <c r="C15" s="10" t="s">
        <v>2008</v>
      </c>
      <c r="D15" s="9" t="s">
        <v>1676</v>
      </c>
      <c r="E15" s="48">
        <f>단가산출근거!C704</f>
        <v>776</v>
      </c>
      <c r="F15" s="47">
        <f>단가산출근거!D704</f>
        <v>776</v>
      </c>
      <c r="G15" s="56">
        <f>단가산출근거!E704</f>
        <v>0</v>
      </c>
      <c r="H15" s="48">
        <f>단가산출근거!F704</f>
        <v>0</v>
      </c>
      <c r="I15" s="15" t="s">
        <v>46</v>
      </c>
      <c r="J15" s="17" t="str">
        <f>"_x0007_`COD|D03779_x0005_`QTY1|1_x0005_`BQC|_x0005_`EQC|_x0005_`JDC|_x0005_`WQC|_x0005_`EDT|_x0005_`ADJ|F_x0005_`DET|"&amp;ROW(단가산출근거!A655)&amp;"_x0005_`"</f>
        <v>_x0007_`COD|D03779_x0005_`QTY1|1_x0005_`BQC|_x0005_`EQC|_x0005_`JDC|_x0005_`WQC|_x0005_`EDT|_x0005_`ADJ|F_x0005_`DET|655_x0005_`</v>
      </c>
      <c r="K15" s="3" t="str">
        <f ca="1">HYPERLINK("#"&amp;단가산출근거!G2&amp;"!A"&amp;ROW(단가산출근거!A655),"산근12 →")</f>
        <v>산근12 →</v>
      </c>
    </row>
    <row r="16" spans="1:11" ht="23.1" customHeight="1" x14ac:dyDescent="0.3">
      <c r="A16" s="9" t="s">
        <v>49</v>
      </c>
      <c r="B16" s="10" t="s">
        <v>2007</v>
      </c>
      <c r="C16" s="10" t="s">
        <v>2010</v>
      </c>
      <c r="D16" s="9" t="s">
        <v>1676</v>
      </c>
      <c r="E16" s="48">
        <f>단가산출근거!C754</f>
        <v>1086</v>
      </c>
      <c r="F16" s="47">
        <f>단가산출근거!D754</f>
        <v>1086</v>
      </c>
      <c r="G16" s="56">
        <f>단가산출근거!E754</f>
        <v>0</v>
      </c>
      <c r="H16" s="48">
        <f>단가산출근거!F754</f>
        <v>0</v>
      </c>
      <c r="I16" s="15" t="s">
        <v>49</v>
      </c>
      <c r="J16" s="17" t="str">
        <f>"_x0007_`COD|D03780_x0005_`QTY1|1_x0005_`BQC|_x0005_`EQC|_x0005_`JDC|_x0005_`WQC|_x0005_`EDT|_x0005_`ADJ|F_x0005_`DET|"&amp;ROW(단가산출근거!A705)&amp;"_x0005_`"</f>
        <v>_x0007_`COD|D03780_x0005_`QTY1|1_x0005_`BQC|_x0005_`EQC|_x0005_`JDC|_x0005_`WQC|_x0005_`EDT|_x0005_`ADJ|F_x0005_`DET|705_x0005_`</v>
      </c>
      <c r="K16" s="3" t="str">
        <f ca="1">HYPERLINK("#"&amp;단가산출근거!G2&amp;"!A"&amp;ROW(단가산출근거!A705),"산근13 →")</f>
        <v>산근13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 xr:uid="{1233C794-2DD4-483A-B9B5-3637083FCBBE}"/>
    <hyperlink ref="J1" r:id="rId2" tooltip="설계예산시스템(STmate w26.07)으로 작성 하였으며,_x000a_엑셀 인쇄품질 600 dpi에 최적화 되어 있습니다._x000a_경영정보(주) http://www.stma.co.kr_x000a_Tel) 070-4350-0040_x000a_Fax) 0505-300-3948" xr:uid="{AD8A8FAA-DE5D-461B-A28D-8D286F8CE449}"/>
  </hyperlinks>
  <printOptions horizontalCentered="1"/>
  <pageMargins left="0.39370078740157483" right="0.78740157480314954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90294-4B6E-45C4-9423-0D62D1324E08}">
  <dimension ref="A1:AO754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1" width="10" style="6" customWidth="1"/>
    <col min="2" max="2" width="53.5" style="6" customWidth="1"/>
    <col min="3" max="6" width="10" style="6" customWidth="1"/>
    <col min="7" max="7" width="9.125" style="83" hidden="1" customWidth="1"/>
    <col min="8" max="23" width="2.5" style="6" customWidth="1"/>
    <col min="24" max="24" width="9.125" style="6" customWidth="1"/>
    <col min="25" max="25" width="9.125" style="18" customWidth="1"/>
    <col min="26" max="41" width="4" style="6" customWidth="1"/>
    <col min="42" max="16384" width="9.125" style="6"/>
  </cols>
  <sheetData>
    <row r="1" spans="1:41" ht="24.95" customHeight="1" x14ac:dyDescent="0.3">
      <c r="A1" s="131" t="s">
        <v>1981</v>
      </c>
      <c r="B1" s="121"/>
      <c r="C1" s="121"/>
      <c r="D1" s="121"/>
      <c r="E1" s="121"/>
      <c r="F1" s="121"/>
      <c r="G1" s="5" t="s">
        <v>1982</v>
      </c>
      <c r="Y1" s="19" t="s">
        <v>1982</v>
      </c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</row>
    <row r="2" spans="1:41" ht="16.5" customHeight="1" x14ac:dyDescent="0.3">
      <c r="A2" s="1" t="s">
        <v>1</v>
      </c>
      <c r="G2" s="20" t="str">
        <f ca="1">MID(CELL("filename",$A$1),FIND("]",CELL("filename",$A$1))+1,LEN(CELL("filename",$A$1)))</f>
        <v>단가산출근거</v>
      </c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</row>
    <row r="3" spans="1:41" ht="16.5" customHeight="1" x14ac:dyDescent="0.3">
      <c r="A3" s="142" t="s">
        <v>8878</v>
      </c>
      <c r="B3" s="142" t="s">
        <v>8879</v>
      </c>
      <c r="C3" s="142" t="s">
        <v>6</v>
      </c>
      <c r="D3" s="142" t="s">
        <v>7</v>
      </c>
      <c r="E3" s="142" t="s">
        <v>8</v>
      </c>
      <c r="F3" s="134" t="s">
        <v>9</v>
      </c>
      <c r="Z3" s="141" t="s">
        <v>2011</v>
      </c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</row>
    <row r="4" spans="1:41" ht="16.5" customHeight="1" x14ac:dyDescent="0.3">
      <c r="A4" s="143"/>
      <c r="B4" s="143"/>
      <c r="C4" s="143"/>
      <c r="D4" s="143"/>
      <c r="E4" s="143"/>
      <c r="F4" s="135"/>
      <c r="H4" s="35" t="s">
        <v>8880</v>
      </c>
      <c r="I4" s="35" t="s">
        <v>8881</v>
      </c>
      <c r="J4" s="35" t="s">
        <v>2068</v>
      </c>
      <c r="K4" s="35" t="s">
        <v>1939</v>
      </c>
      <c r="L4" s="35" t="s">
        <v>8882</v>
      </c>
      <c r="Y4" s="3" t="str">
        <f>HYPERLINK("#'〓 목 차 〓'!B2","목차 →")</f>
        <v>목차 →</v>
      </c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</row>
    <row r="5" spans="1:41" ht="16.5" customHeight="1" x14ac:dyDescent="0.3">
      <c r="A5" s="86" t="s">
        <v>11</v>
      </c>
      <c r="B5" s="88" t="s">
        <v>11</v>
      </c>
      <c r="C5" s="146">
        <f>C154</f>
        <v>178008</v>
      </c>
      <c r="D5" s="146">
        <f>D154</f>
        <v>75948</v>
      </c>
      <c r="E5" s="146">
        <f>E154</f>
        <v>48933</v>
      </c>
      <c r="F5" s="146">
        <f>F154</f>
        <v>53127</v>
      </c>
      <c r="G5" s="84" t="str">
        <f>HYPERLINK("#G"&amp;ROW(G112),"_x0005_`BDCOD|D03653_x0007_`POSS|"&amp;ROW(G7)&amp;"_x0007_`POSE|"&amp;ROW(G112)&amp;"_x0007_`")</f>
        <v>_x0005_`BDCOD|D03653_x0007_`POSS|7_x0007_`POSE|112_x0007_`</v>
      </c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</row>
    <row r="6" spans="1:41" ht="16.5" customHeight="1" x14ac:dyDescent="0.3">
      <c r="A6" s="87"/>
      <c r="B6" s="88" t="s">
        <v>8883</v>
      </c>
      <c r="C6" s="127"/>
      <c r="D6" s="127"/>
      <c r="E6" s="127"/>
      <c r="F6" s="127"/>
      <c r="M6" s="35" t="s">
        <v>8884</v>
      </c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</row>
    <row r="7" spans="1:41" ht="16.5" customHeight="1" x14ac:dyDescent="0.3">
      <c r="A7" s="69"/>
      <c r="B7" s="69"/>
      <c r="C7" s="90"/>
      <c r="D7" s="90"/>
      <c r="E7" s="90"/>
      <c r="F7" s="90"/>
      <c r="G7" s="17" t="s">
        <v>8885</v>
      </c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</row>
    <row r="8" spans="1:41" ht="16.5" customHeight="1" x14ac:dyDescent="0.3">
      <c r="A8" s="59"/>
      <c r="B8" s="68" t="s">
        <v>8887</v>
      </c>
      <c r="C8" s="69"/>
      <c r="D8" s="69"/>
      <c r="E8" s="69"/>
      <c r="F8" s="69"/>
      <c r="G8" s="17" t="s">
        <v>8886</v>
      </c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</row>
    <row r="9" spans="1:41" ht="16.5" customHeight="1" x14ac:dyDescent="0.3">
      <c r="A9" s="69"/>
      <c r="B9" s="69"/>
      <c r="C9" s="69"/>
      <c r="D9" s="69"/>
      <c r="E9" s="69"/>
      <c r="F9" s="69"/>
      <c r="G9" s="17" t="s">
        <v>8885</v>
      </c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</row>
    <row r="10" spans="1:41" ht="16.5" customHeight="1" x14ac:dyDescent="0.3">
      <c r="A10" s="59"/>
      <c r="B10" s="68" t="s">
        <v>8889</v>
      </c>
      <c r="C10" s="69"/>
      <c r="D10" s="69"/>
      <c r="E10" s="69"/>
      <c r="F10" s="69"/>
      <c r="G10" s="17" t="s">
        <v>8888</v>
      </c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</row>
    <row r="11" spans="1:41" ht="16.5" customHeight="1" x14ac:dyDescent="0.3">
      <c r="A11" s="69"/>
      <c r="B11" s="69"/>
      <c r="C11" s="69"/>
      <c r="D11" s="69"/>
      <c r="E11" s="69"/>
      <c r="F11" s="69"/>
      <c r="G11" s="17" t="s">
        <v>8885</v>
      </c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</row>
    <row r="12" spans="1:41" ht="16.5" customHeight="1" x14ac:dyDescent="0.3">
      <c r="A12" s="59"/>
      <c r="B12" s="68" t="str">
        <f>"  E = "&amp;Z12&amp;",  f = "&amp;AD12&amp;",  q = "&amp;AH12&amp;""</f>
        <v xml:space="preserve">  E = 0.9,  f = 1,  q = 7.64</v>
      </c>
      <c r="C12" s="69"/>
      <c r="D12" s="69"/>
      <c r="E12" s="69"/>
      <c r="F12" s="69"/>
      <c r="G12" s="17" t="s">
        <v>8890</v>
      </c>
      <c r="Z12" s="98">
        <v>0.9</v>
      </c>
      <c r="AA12" s="35" t="s">
        <v>8892</v>
      </c>
      <c r="AB12" s="100">
        <f>Z12</f>
        <v>0.9</v>
      </c>
      <c r="AC12" s="101" t="s">
        <v>8893</v>
      </c>
      <c r="AD12" s="99">
        <v>1</v>
      </c>
      <c r="AE12" s="35" t="s">
        <v>8892</v>
      </c>
      <c r="AF12" s="100">
        <f>AD12</f>
        <v>1</v>
      </c>
      <c r="AG12" s="101" t="s">
        <v>8893</v>
      </c>
      <c r="AH12" s="98">
        <v>7.64</v>
      </c>
      <c r="AI12" s="35" t="s">
        <v>8892</v>
      </c>
      <c r="AJ12" s="100">
        <f>AH12</f>
        <v>7.64</v>
      </c>
      <c r="AK12" s="97"/>
      <c r="AL12" s="97"/>
      <c r="AM12" s="97"/>
      <c r="AN12" s="97"/>
      <c r="AO12" s="97"/>
    </row>
    <row r="13" spans="1:41" ht="16.5" customHeight="1" x14ac:dyDescent="0.3">
      <c r="A13" s="69"/>
      <c r="B13" s="69"/>
      <c r="C13" s="69"/>
      <c r="D13" s="69"/>
      <c r="E13" s="69"/>
      <c r="F13" s="69"/>
      <c r="G13" s="17" t="s">
        <v>8885</v>
      </c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</row>
    <row r="14" spans="1:41" ht="16.5" customHeight="1" x14ac:dyDescent="0.3">
      <c r="A14" s="59"/>
      <c r="B14" s="68" t="str">
        <f>"  t1 = "&amp;Z14&amp;"  (준비시간)  , t4 = "&amp;AD14&amp;"  (준설토적하시간) "</f>
        <v xml:space="preserve">  t1 = 20  (준비시간)  , t4 = 0  (준설토적하시간) </v>
      </c>
      <c r="C14" s="69"/>
      <c r="D14" s="69"/>
      <c r="E14" s="69"/>
      <c r="F14" s="69"/>
      <c r="G14" s="17" t="s">
        <v>8891</v>
      </c>
      <c r="Z14" s="99">
        <v>20</v>
      </c>
      <c r="AA14" s="35" t="s">
        <v>8892</v>
      </c>
      <c r="AB14" s="100">
        <f>Z14</f>
        <v>20</v>
      </c>
      <c r="AC14" s="101" t="s">
        <v>8893</v>
      </c>
      <c r="AD14" s="99">
        <v>0</v>
      </c>
      <c r="AE14" s="35" t="s">
        <v>8892</v>
      </c>
      <c r="AF14" s="100">
        <f>AD14</f>
        <v>0</v>
      </c>
      <c r="AG14" s="97"/>
      <c r="AH14" s="97"/>
      <c r="AI14" s="97"/>
      <c r="AJ14" s="97"/>
      <c r="AK14" s="97"/>
      <c r="AL14" s="97"/>
      <c r="AM14" s="97"/>
      <c r="AN14" s="97"/>
      <c r="AO14" s="97"/>
    </row>
    <row r="15" spans="1:41" ht="16.5" customHeight="1" x14ac:dyDescent="0.3">
      <c r="A15" s="69"/>
      <c r="B15" s="69"/>
      <c r="C15" s="69"/>
      <c r="D15" s="69"/>
      <c r="E15" s="69"/>
      <c r="F15" s="69"/>
      <c r="G15" s="17" t="s">
        <v>8885</v>
      </c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</row>
    <row r="16" spans="1:41" ht="16.5" customHeight="1" x14ac:dyDescent="0.3">
      <c r="A16" s="59"/>
      <c r="B16" s="68" t="str">
        <f>"  t2 = "&amp;Z16&amp;"*q = "&amp;AD16&amp;"    (세정/흡입시간 12min/㎥×q)  "</f>
        <v xml:space="preserve">  t2 = 12*q = 91.680    (세정/흡입시간 12min/㎥×q)  </v>
      </c>
      <c r="C16" s="69"/>
      <c r="D16" s="69"/>
      <c r="E16" s="69"/>
      <c r="F16" s="69"/>
      <c r="G16" s="17" t="s">
        <v>8894</v>
      </c>
      <c r="Z16" s="99">
        <v>12</v>
      </c>
      <c r="AA16" s="35" t="s">
        <v>8896</v>
      </c>
      <c r="AB16" s="100">
        <f>AJ12</f>
        <v>7.64</v>
      </c>
      <c r="AC16" s="35" t="s">
        <v>8892</v>
      </c>
      <c r="AD16" s="100" t="str">
        <f>TEXT(ROUND(Z16*AJ12,3),"#,0.000")</f>
        <v>91.680</v>
      </c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</row>
    <row r="17" spans="1:41" ht="16.5" customHeight="1" x14ac:dyDescent="0.3">
      <c r="A17" s="69"/>
      <c r="B17" s="69"/>
      <c r="C17" s="69"/>
      <c r="D17" s="69"/>
      <c r="E17" s="69"/>
      <c r="F17" s="69"/>
      <c r="G17" s="17" t="s">
        <v>8885</v>
      </c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</row>
    <row r="18" spans="1:41" ht="16.5" customHeight="1" x14ac:dyDescent="0.3">
      <c r="A18" s="59"/>
      <c r="B18" s="68" t="str">
        <f>"  t3 = "&amp;Z18&amp;"  (준설토운반시간) "</f>
        <v xml:space="preserve">  t3 = 0  (준설토운반시간) </v>
      </c>
      <c r="C18" s="69"/>
      <c r="D18" s="69"/>
      <c r="E18" s="69"/>
      <c r="F18" s="69"/>
      <c r="G18" s="17" t="s">
        <v>8895</v>
      </c>
      <c r="Z18" s="99">
        <v>0</v>
      </c>
      <c r="AA18" s="35" t="s">
        <v>8892</v>
      </c>
      <c r="AB18" s="100">
        <f>Z18</f>
        <v>0</v>
      </c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</row>
    <row r="19" spans="1:41" ht="16.5" customHeight="1" x14ac:dyDescent="0.3">
      <c r="A19" s="69"/>
      <c r="B19" s="69"/>
      <c r="C19" s="69"/>
      <c r="D19" s="69"/>
      <c r="E19" s="69"/>
      <c r="F19" s="69"/>
      <c r="G19" s="17" t="s">
        <v>8885</v>
      </c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</row>
    <row r="20" spans="1:41" ht="16.5" customHeight="1" x14ac:dyDescent="0.3">
      <c r="A20" s="59"/>
      <c r="B20" s="68" t="str">
        <f>"  Cm = t1+t2+t3+t4 = "&amp;AH20&amp;""</f>
        <v xml:space="preserve">  Cm = t1+t2+t3+t4 = 111.680</v>
      </c>
      <c r="C20" s="69"/>
      <c r="D20" s="69"/>
      <c r="E20" s="69"/>
      <c r="F20" s="69"/>
      <c r="G20" s="17" t="s">
        <v>8897</v>
      </c>
      <c r="Z20" s="100">
        <f>AB14</f>
        <v>20</v>
      </c>
      <c r="AA20" s="35" t="s">
        <v>8899</v>
      </c>
      <c r="AB20" s="100" t="str">
        <f>AD16</f>
        <v>91.680</v>
      </c>
      <c r="AC20" s="35" t="s">
        <v>8899</v>
      </c>
      <c r="AD20" s="100">
        <f>AB18</f>
        <v>0</v>
      </c>
      <c r="AE20" s="35" t="s">
        <v>8899</v>
      </c>
      <c r="AF20" s="100">
        <f>AF14</f>
        <v>0</v>
      </c>
      <c r="AG20" s="35" t="s">
        <v>8892</v>
      </c>
      <c r="AH20" s="100" t="str">
        <f>TEXT(ROUND(AB14+AD16+AB18+AF14,3),"#,0.000")</f>
        <v>111.680</v>
      </c>
      <c r="AI20" s="97"/>
      <c r="AJ20" s="97"/>
      <c r="AK20" s="97"/>
      <c r="AL20" s="97"/>
      <c r="AM20" s="97"/>
      <c r="AN20" s="97"/>
      <c r="AO20" s="97"/>
    </row>
    <row r="21" spans="1:41" ht="16.5" customHeight="1" x14ac:dyDescent="0.3">
      <c r="A21" s="69"/>
      <c r="B21" s="69"/>
      <c r="C21" s="69"/>
      <c r="D21" s="69"/>
      <c r="E21" s="69"/>
      <c r="F21" s="69"/>
      <c r="G21" s="17" t="s">
        <v>8885</v>
      </c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</row>
    <row r="22" spans="1:41" ht="16.5" customHeight="1" x14ac:dyDescent="0.3">
      <c r="A22" s="59"/>
      <c r="B22" s="68" t="str">
        <f>"  To = (Cm-t1)/Cm = "&amp;AG22&amp;""</f>
        <v xml:space="preserve">  To = (Cm-t1)/Cm = 0.821</v>
      </c>
      <c r="C22" s="69"/>
      <c r="D22" s="69"/>
      <c r="E22" s="69"/>
      <c r="F22" s="69"/>
      <c r="G22" s="17" t="s">
        <v>8898</v>
      </c>
      <c r="Z22" s="35" t="s">
        <v>8901</v>
      </c>
      <c r="AA22" s="100" t="str">
        <f>AH20</f>
        <v>111.680</v>
      </c>
      <c r="AB22" s="35" t="s">
        <v>8902</v>
      </c>
      <c r="AC22" s="100">
        <f>AB14</f>
        <v>20</v>
      </c>
      <c r="AD22" s="35" t="s">
        <v>8903</v>
      </c>
      <c r="AE22" s="100" t="str">
        <f>AH20</f>
        <v>111.680</v>
      </c>
      <c r="AF22" s="35" t="s">
        <v>8892</v>
      </c>
      <c r="AG22" s="100" t="str">
        <f>TEXT(ROUND((AH20-AB14)/AH20,3),"#,0.000")</f>
        <v>0.821</v>
      </c>
      <c r="AH22" s="97"/>
      <c r="AI22" s="97"/>
      <c r="AJ22" s="97"/>
      <c r="AK22" s="97"/>
      <c r="AL22" s="97"/>
      <c r="AM22" s="97"/>
      <c r="AN22" s="97"/>
      <c r="AO22" s="97"/>
    </row>
    <row r="23" spans="1:41" ht="16.5" customHeight="1" x14ac:dyDescent="0.3">
      <c r="A23" s="69"/>
      <c r="B23" s="69"/>
      <c r="C23" s="69"/>
      <c r="D23" s="69"/>
      <c r="E23" s="69"/>
      <c r="F23" s="69"/>
      <c r="G23" s="17" t="s">
        <v>8885</v>
      </c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</row>
    <row r="24" spans="1:41" ht="16.5" customHeight="1" x14ac:dyDescent="0.3">
      <c r="A24" s="59"/>
      <c r="B24" s="68" t="str">
        <f>"  Q1 = "&amp;Z24&amp;"*q*f*E/Cm = "&amp;AJ24&amp;"   ㎥/Hr "</f>
        <v xml:space="preserve">  Q1 = 60*q*f*E/Cm = 3.694   ㎥/Hr </v>
      </c>
      <c r="C24" s="69"/>
      <c r="D24" s="69"/>
      <c r="E24" s="69"/>
      <c r="F24" s="69"/>
      <c r="G24" s="17" t="s">
        <v>8900</v>
      </c>
      <c r="Z24" s="99">
        <v>60</v>
      </c>
      <c r="AA24" s="35" t="s">
        <v>8896</v>
      </c>
      <c r="AB24" s="100">
        <f>AJ12</f>
        <v>7.64</v>
      </c>
      <c r="AC24" s="35" t="s">
        <v>8896</v>
      </c>
      <c r="AD24" s="100">
        <f>AF12</f>
        <v>1</v>
      </c>
      <c r="AE24" s="35" t="s">
        <v>8896</v>
      </c>
      <c r="AF24" s="100">
        <f>AB12</f>
        <v>0.9</v>
      </c>
      <c r="AG24" s="35" t="s">
        <v>8905</v>
      </c>
      <c r="AH24" s="100" t="str">
        <f>AH20</f>
        <v>111.680</v>
      </c>
      <c r="AI24" s="35" t="s">
        <v>8892</v>
      </c>
      <c r="AJ24" s="100" t="str">
        <f>TEXT(ROUND(Z24*AJ12*AF12*AB12/AH20,3),"#,0.000")</f>
        <v>3.694</v>
      </c>
      <c r="AK24" s="97"/>
      <c r="AL24" s="97"/>
      <c r="AM24" s="97"/>
      <c r="AN24" s="97"/>
      <c r="AO24" s="97"/>
    </row>
    <row r="25" spans="1:41" ht="16.5" customHeight="1" x14ac:dyDescent="0.3">
      <c r="A25" s="69"/>
      <c r="B25" s="69"/>
      <c r="C25" s="69"/>
      <c r="D25" s="69"/>
      <c r="E25" s="69"/>
      <c r="F25" s="69"/>
      <c r="G25" s="17" t="s">
        <v>8885</v>
      </c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</row>
    <row r="26" spans="1:41" ht="16.5" customHeight="1" x14ac:dyDescent="0.3">
      <c r="A26" s="59" t="s">
        <v>8906</v>
      </c>
      <c r="B26" s="89" t="str">
        <f>"  노 무 비 :  "&amp;TEXT(I26,"#,##0"&amp;IF(I26&lt;&gt;INT(I26),".###",""))&amp;" / Q1 = "&amp;TEXT(C26,"#,##0.0")&amp;""</f>
        <v xml:space="preserve">  노 무 비 :  59,020 / Q1 = 15,977.2</v>
      </c>
      <c r="C26" s="91">
        <f>E26+D26+F26</f>
        <v>15977.2</v>
      </c>
      <c r="D26" s="91">
        <f>IF(H26=0,0,ROUNDDOWN(J26*H26,1))</f>
        <v>15977.2</v>
      </c>
      <c r="E26" s="91">
        <f>IF(H26=0,0,ROUNDDOWN(K26*H26,1))</f>
        <v>0</v>
      </c>
      <c r="F26" s="91">
        <f>IF(H26=0,0,ROUNDDOWN(L26*H26,1))</f>
        <v>0</v>
      </c>
      <c r="G26" s="17" t="s">
        <v>8904</v>
      </c>
      <c r="H26" s="94">
        <f>ROUNDUP(AC26,14-LEN(ABS(INT(AC26))))</f>
        <v>0.2707092582567</v>
      </c>
      <c r="I26" s="95">
        <f>K26+J26+L26</f>
        <v>59020</v>
      </c>
      <c r="J26" s="39">
        <f>중기목록표!F6</f>
        <v>59020</v>
      </c>
      <c r="M26" s="35" t="s">
        <v>8907</v>
      </c>
      <c r="N26" s="35" t="s">
        <v>8915</v>
      </c>
      <c r="X26" s="96" t="str">
        <f>중기목록표!B6&amp;" / "&amp;중기목록표!C6</f>
        <v>진공흡입 준설차 / 25톤(7.64㎥적)</v>
      </c>
      <c r="Y26" s="3" t="str">
        <f ca="1">HYPERLINK("#"&amp;중기목록표!J2&amp;"!A"&amp;ROW(중기목록표!A6),"중기3 →")</f>
        <v>중기3 →</v>
      </c>
      <c r="Z26" s="35" t="s">
        <v>8908</v>
      </c>
      <c r="AA26" s="100" t="str">
        <f>AJ24</f>
        <v>3.694</v>
      </c>
      <c r="AB26" s="35" t="s">
        <v>8892</v>
      </c>
      <c r="AC26" s="100">
        <f>1/AJ24</f>
        <v>0.27070925825663239</v>
      </c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</row>
    <row r="27" spans="1:41" ht="16.5" customHeight="1" x14ac:dyDescent="0.3">
      <c r="A27" s="69"/>
      <c r="B27" s="69"/>
      <c r="C27" s="69"/>
      <c r="D27" s="69"/>
      <c r="E27" s="69"/>
      <c r="F27" s="69"/>
      <c r="G27" s="17" t="s">
        <v>8885</v>
      </c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</row>
    <row r="28" spans="1:41" ht="16.5" customHeight="1" x14ac:dyDescent="0.3">
      <c r="A28" s="59" t="s">
        <v>8910</v>
      </c>
      <c r="B28" s="89" t="str">
        <f>"  재 료 비 :  "&amp;TEXT(I28,"#,##0"&amp;IF(I28&lt;&gt;INT(I28),".###",""))&amp;" / Q1 * To= "&amp;TEXT(C28,"#,##0.0")&amp;""</f>
        <v xml:space="preserve">  재 료 비 :  70,208 / Q1 * To= 15,603.8</v>
      </c>
      <c r="C28" s="91">
        <f>E28+D28+F28</f>
        <v>15603.8</v>
      </c>
      <c r="D28" s="91">
        <f>IF(H28=0,0,ROUNDDOWN(J28*H28,1))</f>
        <v>0</v>
      </c>
      <c r="E28" s="91">
        <f>IF(H28=0,0,ROUNDDOWN(K28*H28,1))</f>
        <v>15603.8</v>
      </c>
      <c r="F28" s="91">
        <f>IF(H28=0,0,ROUNDDOWN(L28*H28,1))</f>
        <v>0</v>
      </c>
      <c r="G28" s="17" t="s">
        <v>8909</v>
      </c>
      <c r="H28" s="94">
        <f>ROUNDUP(AE28,14-LEN(ABS(INT(AE28))))</f>
        <v>0.2222523010287</v>
      </c>
      <c r="I28" s="95">
        <f>K28+J28+L28</f>
        <v>70208</v>
      </c>
      <c r="K28" s="39">
        <f>중기목록표!G6</f>
        <v>70208</v>
      </c>
      <c r="M28" s="35" t="s">
        <v>8907</v>
      </c>
      <c r="N28" s="35" t="s">
        <v>8915</v>
      </c>
      <c r="X28" s="96" t="str">
        <f>중기목록표!B6&amp;" / "&amp;중기목록표!C6</f>
        <v>진공흡입 준설차 / 25톤(7.64㎥적)</v>
      </c>
      <c r="Y28" s="3" t="str">
        <f ca="1">HYPERLINK("#"&amp;중기목록표!J2&amp;"!A"&amp;ROW(중기목록표!A6),"중기3 →")</f>
        <v>중기3 →</v>
      </c>
      <c r="Z28" s="35" t="s">
        <v>8908</v>
      </c>
      <c r="AA28" s="100" t="str">
        <f>AJ24</f>
        <v>3.694</v>
      </c>
      <c r="AB28" s="35" t="s">
        <v>8896</v>
      </c>
      <c r="AC28" s="100" t="str">
        <f>AG22</f>
        <v>0.821</v>
      </c>
      <c r="AD28" s="35" t="s">
        <v>8892</v>
      </c>
      <c r="AE28" s="100">
        <f>1/AJ24*AG22</f>
        <v>0.22225230102869517</v>
      </c>
      <c r="AF28" s="97"/>
      <c r="AG28" s="97"/>
      <c r="AH28" s="97"/>
      <c r="AI28" s="97"/>
      <c r="AJ28" s="97"/>
      <c r="AK28" s="97"/>
      <c r="AL28" s="97"/>
      <c r="AM28" s="97"/>
      <c r="AN28" s="97"/>
      <c r="AO28" s="97"/>
    </row>
    <row r="29" spans="1:41" ht="16.5" customHeight="1" x14ac:dyDescent="0.3">
      <c r="A29" s="69"/>
      <c r="B29" s="69"/>
      <c r="C29" s="69"/>
      <c r="D29" s="69"/>
      <c r="E29" s="69"/>
      <c r="F29" s="69"/>
      <c r="G29" s="17" t="s">
        <v>8885</v>
      </c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</row>
    <row r="30" spans="1:41" ht="16.5" customHeight="1" x14ac:dyDescent="0.3">
      <c r="A30" s="59" t="s">
        <v>8912</v>
      </c>
      <c r="B30" s="89" t="str">
        <f>"  경    비 :  "&amp;TEXT(I30,"#,##0"&amp;IF(I30&lt;&gt;INT(I30),".###",""))&amp;" / Q1 = "&amp;TEXT(C30,"#,##0.0")&amp;""</f>
        <v xml:space="preserve">  경    비 :  73,035 / Q1 = 19,771.2</v>
      </c>
      <c r="C30" s="91">
        <f>E30+D30+F30</f>
        <v>19771.2</v>
      </c>
      <c r="D30" s="91">
        <f>IF(H30=0,0,ROUNDDOWN(J30*H30,1))</f>
        <v>0</v>
      </c>
      <c r="E30" s="91">
        <f>IF(H30=0,0,ROUNDDOWN(K30*H30,1))</f>
        <v>0</v>
      </c>
      <c r="F30" s="91">
        <f>IF(H30=0,0,ROUNDDOWN(L30*H30,1))</f>
        <v>19771.2</v>
      </c>
      <c r="G30" s="17" t="s">
        <v>8911</v>
      </c>
      <c r="H30" s="94">
        <f>ROUNDUP(AC30,14-LEN(ABS(INT(AC30))))</f>
        <v>0.2707092582567</v>
      </c>
      <c r="I30" s="95">
        <f>K30+J30+L30</f>
        <v>73035</v>
      </c>
      <c r="L30" s="39">
        <f>중기목록표!H6</f>
        <v>73035</v>
      </c>
      <c r="M30" s="35" t="s">
        <v>8907</v>
      </c>
      <c r="N30" s="35" t="s">
        <v>8915</v>
      </c>
      <c r="X30" s="96" t="str">
        <f>중기목록표!B6&amp;" / "&amp;중기목록표!C6</f>
        <v>진공흡입 준설차 / 25톤(7.64㎥적)</v>
      </c>
      <c r="Y30" s="3" t="str">
        <f ca="1">HYPERLINK("#"&amp;중기목록표!J2&amp;"!A"&amp;ROW(중기목록표!A6),"중기3 →")</f>
        <v>중기3 →</v>
      </c>
      <c r="Z30" s="35" t="s">
        <v>8908</v>
      </c>
      <c r="AA30" s="100" t="str">
        <f>AJ24</f>
        <v>3.694</v>
      </c>
      <c r="AB30" s="35" t="s">
        <v>8892</v>
      </c>
      <c r="AC30" s="100">
        <f>1/AJ24</f>
        <v>0.27070925825663239</v>
      </c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</row>
    <row r="31" spans="1:41" ht="16.5" customHeight="1" x14ac:dyDescent="0.3">
      <c r="A31" s="69"/>
      <c r="B31" s="69"/>
      <c r="C31" s="69"/>
      <c r="D31" s="69"/>
      <c r="E31" s="69"/>
      <c r="F31" s="69"/>
      <c r="G31" s="17" t="s">
        <v>8885</v>
      </c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</row>
    <row r="32" spans="1:41" ht="16.5" customHeight="1" x14ac:dyDescent="0.3">
      <c r="A32" s="59"/>
      <c r="B32" s="68" t="s">
        <v>8914</v>
      </c>
      <c r="C32" s="92">
        <f>E32+D32+F32</f>
        <v>51352.2</v>
      </c>
      <c r="D32" s="92">
        <f>SUMIF(N7:N31,M32,D7:D31)</f>
        <v>15977.2</v>
      </c>
      <c r="E32" s="92">
        <f>SUMIF(N7:N31,M32,E7:E31)</f>
        <v>15603.8</v>
      </c>
      <c r="F32" s="92">
        <f>SUMIF(N7:N31,M32,F7:F31)</f>
        <v>19771.2</v>
      </c>
      <c r="G32" s="17" t="s">
        <v>8913</v>
      </c>
      <c r="M32" s="35" t="s">
        <v>8915</v>
      </c>
      <c r="N32" s="35" t="s">
        <v>8952</v>
      </c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</row>
    <row r="33" spans="1:41" ht="16.5" customHeight="1" x14ac:dyDescent="0.3">
      <c r="A33" s="69"/>
      <c r="B33" s="69"/>
      <c r="C33" s="90"/>
      <c r="D33" s="90"/>
      <c r="E33" s="90"/>
      <c r="F33" s="90"/>
      <c r="G33" s="17" t="s">
        <v>8885</v>
      </c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</row>
    <row r="34" spans="1:41" ht="16.5" customHeight="1" x14ac:dyDescent="0.3">
      <c r="A34" s="59"/>
      <c r="B34" s="68" t="s">
        <v>8917</v>
      </c>
      <c r="C34" s="69"/>
      <c r="D34" s="69"/>
      <c r="E34" s="69"/>
      <c r="F34" s="69"/>
      <c r="G34" s="17" t="s">
        <v>8916</v>
      </c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</row>
    <row r="35" spans="1:41" ht="16.5" customHeight="1" x14ac:dyDescent="0.3">
      <c r="A35" s="69"/>
      <c r="B35" s="69"/>
      <c r="C35" s="69"/>
      <c r="D35" s="69"/>
      <c r="E35" s="69"/>
      <c r="F35" s="69"/>
      <c r="G35" s="17" t="s">
        <v>8885</v>
      </c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</row>
    <row r="36" spans="1:41" ht="16.5" customHeight="1" x14ac:dyDescent="0.3">
      <c r="A36" s="59"/>
      <c r="B36" s="68" t="str">
        <f>"  E = "&amp;Z36&amp;",  f = "&amp;AD36&amp;",  q = "&amp;AH36&amp;",  L = "&amp;AL36&amp;"  km  ,"</f>
        <v xml:space="preserve">  E = 0.9,  f = 1,  q = 7.64,  L = 66  km  ,</v>
      </c>
      <c r="C36" s="69"/>
      <c r="D36" s="69"/>
      <c r="E36" s="69"/>
      <c r="F36" s="69"/>
      <c r="G36" s="17" t="s">
        <v>8918</v>
      </c>
      <c r="Z36" s="98">
        <v>0.9</v>
      </c>
      <c r="AA36" s="35" t="s">
        <v>8892</v>
      </c>
      <c r="AB36" s="100">
        <f>Z36</f>
        <v>0.9</v>
      </c>
      <c r="AC36" s="101" t="s">
        <v>8893</v>
      </c>
      <c r="AD36" s="99">
        <v>1</v>
      </c>
      <c r="AE36" s="35" t="s">
        <v>8892</v>
      </c>
      <c r="AF36" s="100">
        <f>AD36</f>
        <v>1</v>
      </c>
      <c r="AG36" s="101" t="s">
        <v>8893</v>
      </c>
      <c r="AH36" s="98">
        <v>7.64</v>
      </c>
      <c r="AI36" s="35" t="s">
        <v>8892</v>
      </c>
      <c r="AJ36" s="100">
        <f>AH36</f>
        <v>7.64</v>
      </c>
      <c r="AK36" s="101" t="s">
        <v>8893</v>
      </c>
      <c r="AL36" s="99">
        <v>66</v>
      </c>
      <c r="AM36" s="35" t="s">
        <v>8892</v>
      </c>
      <c r="AN36" s="100">
        <f>AL36</f>
        <v>66</v>
      </c>
      <c r="AO36" s="101" t="s">
        <v>8893</v>
      </c>
    </row>
    <row r="37" spans="1:41" ht="16.5" customHeight="1" x14ac:dyDescent="0.3">
      <c r="A37" s="69"/>
      <c r="B37" s="69"/>
      <c r="C37" s="69"/>
      <c r="D37" s="69"/>
      <c r="E37" s="69"/>
      <c r="F37" s="69"/>
      <c r="G37" s="17" t="s">
        <v>8885</v>
      </c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</row>
    <row r="38" spans="1:41" ht="16.5" customHeight="1" x14ac:dyDescent="0.3">
      <c r="A38" s="59"/>
      <c r="B38" s="68" t="str">
        <f>"  t1 = "&amp;Z38&amp;"  (준비시간)  , t2 = "&amp;AD38&amp;"  (세정/흡입시간) "</f>
        <v xml:space="preserve">  t1 = 0  (준비시간)  , t2 = 0  (세정/흡입시간) </v>
      </c>
      <c r="C38" s="69"/>
      <c r="D38" s="69"/>
      <c r="E38" s="69"/>
      <c r="F38" s="69"/>
      <c r="G38" s="17" t="s">
        <v>8919</v>
      </c>
      <c r="Z38" s="99">
        <v>0</v>
      </c>
      <c r="AA38" s="35" t="s">
        <v>8892</v>
      </c>
      <c r="AB38" s="100">
        <f>Z38</f>
        <v>0</v>
      </c>
      <c r="AC38" s="101" t="s">
        <v>8893</v>
      </c>
      <c r="AD38" s="99">
        <v>0</v>
      </c>
      <c r="AE38" s="35" t="s">
        <v>8892</v>
      </c>
      <c r="AF38" s="100">
        <f>AD38</f>
        <v>0</v>
      </c>
      <c r="AG38" s="97"/>
      <c r="AH38" s="97"/>
      <c r="AI38" s="97"/>
      <c r="AJ38" s="97"/>
      <c r="AK38" s="97"/>
      <c r="AL38" s="97"/>
      <c r="AM38" s="97"/>
      <c r="AN38" s="97"/>
      <c r="AO38" s="97"/>
    </row>
    <row r="39" spans="1:41" ht="16.5" customHeight="1" x14ac:dyDescent="0.3">
      <c r="A39" s="69"/>
      <c r="B39" s="69"/>
      <c r="C39" s="69"/>
      <c r="D39" s="69"/>
      <c r="E39" s="69"/>
      <c r="F39" s="69"/>
      <c r="G39" s="17" t="s">
        <v>8885</v>
      </c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</row>
    <row r="40" spans="1:41" ht="16.5" customHeight="1" x14ac:dyDescent="0.3">
      <c r="A40" s="59"/>
      <c r="B40" s="68" t="str">
        <f>"  t3 = (L/"&amp;AC40&amp;"*"&amp;AE40&amp;"+"&amp;AG40&amp;"/"&amp;AI40&amp;"*"&amp;AK40&amp;")*"&amp;AM40&amp;" = "&amp;AO40&amp;""</f>
        <v xml:space="preserve">  t3 = (L/50*2+0.1/10*2)*60 = 159.600</v>
      </c>
      <c r="C40" s="69"/>
      <c r="D40" s="69"/>
      <c r="E40" s="69"/>
      <c r="F40" s="69"/>
      <c r="G40" s="17" t="s">
        <v>8920</v>
      </c>
      <c r="Z40" s="35" t="s">
        <v>8901</v>
      </c>
      <c r="AA40" s="100">
        <f>AN36</f>
        <v>66</v>
      </c>
      <c r="AB40" s="35" t="s">
        <v>8905</v>
      </c>
      <c r="AC40" s="99">
        <v>50</v>
      </c>
      <c r="AD40" s="35" t="s">
        <v>8896</v>
      </c>
      <c r="AE40" s="99">
        <v>2</v>
      </c>
      <c r="AF40" s="35" t="s">
        <v>8899</v>
      </c>
      <c r="AG40" s="98">
        <v>0.1</v>
      </c>
      <c r="AH40" s="35" t="s">
        <v>8905</v>
      </c>
      <c r="AI40" s="99">
        <v>10</v>
      </c>
      <c r="AJ40" s="35" t="s">
        <v>8896</v>
      </c>
      <c r="AK40" s="99">
        <v>2</v>
      </c>
      <c r="AL40" s="35" t="s">
        <v>8922</v>
      </c>
      <c r="AM40" s="99">
        <v>60</v>
      </c>
      <c r="AN40" s="35" t="s">
        <v>8892</v>
      </c>
      <c r="AO40" s="100" t="str">
        <f>TEXT(ROUND((AN36/AC40*AE40+AG40/AI40*AK40)*AM40,3),"#,0.000")</f>
        <v>159.600</v>
      </c>
    </row>
    <row r="41" spans="1:41" ht="16.5" customHeight="1" x14ac:dyDescent="0.3">
      <c r="A41" s="69"/>
      <c r="B41" s="69"/>
      <c r="C41" s="69"/>
      <c r="D41" s="69"/>
      <c r="E41" s="69"/>
      <c r="F41" s="69"/>
      <c r="G41" s="17" t="s">
        <v>8885</v>
      </c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</row>
    <row r="42" spans="1:41" ht="16.5" customHeight="1" x14ac:dyDescent="0.3">
      <c r="A42" s="59"/>
      <c r="B42" s="68" t="str">
        <f>"  t4 = "&amp;Z42&amp;"  (준설토적하시간) "</f>
        <v xml:space="preserve">  t4 = 18  (준설토적하시간) </v>
      </c>
      <c r="C42" s="69"/>
      <c r="D42" s="69"/>
      <c r="E42" s="69"/>
      <c r="F42" s="69"/>
      <c r="G42" s="17" t="s">
        <v>8921</v>
      </c>
      <c r="Z42" s="99">
        <v>18</v>
      </c>
      <c r="AA42" s="35" t="s">
        <v>8892</v>
      </c>
      <c r="AB42" s="100">
        <f>Z42</f>
        <v>18</v>
      </c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</row>
    <row r="43" spans="1:41" ht="16.5" customHeight="1" x14ac:dyDescent="0.3">
      <c r="A43" s="69"/>
      <c r="B43" s="69"/>
      <c r="C43" s="69"/>
      <c r="D43" s="69"/>
      <c r="E43" s="69"/>
      <c r="F43" s="69"/>
      <c r="G43" s="17" t="s">
        <v>8885</v>
      </c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</row>
    <row r="44" spans="1:41" ht="16.5" customHeight="1" x14ac:dyDescent="0.3">
      <c r="A44" s="59"/>
      <c r="B44" s="68" t="str">
        <f>"  Cm = t1+t2+t3+t4 = "&amp;AH44&amp;""</f>
        <v xml:space="preserve">  Cm = t1+t2+t3+t4 = 177.600</v>
      </c>
      <c r="C44" s="69"/>
      <c r="D44" s="69"/>
      <c r="E44" s="69"/>
      <c r="F44" s="69"/>
      <c r="G44" s="17" t="s">
        <v>8897</v>
      </c>
      <c r="Z44" s="100">
        <f>AB38</f>
        <v>0</v>
      </c>
      <c r="AA44" s="35" t="s">
        <v>8899</v>
      </c>
      <c r="AB44" s="100">
        <f>AF38</f>
        <v>0</v>
      </c>
      <c r="AC44" s="35" t="s">
        <v>8899</v>
      </c>
      <c r="AD44" s="100" t="str">
        <f>AO40</f>
        <v>159.600</v>
      </c>
      <c r="AE44" s="35" t="s">
        <v>8899</v>
      </c>
      <c r="AF44" s="100">
        <f>AB42</f>
        <v>18</v>
      </c>
      <c r="AG44" s="35" t="s">
        <v>8892</v>
      </c>
      <c r="AH44" s="100" t="str">
        <f>TEXT(ROUND(AB38+AF38+AO40+AB42,3),"#,0.000")</f>
        <v>177.600</v>
      </c>
      <c r="AI44" s="97"/>
      <c r="AJ44" s="97"/>
      <c r="AK44" s="97"/>
      <c r="AL44" s="97"/>
      <c r="AM44" s="97"/>
      <c r="AN44" s="97"/>
      <c r="AO44" s="97"/>
    </row>
    <row r="45" spans="1:41" ht="16.5" customHeight="1" x14ac:dyDescent="0.3">
      <c r="A45" s="69"/>
      <c r="B45" s="69"/>
      <c r="C45" s="69"/>
      <c r="D45" s="69"/>
      <c r="E45" s="69"/>
      <c r="F45" s="69"/>
      <c r="G45" s="17" t="s">
        <v>8885</v>
      </c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</row>
    <row r="46" spans="1:41" ht="16.5" customHeight="1" x14ac:dyDescent="0.3">
      <c r="A46" s="59"/>
      <c r="B46" s="68" t="str">
        <f>"  Q2 = "&amp;Z46&amp;"*q*f*E/Cm = "&amp;AJ46&amp;"    ㎥/Hr "</f>
        <v xml:space="preserve">  Q2 = 60*q*f*E/Cm = 2.323    ㎥/Hr </v>
      </c>
      <c r="C46" s="69"/>
      <c r="D46" s="69"/>
      <c r="E46" s="69"/>
      <c r="F46" s="69"/>
      <c r="G46" s="17" t="s">
        <v>8923</v>
      </c>
      <c r="Z46" s="99">
        <v>60</v>
      </c>
      <c r="AA46" s="35" t="s">
        <v>8896</v>
      </c>
      <c r="AB46" s="100">
        <f>AJ36</f>
        <v>7.64</v>
      </c>
      <c r="AC46" s="35" t="s">
        <v>8896</v>
      </c>
      <c r="AD46" s="100">
        <f>AF36</f>
        <v>1</v>
      </c>
      <c r="AE46" s="35" t="s">
        <v>8896</v>
      </c>
      <c r="AF46" s="100">
        <f>AB36</f>
        <v>0.9</v>
      </c>
      <c r="AG46" s="35" t="s">
        <v>8905</v>
      </c>
      <c r="AH46" s="100" t="str">
        <f>AH44</f>
        <v>177.600</v>
      </c>
      <c r="AI46" s="35" t="s">
        <v>8892</v>
      </c>
      <c r="AJ46" s="100" t="str">
        <f>TEXT(ROUND(Z46*AJ36*AF36*AB36/AH44,3),"#,0.000")</f>
        <v>2.323</v>
      </c>
      <c r="AK46" s="97"/>
      <c r="AL46" s="97"/>
      <c r="AM46" s="97"/>
      <c r="AN46" s="97"/>
      <c r="AO46" s="97"/>
    </row>
    <row r="47" spans="1:41" ht="16.5" customHeight="1" x14ac:dyDescent="0.3">
      <c r="A47" s="69"/>
      <c r="B47" s="69"/>
      <c r="C47" s="69"/>
      <c r="D47" s="69"/>
      <c r="E47" s="69"/>
      <c r="F47" s="69"/>
      <c r="G47" s="17" t="s">
        <v>8885</v>
      </c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</row>
    <row r="48" spans="1:41" ht="16.5" customHeight="1" x14ac:dyDescent="0.3">
      <c r="A48" s="69"/>
      <c r="B48" s="69"/>
      <c r="C48" s="69"/>
      <c r="D48" s="69"/>
      <c r="E48" s="69"/>
      <c r="F48" s="69"/>
      <c r="G48" s="17" t="s">
        <v>8885</v>
      </c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</row>
    <row r="49" spans="1:41" ht="16.5" customHeight="1" x14ac:dyDescent="0.3">
      <c r="A49" s="59" t="s">
        <v>8906</v>
      </c>
      <c r="B49" s="89" t="str">
        <f>"  노 무 비 :  "&amp;TEXT(I49,"#,##0"&amp;IF(I49&lt;&gt;INT(I49),".###",""))&amp;" / Q2 = "&amp;TEXT(C49,"#,##0.0")&amp;""</f>
        <v xml:space="preserve">  노 무 비 :  59,020 / Q2 = 25,406.8</v>
      </c>
      <c r="C49" s="91">
        <f>E49+D49+F49</f>
        <v>25406.799999999999</v>
      </c>
      <c r="D49" s="91">
        <f>IF(H49=0,0,ROUNDDOWN(J49*H49,1))</f>
        <v>25406.799999999999</v>
      </c>
      <c r="E49" s="91">
        <f>IF(H49=0,0,ROUNDDOWN(K49*H49,1))</f>
        <v>0</v>
      </c>
      <c r="F49" s="91">
        <f>IF(H49=0,0,ROUNDDOWN(L49*H49,1))</f>
        <v>0</v>
      </c>
      <c r="G49" s="17" t="s">
        <v>8924</v>
      </c>
      <c r="H49" s="94">
        <f>ROUNDUP(AC49,14-LEN(ABS(INT(AC49))))</f>
        <v>0.43047783039179999</v>
      </c>
      <c r="I49" s="95">
        <f>K49+J49+L49</f>
        <v>59020</v>
      </c>
      <c r="J49" s="39">
        <f>중기목록표!F6</f>
        <v>59020</v>
      </c>
      <c r="M49" s="35" t="s">
        <v>8907</v>
      </c>
      <c r="N49" s="35" t="s">
        <v>8915</v>
      </c>
      <c r="X49" s="96" t="str">
        <f>중기목록표!B6&amp;" / "&amp;중기목록표!C6</f>
        <v>진공흡입 준설차 / 25톤(7.64㎥적)</v>
      </c>
      <c r="Y49" s="3" t="str">
        <f ca="1">HYPERLINK("#"&amp;중기목록표!J2&amp;"!A"&amp;ROW(중기목록표!A6),"중기3 →")</f>
        <v>중기3 →</v>
      </c>
      <c r="Z49" s="35" t="s">
        <v>8908</v>
      </c>
      <c r="AA49" s="100" t="str">
        <f>AJ46</f>
        <v>2.323</v>
      </c>
      <c r="AB49" s="35" t="s">
        <v>8892</v>
      </c>
      <c r="AC49" s="100">
        <f>1/AJ46</f>
        <v>0.43047783039173482</v>
      </c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</row>
    <row r="50" spans="1:41" ht="16.5" customHeight="1" x14ac:dyDescent="0.3">
      <c r="A50" s="69"/>
      <c r="B50" s="69"/>
      <c r="C50" s="69"/>
      <c r="D50" s="69"/>
      <c r="E50" s="69"/>
      <c r="F50" s="69"/>
      <c r="G50" s="17" t="s">
        <v>8885</v>
      </c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</row>
    <row r="51" spans="1:41" ht="16.5" customHeight="1" x14ac:dyDescent="0.3">
      <c r="A51" s="59" t="s">
        <v>8910</v>
      </c>
      <c r="B51" s="89" t="str">
        <f>"  재 료 비 :  "&amp;TEXT(I51,"#,##0"&amp;IF(I51&lt;&gt;INT(I51),".###",""))&amp;" / Q2 = "&amp;TEXT(C51,"#,##0.0")&amp;""</f>
        <v xml:space="preserve">  재 료 비 :  70,208 / Q2 = 30,222.9</v>
      </c>
      <c r="C51" s="91">
        <f>E51+D51+F51</f>
        <v>30222.9</v>
      </c>
      <c r="D51" s="91">
        <f>IF(H51=0,0,ROUNDDOWN(J51*H51,1))</f>
        <v>0</v>
      </c>
      <c r="E51" s="91">
        <f>IF(H51=0,0,ROUNDDOWN(K51*H51,1))</f>
        <v>30222.9</v>
      </c>
      <c r="F51" s="91">
        <f>IF(H51=0,0,ROUNDDOWN(L51*H51,1))</f>
        <v>0</v>
      </c>
      <c r="G51" s="17" t="s">
        <v>8925</v>
      </c>
      <c r="H51" s="94">
        <f>ROUNDUP(AC51,14-LEN(ABS(INT(AC51))))</f>
        <v>0.43047783039179999</v>
      </c>
      <c r="I51" s="95">
        <f>K51+J51+L51</f>
        <v>70208</v>
      </c>
      <c r="K51" s="39">
        <f>중기목록표!G6</f>
        <v>70208</v>
      </c>
      <c r="M51" s="35" t="s">
        <v>8907</v>
      </c>
      <c r="N51" s="35" t="s">
        <v>8915</v>
      </c>
      <c r="X51" s="96" t="str">
        <f>중기목록표!B6&amp;" / "&amp;중기목록표!C6</f>
        <v>진공흡입 준설차 / 25톤(7.64㎥적)</v>
      </c>
      <c r="Y51" s="3" t="str">
        <f ca="1">HYPERLINK("#"&amp;중기목록표!J2&amp;"!A"&amp;ROW(중기목록표!A6),"중기3 →")</f>
        <v>중기3 →</v>
      </c>
      <c r="Z51" s="35" t="s">
        <v>8908</v>
      </c>
      <c r="AA51" s="100" t="str">
        <f>AJ46</f>
        <v>2.323</v>
      </c>
      <c r="AB51" s="35" t="s">
        <v>8892</v>
      </c>
      <c r="AC51" s="100">
        <f>1/AJ46</f>
        <v>0.43047783039173482</v>
      </c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</row>
    <row r="52" spans="1:41" ht="16.5" customHeight="1" x14ac:dyDescent="0.3">
      <c r="A52" s="69"/>
      <c r="B52" s="69"/>
      <c r="C52" s="69"/>
      <c r="D52" s="69"/>
      <c r="E52" s="69"/>
      <c r="F52" s="69"/>
      <c r="G52" s="17" t="s">
        <v>8885</v>
      </c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</row>
    <row r="53" spans="1:41" ht="16.5" customHeight="1" x14ac:dyDescent="0.3">
      <c r="A53" s="59" t="s">
        <v>8912</v>
      </c>
      <c r="B53" s="89" t="str">
        <f>"  경    비 :  "&amp;TEXT(I53,"#,##0"&amp;IF(I53&lt;&gt;INT(I53),".###",""))&amp;" / Q2 = "&amp;TEXT(C53,"#,##0.0")&amp;""</f>
        <v xml:space="preserve">  경    비 :  73,035 / Q2 = 31,439.9</v>
      </c>
      <c r="C53" s="91">
        <f>E53+D53+F53</f>
        <v>31439.9</v>
      </c>
      <c r="D53" s="91">
        <f>IF(H53=0,0,ROUNDDOWN(J53*H53,1))</f>
        <v>0</v>
      </c>
      <c r="E53" s="91">
        <f>IF(H53=0,0,ROUNDDOWN(K53*H53,1))</f>
        <v>0</v>
      </c>
      <c r="F53" s="91">
        <f>IF(H53=0,0,ROUNDDOWN(L53*H53,1))</f>
        <v>31439.9</v>
      </c>
      <c r="G53" s="17" t="s">
        <v>8926</v>
      </c>
      <c r="H53" s="94">
        <f>ROUNDUP(AC53,14-LEN(ABS(INT(AC53))))</f>
        <v>0.43047783039179999</v>
      </c>
      <c r="I53" s="95">
        <f>K53+J53+L53</f>
        <v>73035</v>
      </c>
      <c r="L53" s="39">
        <f>중기목록표!H6</f>
        <v>73035</v>
      </c>
      <c r="M53" s="35" t="s">
        <v>8907</v>
      </c>
      <c r="N53" s="35" t="s">
        <v>8915</v>
      </c>
      <c r="X53" s="96" t="str">
        <f>중기목록표!B6&amp;" / "&amp;중기목록표!C6</f>
        <v>진공흡입 준설차 / 25톤(7.64㎥적)</v>
      </c>
      <c r="Y53" s="3" t="str">
        <f ca="1">HYPERLINK("#"&amp;중기목록표!J2&amp;"!A"&amp;ROW(중기목록표!A6),"중기3 →")</f>
        <v>중기3 →</v>
      </c>
      <c r="Z53" s="35" t="s">
        <v>8908</v>
      </c>
      <c r="AA53" s="100" t="str">
        <f>AJ46</f>
        <v>2.323</v>
      </c>
      <c r="AB53" s="35" t="s">
        <v>8892</v>
      </c>
      <c r="AC53" s="100">
        <f>1/AJ46</f>
        <v>0.43047783039173482</v>
      </c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</row>
    <row r="54" spans="1:41" ht="16.5" customHeight="1" x14ac:dyDescent="0.3">
      <c r="A54" s="69"/>
      <c r="B54" s="69"/>
      <c r="C54" s="69"/>
      <c r="D54" s="69"/>
      <c r="E54" s="69"/>
      <c r="F54" s="69"/>
      <c r="G54" s="17" t="s">
        <v>8885</v>
      </c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</row>
    <row r="55" spans="1:41" ht="16.5" customHeight="1" x14ac:dyDescent="0.3">
      <c r="A55" s="59"/>
      <c r="B55" s="68" t="s">
        <v>8914</v>
      </c>
      <c r="C55" s="92">
        <f>E55+D55+F55</f>
        <v>87069.6</v>
      </c>
      <c r="D55" s="92">
        <f>SUMIF(N33:N54,M55,D33:D54)</f>
        <v>25406.799999999999</v>
      </c>
      <c r="E55" s="92">
        <f>SUMIF(N33:N54,M55,E33:E54)</f>
        <v>30222.9</v>
      </c>
      <c r="F55" s="92">
        <f>SUMIF(N33:N54,M55,F33:F54)</f>
        <v>31439.9</v>
      </c>
      <c r="G55" s="17" t="s">
        <v>8927</v>
      </c>
      <c r="M55" s="35" t="s">
        <v>8915</v>
      </c>
      <c r="N55" s="35" t="s">
        <v>8952</v>
      </c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</row>
    <row r="56" spans="1:41" ht="16.5" customHeight="1" x14ac:dyDescent="0.3">
      <c r="A56" s="69"/>
      <c r="B56" s="69"/>
      <c r="C56" s="90"/>
      <c r="D56" s="90"/>
      <c r="E56" s="90"/>
      <c r="F56" s="90"/>
      <c r="G56" s="17" t="s">
        <v>8885</v>
      </c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</row>
    <row r="57" spans="1:41" ht="16.5" customHeight="1" x14ac:dyDescent="0.3">
      <c r="A57" s="59"/>
      <c r="B57" s="68" t="s">
        <v>8929</v>
      </c>
      <c r="C57" s="69"/>
      <c r="D57" s="69"/>
      <c r="E57" s="69"/>
      <c r="F57" s="69"/>
      <c r="G57" s="17" t="s">
        <v>8928</v>
      </c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</row>
    <row r="58" spans="1:41" ht="16.5" customHeight="1" x14ac:dyDescent="0.3">
      <c r="A58" s="69"/>
      <c r="B58" s="69"/>
      <c r="C58" s="69"/>
      <c r="D58" s="69"/>
      <c r="E58" s="69"/>
      <c r="F58" s="69"/>
      <c r="G58" s="17" t="s">
        <v>8885</v>
      </c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</row>
    <row r="59" spans="1:41" ht="16.5" customHeight="1" x14ac:dyDescent="0.3">
      <c r="A59" s="59"/>
      <c r="B59" s="68" t="str">
        <f>"  q = "&amp;Z59&amp;", f = "&amp;AD59&amp;", E = "&amp;AH59&amp;", L="&amp;AL59&amp;"  km "</f>
        <v xml:space="preserve">  q = 5.5, f = 1, E = 0.9, L=5  km </v>
      </c>
      <c r="C59" s="69"/>
      <c r="D59" s="69"/>
      <c r="E59" s="69"/>
      <c r="F59" s="69"/>
      <c r="G59" s="17" t="s">
        <v>8930</v>
      </c>
      <c r="Z59" s="98">
        <v>5.5</v>
      </c>
      <c r="AA59" s="35" t="s">
        <v>8892</v>
      </c>
      <c r="AB59" s="100">
        <f>Z59</f>
        <v>5.5</v>
      </c>
      <c r="AC59" s="101" t="s">
        <v>8893</v>
      </c>
      <c r="AD59" s="99">
        <v>1</v>
      </c>
      <c r="AE59" s="35" t="s">
        <v>8892</v>
      </c>
      <c r="AF59" s="100">
        <f>AD59</f>
        <v>1</v>
      </c>
      <c r="AG59" s="101" t="s">
        <v>8893</v>
      </c>
      <c r="AH59" s="98">
        <v>0.9</v>
      </c>
      <c r="AI59" s="35" t="s">
        <v>8892</v>
      </c>
      <c r="AJ59" s="100">
        <f>AH59</f>
        <v>0.9</v>
      </c>
      <c r="AK59" s="101" t="s">
        <v>8893</v>
      </c>
      <c r="AL59" s="99">
        <v>5</v>
      </c>
      <c r="AM59" s="35" t="s">
        <v>8892</v>
      </c>
      <c r="AN59" s="100">
        <f>AL59</f>
        <v>5</v>
      </c>
      <c r="AO59" s="97"/>
    </row>
    <row r="60" spans="1:41" ht="16.5" customHeight="1" x14ac:dyDescent="0.3">
      <c r="A60" s="69"/>
      <c r="B60" s="69"/>
      <c r="C60" s="69"/>
      <c r="D60" s="69"/>
      <c r="E60" s="69"/>
      <c r="F60" s="69"/>
      <c r="G60" s="17" t="s">
        <v>8885</v>
      </c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</row>
    <row r="61" spans="1:41" ht="16.5" customHeight="1" x14ac:dyDescent="0.3">
      <c r="A61" s="59"/>
      <c r="B61" s="68" t="str">
        <f>"  t1 = "&amp;Z61&amp;"  (급수시간)  , t3 = "&amp;AD61&amp;"  (세정수공급시간) "</f>
        <v xml:space="preserve">  t1 = 15  (급수시간)  , t3 = 15  (세정수공급시간) </v>
      </c>
      <c r="C61" s="69"/>
      <c r="D61" s="69"/>
      <c r="E61" s="69"/>
      <c r="F61" s="69"/>
      <c r="G61" s="17" t="s">
        <v>8931</v>
      </c>
      <c r="Z61" s="99">
        <v>15</v>
      </c>
      <c r="AA61" s="35" t="s">
        <v>8892</v>
      </c>
      <c r="AB61" s="100">
        <f>Z61</f>
        <v>15</v>
      </c>
      <c r="AC61" s="101" t="s">
        <v>8893</v>
      </c>
      <c r="AD61" s="99">
        <v>15</v>
      </c>
      <c r="AE61" s="35" t="s">
        <v>8892</v>
      </c>
      <c r="AF61" s="100">
        <f>AD61</f>
        <v>15</v>
      </c>
      <c r="AG61" s="97"/>
      <c r="AH61" s="97"/>
      <c r="AI61" s="97"/>
      <c r="AJ61" s="97"/>
      <c r="AK61" s="97"/>
      <c r="AL61" s="97"/>
      <c r="AM61" s="97"/>
      <c r="AN61" s="97"/>
      <c r="AO61" s="97"/>
    </row>
    <row r="62" spans="1:41" ht="16.5" customHeight="1" x14ac:dyDescent="0.3">
      <c r="A62" s="69"/>
      <c r="B62" s="69"/>
      <c r="C62" s="69"/>
      <c r="D62" s="69"/>
      <c r="E62" s="69"/>
      <c r="F62" s="69"/>
      <c r="G62" s="17" t="s">
        <v>8885</v>
      </c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  <c r="AN62" s="97"/>
      <c r="AO62" s="97"/>
    </row>
    <row r="63" spans="1:41" ht="16.5" customHeight="1" x14ac:dyDescent="0.3">
      <c r="A63" s="59"/>
      <c r="B63" s="68" t="str">
        <f>"  t2 = (L/"&amp;AC63&amp;"+L/"&amp;AG63&amp;")*"&amp;AI63&amp;" = "&amp;AK63&amp;""</f>
        <v xml:space="preserve">  t2 = (L/20+L/25)*60 = 27.000</v>
      </c>
      <c r="C63" s="69"/>
      <c r="D63" s="69"/>
      <c r="E63" s="69"/>
      <c r="F63" s="69"/>
      <c r="G63" s="17" t="s">
        <v>8932</v>
      </c>
      <c r="Z63" s="35" t="s">
        <v>8901</v>
      </c>
      <c r="AA63" s="100">
        <f>AN59</f>
        <v>5</v>
      </c>
      <c r="AB63" s="35" t="s">
        <v>8905</v>
      </c>
      <c r="AC63" s="99">
        <v>20</v>
      </c>
      <c r="AD63" s="35" t="s">
        <v>8899</v>
      </c>
      <c r="AE63" s="100">
        <f>AN59</f>
        <v>5</v>
      </c>
      <c r="AF63" s="35" t="s">
        <v>8905</v>
      </c>
      <c r="AG63" s="99">
        <v>25</v>
      </c>
      <c r="AH63" s="35" t="s">
        <v>8922</v>
      </c>
      <c r="AI63" s="99">
        <v>60</v>
      </c>
      <c r="AJ63" s="35" t="s">
        <v>8892</v>
      </c>
      <c r="AK63" s="100" t="str">
        <f>TEXT(ROUND((AN59/AC63+AN59/AG63)*AI63,3),"#,0.000")</f>
        <v>27.000</v>
      </c>
      <c r="AL63" s="97"/>
      <c r="AM63" s="97"/>
      <c r="AN63" s="97"/>
      <c r="AO63" s="97"/>
    </row>
    <row r="64" spans="1:41" ht="16.5" customHeight="1" x14ac:dyDescent="0.3">
      <c r="A64" s="69"/>
      <c r="B64" s="69"/>
      <c r="C64" s="69"/>
      <c r="D64" s="69"/>
      <c r="E64" s="69"/>
      <c r="F64" s="69"/>
      <c r="G64" s="17" t="s">
        <v>8885</v>
      </c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  <c r="AO64" s="97"/>
    </row>
    <row r="65" spans="1:41" ht="16.5" customHeight="1" x14ac:dyDescent="0.3">
      <c r="A65" s="59"/>
      <c r="B65" s="68" t="str">
        <f>"  Cm = t1+t2+t3 = "&amp;AF65&amp;""</f>
        <v xml:space="preserve">  Cm = t1+t2+t3 = 57.000</v>
      </c>
      <c r="C65" s="69"/>
      <c r="D65" s="69"/>
      <c r="E65" s="69"/>
      <c r="F65" s="69"/>
      <c r="G65" s="17" t="s">
        <v>8933</v>
      </c>
      <c r="Z65" s="100">
        <f>AB61</f>
        <v>15</v>
      </c>
      <c r="AA65" s="35" t="s">
        <v>8899</v>
      </c>
      <c r="AB65" s="100" t="str">
        <f>AK63</f>
        <v>27.000</v>
      </c>
      <c r="AC65" s="35" t="s">
        <v>8899</v>
      </c>
      <c r="AD65" s="100">
        <f>AF61</f>
        <v>15</v>
      </c>
      <c r="AE65" s="35" t="s">
        <v>8892</v>
      </c>
      <c r="AF65" s="100" t="str">
        <f>TEXT(ROUND(AB61+AK63+AF61,3),"#,0.000")</f>
        <v>57.000</v>
      </c>
      <c r="AG65" s="97"/>
      <c r="AH65" s="97"/>
      <c r="AI65" s="97"/>
      <c r="AJ65" s="97"/>
      <c r="AK65" s="97"/>
      <c r="AL65" s="97"/>
      <c r="AM65" s="97"/>
      <c r="AN65" s="97"/>
      <c r="AO65" s="97"/>
    </row>
    <row r="66" spans="1:41" ht="16.5" customHeight="1" x14ac:dyDescent="0.3">
      <c r="A66" s="69"/>
      <c r="B66" s="69"/>
      <c r="C66" s="69"/>
      <c r="D66" s="69"/>
      <c r="E66" s="69"/>
      <c r="F66" s="69"/>
      <c r="G66" s="17" t="s">
        <v>8885</v>
      </c>
      <c r="Z66" s="97"/>
      <c r="AA66" s="97"/>
      <c r="AB66" s="97"/>
      <c r="AC66" s="97"/>
      <c r="AD66" s="97"/>
      <c r="AE66" s="97"/>
      <c r="AF66" s="97"/>
      <c r="AG66" s="97"/>
      <c r="AH66" s="97"/>
      <c r="AI66" s="97"/>
      <c r="AJ66" s="97"/>
      <c r="AK66" s="97"/>
      <c r="AL66" s="97"/>
      <c r="AM66" s="97"/>
      <c r="AN66" s="97"/>
      <c r="AO66" s="97"/>
    </row>
    <row r="67" spans="1:41" ht="16.5" customHeight="1" x14ac:dyDescent="0.3">
      <c r="A67" s="59"/>
      <c r="B67" s="68" t="str">
        <f>"  To = (Cm-t1)/Cm = "&amp;AG67&amp;""</f>
        <v xml:space="preserve">  To = (Cm-t1)/Cm = 0.737</v>
      </c>
      <c r="C67" s="69"/>
      <c r="D67" s="69"/>
      <c r="E67" s="69"/>
      <c r="F67" s="69"/>
      <c r="G67" s="17" t="s">
        <v>8898</v>
      </c>
      <c r="Z67" s="35" t="s">
        <v>8901</v>
      </c>
      <c r="AA67" s="100" t="str">
        <f>AF65</f>
        <v>57.000</v>
      </c>
      <c r="AB67" s="35" t="s">
        <v>8902</v>
      </c>
      <c r="AC67" s="100">
        <f>AB61</f>
        <v>15</v>
      </c>
      <c r="AD67" s="35" t="s">
        <v>8903</v>
      </c>
      <c r="AE67" s="100" t="str">
        <f>AF65</f>
        <v>57.000</v>
      </c>
      <c r="AF67" s="35" t="s">
        <v>8892</v>
      </c>
      <c r="AG67" s="100" t="str">
        <f>TEXT(ROUND((AF65-AB61)/AF65,3),"#,0.000")</f>
        <v>0.737</v>
      </c>
      <c r="AH67" s="97"/>
      <c r="AI67" s="97"/>
      <c r="AJ67" s="97"/>
      <c r="AK67" s="97"/>
      <c r="AL67" s="97"/>
      <c r="AM67" s="97"/>
      <c r="AN67" s="97"/>
      <c r="AO67" s="97"/>
    </row>
    <row r="68" spans="1:41" ht="16.5" customHeight="1" x14ac:dyDescent="0.3">
      <c r="A68" s="69"/>
      <c r="B68" s="69"/>
      <c r="C68" s="69"/>
      <c r="D68" s="69"/>
      <c r="E68" s="69"/>
      <c r="F68" s="69"/>
      <c r="G68" s="17" t="s">
        <v>8885</v>
      </c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</row>
    <row r="69" spans="1:41" ht="16.5" customHeight="1" x14ac:dyDescent="0.3">
      <c r="A69" s="59"/>
      <c r="B69" s="68" t="str">
        <f>"  Q  = "&amp;Z69&amp;"*q*f*E/Cm = "&amp;AJ69&amp;"     ㎥/Hr "</f>
        <v xml:space="preserve">  Q  = 60*q*f*E/Cm = 5.211     ㎥/Hr </v>
      </c>
      <c r="C69" s="69"/>
      <c r="D69" s="69"/>
      <c r="E69" s="69"/>
      <c r="F69" s="69"/>
      <c r="G69" s="17" t="s">
        <v>8934</v>
      </c>
      <c r="Z69" s="99">
        <v>60</v>
      </c>
      <c r="AA69" s="35" t="s">
        <v>8896</v>
      </c>
      <c r="AB69" s="100">
        <f>AB59</f>
        <v>5.5</v>
      </c>
      <c r="AC69" s="35" t="s">
        <v>8896</v>
      </c>
      <c r="AD69" s="100">
        <f>AF59</f>
        <v>1</v>
      </c>
      <c r="AE69" s="35" t="s">
        <v>8896</v>
      </c>
      <c r="AF69" s="100">
        <f>AJ59</f>
        <v>0.9</v>
      </c>
      <c r="AG69" s="35" t="s">
        <v>8905</v>
      </c>
      <c r="AH69" s="100" t="str">
        <f>AF65</f>
        <v>57.000</v>
      </c>
      <c r="AI69" s="35" t="s">
        <v>8892</v>
      </c>
      <c r="AJ69" s="100" t="str">
        <f>TEXT(ROUND(Z69*AB59*AF59*AJ59/AF65,3),"#,0.000")</f>
        <v>5.211</v>
      </c>
      <c r="AK69" s="97"/>
      <c r="AL69" s="97"/>
      <c r="AM69" s="97"/>
      <c r="AN69" s="97"/>
      <c r="AO69" s="97"/>
    </row>
    <row r="70" spans="1:41" ht="16.5" customHeight="1" x14ac:dyDescent="0.3">
      <c r="A70" s="69"/>
      <c r="B70" s="69"/>
      <c r="C70" s="69"/>
      <c r="D70" s="69"/>
      <c r="E70" s="69"/>
      <c r="F70" s="69"/>
      <c r="G70" s="17" t="s">
        <v>8885</v>
      </c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</row>
    <row r="71" spans="1:41" ht="16.5" customHeight="1" x14ac:dyDescent="0.3">
      <c r="A71" s="59" t="s">
        <v>8936</v>
      </c>
      <c r="B71" s="89" t="str">
        <f>" 노 무 비 :  "&amp;TEXT(I71,"#,##0"&amp;IF(I71&lt;&gt;INT(I71),".###",""))&amp;" / Q = "&amp;TEXT(C71,"#,##0.0")&amp;""</f>
        <v xml:space="preserve"> 노 무 비 :  49,778 / Q = 9,552.4</v>
      </c>
      <c r="C71" s="91">
        <f>E71+D71+F71</f>
        <v>9552.4</v>
      </c>
      <c r="D71" s="91">
        <f>IF(H71=0,0,ROUNDDOWN(J71*H71,1))</f>
        <v>9552.4</v>
      </c>
      <c r="E71" s="91">
        <f>IF(H71=0,0,ROUNDDOWN(K71*H71,1))</f>
        <v>0</v>
      </c>
      <c r="F71" s="91">
        <f>IF(H71=0,0,ROUNDDOWN(L71*H71,1))</f>
        <v>0</v>
      </c>
      <c r="G71" s="17" t="s">
        <v>8935</v>
      </c>
      <c r="H71" s="94">
        <f>ROUNDUP(AC71,14-LEN(ABS(INT(AC71))))</f>
        <v>0.19190174630590001</v>
      </c>
      <c r="I71" s="95">
        <f>K71+J71+L71</f>
        <v>49778</v>
      </c>
      <c r="J71" s="39">
        <f>중기목록표!F5</f>
        <v>49778</v>
      </c>
      <c r="M71" s="35" t="s">
        <v>8937</v>
      </c>
      <c r="N71" s="35" t="s">
        <v>8915</v>
      </c>
      <c r="X71" s="96" t="str">
        <f>중기목록표!B5&amp;" / "&amp;중기목록표!C5</f>
        <v>물탱크(살수차) / 5500ℓ</v>
      </c>
      <c r="Y71" s="3" t="str">
        <f ca="1">HYPERLINK("#"&amp;중기목록표!J2&amp;"!A"&amp;ROW(중기목록표!A5),"중기2 →")</f>
        <v>중기2 →</v>
      </c>
      <c r="Z71" s="35" t="s">
        <v>8908</v>
      </c>
      <c r="AA71" s="100" t="str">
        <f>AJ69</f>
        <v>5.211</v>
      </c>
      <c r="AB71" s="35" t="s">
        <v>8892</v>
      </c>
      <c r="AC71" s="100">
        <f>1/AJ69</f>
        <v>0.19190174630589138</v>
      </c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</row>
    <row r="72" spans="1:41" ht="16.5" customHeight="1" x14ac:dyDescent="0.3">
      <c r="A72" s="69"/>
      <c r="B72" s="69"/>
      <c r="C72" s="69"/>
      <c r="D72" s="69"/>
      <c r="E72" s="69"/>
      <c r="F72" s="69"/>
      <c r="G72" s="17" t="s">
        <v>8885</v>
      </c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</row>
    <row r="73" spans="1:41" ht="16.5" customHeight="1" x14ac:dyDescent="0.3">
      <c r="A73" s="59" t="s">
        <v>8939</v>
      </c>
      <c r="B73" s="89" t="str">
        <f>" 재 료 비 :  "&amp;TEXT(I73,"#,##0"&amp;IF(I73&lt;&gt;INT(I73),".###",""))&amp;" / Q * To= "&amp;TEXT(C73,"#,##0.0")&amp;""</f>
        <v xml:space="preserve"> 재 료 비 :  21,967 / Q * To= 3,106.8</v>
      </c>
      <c r="C73" s="91">
        <f>E73+D73+F73</f>
        <v>3106.8</v>
      </c>
      <c r="D73" s="91">
        <f>IF(H73=0,0,ROUNDDOWN(J73*H73,1))</f>
        <v>0</v>
      </c>
      <c r="E73" s="91">
        <f>IF(H73=0,0,ROUNDDOWN(K73*H73,1))</f>
        <v>3106.8</v>
      </c>
      <c r="F73" s="91">
        <f>IF(H73=0,0,ROUNDDOWN(L73*H73,1))</f>
        <v>0</v>
      </c>
      <c r="G73" s="17" t="s">
        <v>8938</v>
      </c>
      <c r="H73" s="94">
        <f>ROUNDUP(AE73,14-LEN(ABS(INT(AE73))))</f>
        <v>0.1414315870275</v>
      </c>
      <c r="I73" s="95">
        <f>K73+J73+L73</f>
        <v>21967</v>
      </c>
      <c r="K73" s="39">
        <f>중기목록표!G5</f>
        <v>21967</v>
      </c>
      <c r="M73" s="35" t="s">
        <v>8937</v>
      </c>
      <c r="N73" s="35" t="s">
        <v>8915</v>
      </c>
      <c r="X73" s="96" t="str">
        <f>중기목록표!B5&amp;" / "&amp;중기목록표!C5</f>
        <v>물탱크(살수차) / 5500ℓ</v>
      </c>
      <c r="Y73" s="3" t="str">
        <f ca="1">HYPERLINK("#"&amp;중기목록표!J2&amp;"!A"&amp;ROW(중기목록표!A5),"중기2 →")</f>
        <v>중기2 →</v>
      </c>
      <c r="Z73" s="35" t="s">
        <v>8908</v>
      </c>
      <c r="AA73" s="100" t="str">
        <f>AJ69</f>
        <v>5.211</v>
      </c>
      <c r="AB73" s="35" t="s">
        <v>8896</v>
      </c>
      <c r="AC73" s="100" t="str">
        <f>AG67</f>
        <v>0.737</v>
      </c>
      <c r="AD73" s="35" t="s">
        <v>8892</v>
      </c>
      <c r="AE73" s="100">
        <f>1/AJ69*AG67</f>
        <v>0.14143158702744194</v>
      </c>
      <c r="AF73" s="97"/>
      <c r="AG73" s="97"/>
      <c r="AH73" s="97"/>
      <c r="AI73" s="97"/>
      <c r="AJ73" s="97"/>
      <c r="AK73" s="97"/>
      <c r="AL73" s="97"/>
      <c r="AM73" s="97"/>
      <c r="AN73" s="97"/>
      <c r="AO73" s="97"/>
    </row>
    <row r="74" spans="1:41" ht="16.5" customHeight="1" x14ac:dyDescent="0.3">
      <c r="A74" s="69"/>
      <c r="B74" s="69"/>
      <c r="C74" s="69"/>
      <c r="D74" s="69"/>
      <c r="E74" s="69"/>
      <c r="F74" s="69"/>
      <c r="G74" s="17" t="s">
        <v>8885</v>
      </c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</row>
    <row r="75" spans="1:41" ht="16.5" customHeight="1" x14ac:dyDescent="0.3">
      <c r="A75" s="59" t="s">
        <v>8941</v>
      </c>
      <c r="B75" s="89" t="str">
        <f>" 경    비 :  "&amp;TEXT(I75,"#,##0"&amp;IF(I75&lt;&gt;INT(I75),".###",""))&amp;" / Q = "&amp;TEXT(C75,"#,##0.0")&amp;""</f>
        <v xml:space="preserve"> 경    비 :  9,986 / Q = 1,916.3</v>
      </c>
      <c r="C75" s="91">
        <f>E75+D75+F75</f>
        <v>1916.3</v>
      </c>
      <c r="D75" s="91">
        <f>IF(H75=0,0,ROUNDDOWN(J75*H75,1))</f>
        <v>0</v>
      </c>
      <c r="E75" s="91">
        <f>IF(H75=0,0,ROUNDDOWN(K75*H75,1))</f>
        <v>0</v>
      </c>
      <c r="F75" s="91">
        <f>IF(H75=0,0,ROUNDDOWN(L75*H75,1))</f>
        <v>1916.3</v>
      </c>
      <c r="G75" s="17" t="s">
        <v>8940</v>
      </c>
      <c r="H75" s="94">
        <f>ROUNDUP(AC75,14-LEN(ABS(INT(AC75))))</f>
        <v>0.19190174630590001</v>
      </c>
      <c r="I75" s="95">
        <f>K75+J75+L75</f>
        <v>9986</v>
      </c>
      <c r="L75" s="39">
        <f>중기목록표!H5</f>
        <v>9986</v>
      </c>
      <c r="M75" s="35" t="s">
        <v>8937</v>
      </c>
      <c r="N75" s="35" t="s">
        <v>8915</v>
      </c>
      <c r="X75" s="96" t="str">
        <f>중기목록표!B5&amp;" / "&amp;중기목록표!C5</f>
        <v>물탱크(살수차) / 5500ℓ</v>
      </c>
      <c r="Y75" s="3" t="str">
        <f ca="1">HYPERLINK("#"&amp;중기목록표!J2&amp;"!A"&amp;ROW(중기목록표!A5),"중기2 →")</f>
        <v>중기2 →</v>
      </c>
      <c r="Z75" s="35" t="s">
        <v>8908</v>
      </c>
      <c r="AA75" s="100" t="str">
        <f>AJ69</f>
        <v>5.211</v>
      </c>
      <c r="AB75" s="35" t="s">
        <v>8892</v>
      </c>
      <c r="AC75" s="100">
        <f>1/AJ69</f>
        <v>0.19190174630589138</v>
      </c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</row>
    <row r="76" spans="1:41" ht="16.5" customHeight="1" x14ac:dyDescent="0.3">
      <c r="A76" s="69"/>
      <c r="B76" s="69"/>
      <c r="C76" s="69"/>
      <c r="D76" s="69"/>
      <c r="E76" s="69"/>
      <c r="F76" s="69"/>
      <c r="G76" s="17" t="s">
        <v>8885</v>
      </c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</row>
    <row r="77" spans="1:41" ht="16.5" customHeight="1" x14ac:dyDescent="0.3">
      <c r="A77" s="59"/>
      <c r="B77" s="68" t="s">
        <v>8914</v>
      </c>
      <c r="C77" s="92">
        <f>E77+D77+F77</f>
        <v>14575.5</v>
      </c>
      <c r="D77" s="92">
        <f>SUMIF(N56:N76,M77,D56:D76)</f>
        <v>9552.4</v>
      </c>
      <c r="E77" s="92">
        <f>SUMIF(N56:N76,M77,E56:E76)</f>
        <v>3106.8</v>
      </c>
      <c r="F77" s="92">
        <f>SUMIF(N56:N76,M77,F56:F76)</f>
        <v>1916.3</v>
      </c>
      <c r="G77" s="17" t="s">
        <v>8927</v>
      </c>
      <c r="M77" s="35" t="s">
        <v>8915</v>
      </c>
      <c r="N77" s="35" t="s">
        <v>8952</v>
      </c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</row>
    <row r="78" spans="1:41" ht="16.5" customHeight="1" x14ac:dyDescent="0.3">
      <c r="A78" s="69"/>
      <c r="B78" s="69"/>
      <c r="C78" s="90"/>
      <c r="D78" s="90"/>
      <c r="E78" s="90"/>
      <c r="F78" s="90"/>
      <c r="G78" s="17" t="s">
        <v>8885</v>
      </c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</row>
    <row r="79" spans="1:41" ht="16.5" customHeight="1" x14ac:dyDescent="0.3">
      <c r="A79" s="59"/>
      <c r="B79" s="68" t="s">
        <v>8943</v>
      </c>
      <c r="C79" s="69"/>
      <c r="D79" s="69"/>
      <c r="E79" s="69"/>
      <c r="F79" s="69"/>
      <c r="G79" s="17" t="s">
        <v>8942</v>
      </c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</row>
    <row r="80" spans="1:41" ht="16.5" customHeight="1" x14ac:dyDescent="0.3">
      <c r="A80" s="69"/>
      <c r="B80" s="69"/>
      <c r="C80" s="69"/>
      <c r="D80" s="69"/>
      <c r="E80" s="69"/>
      <c r="F80" s="69"/>
      <c r="G80" s="17" t="s">
        <v>8885</v>
      </c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</row>
    <row r="81" spans="1:41" ht="16.5" customHeight="1" x14ac:dyDescent="0.3">
      <c r="A81" s="59"/>
      <c r="B81" s="68" t="str">
        <f>"  Q = "&amp;Z81&amp;" * "&amp;AB81&amp;" = "&amp;AD81&amp;"    ㎥/일 "</f>
        <v xml:space="preserve">  Q = 3.69 * 8 = 29.520    ㎥/일 </v>
      </c>
      <c r="C81" s="69"/>
      <c r="D81" s="69"/>
      <c r="E81" s="69"/>
      <c r="F81" s="69"/>
      <c r="G81" s="17" t="s">
        <v>8944</v>
      </c>
      <c r="Z81" s="98">
        <v>3.69</v>
      </c>
      <c r="AA81" s="35" t="s">
        <v>8896</v>
      </c>
      <c r="AB81" s="99">
        <v>8</v>
      </c>
      <c r="AC81" s="35" t="s">
        <v>8892</v>
      </c>
      <c r="AD81" s="100" t="str">
        <f>TEXT(ROUND(Z81*AB81,3),"#,0.000")</f>
        <v>29.520</v>
      </c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</row>
    <row r="82" spans="1:41" ht="16.5" customHeight="1" x14ac:dyDescent="0.3">
      <c r="A82" s="69"/>
      <c r="B82" s="69"/>
      <c r="C82" s="69"/>
      <c r="D82" s="69"/>
      <c r="E82" s="69"/>
      <c r="F82" s="69"/>
      <c r="G82" s="17" t="s">
        <v>8885</v>
      </c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</row>
    <row r="83" spans="1:41" ht="16.5" customHeight="1" x14ac:dyDescent="0.3">
      <c r="A83" s="59" t="s">
        <v>8946</v>
      </c>
      <c r="B83" s="89" t="str">
        <f>"    특별인부 : "&amp;TEXT(I83,"#,##0"&amp;IF(I83&lt;&gt;INT(I83),".###",""))&amp;" * "&amp;AA83&amp;" 인  / Q= "&amp;TEXT(C83,"#,##0.0")&amp;""</f>
        <v xml:space="preserve">    특별인부 : 226,122 * 2.2 인  / Q= 16,851.9</v>
      </c>
      <c r="C83" s="91">
        <f>E83+D83+F83</f>
        <v>16851.900000000001</v>
      </c>
      <c r="D83" s="91">
        <f>IF(H83=0,0,ROUNDDOWN(J83*H83,1))</f>
        <v>16851.900000000001</v>
      </c>
      <c r="E83" s="91">
        <f>IF(H83=0,0,ROUNDDOWN(K83*H83,1))</f>
        <v>0</v>
      </c>
      <c r="F83" s="91">
        <f>IF(H83=0,0,ROUNDDOWN(L83*H83,1))</f>
        <v>0</v>
      </c>
      <c r="G83" s="17" t="s">
        <v>8945</v>
      </c>
      <c r="H83" s="94">
        <f>ROUNDUP(AE83,14-LEN(ABS(INT(AE83))))</f>
        <v>7.4525745257499998E-2</v>
      </c>
      <c r="I83" s="95">
        <f>K83+J83+L83</f>
        <v>226122</v>
      </c>
      <c r="J83" s="39">
        <f>노무비목록표!E20</f>
        <v>226122</v>
      </c>
      <c r="M83" s="35" t="s">
        <v>8454</v>
      </c>
      <c r="N83" s="35" t="s">
        <v>8915</v>
      </c>
      <c r="X83" s="96" t="str">
        <f>노무비목록표!B20&amp;" / "&amp;노무비목록표!C20</f>
        <v xml:space="preserve">특별인부 / </v>
      </c>
      <c r="Y83" s="3" t="str">
        <f ca="1">HYPERLINK("#"&amp;노무비목록표!G2&amp;"!A"&amp;ROW(노무비목록표!A20),"노무17 →")</f>
        <v>노무17 →</v>
      </c>
      <c r="Z83" s="35" t="s">
        <v>8947</v>
      </c>
      <c r="AA83" s="98">
        <v>2.2000000000000002</v>
      </c>
      <c r="AB83" s="35" t="s">
        <v>8905</v>
      </c>
      <c r="AC83" s="100" t="str">
        <f>AD81</f>
        <v>29.520</v>
      </c>
      <c r="AD83" s="35" t="s">
        <v>8892</v>
      </c>
      <c r="AE83" s="100">
        <f>1*AA83/AD81</f>
        <v>7.4525745257452577E-2</v>
      </c>
      <c r="AF83" s="97"/>
      <c r="AG83" s="97"/>
      <c r="AH83" s="97"/>
      <c r="AI83" s="97"/>
      <c r="AJ83" s="97"/>
      <c r="AK83" s="97"/>
      <c r="AL83" s="97"/>
      <c r="AM83" s="97"/>
      <c r="AN83" s="97"/>
      <c r="AO83" s="97"/>
    </row>
    <row r="84" spans="1:41" ht="16.5" customHeight="1" x14ac:dyDescent="0.3">
      <c r="A84" s="69"/>
      <c r="B84" s="69"/>
      <c r="C84" s="69"/>
      <c r="D84" s="69"/>
      <c r="E84" s="69"/>
      <c r="F84" s="69"/>
      <c r="G84" s="17" t="s">
        <v>8885</v>
      </c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</row>
    <row r="85" spans="1:41" ht="16.5" customHeight="1" x14ac:dyDescent="0.3">
      <c r="A85" s="59" t="s">
        <v>8949</v>
      </c>
      <c r="B85" s="89" t="str">
        <f>"    보통인부 : "&amp;TEXT(I85,"#,##0"&amp;IF(I85&lt;&gt;INT(I85),".###",""))&amp;" * "&amp;AA85&amp;" 인 /Q = "&amp;TEXT(C85,"#,##0.0")&amp;""</f>
        <v xml:space="preserve">    보통인부 : 172,068 * 1.4 인 /Q = 8,160.4</v>
      </c>
      <c r="C85" s="91">
        <f>E85+D85+F85</f>
        <v>8160.4</v>
      </c>
      <c r="D85" s="91">
        <f>IF(H85=0,0,ROUNDDOWN(J85*H85,1))</f>
        <v>8160.4</v>
      </c>
      <c r="E85" s="91">
        <f>IF(H85=0,0,ROUNDDOWN(K85*H85,1))</f>
        <v>0</v>
      </c>
      <c r="F85" s="91">
        <f>IF(H85=0,0,ROUNDDOWN(L85*H85,1))</f>
        <v>0</v>
      </c>
      <c r="G85" s="17" t="s">
        <v>8948</v>
      </c>
      <c r="H85" s="94">
        <f>ROUNDUP(AE85,14-LEN(ABS(INT(AE85))))</f>
        <v>4.7425474254800003E-2</v>
      </c>
      <c r="I85" s="95">
        <f>K85+J85+L85</f>
        <v>172068</v>
      </c>
      <c r="J85" s="39">
        <f>노무비목록표!E12</f>
        <v>172068</v>
      </c>
      <c r="M85" s="35" t="s">
        <v>8261</v>
      </c>
      <c r="N85" s="35" t="s">
        <v>8915</v>
      </c>
      <c r="X85" s="96" t="str">
        <f>노무비목록표!B12&amp;" / "&amp;노무비목록표!C12</f>
        <v xml:space="preserve">보통인부 / </v>
      </c>
      <c r="Y85" s="3" t="str">
        <f ca="1">HYPERLINK("#"&amp;노무비목록표!G2&amp;"!A"&amp;ROW(노무비목록표!A12),"노무9 →")</f>
        <v>노무9 →</v>
      </c>
      <c r="Z85" s="35" t="s">
        <v>8947</v>
      </c>
      <c r="AA85" s="98">
        <v>1.4</v>
      </c>
      <c r="AB85" s="35" t="s">
        <v>8905</v>
      </c>
      <c r="AC85" s="100" t="str">
        <f>AD81</f>
        <v>29.520</v>
      </c>
      <c r="AD85" s="35" t="s">
        <v>8892</v>
      </c>
      <c r="AE85" s="100">
        <f>1*AA85/AD81</f>
        <v>4.7425474254742542E-2</v>
      </c>
      <c r="AF85" s="97"/>
      <c r="AG85" s="97"/>
      <c r="AH85" s="97"/>
      <c r="AI85" s="97"/>
      <c r="AJ85" s="97"/>
      <c r="AK85" s="97"/>
      <c r="AL85" s="97"/>
      <c r="AM85" s="97"/>
      <c r="AN85" s="97"/>
      <c r="AO85" s="97"/>
    </row>
    <row r="86" spans="1:41" ht="16.5" customHeight="1" x14ac:dyDescent="0.3">
      <c r="A86" s="69"/>
      <c r="B86" s="69"/>
      <c r="C86" s="69"/>
      <c r="D86" s="69"/>
      <c r="E86" s="69"/>
      <c r="F86" s="69"/>
      <c r="G86" s="17" t="s">
        <v>8885</v>
      </c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</row>
    <row r="87" spans="1:41" ht="16.5" customHeight="1" x14ac:dyDescent="0.3">
      <c r="A87" s="59"/>
      <c r="B87" s="68" t="s">
        <v>8914</v>
      </c>
      <c r="C87" s="92">
        <f>E87+D87+F87</f>
        <v>25012.300000000003</v>
      </c>
      <c r="D87" s="92">
        <f>SUMIF(N78:N86,M87,D78:D86)</f>
        <v>25012.300000000003</v>
      </c>
      <c r="E87" s="92">
        <f>SUMIF(N78:N86,M87,E78:E86)</f>
        <v>0</v>
      </c>
      <c r="F87" s="92">
        <f>SUMIF(N78:N86,M87,F78:F86)</f>
        <v>0</v>
      </c>
      <c r="G87" s="17" t="s">
        <v>8927</v>
      </c>
      <c r="M87" s="35" t="s">
        <v>8915</v>
      </c>
      <c r="N87" s="35" t="s">
        <v>8952</v>
      </c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</row>
    <row r="88" spans="1:41" ht="16.5" customHeight="1" x14ac:dyDescent="0.3">
      <c r="A88" s="59"/>
      <c r="B88" s="68" t="s">
        <v>8951</v>
      </c>
      <c r="C88" s="93">
        <f>E88+D88+F88</f>
        <v>178009.60000000003</v>
      </c>
      <c r="D88" s="93">
        <f>SUMIF(N7:N87,M88,D7:D87)</f>
        <v>75948.700000000012</v>
      </c>
      <c r="E88" s="93">
        <f>SUMIF(N7:N87,M88,E7:E87)</f>
        <v>48933.5</v>
      </c>
      <c r="F88" s="93">
        <f>SUMIF(N7:N87,M88,F7:F87)</f>
        <v>53127.400000000009</v>
      </c>
      <c r="G88" s="17" t="s">
        <v>8950</v>
      </c>
      <c r="M88" s="35" t="s">
        <v>8952</v>
      </c>
      <c r="N88" s="35" t="s">
        <v>6406</v>
      </c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</row>
    <row r="89" spans="1:41" ht="16.5" customHeight="1" x14ac:dyDescent="0.3">
      <c r="A89" s="69"/>
      <c r="B89" s="69"/>
      <c r="C89" s="90"/>
      <c r="D89" s="90"/>
      <c r="E89" s="90"/>
      <c r="F89" s="90"/>
      <c r="G89" s="17" t="s">
        <v>8885</v>
      </c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</row>
    <row r="90" spans="1:41" ht="16.5" customHeight="1" x14ac:dyDescent="0.3">
      <c r="A90" s="69"/>
      <c r="B90" s="69"/>
      <c r="C90" s="69"/>
      <c r="D90" s="69"/>
      <c r="E90" s="69"/>
      <c r="F90" s="69"/>
      <c r="G90" s="17" t="s">
        <v>8885</v>
      </c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</row>
    <row r="91" spans="1:41" ht="16.5" customHeight="1" x14ac:dyDescent="0.3">
      <c r="A91" s="69"/>
      <c r="B91" s="69"/>
      <c r="C91" s="69"/>
      <c r="D91" s="69"/>
      <c r="E91" s="69"/>
      <c r="F91" s="69"/>
      <c r="G91" s="17" t="s">
        <v>8885</v>
      </c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</row>
    <row r="92" spans="1:41" ht="16.5" customHeight="1" x14ac:dyDescent="0.3">
      <c r="A92" s="69"/>
      <c r="B92" s="69"/>
      <c r="C92" s="69"/>
      <c r="D92" s="69"/>
      <c r="E92" s="69"/>
      <c r="F92" s="69"/>
      <c r="G92" s="17" t="s">
        <v>8885</v>
      </c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</row>
    <row r="93" spans="1:41" ht="16.5" customHeight="1" x14ac:dyDescent="0.3">
      <c r="A93" s="69"/>
      <c r="B93" s="69"/>
      <c r="C93" s="69"/>
      <c r="D93" s="69"/>
      <c r="E93" s="69"/>
      <c r="F93" s="69"/>
      <c r="G93" s="17" t="s">
        <v>8885</v>
      </c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</row>
    <row r="94" spans="1:41" ht="16.5" customHeight="1" x14ac:dyDescent="0.3">
      <c r="A94" s="69"/>
      <c r="B94" s="69"/>
      <c r="C94" s="69"/>
      <c r="D94" s="69"/>
      <c r="E94" s="69"/>
      <c r="F94" s="69"/>
      <c r="G94" s="17" t="s">
        <v>8885</v>
      </c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</row>
    <row r="95" spans="1:41" ht="16.5" customHeight="1" x14ac:dyDescent="0.3">
      <c r="A95" s="69"/>
      <c r="B95" s="69"/>
      <c r="C95" s="69"/>
      <c r="D95" s="69"/>
      <c r="E95" s="69"/>
      <c r="F95" s="69"/>
      <c r="G95" s="17" t="s">
        <v>8885</v>
      </c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</row>
    <row r="96" spans="1:41" ht="16.5" customHeight="1" x14ac:dyDescent="0.3">
      <c r="A96" s="69"/>
      <c r="B96" s="69"/>
      <c r="C96" s="69"/>
      <c r="D96" s="69"/>
      <c r="E96" s="69"/>
      <c r="F96" s="69"/>
      <c r="G96" s="17" t="s">
        <v>8885</v>
      </c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</row>
    <row r="97" spans="1:41" ht="16.5" customHeight="1" x14ac:dyDescent="0.3">
      <c r="A97" s="69"/>
      <c r="B97" s="69"/>
      <c r="C97" s="69"/>
      <c r="D97" s="69"/>
      <c r="E97" s="69"/>
      <c r="F97" s="69"/>
      <c r="G97" s="17" t="s">
        <v>8885</v>
      </c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</row>
    <row r="98" spans="1:41" ht="16.5" customHeight="1" x14ac:dyDescent="0.3">
      <c r="A98" s="69"/>
      <c r="B98" s="69"/>
      <c r="C98" s="69"/>
      <c r="D98" s="69"/>
      <c r="E98" s="69"/>
      <c r="F98" s="69"/>
      <c r="G98" s="17" t="s">
        <v>8885</v>
      </c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</row>
    <row r="99" spans="1:41" ht="16.5" customHeight="1" x14ac:dyDescent="0.3">
      <c r="A99" s="69"/>
      <c r="B99" s="69"/>
      <c r="C99" s="69"/>
      <c r="D99" s="69"/>
      <c r="E99" s="69"/>
      <c r="F99" s="69"/>
      <c r="G99" s="17" t="s">
        <v>8885</v>
      </c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</row>
    <row r="100" spans="1:41" ht="16.5" customHeight="1" x14ac:dyDescent="0.3">
      <c r="A100" s="69"/>
      <c r="B100" s="69"/>
      <c r="C100" s="69"/>
      <c r="D100" s="69"/>
      <c r="E100" s="69"/>
      <c r="F100" s="69"/>
      <c r="G100" s="17" t="s">
        <v>8885</v>
      </c>
      <c r="Z100" s="97"/>
      <c r="AA100" s="97"/>
      <c r="AB100" s="97"/>
      <c r="AC100" s="97"/>
      <c r="AD100" s="97"/>
      <c r="AE100" s="97"/>
      <c r="AF100" s="97"/>
      <c r="AG100" s="97"/>
      <c r="AH100" s="97"/>
      <c r="AI100" s="97"/>
      <c r="AJ100" s="97"/>
      <c r="AK100" s="97"/>
      <c r="AL100" s="97"/>
      <c r="AM100" s="97"/>
      <c r="AN100" s="97"/>
      <c r="AO100" s="97"/>
    </row>
    <row r="101" spans="1:41" ht="16.5" customHeight="1" x14ac:dyDescent="0.3">
      <c r="A101" s="69"/>
      <c r="B101" s="69"/>
      <c r="C101" s="69"/>
      <c r="D101" s="69"/>
      <c r="E101" s="69"/>
      <c r="F101" s="69"/>
      <c r="G101" s="17" t="s">
        <v>8885</v>
      </c>
      <c r="Z101" s="97"/>
      <c r="AA101" s="97"/>
      <c r="AB101" s="97"/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</row>
    <row r="102" spans="1:41" ht="16.5" customHeight="1" x14ac:dyDescent="0.3">
      <c r="A102" s="69"/>
      <c r="B102" s="69"/>
      <c r="C102" s="69"/>
      <c r="D102" s="69"/>
      <c r="E102" s="69"/>
      <c r="F102" s="69"/>
      <c r="G102" s="17" t="s">
        <v>8885</v>
      </c>
      <c r="Z102" s="97"/>
      <c r="AA102" s="97"/>
      <c r="AB102" s="97"/>
      <c r="AC102" s="97"/>
      <c r="AD102" s="97"/>
      <c r="AE102" s="97"/>
      <c r="AF102" s="97"/>
      <c r="AG102" s="97"/>
      <c r="AH102" s="97"/>
      <c r="AI102" s="97"/>
      <c r="AJ102" s="97"/>
      <c r="AK102" s="97"/>
      <c r="AL102" s="97"/>
      <c r="AM102" s="97"/>
      <c r="AN102" s="97"/>
      <c r="AO102" s="97"/>
    </row>
    <row r="103" spans="1:41" ht="16.5" customHeight="1" x14ac:dyDescent="0.3">
      <c r="A103" s="69"/>
      <c r="B103" s="69"/>
      <c r="C103" s="69"/>
      <c r="D103" s="69"/>
      <c r="E103" s="69"/>
      <c r="F103" s="69"/>
      <c r="G103" s="17" t="s">
        <v>8885</v>
      </c>
      <c r="Z103" s="97"/>
      <c r="AA103" s="97"/>
      <c r="AB103" s="97"/>
      <c r="AC103" s="97"/>
      <c r="AD103" s="97"/>
      <c r="AE103" s="97"/>
      <c r="AF103" s="97"/>
      <c r="AG103" s="97"/>
      <c r="AH103" s="97"/>
      <c r="AI103" s="97"/>
      <c r="AJ103" s="97"/>
      <c r="AK103" s="97"/>
      <c r="AL103" s="97"/>
      <c r="AM103" s="97"/>
      <c r="AN103" s="97"/>
      <c r="AO103" s="97"/>
    </row>
    <row r="104" spans="1:41" ht="16.5" customHeight="1" x14ac:dyDescent="0.3">
      <c r="A104" s="69"/>
      <c r="B104" s="69"/>
      <c r="C104" s="69"/>
      <c r="D104" s="69"/>
      <c r="E104" s="69"/>
      <c r="F104" s="69"/>
      <c r="G104" s="17" t="s">
        <v>8885</v>
      </c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</row>
    <row r="105" spans="1:41" ht="16.5" customHeight="1" x14ac:dyDescent="0.3">
      <c r="A105" s="69"/>
      <c r="B105" s="69"/>
      <c r="C105" s="69"/>
      <c r="D105" s="69"/>
      <c r="E105" s="69"/>
      <c r="F105" s="69"/>
      <c r="G105" s="17" t="s">
        <v>8885</v>
      </c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O105" s="97"/>
    </row>
    <row r="106" spans="1:41" ht="16.5" customHeight="1" x14ac:dyDescent="0.3">
      <c r="A106" s="69"/>
      <c r="B106" s="69"/>
      <c r="C106" s="69"/>
      <c r="D106" s="69"/>
      <c r="E106" s="69"/>
      <c r="F106" s="69"/>
      <c r="G106" s="17" t="s">
        <v>8885</v>
      </c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</row>
    <row r="107" spans="1:41" ht="16.5" customHeight="1" x14ac:dyDescent="0.3">
      <c r="A107" s="69"/>
      <c r="B107" s="69"/>
      <c r="C107" s="69"/>
      <c r="D107" s="69"/>
      <c r="E107" s="69"/>
      <c r="F107" s="69"/>
      <c r="G107" s="17" t="s">
        <v>8885</v>
      </c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97"/>
      <c r="AL107" s="97"/>
      <c r="AM107" s="97"/>
      <c r="AN107" s="97"/>
      <c r="AO107" s="97"/>
    </row>
    <row r="108" spans="1:41" ht="16.5" customHeight="1" x14ac:dyDescent="0.3">
      <c r="A108" s="69"/>
      <c r="B108" s="69"/>
      <c r="C108" s="69"/>
      <c r="D108" s="69"/>
      <c r="E108" s="69"/>
      <c r="F108" s="69"/>
      <c r="G108" s="17" t="s">
        <v>8885</v>
      </c>
      <c r="Z108" s="97"/>
      <c r="AA108" s="97"/>
      <c r="AB108" s="97"/>
      <c r="AC108" s="97"/>
      <c r="AD108" s="97"/>
      <c r="AE108" s="97"/>
      <c r="AF108" s="97"/>
      <c r="AG108" s="97"/>
      <c r="AH108" s="97"/>
      <c r="AI108" s="97"/>
      <c r="AJ108" s="97"/>
      <c r="AK108" s="97"/>
      <c r="AL108" s="97"/>
      <c r="AM108" s="97"/>
      <c r="AN108" s="97"/>
      <c r="AO108" s="97"/>
    </row>
    <row r="109" spans="1:41" ht="16.5" customHeight="1" x14ac:dyDescent="0.3">
      <c r="A109" s="69"/>
      <c r="B109" s="69"/>
      <c r="C109" s="69"/>
      <c r="D109" s="69"/>
      <c r="E109" s="69"/>
      <c r="F109" s="69"/>
      <c r="G109" s="17" t="s">
        <v>8885</v>
      </c>
      <c r="Z109" s="97"/>
      <c r="AA109" s="97"/>
      <c r="AB109" s="97"/>
      <c r="AC109" s="97"/>
      <c r="AD109" s="97"/>
      <c r="AE109" s="97"/>
      <c r="AF109" s="97"/>
      <c r="AG109" s="97"/>
      <c r="AH109" s="97"/>
      <c r="AI109" s="97"/>
      <c r="AJ109" s="97"/>
      <c r="AK109" s="97"/>
      <c r="AL109" s="97"/>
      <c r="AM109" s="97"/>
      <c r="AN109" s="97"/>
      <c r="AO109" s="97"/>
    </row>
    <row r="110" spans="1:41" ht="16.5" customHeight="1" x14ac:dyDescent="0.3">
      <c r="A110" s="69"/>
      <c r="B110" s="69"/>
      <c r="C110" s="69"/>
      <c r="D110" s="69"/>
      <c r="E110" s="69"/>
      <c r="F110" s="69"/>
      <c r="G110" s="17" t="s">
        <v>8885</v>
      </c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</row>
    <row r="111" spans="1:41" ht="16.5" customHeight="1" x14ac:dyDescent="0.3">
      <c r="A111" s="69"/>
      <c r="B111" s="69"/>
      <c r="C111" s="69"/>
      <c r="D111" s="69"/>
      <c r="E111" s="69"/>
      <c r="F111" s="69"/>
      <c r="G111" s="17" t="s">
        <v>8885</v>
      </c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/>
      <c r="AK111" s="97"/>
      <c r="AL111" s="97"/>
      <c r="AM111" s="97"/>
      <c r="AN111" s="97"/>
      <c r="AO111" s="97"/>
    </row>
    <row r="112" spans="1:41" ht="16.5" customHeight="1" x14ac:dyDescent="0.3">
      <c r="A112" s="69"/>
      <c r="B112" s="69"/>
      <c r="C112" s="69"/>
      <c r="D112" s="69"/>
      <c r="E112" s="69"/>
      <c r="F112" s="69"/>
      <c r="G112" s="17" t="s">
        <v>8885</v>
      </c>
      <c r="Z112" s="97"/>
      <c r="AA112" s="97"/>
      <c r="AB112" s="97"/>
      <c r="AC112" s="97"/>
      <c r="AD112" s="97"/>
      <c r="AE112" s="97"/>
      <c r="AF112" s="97"/>
      <c r="AG112" s="97"/>
      <c r="AH112" s="97"/>
      <c r="AI112" s="97"/>
      <c r="AJ112" s="97"/>
      <c r="AK112" s="97"/>
      <c r="AL112" s="97"/>
      <c r="AM112" s="97"/>
      <c r="AN112" s="97"/>
      <c r="AO112" s="97"/>
    </row>
    <row r="113" spans="1:41" ht="16.5" customHeight="1" x14ac:dyDescent="0.3">
      <c r="A113" s="69"/>
      <c r="B113" s="69"/>
      <c r="C113" s="69"/>
      <c r="D113" s="69"/>
      <c r="E113" s="69"/>
      <c r="F113" s="69"/>
      <c r="Z113" s="97"/>
      <c r="AA113" s="97"/>
      <c r="AB113" s="97"/>
      <c r="AC113" s="97"/>
      <c r="AD113" s="97"/>
      <c r="AE113" s="97"/>
      <c r="AF113" s="97"/>
      <c r="AG113" s="97"/>
      <c r="AH113" s="97"/>
      <c r="AI113" s="97"/>
      <c r="AJ113" s="97"/>
      <c r="AK113" s="97"/>
      <c r="AL113" s="97"/>
      <c r="AM113" s="97"/>
      <c r="AN113" s="97"/>
      <c r="AO113" s="97"/>
    </row>
    <row r="114" spans="1:41" ht="16.5" customHeight="1" x14ac:dyDescent="0.3">
      <c r="A114" s="69"/>
      <c r="B114" s="69"/>
      <c r="C114" s="69"/>
      <c r="D114" s="69"/>
      <c r="E114" s="69"/>
      <c r="F114" s="69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</row>
    <row r="115" spans="1:41" ht="16.5" customHeight="1" x14ac:dyDescent="0.3">
      <c r="A115" s="69"/>
      <c r="B115" s="69"/>
      <c r="C115" s="69"/>
      <c r="D115" s="69"/>
      <c r="E115" s="69"/>
      <c r="F115" s="69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  <c r="AN115" s="97"/>
      <c r="AO115" s="97"/>
    </row>
    <row r="116" spans="1:41" ht="16.5" customHeight="1" x14ac:dyDescent="0.3">
      <c r="A116" s="69"/>
      <c r="B116" s="69"/>
      <c r="C116" s="69"/>
      <c r="D116" s="69"/>
      <c r="E116" s="69"/>
      <c r="F116" s="69"/>
      <c r="Z116" s="97"/>
      <c r="AA116" s="97"/>
      <c r="AB116" s="97"/>
      <c r="AC116" s="97"/>
      <c r="AD116" s="97"/>
      <c r="AE116" s="97"/>
      <c r="AF116" s="97"/>
      <c r="AG116" s="97"/>
      <c r="AH116" s="97"/>
      <c r="AI116" s="97"/>
      <c r="AJ116" s="97"/>
      <c r="AK116" s="97"/>
      <c r="AL116" s="97"/>
      <c r="AM116" s="97"/>
      <c r="AN116" s="97"/>
      <c r="AO116" s="97"/>
    </row>
    <row r="117" spans="1:41" ht="16.5" customHeight="1" x14ac:dyDescent="0.3">
      <c r="A117" s="69"/>
      <c r="B117" s="69"/>
      <c r="C117" s="69"/>
      <c r="D117" s="69"/>
      <c r="E117" s="69"/>
      <c r="F117" s="69"/>
      <c r="Z117" s="97"/>
      <c r="AA117" s="97"/>
      <c r="AB117" s="97"/>
      <c r="AC117" s="97"/>
      <c r="AD117" s="97"/>
      <c r="AE117" s="97"/>
      <c r="AF117" s="97"/>
      <c r="AG117" s="97"/>
      <c r="AH117" s="97"/>
      <c r="AI117" s="97"/>
      <c r="AJ117" s="97"/>
      <c r="AK117" s="97"/>
      <c r="AL117" s="97"/>
      <c r="AM117" s="97"/>
      <c r="AN117" s="97"/>
      <c r="AO117" s="97"/>
    </row>
    <row r="118" spans="1:41" ht="16.5" customHeight="1" x14ac:dyDescent="0.3">
      <c r="A118" s="69"/>
      <c r="B118" s="69"/>
      <c r="C118" s="69"/>
      <c r="D118" s="69"/>
      <c r="E118" s="69"/>
      <c r="F118" s="69"/>
      <c r="Z118" s="97"/>
      <c r="AA118" s="97"/>
      <c r="AB118" s="97"/>
      <c r="AC118" s="97"/>
      <c r="AD118" s="97"/>
      <c r="AE118" s="97"/>
      <c r="AF118" s="97"/>
      <c r="AG118" s="97"/>
      <c r="AH118" s="97"/>
      <c r="AI118" s="97"/>
      <c r="AJ118" s="97"/>
      <c r="AK118" s="97"/>
      <c r="AL118" s="97"/>
      <c r="AM118" s="97"/>
      <c r="AN118" s="97"/>
      <c r="AO118" s="97"/>
    </row>
    <row r="119" spans="1:41" ht="16.5" customHeight="1" x14ac:dyDescent="0.3">
      <c r="A119" s="69"/>
      <c r="B119" s="69"/>
      <c r="C119" s="69"/>
      <c r="D119" s="69"/>
      <c r="E119" s="69"/>
      <c r="F119" s="69"/>
      <c r="Z119" s="97"/>
      <c r="AA119" s="97"/>
      <c r="AB119" s="97"/>
      <c r="AC119" s="97"/>
      <c r="AD119" s="97"/>
      <c r="AE119" s="97"/>
      <c r="AF119" s="97"/>
      <c r="AG119" s="97"/>
      <c r="AH119" s="97"/>
      <c r="AI119" s="97"/>
      <c r="AJ119" s="97"/>
      <c r="AK119" s="97"/>
      <c r="AL119" s="97"/>
      <c r="AM119" s="97"/>
      <c r="AN119" s="97"/>
      <c r="AO119" s="97"/>
    </row>
    <row r="120" spans="1:41" ht="16.5" customHeight="1" x14ac:dyDescent="0.3">
      <c r="A120" s="69"/>
      <c r="B120" s="69"/>
      <c r="C120" s="69"/>
      <c r="D120" s="69"/>
      <c r="E120" s="69"/>
      <c r="F120" s="69"/>
      <c r="Z120" s="97"/>
      <c r="AA120" s="97"/>
      <c r="AB120" s="97"/>
      <c r="AC120" s="97"/>
      <c r="AD120" s="97"/>
      <c r="AE120" s="97"/>
      <c r="AF120" s="97"/>
      <c r="AG120" s="97"/>
      <c r="AH120" s="97"/>
      <c r="AI120" s="97"/>
      <c r="AJ120" s="97"/>
      <c r="AK120" s="97"/>
      <c r="AL120" s="97"/>
      <c r="AM120" s="97"/>
      <c r="AN120" s="97"/>
      <c r="AO120" s="97"/>
    </row>
    <row r="121" spans="1:41" ht="16.5" customHeight="1" x14ac:dyDescent="0.3">
      <c r="A121" s="69"/>
      <c r="B121" s="69"/>
      <c r="C121" s="69"/>
      <c r="D121" s="69"/>
      <c r="E121" s="69"/>
      <c r="F121" s="69"/>
      <c r="Z121" s="97"/>
      <c r="AA121" s="97"/>
      <c r="AB121" s="97"/>
      <c r="AC121" s="97"/>
      <c r="AD121" s="97"/>
      <c r="AE121" s="97"/>
      <c r="AF121" s="97"/>
      <c r="AG121" s="97"/>
      <c r="AH121" s="97"/>
      <c r="AI121" s="97"/>
      <c r="AJ121" s="97"/>
      <c r="AK121" s="97"/>
      <c r="AL121" s="97"/>
      <c r="AM121" s="97"/>
      <c r="AN121" s="97"/>
      <c r="AO121" s="97"/>
    </row>
    <row r="122" spans="1:41" ht="16.5" customHeight="1" x14ac:dyDescent="0.3">
      <c r="A122" s="69"/>
      <c r="B122" s="69"/>
      <c r="C122" s="69"/>
      <c r="D122" s="69"/>
      <c r="E122" s="69"/>
      <c r="F122" s="69"/>
      <c r="Z122" s="97"/>
      <c r="AA122" s="97"/>
      <c r="AB122" s="97"/>
      <c r="AC122" s="97"/>
      <c r="AD122" s="97"/>
      <c r="AE122" s="97"/>
      <c r="AF122" s="97"/>
      <c r="AG122" s="97"/>
      <c r="AH122" s="97"/>
      <c r="AI122" s="97"/>
      <c r="AJ122" s="97"/>
      <c r="AK122" s="97"/>
      <c r="AL122" s="97"/>
      <c r="AM122" s="97"/>
      <c r="AN122" s="97"/>
      <c r="AO122" s="97"/>
    </row>
    <row r="123" spans="1:41" ht="16.5" customHeight="1" x14ac:dyDescent="0.3">
      <c r="A123" s="69"/>
      <c r="B123" s="69"/>
      <c r="C123" s="69"/>
      <c r="D123" s="69"/>
      <c r="E123" s="69"/>
      <c r="F123" s="69"/>
      <c r="Z123" s="97"/>
      <c r="AA123" s="97"/>
      <c r="AB123" s="97"/>
      <c r="AC123" s="97"/>
      <c r="AD123" s="97"/>
      <c r="AE123" s="97"/>
      <c r="AF123" s="97"/>
      <c r="AG123" s="97"/>
      <c r="AH123" s="97"/>
      <c r="AI123" s="97"/>
      <c r="AJ123" s="97"/>
      <c r="AK123" s="97"/>
      <c r="AL123" s="97"/>
      <c r="AM123" s="97"/>
      <c r="AN123" s="97"/>
      <c r="AO123" s="97"/>
    </row>
    <row r="124" spans="1:41" ht="16.5" customHeight="1" x14ac:dyDescent="0.3">
      <c r="A124" s="69"/>
      <c r="B124" s="69"/>
      <c r="C124" s="69"/>
      <c r="D124" s="69"/>
      <c r="E124" s="69"/>
      <c r="F124" s="69"/>
      <c r="Z124" s="97"/>
      <c r="AA124" s="97"/>
      <c r="AB124" s="97"/>
      <c r="AC124" s="97"/>
      <c r="AD124" s="97"/>
      <c r="AE124" s="97"/>
      <c r="AF124" s="97"/>
      <c r="AG124" s="97"/>
      <c r="AH124" s="97"/>
      <c r="AI124" s="97"/>
      <c r="AJ124" s="97"/>
      <c r="AK124" s="97"/>
      <c r="AL124" s="97"/>
      <c r="AM124" s="97"/>
      <c r="AN124" s="97"/>
      <c r="AO124" s="97"/>
    </row>
    <row r="125" spans="1:41" ht="16.5" customHeight="1" x14ac:dyDescent="0.3">
      <c r="A125" s="69"/>
      <c r="B125" s="69"/>
      <c r="C125" s="69"/>
      <c r="D125" s="69"/>
      <c r="E125" s="69"/>
      <c r="F125" s="69"/>
      <c r="Z125" s="97"/>
      <c r="AA125" s="97"/>
      <c r="AB125" s="97"/>
      <c r="AC125" s="97"/>
      <c r="AD125" s="97"/>
      <c r="AE125" s="97"/>
      <c r="AF125" s="97"/>
      <c r="AG125" s="97"/>
      <c r="AH125" s="97"/>
      <c r="AI125" s="97"/>
      <c r="AJ125" s="97"/>
      <c r="AK125" s="97"/>
      <c r="AL125" s="97"/>
      <c r="AM125" s="97"/>
      <c r="AN125" s="97"/>
      <c r="AO125" s="97"/>
    </row>
    <row r="126" spans="1:41" ht="16.5" customHeight="1" x14ac:dyDescent="0.3">
      <c r="A126" s="69"/>
      <c r="B126" s="69"/>
      <c r="C126" s="69"/>
      <c r="D126" s="69"/>
      <c r="E126" s="69"/>
      <c r="F126" s="69"/>
      <c r="Z126" s="97"/>
      <c r="AA126" s="97"/>
      <c r="AB126" s="97"/>
      <c r="AC126" s="97"/>
      <c r="AD126" s="97"/>
      <c r="AE126" s="97"/>
      <c r="AF126" s="97"/>
      <c r="AG126" s="97"/>
      <c r="AH126" s="97"/>
      <c r="AI126" s="97"/>
      <c r="AJ126" s="97"/>
      <c r="AK126" s="97"/>
      <c r="AL126" s="97"/>
      <c r="AM126" s="97"/>
      <c r="AN126" s="97"/>
      <c r="AO126" s="97"/>
    </row>
    <row r="127" spans="1:41" ht="16.5" customHeight="1" x14ac:dyDescent="0.3">
      <c r="A127" s="69"/>
      <c r="B127" s="69"/>
      <c r="C127" s="69"/>
      <c r="D127" s="69"/>
      <c r="E127" s="69"/>
      <c r="F127" s="69"/>
      <c r="Z127" s="97"/>
      <c r="AA127" s="97"/>
      <c r="AB127" s="97"/>
      <c r="AC127" s="97"/>
      <c r="AD127" s="97"/>
      <c r="AE127" s="97"/>
      <c r="AF127" s="97"/>
      <c r="AG127" s="97"/>
      <c r="AH127" s="97"/>
      <c r="AI127" s="97"/>
      <c r="AJ127" s="97"/>
      <c r="AK127" s="97"/>
      <c r="AL127" s="97"/>
      <c r="AM127" s="97"/>
      <c r="AN127" s="97"/>
      <c r="AO127" s="97"/>
    </row>
    <row r="128" spans="1:41" ht="16.5" customHeight="1" x14ac:dyDescent="0.3">
      <c r="A128" s="69"/>
      <c r="B128" s="69"/>
      <c r="C128" s="69"/>
      <c r="D128" s="69"/>
      <c r="E128" s="69"/>
      <c r="F128" s="69"/>
      <c r="Z128" s="97"/>
      <c r="AA128" s="97"/>
      <c r="AB128" s="97"/>
      <c r="AC128" s="97"/>
      <c r="AD128" s="97"/>
      <c r="AE128" s="97"/>
      <c r="AF128" s="97"/>
      <c r="AG128" s="97"/>
      <c r="AH128" s="97"/>
      <c r="AI128" s="97"/>
      <c r="AJ128" s="97"/>
      <c r="AK128" s="97"/>
      <c r="AL128" s="97"/>
      <c r="AM128" s="97"/>
      <c r="AN128" s="97"/>
      <c r="AO128" s="97"/>
    </row>
    <row r="129" spans="1:41" ht="16.5" customHeight="1" x14ac:dyDescent="0.3">
      <c r="A129" s="69"/>
      <c r="B129" s="69"/>
      <c r="C129" s="69"/>
      <c r="D129" s="69"/>
      <c r="E129" s="69"/>
      <c r="F129" s="69"/>
      <c r="Z129" s="97"/>
      <c r="AA129" s="97"/>
      <c r="AB129" s="97"/>
      <c r="AC129" s="97"/>
      <c r="AD129" s="97"/>
      <c r="AE129" s="97"/>
      <c r="AF129" s="97"/>
      <c r="AG129" s="97"/>
      <c r="AH129" s="97"/>
      <c r="AI129" s="97"/>
      <c r="AJ129" s="97"/>
      <c r="AK129" s="97"/>
      <c r="AL129" s="97"/>
      <c r="AM129" s="97"/>
      <c r="AN129" s="97"/>
      <c r="AO129" s="97"/>
    </row>
    <row r="130" spans="1:41" ht="16.5" customHeight="1" x14ac:dyDescent="0.3">
      <c r="A130" s="69"/>
      <c r="B130" s="69"/>
      <c r="C130" s="69"/>
      <c r="D130" s="69"/>
      <c r="E130" s="69"/>
      <c r="F130" s="69"/>
      <c r="Z130" s="97"/>
      <c r="AA130" s="97"/>
      <c r="AB130" s="97"/>
      <c r="AC130" s="97"/>
      <c r="AD130" s="97"/>
      <c r="AE130" s="97"/>
      <c r="AF130" s="97"/>
      <c r="AG130" s="97"/>
      <c r="AH130" s="97"/>
      <c r="AI130" s="97"/>
      <c r="AJ130" s="97"/>
      <c r="AK130" s="97"/>
      <c r="AL130" s="97"/>
      <c r="AM130" s="97"/>
      <c r="AN130" s="97"/>
      <c r="AO130" s="97"/>
    </row>
    <row r="131" spans="1:41" ht="16.5" customHeight="1" x14ac:dyDescent="0.3">
      <c r="A131" s="69"/>
      <c r="B131" s="69"/>
      <c r="C131" s="69"/>
      <c r="D131" s="69"/>
      <c r="E131" s="69"/>
      <c r="F131" s="69"/>
      <c r="Z131" s="97"/>
      <c r="AA131" s="97"/>
      <c r="AB131" s="97"/>
      <c r="AC131" s="97"/>
      <c r="AD131" s="97"/>
      <c r="AE131" s="97"/>
      <c r="AF131" s="97"/>
      <c r="AG131" s="97"/>
      <c r="AH131" s="97"/>
      <c r="AI131" s="97"/>
      <c r="AJ131" s="97"/>
      <c r="AK131" s="97"/>
      <c r="AL131" s="97"/>
      <c r="AM131" s="97"/>
      <c r="AN131" s="97"/>
      <c r="AO131" s="97"/>
    </row>
    <row r="132" spans="1:41" ht="16.5" customHeight="1" x14ac:dyDescent="0.3">
      <c r="A132" s="69"/>
      <c r="B132" s="69"/>
      <c r="C132" s="69"/>
      <c r="D132" s="69"/>
      <c r="E132" s="69"/>
      <c r="F132" s="69"/>
      <c r="Z132" s="97"/>
      <c r="AA132" s="97"/>
      <c r="AB132" s="97"/>
      <c r="AC132" s="97"/>
      <c r="AD132" s="97"/>
      <c r="AE132" s="97"/>
      <c r="AF132" s="97"/>
      <c r="AG132" s="97"/>
      <c r="AH132" s="97"/>
      <c r="AI132" s="97"/>
      <c r="AJ132" s="97"/>
      <c r="AK132" s="97"/>
      <c r="AL132" s="97"/>
      <c r="AM132" s="97"/>
      <c r="AN132" s="97"/>
      <c r="AO132" s="97"/>
    </row>
    <row r="133" spans="1:41" ht="16.5" customHeight="1" x14ac:dyDescent="0.3">
      <c r="A133" s="69"/>
      <c r="B133" s="69"/>
      <c r="C133" s="69"/>
      <c r="D133" s="69"/>
      <c r="E133" s="69"/>
      <c r="F133" s="69"/>
      <c r="Z133" s="97"/>
      <c r="AA133" s="97"/>
      <c r="AB133" s="97"/>
      <c r="AC133" s="97"/>
      <c r="AD133" s="97"/>
      <c r="AE133" s="97"/>
      <c r="AF133" s="97"/>
      <c r="AG133" s="97"/>
      <c r="AH133" s="97"/>
      <c r="AI133" s="97"/>
      <c r="AJ133" s="97"/>
      <c r="AK133" s="97"/>
      <c r="AL133" s="97"/>
      <c r="AM133" s="97"/>
      <c r="AN133" s="97"/>
      <c r="AO133" s="97"/>
    </row>
    <row r="134" spans="1:41" ht="16.5" customHeight="1" x14ac:dyDescent="0.3">
      <c r="A134" s="69"/>
      <c r="B134" s="69"/>
      <c r="C134" s="69"/>
      <c r="D134" s="69"/>
      <c r="E134" s="69"/>
      <c r="F134" s="69"/>
      <c r="Z134" s="97"/>
      <c r="AA134" s="97"/>
      <c r="AB134" s="97"/>
      <c r="AC134" s="97"/>
      <c r="AD134" s="97"/>
      <c r="AE134" s="97"/>
      <c r="AF134" s="97"/>
      <c r="AG134" s="97"/>
      <c r="AH134" s="97"/>
      <c r="AI134" s="97"/>
      <c r="AJ134" s="97"/>
      <c r="AK134" s="97"/>
      <c r="AL134" s="97"/>
      <c r="AM134" s="97"/>
      <c r="AN134" s="97"/>
      <c r="AO134" s="97"/>
    </row>
    <row r="135" spans="1:41" ht="16.5" customHeight="1" x14ac:dyDescent="0.3">
      <c r="A135" s="69"/>
      <c r="B135" s="69"/>
      <c r="C135" s="69"/>
      <c r="D135" s="69"/>
      <c r="E135" s="69"/>
      <c r="F135" s="69"/>
      <c r="Z135" s="97"/>
      <c r="AA135" s="97"/>
      <c r="AB135" s="97"/>
      <c r="AC135" s="97"/>
      <c r="AD135" s="97"/>
      <c r="AE135" s="97"/>
      <c r="AF135" s="97"/>
      <c r="AG135" s="97"/>
      <c r="AH135" s="97"/>
      <c r="AI135" s="97"/>
      <c r="AJ135" s="97"/>
      <c r="AK135" s="97"/>
      <c r="AL135" s="97"/>
      <c r="AM135" s="97"/>
      <c r="AN135" s="97"/>
      <c r="AO135" s="97"/>
    </row>
    <row r="136" spans="1:41" ht="16.5" customHeight="1" x14ac:dyDescent="0.3">
      <c r="A136" s="69"/>
      <c r="B136" s="69"/>
      <c r="C136" s="69"/>
      <c r="D136" s="69"/>
      <c r="E136" s="69"/>
      <c r="F136" s="69"/>
      <c r="Z136" s="97"/>
      <c r="AA136" s="97"/>
      <c r="AB136" s="97"/>
      <c r="AC136" s="97"/>
      <c r="AD136" s="97"/>
      <c r="AE136" s="97"/>
      <c r="AF136" s="97"/>
      <c r="AG136" s="97"/>
      <c r="AH136" s="97"/>
      <c r="AI136" s="97"/>
      <c r="AJ136" s="97"/>
      <c r="AK136" s="97"/>
      <c r="AL136" s="97"/>
      <c r="AM136" s="97"/>
      <c r="AN136" s="97"/>
      <c r="AO136" s="97"/>
    </row>
    <row r="137" spans="1:41" ht="16.5" customHeight="1" x14ac:dyDescent="0.3">
      <c r="A137" s="69"/>
      <c r="B137" s="69"/>
      <c r="C137" s="69"/>
      <c r="D137" s="69"/>
      <c r="E137" s="69"/>
      <c r="F137" s="69"/>
      <c r="Z137" s="97"/>
      <c r="AA137" s="97"/>
      <c r="AB137" s="97"/>
      <c r="AC137" s="97"/>
      <c r="AD137" s="97"/>
      <c r="AE137" s="97"/>
      <c r="AF137" s="97"/>
      <c r="AG137" s="97"/>
      <c r="AH137" s="97"/>
      <c r="AI137" s="97"/>
      <c r="AJ137" s="97"/>
      <c r="AK137" s="97"/>
      <c r="AL137" s="97"/>
      <c r="AM137" s="97"/>
      <c r="AN137" s="97"/>
      <c r="AO137" s="97"/>
    </row>
    <row r="138" spans="1:41" ht="16.5" customHeight="1" x14ac:dyDescent="0.3">
      <c r="A138" s="69"/>
      <c r="B138" s="69"/>
      <c r="C138" s="69"/>
      <c r="D138" s="69"/>
      <c r="E138" s="69"/>
      <c r="F138" s="69"/>
      <c r="Z138" s="97"/>
      <c r="AA138" s="97"/>
      <c r="AB138" s="97"/>
      <c r="AC138" s="97"/>
      <c r="AD138" s="97"/>
      <c r="AE138" s="97"/>
      <c r="AF138" s="97"/>
      <c r="AG138" s="97"/>
      <c r="AH138" s="97"/>
      <c r="AI138" s="97"/>
      <c r="AJ138" s="97"/>
      <c r="AK138" s="97"/>
      <c r="AL138" s="97"/>
      <c r="AM138" s="97"/>
      <c r="AN138" s="97"/>
      <c r="AO138" s="97"/>
    </row>
    <row r="139" spans="1:41" ht="16.5" customHeight="1" x14ac:dyDescent="0.3">
      <c r="A139" s="69"/>
      <c r="B139" s="69"/>
      <c r="C139" s="69"/>
      <c r="D139" s="69"/>
      <c r="E139" s="69"/>
      <c r="F139" s="69"/>
      <c r="Z139" s="97"/>
      <c r="AA139" s="97"/>
      <c r="AB139" s="97"/>
      <c r="AC139" s="97"/>
      <c r="AD139" s="97"/>
      <c r="AE139" s="97"/>
      <c r="AF139" s="97"/>
      <c r="AG139" s="97"/>
      <c r="AH139" s="97"/>
      <c r="AI139" s="97"/>
      <c r="AJ139" s="97"/>
      <c r="AK139" s="97"/>
      <c r="AL139" s="97"/>
      <c r="AM139" s="97"/>
      <c r="AN139" s="97"/>
      <c r="AO139" s="97"/>
    </row>
    <row r="140" spans="1:41" ht="16.5" customHeight="1" x14ac:dyDescent="0.3">
      <c r="A140" s="69"/>
      <c r="B140" s="69"/>
      <c r="C140" s="69"/>
      <c r="D140" s="69"/>
      <c r="E140" s="69"/>
      <c r="F140" s="69"/>
      <c r="Z140" s="97"/>
      <c r="AA140" s="97"/>
      <c r="AB140" s="97"/>
      <c r="AC140" s="97"/>
      <c r="AD140" s="97"/>
      <c r="AE140" s="97"/>
      <c r="AF140" s="97"/>
      <c r="AG140" s="97"/>
      <c r="AH140" s="97"/>
      <c r="AI140" s="97"/>
      <c r="AJ140" s="97"/>
      <c r="AK140" s="97"/>
      <c r="AL140" s="97"/>
      <c r="AM140" s="97"/>
      <c r="AN140" s="97"/>
      <c r="AO140" s="97"/>
    </row>
    <row r="141" spans="1:41" ht="16.5" customHeight="1" x14ac:dyDescent="0.3">
      <c r="A141" s="69"/>
      <c r="B141" s="69"/>
      <c r="C141" s="69"/>
      <c r="D141" s="69"/>
      <c r="E141" s="69"/>
      <c r="F141" s="69"/>
      <c r="Z141" s="97"/>
      <c r="AA141" s="97"/>
      <c r="AB141" s="97"/>
      <c r="AC141" s="97"/>
      <c r="AD141" s="97"/>
      <c r="AE141" s="97"/>
      <c r="AF141" s="97"/>
      <c r="AG141" s="97"/>
      <c r="AH141" s="97"/>
      <c r="AI141" s="97"/>
      <c r="AJ141" s="97"/>
      <c r="AK141" s="97"/>
      <c r="AL141" s="97"/>
      <c r="AM141" s="97"/>
      <c r="AN141" s="97"/>
      <c r="AO141" s="97"/>
    </row>
    <row r="142" spans="1:41" ht="16.5" customHeight="1" x14ac:dyDescent="0.3">
      <c r="A142" s="69"/>
      <c r="B142" s="69"/>
      <c r="C142" s="69"/>
      <c r="D142" s="69"/>
      <c r="E142" s="69"/>
      <c r="F142" s="69"/>
      <c r="Z142" s="97"/>
      <c r="AA142" s="97"/>
      <c r="AB142" s="97"/>
      <c r="AC142" s="97"/>
      <c r="AD142" s="97"/>
      <c r="AE142" s="97"/>
      <c r="AF142" s="97"/>
      <c r="AG142" s="97"/>
      <c r="AH142" s="97"/>
      <c r="AI142" s="97"/>
      <c r="AJ142" s="97"/>
      <c r="AK142" s="97"/>
      <c r="AL142" s="97"/>
      <c r="AM142" s="97"/>
      <c r="AN142" s="97"/>
      <c r="AO142" s="97"/>
    </row>
    <row r="143" spans="1:41" ht="16.5" customHeight="1" x14ac:dyDescent="0.3">
      <c r="A143" s="69"/>
      <c r="B143" s="69"/>
      <c r="C143" s="69"/>
      <c r="D143" s="69"/>
      <c r="E143" s="69"/>
      <c r="F143" s="69"/>
      <c r="Z143" s="97"/>
      <c r="AA143" s="97"/>
      <c r="AB143" s="97"/>
      <c r="AC143" s="97"/>
      <c r="AD143" s="97"/>
      <c r="AE143" s="97"/>
      <c r="AF143" s="97"/>
      <c r="AG143" s="97"/>
      <c r="AH143" s="97"/>
      <c r="AI143" s="97"/>
      <c r="AJ143" s="97"/>
      <c r="AK143" s="97"/>
      <c r="AL143" s="97"/>
      <c r="AM143" s="97"/>
      <c r="AN143" s="97"/>
      <c r="AO143" s="97"/>
    </row>
    <row r="144" spans="1:41" ht="16.5" customHeight="1" x14ac:dyDescent="0.3">
      <c r="A144" s="69"/>
      <c r="B144" s="69"/>
      <c r="C144" s="69"/>
      <c r="D144" s="69"/>
      <c r="E144" s="69"/>
      <c r="F144" s="69"/>
      <c r="Z144" s="97"/>
      <c r="AA144" s="97"/>
      <c r="AB144" s="97"/>
      <c r="AC144" s="97"/>
      <c r="AD144" s="97"/>
      <c r="AE144" s="97"/>
      <c r="AF144" s="97"/>
      <c r="AG144" s="97"/>
      <c r="AH144" s="97"/>
      <c r="AI144" s="97"/>
      <c r="AJ144" s="97"/>
      <c r="AK144" s="97"/>
      <c r="AL144" s="97"/>
      <c r="AM144" s="97"/>
      <c r="AN144" s="97"/>
      <c r="AO144" s="97"/>
    </row>
    <row r="145" spans="1:41" ht="16.5" customHeight="1" x14ac:dyDescent="0.3">
      <c r="A145" s="69"/>
      <c r="B145" s="69"/>
      <c r="C145" s="69"/>
      <c r="D145" s="69"/>
      <c r="E145" s="69"/>
      <c r="F145" s="69"/>
      <c r="Z145" s="97"/>
      <c r="AA145" s="97"/>
      <c r="AB145" s="97"/>
      <c r="AC145" s="97"/>
      <c r="AD145" s="97"/>
      <c r="AE145" s="97"/>
      <c r="AF145" s="97"/>
      <c r="AG145" s="97"/>
      <c r="AH145" s="97"/>
      <c r="AI145" s="97"/>
      <c r="AJ145" s="97"/>
      <c r="AK145" s="97"/>
      <c r="AL145" s="97"/>
      <c r="AM145" s="97"/>
      <c r="AN145" s="97"/>
      <c r="AO145" s="97"/>
    </row>
    <row r="146" spans="1:41" ht="16.5" customHeight="1" x14ac:dyDescent="0.3">
      <c r="A146" s="69"/>
      <c r="B146" s="69"/>
      <c r="C146" s="69"/>
      <c r="D146" s="69"/>
      <c r="E146" s="69"/>
      <c r="F146" s="69"/>
      <c r="Z146" s="97"/>
      <c r="AA146" s="97"/>
      <c r="AB146" s="97"/>
      <c r="AC146" s="97"/>
      <c r="AD146" s="97"/>
      <c r="AE146" s="97"/>
      <c r="AF146" s="97"/>
      <c r="AG146" s="97"/>
      <c r="AH146" s="97"/>
      <c r="AI146" s="97"/>
      <c r="AJ146" s="97"/>
      <c r="AK146" s="97"/>
      <c r="AL146" s="97"/>
      <c r="AM146" s="97"/>
      <c r="AN146" s="97"/>
      <c r="AO146" s="97"/>
    </row>
    <row r="147" spans="1:41" ht="16.5" customHeight="1" x14ac:dyDescent="0.3">
      <c r="A147" s="69"/>
      <c r="B147" s="69"/>
      <c r="C147" s="69"/>
      <c r="D147" s="69"/>
      <c r="E147" s="69"/>
      <c r="F147" s="69"/>
      <c r="Z147" s="97"/>
      <c r="AA147" s="97"/>
      <c r="AB147" s="97"/>
      <c r="AC147" s="97"/>
      <c r="AD147" s="97"/>
      <c r="AE147" s="97"/>
      <c r="AF147" s="97"/>
      <c r="AG147" s="97"/>
      <c r="AH147" s="97"/>
      <c r="AI147" s="97"/>
      <c r="AJ147" s="97"/>
      <c r="AK147" s="97"/>
      <c r="AL147" s="97"/>
      <c r="AM147" s="97"/>
      <c r="AN147" s="97"/>
      <c r="AO147" s="97"/>
    </row>
    <row r="148" spans="1:41" ht="16.5" customHeight="1" x14ac:dyDescent="0.3">
      <c r="A148" s="69"/>
      <c r="B148" s="69"/>
      <c r="C148" s="69"/>
      <c r="D148" s="69"/>
      <c r="E148" s="69"/>
      <c r="F148" s="69"/>
      <c r="Z148" s="97"/>
      <c r="AA148" s="97"/>
      <c r="AB148" s="97"/>
      <c r="AC148" s="97"/>
      <c r="AD148" s="97"/>
      <c r="AE148" s="97"/>
      <c r="AF148" s="97"/>
      <c r="AG148" s="97"/>
      <c r="AH148" s="97"/>
      <c r="AI148" s="97"/>
      <c r="AJ148" s="97"/>
      <c r="AK148" s="97"/>
      <c r="AL148" s="97"/>
      <c r="AM148" s="97"/>
      <c r="AN148" s="97"/>
      <c r="AO148" s="97"/>
    </row>
    <row r="149" spans="1:41" ht="16.5" customHeight="1" x14ac:dyDescent="0.3">
      <c r="A149" s="69"/>
      <c r="B149" s="69"/>
      <c r="C149" s="69"/>
      <c r="D149" s="69"/>
      <c r="E149" s="69"/>
      <c r="F149" s="69"/>
      <c r="Z149" s="97"/>
      <c r="AA149" s="97"/>
      <c r="AB149" s="97"/>
      <c r="AC149" s="97"/>
      <c r="AD149" s="97"/>
      <c r="AE149" s="97"/>
      <c r="AF149" s="97"/>
      <c r="AG149" s="97"/>
      <c r="AH149" s="97"/>
      <c r="AI149" s="97"/>
      <c r="AJ149" s="97"/>
      <c r="AK149" s="97"/>
      <c r="AL149" s="97"/>
      <c r="AM149" s="97"/>
      <c r="AN149" s="97"/>
      <c r="AO149" s="97"/>
    </row>
    <row r="150" spans="1:41" ht="16.5" customHeight="1" x14ac:dyDescent="0.3">
      <c r="A150" s="69"/>
      <c r="B150" s="69"/>
      <c r="C150" s="69"/>
      <c r="D150" s="69"/>
      <c r="E150" s="69"/>
      <c r="F150" s="69"/>
      <c r="Z150" s="97"/>
      <c r="AA150" s="97"/>
      <c r="AB150" s="97"/>
      <c r="AC150" s="97"/>
      <c r="AD150" s="97"/>
      <c r="AE150" s="97"/>
      <c r="AF150" s="97"/>
      <c r="AG150" s="97"/>
      <c r="AH150" s="97"/>
      <c r="AI150" s="97"/>
      <c r="AJ150" s="97"/>
      <c r="AK150" s="97"/>
      <c r="AL150" s="97"/>
      <c r="AM150" s="97"/>
      <c r="AN150" s="97"/>
      <c r="AO150" s="97"/>
    </row>
    <row r="151" spans="1:41" ht="16.5" customHeight="1" x14ac:dyDescent="0.3">
      <c r="A151" s="69"/>
      <c r="B151" s="69"/>
      <c r="C151" s="69"/>
      <c r="D151" s="69"/>
      <c r="E151" s="69"/>
      <c r="F151" s="69"/>
      <c r="Z151" s="97"/>
      <c r="AA151" s="97"/>
      <c r="AB151" s="97"/>
      <c r="AC151" s="97"/>
      <c r="AD151" s="97"/>
      <c r="AE151" s="97"/>
      <c r="AF151" s="97"/>
      <c r="AG151" s="97"/>
      <c r="AH151" s="97"/>
      <c r="AI151" s="97"/>
      <c r="AJ151" s="97"/>
      <c r="AK151" s="97"/>
      <c r="AL151" s="97"/>
      <c r="AM151" s="97"/>
      <c r="AN151" s="97"/>
      <c r="AO151" s="97"/>
    </row>
    <row r="152" spans="1:41" ht="16.5" customHeight="1" x14ac:dyDescent="0.3">
      <c r="A152" s="69"/>
      <c r="B152" s="69"/>
      <c r="C152" s="69"/>
      <c r="D152" s="69"/>
      <c r="E152" s="69"/>
      <c r="F152" s="69"/>
      <c r="Z152" s="97"/>
      <c r="AA152" s="97"/>
      <c r="AB152" s="97"/>
      <c r="AC152" s="97"/>
      <c r="AD152" s="97"/>
      <c r="AE152" s="97"/>
      <c r="AF152" s="97"/>
      <c r="AG152" s="97"/>
      <c r="AH152" s="97"/>
      <c r="AI152" s="97"/>
      <c r="AJ152" s="97"/>
      <c r="AK152" s="97"/>
      <c r="AL152" s="97"/>
      <c r="AM152" s="97"/>
      <c r="AN152" s="97"/>
      <c r="AO152" s="97"/>
    </row>
    <row r="153" spans="1:41" ht="16.5" customHeight="1" x14ac:dyDescent="0.3">
      <c r="A153" s="74"/>
      <c r="B153" s="74"/>
      <c r="C153" s="74"/>
      <c r="D153" s="74"/>
      <c r="E153" s="74"/>
      <c r="F153" s="74"/>
      <c r="Z153" s="97"/>
      <c r="AA153" s="97"/>
      <c r="AB153" s="97"/>
      <c r="AC153" s="97"/>
      <c r="AD153" s="97"/>
      <c r="AE153" s="97"/>
      <c r="AF153" s="97"/>
      <c r="AG153" s="97"/>
      <c r="AH153" s="97"/>
      <c r="AI153" s="97"/>
      <c r="AJ153" s="97"/>
      <c r="AK153" s="97"/>
      <c r="AL153" s="97"/>
      <c r="AM153" s="97"/>
      <c r="AN153" s="97"/>
      <c r="AO153" s="97"/>
    </row>
    <row r="154" spans="1:41" ht="16.5" customHeight="1" x14ac:dyDescent="0.3">
      <c r="A154" s="145" t="s">
        <v>8953</v>
      </c>
      <c r="B154" s="138"/>
      <c r="C154" s="48">
        <f>E154+D154+F154</f>
        <v>178008</v>
      </c>
      <c r="D154" s="47">
        <f>ROUNDDOWN(SUMIF(N7:N112,M154,D7:D112),0)</f>
        <v>75948</v>
      </c>
      <c r="E154" s="56">
        <f>ROUNDDOWN(SUMIF(N7:N112,M154,E7:E112),0)</f>
        <v>48933</v>
      </c>
      <c r="F154" s="48">
        <f>ROUNDDOWN(SUMIF(N7:N112,M154,F7:F112),0)</f>
        <v>53127</v>
      </c>
      <c r="M154" s="35" t="s">
        <v>6406</v>
      </c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O154" s="97"/>
    </row>
    <row r="155" spans="1:41" ht="16.5" customHeight="1" x14ac:dyDescent="0.3">
      <c r="A155" s="86" t="s">
        <v>16</v>
      </c>
      <c r="B155" s="88" t="s">
        <v>16</v>
      </c>
      <c r="C155" s="146">
        <f>C204</f>
        <v>24042</v>
      </c>
      <c r="D155" s="146">
        <f>D204</f>
        <v>23571</v>
      </c>
      <c r="E155" s="146">
        <f>E204</f>
        <v>0</v>
      </c>
      <c r="F155" s="146">
        <f>F204</f>
        <v>471</v>
      </c>
      <c r="G155" s="84" t="str">
        <f>HYPERLINK("#G"&amp;ROW(G175),"_x0005_`BDCOD|D04188_x0007_`POSS|"&amp;ROW(G157)&amp;"_x0007_`POSE|"&amp;ROW(G175)&amp;"_x0007_`")</f>
        <v>_x0005_`BDCOD|D04188_x0007_`POSS|157_x0007_`POSE|175_x0007_`</v>
      </c>
      <c r="Z155" s="97"/>
      <c r="AA155" s="97"/>
      <c r="AB155" s="97"/>
      <c r="AC155" s="97"/>
      <c r="AD155" s="97"/>
      <c r="AE155" s="97"/>
      <c r="AF155" s="97"/>
      <c r="AG155" s="97"/>
      <c r="AH155" s="97"/>
      <c r="AI155" s="97"/>
      <c r="AJ155" s="97"/>
      <c r="AK155" s="97"/>
      <c r="AL155" s="97"/>
      <c r="AM155" s="97"/>
      <c r="AN155" s="97"/>
      <c r="AO155" s="97"/>
    </row>
    <row r="156" spans="1:41" ht="16.5" customHeight="1" x14ac:dyDescent="0.3">
      <c r="A156" s="87"/>
      <c r="B156" s="88" t="s">
        <v>1985</v>
      </c>
      <c r="C156" s="127"/>
      <c r="D156" s="127"/>
      <c r="E156" s="127"/>
      <c r="F156" s="127"/>
      <c r="M156" s="35" t="s">
        <v>8954</v>
      </c>
      <c r="Z156" s="97"/>
      <c r="AA156" s="97"/>
      <c r="AB156" s="97"/>
      <c r="AC156" s="97"/>
      <c r="AD156" s="97"/>
      <c r="AE156" s="97"/>
      <c r="AF156" s="97"/>
      <c r="AG156" s="97"/>
      <c r="AH156" s="97"/>
      <c r="AI156" s="97"/>
      <c r="AJ156" s="97"/>
      <c r="AK156" s="97"/>
      <c r="AL156" s="97"/>
      <c r="AM156" s="97"/>
      <c r="AN156" s="97"/>
      <c r="AO156" s="97"/>
    </row>
    <row r="157" spans="1:41" ht="16.5" customHeight="1" x14ac:dyDescent="0.3">
      <c r="A157" s="69"/>
      <c r="B157" s="69"/>
      <c r="C157" s="90"/>
      <c r="D157" s="90"/>
      <c r="E157" s="90"/>
      <c r="F157" s="90"/>
      <c r="G157" s="17" t="s">
        <v>8885</v>
      </c>
      <c r="Z157" s="97"/>
      <c r="AA157" s="97"/>
      <c r="AB157" s="97"/>
      <c r="AC157" s="97"/>
      <c r="AD157" s="97"/>
      <c r="AE157" s="97"/>
      <c r="AF157" s="97"/>
      <c r="AG157" s="97"/>
      <c r="AH157" s="97"/>
      <c r="AI157" s="97"/>
      <c r="AJ157" s="97"/>
      <c r="AK157" s="97"/>
      <c r="AL157" s="97"/>
      <c r="AM157" s="97"/>
      <c r="AN157" s="97"/>
      <c r="AO157" s="97"/>
    </row>
    <row r="158" spans="1:41" ht="16.5" customHeight="1" x14ac:dyDescent="0.3">
      <c r="A158" s="59"/>
      <c r="B158" s="68" t="s">
        <v>8956</v>
      </c>
      <c r="C158" s="69"/>
      <c r="D158" s="69"/>
      <c r="E158" s="69"/>
      <c r="F158" s="69"/>
      <c r="G158" s="17" t="s">
        <v>8955</v>
      </c>
      <c r="Z158" s="97"/>
      <c r="AA158" s="97"/>
      <c r="AB158" s="97"/>
      <c r="AC158" s="97"/>
      <c r="AD158" s="97"/>
      <c r="AE158" s="97"/>
      <c r="AF158" s="97"/>
      <c r="AG158" s="97"/>
      <c r="AH158" s="97"/>
      <c r="AI158" s="97"/>
      <c r="AJ158" s="97"/>
      <c r="AK158" s="97"/>
      <c r="AL158" s="97"/>
      <c r="AM158" s="97"/>
      <c r="AN158" s="97"/>
      <c r="AO158" s="97"/>
    </row>
    <row r="159" spans="1:41" ht="16.5" customHeight="1" x14ac:dyDescent="0.3">
      <c r="A159" s="69"/>
      <c r="B159" s="69"/>
      <c r="C159" s="69"/>
      <c r="D159" s="69"/>
      <c r="E159" s="69"/>
      <c r="F159" s="69"/>
      <c r="G159" s="17" t="s">
        <v>8885</v>
      </c>
      <c r="Z159" s="97"/>
      <c r="AA159" s="97"/>
      <c r="AB159" s="97"/>
      <c r="AC159" s="97"/>
      <c r="AD159" s="97"/>
      <c r="AE159" s="97"/>
      <c r="AF159" s="97"/>
      <c r="AG159" s="97"/>
      <c r="AH159" s="97"/>
      <c r="AI159" s="97"/>
      <c r="AJ159" s="97"/>
      <c r="AK159" s="97"/>
      <c r="AL159" s="97"/>
      <c r="AM159" s="97"/>
      <c r="AN159" s="97"/>
      <c r="AO159" s="97"/>
    </row>
    <row r="160" spans="1:41" ht="16.5" customHeight="1" x14ac:dyDescent="0.3">
      <c r="A160" s="59"/>
      <c r="B160" s="68" t="s">
        <v>8958</v>
      </c>
      <c r="C160" s="69"/>
      <c r="D160" s="69"/>
      <c r="E160" s="69"/>
      <c r="F160" s="69"/>
      <c r="G160" s="17" t="s">
        <v>8957</v>
      </c>
      <c r="Z160" s="97"/>
      <c r="AA160" s="97"/>
      <c r="AB160" s="97"/>
      <c r="AC160" s="97"/>
      <c r="AD160" s="97"/>
      <c r="AE160" s="97"/>
      <c r="AF160" s="97"/>
      <c r="AG160" s="97"/>
      <c r="AH160" s="97"/>
      <c r="AI160" s="97"/>
      <c r="AJ160" s="97"/>
      <c r="AK160" s="97"/>
      <c r="AL160" s="97"/>
      <c r="AM160" s="97"/>
      <c r="AN160" s="97"/>
      <c r="AO160" s="97"/>
    </row>
    <row r="161" spans="1:41" ht="16.5" customHeight="1" x14ac:dyDescent="0.3">
      <c r="A161" s="69"/>
      <c r="B161" s="69"/>
      <c r="C161" s="69"/>
      <c r="D161" s="69"/>
      <c r="E161" s="69"/>
      <c r="F161" s="69"/>
      <c r="G161" s="17" t="s">
        <v>8885</v>
      </c>
      <c r="Z161" s="97"/>
      <c r="AA161" s="97"/>
      <c r="AB161" s="97"/>
      <c r="AC161" s="97"/>
      <c r="AD161" s="97"/>
      <c r="AE161" s="97"/>
      <c r="AF161" s="97"/>
      <c r="AG161" s="97"/>
      <c r="AH161" s="97"/>
      <c r="AI161" s="97"/>
      <c r="AJ161" s="97"/>
      <c r="AK161" s="97"/>
      <c r="AL161" s="97"/>
      <c r="AM161" s="97"/>
      <c r="AN161" s="97"/>
      <c r="AO161" s="97"/>
    </row>
    <row r="162" spans="1:41" ht="16.5" customHeight="1" x14ac:dyDescent="0.3">
      <c r="A162" s="59"/>
      <c r="B162" s="68" t="s">
        <v>8960</v>
      </c>
      <c r="C162" s="69"/>
      <c r="D162" s="69"/>
      <c r="E162" s="69"/>
      <c r="F162" s="69"/>
      <c r="G162" s="17" t="s">
        <v>8959</v>
      </c>
      <c r="Z162" s="97"/>
      <c r="AA162" s="97"/>
      <c r="AB162" s="97"/>
      <c r="AC162" s="97"/>
      <c r="AD162" s="97"/>
      <c r="AE162" s="97"/>
      <c r="AF162" s="97"/>
      <c r="AG162" s="97"/>
      <c r="AH162" s="97"/>
      <c r="AI162" s="97"/>
      <c r="AJ162" s="97"/>
      <c r="AK162" s="97"/>
      <c r="AL162" s="97"/>
      <c r="AM162" s="97"/>
      <c r="AN162" s="97"/>
      <c r="AO162" s="97"/>
    </row>
    <row r="163" spans="1:41" ht="16.5" customHeight="1" x14ac:dyDescent="0.3">
      <c r="A163" s="69"/>
      <c r="B163" s="69"/>
      <c r="C163" s="69"/>
      <c r="D163" s="69"/>
      <c r="E163" s="69"/>
      <c r="F163" s="69"/>
      <c r="G163" s="17" t="s">
        <v>8885</v>
      </c>
      <c r="Z163" s="97"/>
      <c r="AA163" s="97"/>
      <c r="AB163" s="97"/>
      <c r="AC163" s="97"/>
      <c r="AD163" s="97"/>
      <c r="AE163" s="97"/>
      <c r="AF163" s="97"/>
      <c r="AG163" s="97"/>
      <c r="AH163" s="97"/>
      <c r="AI163" s="97"/>
      <c r="AJ163" s="97"/>
      <c r="AK163" s="97"/>
      <c r="AL163" s="97"/>
      <c r="AM163" s="97"/>
      <c r="AN163" s="97"/>
      <c r="AO163" s="97"/>
    </row>
    <row r="164" spans="1:41" ht="16.5" customHeight="1" x14ac:dyDescent="0.3">
      <c r="A164" s="59"/>
      <c r="B164" s="68" t="str">
        <f>"    개소당 시공량  Q = "&amp;Z164&amp;" m/일  * "&amp;AB164&amp;" %  = "&amp;AD164&amp;""</f>
        <v xml:space="preserve">    개소당 시공량  Q = 35 m/일  * 1.11 %  = 38.850</v>
      </c>
      <c r="C164" s="69"/>
      <c r="D164" s="69"/>
      <c r="E164" s="69"/>
      <c r="F164" s="69"/>
      <c r="G164" s="17" t="s">
        <v>8961</v>
      </c>
      <c r="Z164" s="99">
        <v>35</v>
      </c>
      <c r="AA164" s="35" t="s">
        <v>8896</v>
      </c>
      <c r="AB164" s="98">
        <v>1.1100000000000001</v>
      </c>
      <c r="AC164" s="35" t="s">
        <v>8892</v>
      </c>
      <c r="AD164" s="100" t="str">
        <f>TEXT(ROUND(Z164*AB164,3),"#,0.000")</f>
        <v>38.850</v>
      </c>
      <c r="AE164" s="97"/>
      <c r="AF164" s="97"/>
      <c r="AG164" s="97"/>
      <c r="AH164" s="97"/>
      <c r="AI164" s="97"/>
      <c r="AJ164" s="97"/>
      <c r="AK164" s="97"/>
      <c r="AL164" s="97"/>
      <c r="AM164" s="97"/>
      <c r="AN164" s="97"/>
      <c r="AO164" s="97"/>
    </row>
    <row r="165" spans="1:41" ht="16.5" customHeight="1" x14ac:dyDescent="0.3">
      <c r="A165" s="59"/>
      <c r="B165" s="68" t="str">
        <f>"    시간당 시공량:  Q1 = Q / "&amp;AB165&amp;" = "&amp;AD165&amp;"    m/Hr "</f>
        <v xml:space="preserve">    시간당 시공량:  Q1 = Q / 8 = 4.856    m/Hr </v>
      </c>
      <c r="C165" s="69"/>
      <c r="D165" s="69"/>
      <c r="E165" s="69"/>
      <c r="F165" s="69"/>
      <c r="G165" s="17" t="s">
        <v>8962</v>
      </c>
      <c r="Z165" s="100" t="str">
        <f>AD164</f>
        <v>38.850</v>
      </c>
      <c r="AA165" s="35" t="s">
        <v>8905</v>
      </c>
      <c r="AB165" s="99">
        <v>8</v>
      </c>
      <c r="AC165" s="35" t="s">
        <v>8892</v>
      </c>
      <c r="AD165" s="100" t="str">
        <f>TEXT(ROUND(AD164/AB165,3),"#,0.000")</f>
        <v>4.856</v>
      </c>
      <c r="AE165" s="97"/>
      <c r="AF165" s="97"/>
      <c r="AG165" s="97"/>
      <c r="AH165" s="97"/>
      <c r="AI165" s="97"/>
      <c r="AJ165" s="97"/>
      <c r="AK165" s="97"/>
      <c r="AL165" s="97"/>
      <c r="AM165" s="97"/>
      <c r="AN165" s="97"/>
      <c r="AO165" s="97"/>
    </row>
    <row r="166" spans="1:41" ht="16.5" customHeight="1" x14ac:dyDescent="0.3">
      <c r="A166" s="69"/>
      <c r="B166" s="69"/>
      <c r="C166" s="69"/>
      <c r="D166" s="69"/>
      <c r="E166" s="69"/>
      <c r="F166" s="69"/>
      <c r="G166" s="17" t="s">
        <v>8885</v>
      </c>
      <c r="Z166" s="97"/>
      <c r="AA166" s="97"/>
      <c r="AB166" s="97"/>
      <c r="AC166" s="97"/>
      <c r="AD166" s="97"/>
      <c r="AE166" s="97"/>
      <c r="AF166" s="97"/>
      <c r="AG166" s="97"/>
      <c r="AH166" s="97"/>
      <c r="AI166" s="97"/>
      <c r="AJ166" s="97"/>
      <c r="AK166" s="97"/>
      <c r="AL166" s="97"/>
      <c r="AM166" s="97"/>
      <c r="AN166" s="97"/>
      <c r="AO166" s="97"/>
    </row>
    <row r="167" spans="1:41" ht="16.5" customHeight="1" x14ac:dyDescent="0.3">
      <c r="A167" s="59"/>
      <c r="B167" s="68" t="s">
        <v>8964</v>
      </c>
      <c r="C167" s="69"/>
      <c r="D167" s="69"/>
      <c r="E167" s="69"/>
      <c r="F167" s="69"/>
      <c r="G167" s="17" t="s">
        <v>8963</v>
      </c>
      <c r="Z167" s="97"/>
      <c r="AA167" s="97"/>
      <c r="AB167" s="97"/>
      <c r="AC167" s="97"/>
      <c r="AD167" s="97"/>
      <c r="AE167" s="97"/>
      <c r="AF167" s="97"/>
      <c r="AG167" s="97"/>
      <c r="AH167" s="97"/>
      <c r="AI167" s="97"/>
      <c r="AJ167" s="97"/>
      <c r="AK167" s="97"/>
      <c r="AL167" s="97"/>
      <c r="AM167" s="97"/>
      <c r="AN167" s="97"/>
      <c r="AO167" s="97"/>
    </row>
    <row r="168" spans="1:41" ht="16.5" customHeight="1" x14ac:dyDescent="0.3">
      <c r="A168" s="69"/>
      <c r="B168" s="69"/>
      <c r="C168" s="69"/>
      <c r="D168" s="69"/>
      <c r="E168" s="69"/>
      <c r="F168" s="69"/>
      <c r="G168" s="17" t="s">
        <v>8885</v>
      </c>
      <c r="Z168" s="97"/>
      <c r="AA168" s="97"/>
      <c r="AB168" s="97"/>
      <c r="AC168" s="97"/>
      <c r="AD168" s="97"/>
      <c r="AE168" s="97"/>
      <c r="AF168" s="97"/>
      <c r="AG168" s="97"/>
      <c r="AH168" s="97"/>
      <c r="AI168" s="97"/>
      <c r="AJ168" s="97"/>
      <c r="AK168" s="97"/>
      <c r="AL168" s="97"/>
      <c r="AM168" s="97"/>
      <c r="AN168" s="97"/>
      <c r="AO168" s="97"/>
    </row>
    <row r="169" spans="1:41" ht="16.5" customHeight="1" x14ac:dyDescent="0.3">
      <c r="A169" s="59" t="s">
        <v>8966</v>
      </c>
      <c r="B169" s="89" t="str">
        <f>"     배 관 공 : "&amp;TEXT(I169,"#,##0"&amp;IF(I169&lt;&gt;INT(I169),".###",""))&amp;" * "&amp;AA169&amp;" 인 / Q 인 = "&amp;TEXT(C169,"#,##0.0")&amp;""</f>
        <v xml:space="preserve">     배 관 공 : 247,897 * 3 인 / Q 인 = 19,142.6</v>
      </c>
      <c r="C169" s="91">
        <f>E169+D169+F169</f>
        <v>19142.599999999999</v>
      </c>
      <c r="D169" s="91">
        <f>IF(H169=0,0,ROUNDDOWN(J169*H169,1))</f>
        <v>19142.599999999999</v>
      </c>
      <c r="E169" s="91">
        <f>IF(H169=0,0,ROUNDDOWN(K169*H169,1))</f>
        <v>0</v>
      </c>
      <c r="F169" s="91">
        <f>IF(H169=0,0,ROUNDDOWN(L169*H169,1))</f>
        <v>0</v>
      </c>
      <c r="G169" s="17" t="s">
        <v>8965</v>
      </c>
      <c r="H169" s="94">
        <f>ROUNDUP(AE169,14-LEN(ABS(INT(AE169))))</f>
        <v>7.7220077220100006E-2</v>
      </c>
      <c r="I169" s="95">
        <f>K169+J169+L169</f>
        <v>247897</v>
      </c>
      <c r="J169" s="39">
        <f>노무비목록표!E10</f>
        <v>247897</v>
      </c>
      <c r="M169" s="35" t="s">
        <v>8366</v>
      </c>
      <c r="N169" s="35" t="s">
        <v>8915</v>
      </c>
      <c r="O169" s="35" t="s">
        <v>7061</v>
      </c>
      <c r="X169" s="96" t="str">
        <f>노무비목록표!B10&amp;" / "&amp;노무비목록표!C10</f>
        <v xml:space="preserve">배관공 / </v>
      </c>
      <c r="Y169" s="3" t="str">
        <f ca="1">HYPERLINK("#"&amp;노무비목록표!G2&amp;"!A"&amp;ROW(노무비목록표!A10),"노무7 →")</f>
        <v>노무7 →</v>
      </c>
      <c r="Z169" s="35" t="s">
        <v>8947</v>
      </c>
      <c r="AA169" s="99">
        <v>3</v>
      </c>
      <c r="AB169" s="35" t="s">
        <v>8905</v>
      </c>
      <c r="AC169" s="100" t="str">
        <f>AD164</f>
        <v>38.850</v>
      </c>
      <c r="AD169" s="35" t="s">
        <v>8892</v>
      </c>
      <c r="AE169" s="100">
        <f>1*AA169/AD164</f>
        <v>7.7220077220077218E-2</v>
      </c>
      <c r="AF169" s="97"/>
      <c r="AG169" s="97"/>
      <c r="AH169" s="97"/>
      <c r="AI169" s="97"/>
      <c r="AJ169" s="97"/>
      <c r="AK169" s="97"/>
      <c r="AL169" s="97"/>
      <c r="AM169" s="97"/>
      <c r="AN169" s="97"/>
      <c r="AO169" s="97"/>
    </row>
    <row r="170" spans="1:41" ht="16.5" customHeight="1" x14ac:dyDescent="0.3">
      <c r="A170" s="59" t="s">
        <v>8949</v>
      </c>
      <c r="B170" s="89" t="str">
        <f>"     보통인부 : "&amp;TEXT(I170,"#,##0"&amp;IF(I170&lt;&gt;INT(I170),".###",""))&amp;" * "&amp;AA170&amp;" 인 / Q 인 = "&amp;TEXT(C170,"#,##0.0")&amp;""</f>
        <v xml:space="preserve">     보통인부 : 172,068 * 1 인 / Q 인 = 4,429.0</v>
      </c>
      <c r="C170" s="91">
        <f>E170+D170+F170</f>
        <v>4429</v>
      </c>
      <c r="D170" s="91">
        <f>IF(H170=0,0,ROUNDDOWN(J170*H170,1))</f>
        <v>4429</v>
      </c>
      <c r="E170" s="91">
        <f>IF(H170=0,0,ROUNDDOWN(K170*H170,1))</f>
        <v>0</v>
      </c>
      <c r="F170" s="91">
        <f>IF(H170=0,0,ROUNDDOWN(L170*H170,1))</f>
        <v>0</v>
      </c>
      <c r="G170" s="17" t="s">
        <v>8967</v>
      </c>
      <c r="H170" s="94">
        <f>ROUNDUP(AE170,14-LEN(ABS(INT(AE170))))</f>
        <v>2.5740025740099998E-2</v>
      </c>
      <c r="I170" s="95">
        <f>K170+J170+L170</f>
        <v>172068</v>
      </c>
      <c r="J170" s="39">
        <f>노무비목록표!E12</f>
        <v>172068</v>
      </c>
      <c r="M170" s="35" t="s">
        <v>8261</v>
      </c>
      <c r="N170" s="35" t="s">
        <v>8915</v>
      </c>
      <c r="O170" s="35" t="s">
        <v>7061</v>
      </c>
      <c r="X170" s="96" t="str">
        <f>노무비목록표!B12&amp;" / "&amp;노무비목록표!C12</f>
        <v xml:space="preserve">보통인부 / </v>
      </c>
      <c r="Y170" s="3" t="str">
        <f ca="1">HYPERLINK("#"&amp;노무비목록표!G2&amp;"!A"&amp;ROW(노무비목록표!A12),"노무9 →")</f>
        <v>노무9 →</v>
      </c>
      <c r="Z170" s="35" t="s">
        <v>8947</v>
      </c>
      <c r="AA170" s="99">
        <v>1</v>
      </c>
      <c r="AB170" s="35" t="s">
        <v>8905</v>
      </c>
      <c r="AC170" s="100" t="str">
        <f>AD164</f>
        <v>38.850</v>
      </c>
      <c r="AD170" s="35" t="s">
        <v>8892</v>
      </c>
      <c r="AE170" s="100">
        <f>1*AA170/AD164</f>
        <v>2.5740025740025738E-2</v>
      </c>
      <c r="AF170" s="97"/>
      <c r="AG170" s="97"/>
      <c r="AH170" s="97"/>
      <c r="AI170" s="97"/>
      <c r="AJ170" s="97"/>
      <c r="AK170" s="97"/>
      <c r="AL170" s="97"/>
      <c r="AM170" s="97"/>
      <c r="AN170" s="97"/>
      <c r="AO170" s="97"/>
    </row>
    <row r="171" spans="1:41" ht="16.5" customHeight="1" x14ac:dyDescent="0.3">
      <c r="A171" s="69"/>
      <c r="B171" s="69"/>
      <c r="C171" s="69"/>
      <c r="D171" s="69"/>
      <c r="E171" s="69"/>
      <c r="F171" s="69"/>
      <c r="G171" s="17" t="s">
        <v>8885</v>
      </c>
      <c r="Z171" s="97"/>
      <c r="AA171" s="97"/>
      <c r="AB171" s="97"/>
      <c r="AC171" s="97"/>
      <c r="AD171" s="97"/>
      <c r="AE171" s="97"/>
      <c r="AF171" s="97"/>
      <c r="AG171" s="97"/>
      <c r="AH171" s="97"/>
      <c r="AI171" s="97"/>
      <c r="AJ171" s="97"/>
      <c r="AK171" s="97"/>
      <c r="AL171" s="97"/>
      <c r="AM171" s="97"/>
      <c r="AN171" s="97"/>
      <c r="AO171" s="97"/>
    </row>
    <row r="172" spans="1:41" ht="16.5" customHeight="1" x14ac:dyDescent="0.3">
      <c r="A172" s="59"/>
      <c r="B172" s="89" t="str">
        <f>"    공구손료 및 경장비(절단기, 고소작업대 등) : "&amp;TEXT(I172,"#,##0.0")&amp;" * "&amp;AA172&amp;" %  = "&amp;TEXT(C172,"#,##0.0")&amp;""</f>
        <v xml:space="preserve">    공구손료 및 경장비(절단기, 고소작업대 등) : 23,571.6 * 2 %  = 471.4</v>
      </c>
      <c r="C172" s="91">
        <f>E172+D172+F172</f>
        <v>471.4</v>
      </c>
      <c r="D172" s="91">
        <f>IF(H172=0,0,ROUNDDOWN(J172*H172/100,1))</f>
        <v>0</v>
      </c>
      <c r="E172" s="91">
        <f>IF(H172=0,0,ROUNDDOWN(K172*H172/100,1))</f>
        <v>0</v>
      </c>
      <c r="F172" s="91">
        <f>IF(H172=0,0,ROUNDDOWN(L172*H172/100,1))</f>
        <v>471.4</v>
      </c>
      <c r="G172" s="17" t="s">
        <v>8968</v>
      </c>
      <c r="H172" s="94">
        <f>ROUNDUP(AC172,14-LEN(ABS(INT(AC172))))</f>
        <v>2</v>
      </c>
      <c r="I172" s="95">
        <f>K172+J172+L172</f>
        <v>23571.599999999999</v>
      </c>
      <c r="J172" s="36">
        <v>0</v>
      </c>
      <c r="K172" s="36">
        <v>0</v>
      </c>
      <c r="L172" s="39">
        <f>D169+D170</f>
        <v>23571.599999999999</v>
      </c>
      <c r="M172" s="35" t="s">
        <v>8969</v>
      </c>
      <c r="N172" s="35" t="s">
        <v>8915</v>
      </c>
      <c r="Z172" s="35" t="s">
        <v>8947</v>
      </c>
      <c r="AA172" s="99">
        <v>2</v>
      </c>
      <c r="AB172" s="35" t="s">
        <v>8892</v>
      </c>
      <c r="AC172" s="100">
        <f>1*AA172</f>
        <v>2</v>
      </c>
      <c r="AD172" s="97"/>
      <c r="AE172" s="97"/>
      <c r="AF172" s="97"/>
      <c r="AG172" s="97"/>
      <c r="AH172" s="97"/>
      <c r="AI172" s="97"/>
      <c r="AJ172" s="97"/>
      <c r="AK172" s="97"/>
      <c r="AL172" s="97"/>
      <c r="AM172" s="97"/>
      <c r="AN172" s="97"/>
      <c r="AO172" s="97"/>
    </row>
    <row r="173" spans="1:41" ht="16.5" customHeight="1" x14ac:dyDescent="0.3">
      <c r="A173" s="69"/>
      <c r="B173" s="69"/>
      <c r="C173" s="69"/>
      <c r="D173" s="69"/>
      <c r="E173" s="69"/>
      <c r="F173" s="69"/>
      <c r="G173" s="17" t="s">
        <v>8885</v>
      </c>
      <c r="Z173" s="97"/>
      <c r="AA173" s="97"/>
      <c r="AB173" s="97"/>
      <c r="AC173" s="97"/>
      <c r="AD173" s="97"/>
      <c r="AE173" s="97"/>
      <c r="AF173" s="97"/>
      <c r="AG173" s="97"/>
      <c r="AH173" s="97"/>
      <c r="AI173" s="97"/>
      <c r="AJ173" s="97"/>
      <c r="AK173" s="97"/>
      <c r="AL173" s="97"/>
      <c r="AM173" s="97"/>
      <c r="AN173" s="97"/>
      <c r="AO173" s="97"/>
    </row>
    <row r="174" spans="1:41" ht="16.5" customHeight="1" x14ac:dyDescent="0.3">
      <c r="A174" s="59"/>
      <c r="B174" s="68" t="s">
        <v>8914</v>
      </c>
      <c r="C174" s="92">
        <f>E174+D174+F174</f>
        <v>24043</v>
      </c>
      <c r="D174" s="92">
        <f>SUMIF(N157:N173,M174,D157:D173)</f>
        <v>23571.599999999999</v>
      </c>
      <c r="E174" s="92">
        <f>SUMIF(N157:N173,M174,E157:E173)</f>
        <v>0</v>
      </c>
      <c r="F174" s="92">
        <f>SUMIF(N157:N173,M174,F157:F173)</f>
        <v>471.4</v>
      </c>
      <c r="G174" s="17" t="s">
        <v>8927</v>
      </c>
      <c r="M174" s="35" t="s">
        <v>8915</v>
      </c>
      <c r="N174" s="35" t="s">
        <v>8952</v>
      </c>
      <c r="Z174" s="97"/>
      <c r="AA174" s="97"/>
      <c r="AB174" s="97"/>
      <c r="AC174" s="97"/>
      <c r="AD174" s="97"/>
      <c r="AE174" s="97"/>
      <c r="AF174" s="97"/>
      <c r="AG174" s="97"/>
      <c r="AH174" s="97"/>
      <c r="AI174" s="97"/>
      <c r="AJ174" s="97"/>
      <c r="AK174" s="97"/>
      <c r="AL174" s="97"/>
      <c r="AM174" s="97"/>
      <c r="AN174" s="97"/>
      <c r="AO174" s="97"/>
    </row>
    <row r="175" spans="1:41" ht="16.5" customHeight="1" x14ac:dyDescent="0.3">
      <c r="A175" s="59"/>
      <c r="B175" s="68" t="s">
        <v>8951</v>
      </c>
      <c r="C175" s="93">
        <f>E175+D175+F175</f>
        <v>24043</v>
      </c>
      <c r="D175" s="93">
        <f>SUMIF(N157:N174,M175,D157:D174)</f>
        <v>23571.599999999999</v>
      </c>
      <c r="E175" s="93">
        <f>SUMIF(N157:N174,M175,E157:E174)</f>
        <v>0</v>
      </c>
      <c r="F175" s="93">
        <f>SUMIF(N157:N174,M175,F157:F174)</f>
        <v>471.4</v>
      </c>
      <c r="G175" s="17" t="s">
        <v>8950</v>
      </c>
      <c r="M175" s="35" t="s">
        <v>8952</v>
      </c>
      <c r="N175" s="35" t="s">
        <v>6406</v>
      </c>
      <c r="Z175" s="97"/>
      <c r="AA175" s="97"/>
      <c r="AB175" s="97"/>
      <c r="AC175" s="97"/>
      <c r="AD175" s="97"/>
      <c r="AE175" s="97"/>
      <c r="AF175" s="97"/>
      <c r="AG175" s="97"/>
      <c r="AH175" s="97"/>
      <c r="AI175" s="97"/>
      <c r="AJ175" s="97"/>
      <c r="AK175" s="97"/>
      <c r="AL175" s="97"/>
      <c r="AM175" s="97"/>
      <c r="AN175" s="97"/>
      <c r="AO175" s="97"/>
    </row>
    <row r="176" spans="1:41" ht="16.5" customHeight="1" x14ac:dyDescent="0.3">
      <c r="A176" s="69"/>
      <c r="B176" s="69"/>
      <c r="C176" s="90"/>
      <c r="D176" s="90"/>
      <c r="E176" s="90"/>
      <c r="F176" s="90"/>
      <c r="Z176" s="97"/>
      <c r="AA176" s="97"/>
      <c r="AB176" s="97"/>
      <c r="AC176" s="97"/>
      <c r="AD176" s="97"/>
      <c r="AE176" s="97"/>
      <c r="AF176" s="97"/>
      <c r="AG176" s="97"/>
      <c r="AH176" s="97"/>
      <c r="AI176" s="97"/>
      <c r="AJ176" s="97"/>
      <c r="AK176" s="97"/>
      <c r="AL176" s="97"/>
      <c r="AM176" s="97"/>
      <c r="AN176" s="97"/>
      <c r="AO176" s="97"/>
    </row>
    <row r="177" spans="1:41" ht="16.5" customHeight="1" x14ac:dyDescent="0.3">
      <c r="A177" s="69"/>
      <c r="B177" s="69"/>
      <c r="C177" s="69"/>
      <c r="D177" s="69"/>
      <c r="E177" s="69"/>
      <c r="F177" s="69"/>
      <c r="Z177" s="97"/>
      <c r="AA177" s="97"/>
      <c r="AB177" s="97"/>
      <c r="AC177" s="97"/>
      <c r="AD177" s="97"/>
      <c r="AE177" s="97"/>
      <c r="AF177" s="97"/>
      <c r="AG177" s="97"/>
      <c r="AH177" s="97"/>
      <c r="AI177" s="97"/>
      <c r="AJ177" s="97"/>
      <c r="AK177" s="97"/>
      <c r="AL177" s="97"/>
      <c r="AM177" s="97"/>
      <c r="AN177" s="97"/>
      <c r="AO177" s="97"/>
    </row>
    <row r="178" spans="1:41" ht="16.5" customHeight="1" x14ac:dyDescent="0.3">
      <c r="A178" s="69"/>
      <c r="B178" s="69"/>
      <c r="C178" s="69"/>
      <c r="D178" s="69"/>
      <c r="E178" s="69"/>
      <c r="F178" s="69"/>
      <c r="Z178" s="97"/>
      <c r="AA178" s="97"/>
      <c r="AB178" s="97"/>
      <c r="AC178" s="97"/>
      <c r="AD178" s="97"/>
      <c r="AE178" s="97"/>
      <c r="AF178" s="97"/>
      <c r="AG178" s="97"/>
      <c r="AH178" s="97"/>
      <c r="AI178" s="97"/>
      <c r="AJ178" s="97"/>
      <c r="AK178" s="97"/>
      <c r="AL178" s="97"/>
      <c r="AM178" s="97"/>
      <c r="AN178" s="97"/>
      <c r="AO178" s="97"/>
    </row>
    <row r="179" spans="1:41" ht="16.5" customHeight="1" x14ac:dyDescent="0.3">
      <c r="A179" s="69"/>
      <c r="B179" s="69"/>
      <c r="C179" s="69"/>
      <c r="D179" s="69"/>
      <c r="E179" s="69"/>
      <c r="F179" s="69"/>
      <c r="Z179" s="97"/>
      <c r="AA179" s="97"/>
      <c r="AB179" s="97"/>
      <c r="AC179" s="97"/>
      <c r="AD179" s="97"/>
      <c r="AE179" s="97"/>
      <c r="AF179" s="97"/>
      <c r="AG179" s="97"/>
      <c r="AH179" s="97"/>
      <c r="AI179" s="97"/>
      <c r="AJ179" s="97"/>
      <c r="AK179" s="97"/>
      <c r="AL179" s="97"/>
      <c r="AM179" s="97"/>
      <c r="AN179" s="97"/>
      <c r="AO179" s="97"/>
    </row>
    <row r="180" spans="1:41" ht="16.5" customHeight="1" x14ac:dyDescent="0.3">
      <c r="A180" s="69"/>
      <c r="B180" s="69"/>
      <c r="C180" s="69"/>
      <c r="D180" s="69"/>
      <c r="E180" s="69"/>
      <c r="F180" s="69"/>
      <c r="Z180" s="97"/>
      <c r="AA180" s="97"/>
      <c r="AB180" s="97"/>
      <c r="AC180" s="97"/>
      <c r="AD180" s="97"/>
      <c r="AE180" s="97"/>
      <c r="AF180" s="97"/>
      <c r="AG180" s="97"/>
      <c r="AH180" s="97"/>
      <c r="AI180" s="97"/>
      <c r="AJ180" s="97"/>
      <c r="AK180" s="97"/>
      <c r="AL180" s="97"/>
      <c r="AM180" s="97"/>
      <c r="AN180" s="97"/>
      <c r="AO180" s="97"/>
    </row>
    <row r="181" spans="1:41" ht="16.5" customHeight="1" x14ac:dyDescent="0.3">
      <c r="A181" s="69"/>
      <c r="B181" s="69"/>
      <c r="C181" s="69"/>
      <c r="D181" s="69"/>
      <c r="E181" s="69"/>
      <c r="F181" s="69"/>
      <c r="Z181" s="97"/>
      <c r="AA181" s="97"/>
      <c r="AB181" s="97"/>
      <c r="AC181" s="97"/>
      <c r="AD181" s="97"/>
      <c r="AE181" s="97"/>
      <c r="AF181" s="97"/>
      <c r="AG181" s="97"/>
      <c r="AH181" s="97"/>
      <c r="AI181" s="97"/>
      <c r="AJ181" s="97"/>
      <c r="AK181" s="97"/>
      <c r="AL181" s="97"/>
      <c r="AM181" s="97"/>
      <c r="AN181" s="97"/>
      <c r="AO181" s="97"/>
    </row>
    <row r="182" spans="1:41" ht="16.5" customHeight="1" x14ac:dyDescent="0.3">
      <c r="A182" s="69"/>
      <c r="B182" s="69"/>
      <c r="C182" s="69"/>
      <c r="D182" s="69"/>
      <c r="E182" s="69"/>
      <c r="F182" s="69"/>
      <c r="Z182" s="97"/>
      <c r="AA182" s="97"/>
      <c r="AB182" s="97"/>
      <c r="AC182" s="97"/>
      <c r="AD182" s="97"/>
      <c r="AE182" s="97"/>
      <c r="AF182" s="97"/>
      <c r="AG182" s="97"/>
      <c r="AH182" s="97"/>
      <c r="AI182" s="97"/>
      <c r="AJ182" s="97"/>
      <c r="AK182" s="97"/>
      <c r="AL182" s="97"/>
      <c r="AM182" s="97"/>
      <c r="AN182" s="97"/>
      <c r="AO182" s="97"/>
    </row>
    <row r="183" spans="1:41" ht="16.5" customHeight="1" x14ac:dyDescent="0.3">
      <c r="A183" s="69"/>
      <c r="B183" s="69"/>
      <c r="C183" s="69"/>
      <c r="D183" s="69"/>
      <c r="E183" s="69"/>
      <c r="F183" s="69"/>
      <c r="Z183" s="97"/>
      <c r="AA183" s="97"/>
      <c r="AB183" s="97"/>
      <c r="AC183" s="97"/>
      <c r="AD183" s="97"/>
      <c r="AE183" s="97"/>
      <c r="AF183" s="97"/>
      <c r="AG183" s="97"/>
      <c r="AH183" s="97"/>
      <c r="AI183" s="97"/>
      <c r="AJ183" s="97"/>
      <c r="AK183" s="97"/>
      <c r="AL183" s="97"/>
      <c r="AM183" s="97"/>
      <c r="AN183" s="97"/>
      <c r="AO183" s="97"/>
    </row>
    <row r="184" spans="1:41" ht="16.5" customHeight="1" x14ac:dyDescent="0.3">
      <c r="A184" s="69"/>
      <c r="B184" s="69"/>
      <c r="C184" s="69"/>
      <c r="D184" s="69"/>
      <c r="E184" s="69"/>
      <c r="F184" s="69"/>
      <c r="Z184" s="97"/>
      <c r="AA184" s="97"/>
      <c r="AB184" s="97"/>
      <c r="AC184" s="97"/>
      <c r="AD184" s="97"/>
      <c r="AE184" s="97"/>
      <c r="AF184" s="97"/>
      <c r="AG184" s="97"/>
      <c r="AH184" s="97"/>
      <c r="AI184" s="97"/>
      <c r="AJ184" s="97"/>
      <c r="AK184" s="97"/>
      <c r="AL184" s="97"/>
      <c r="AM184" s="97"/>
      <c r="AN184" s="97"/>
      <c r="AO184" s="97"/>
    </row>
    <row r="185" spans="1:41" ht="16.5" customHeight="1" x14ac:dyDescent="0.3">
      <c r="A185" s="69"/>
      <c r="B185" s="69"/>
      <c r="C185" s="69"/>
      <c r="D185" s="69"/>
      <c r="E185" s="69"/>
      <c r="F185" s="69"/>
      <c r="Z185" s="97"/>
      <c r="AA185" s="97"/>
      <c r="AB185" s="97"/>
      <c r="AC185" s="97"/>
      <c r="AD185" s="97"/>
      <c r="AE185" s="97"/>
      <c r="AF185" s="97"/>
      <c r="AG185" s="97"/>
      <c r="AH185" s="97"/>
      <c r="AI185" s="97"/>
      <c r="AJ185" s="97"/>
      <c r="AK185" s="97"/>
      <c r="AL185" s="97"/>
      <c r="AM185" s="97"/>
      <c r="AN185" s="97"/>
      <c r="AO185" s="97"/>
    </row>
    <row r="186" spans="1:41" ht="16.5" customHeight="1" x14ac:dyDescent="0.3">
      <c r="A186" s="69"/>
      <c r="B186" s="69"/>
      <c r="C186" s="69"/>
      <c r="D186" s="69"/>
      <c r="E186" s="69"/>
      <c r="F186" s="69"/>
      <c r="Z186" s="97"/>
      <c r="AA186" s="97"/>
      <c r="AB186" s="97"/>
      <c r="AC186" s="97"/>
      <c r="AD186" s="97"/>
      <c r="AE186" s="97"/>
      <c r="AF186" s="97"/>
      <c r="AG186" s="97"/>
      <c r="AH186" s="97"/>
      <c r="AI186" s="97"/>
      <c r="AJ186" s="97"/>
      <c r="AK186" s="97"/>
      <c r="AL186" s="97"/>
      <c r="AM186" s="97"/>
      <c r="AN186" s="97"/>
      <c r="AO186" s="97"/>
    </row>
    <row r="187" spans="1:41" ht="16.5" customHeight="1" x14ac:dyDescent="0.3">
      <c r="A187" s="69"/>
      <c r="B187" s="69"/>
      <c r="C187" s="69"/>
      <c r="D187" s="69"/>
      <c r="E187" s="69"/>
      <c r="F187" s="69"/>
      <c r="Z187" s="97"/>
      <c r="AA187" s="97"/>
      <c r="AB187" s="97"/>
      <c r="AC187" s="97"/>
      <c r="AD187" s="97"/>
      <c r="AE187" s="97"/>
      <c r="AF187" s="97"/>
      <c r="AG187" s="97"/>
      <c r="AH187" s="97"/>
      <c r="AI187" s="97"/>
      <c r="AJ187" s="97"/>
      <c r="AK187" s="97"/>
      <c r="AL187" s="97"/>
      <c r="AM187" s="97"/>
      <c r="AN187" s="97"/>
      <c r="AO187" s="97"/>
    </row>
    <row r="188" spans="1:41" ht="16.5" customHeight="1" x14ac:dyDescent="0.3">
      <c r="A188" s="69"/>
      <c r="B188" s="69"/>
      <c r="C188" s="69"/>
      <c r="D188" s="69"/>
      <c r="E188" s="69"/>
      <c r="F188" s="69"/>
      <c r="Z188" s="97"/>
      <c r="AA188" s="97"/>
      <c r="AB188" s="97"/>
      <c r="AC188" s="97"/>
      <c r="AD188" s="97"/>
      <c r="AE188" s="97"/>
      <c r="AF188" s="97"/>
      <c r="AG188" s="97"/>
      <c r="AH188" s="97"/>
      <c r="AI188" s="97"/>
      <c r="AJ188" s="97"/>
      <c r="AK188" s="97"/>
      <c r="AL188" s="97"/>
      <c r="AM188" s="97"/>
      <c r="AN188" s="97"/>
      <c r="AO188" s="97"/>
    </row>
    <row r="189" spans="1:41" ht="16.5" customHeight="1" x14ac:dyDescent="0.3">
      <c r="A189" s="69"/>
      <c r="B189" s="69"/>
      <c r="C189" s="69"/>
      <c r="D189" s="69"/>
      <c r="E189" s="69"/>
      <c r="F189" s="69"/>
      <c r="Z189" s="97"/>
      <c r="AA189" s="97"/>
      <c r="AB189" s="97"/>
      <c r="AC189" s="97"/>
      <c r="AD189" s="97"/>
      <c r="AE189" s="97"/>
      <c r="AF189" s="97"/>
      <c r="AG189" s="97"/>
      <c r="AH189" s="97"/>
      <c r="AI189" s="97"/>
      <c r="AJ189" s="97"/>
      <c r="AK189" s="97"/>
      <c r="AL189" s="97"/>
      <c r="AM189" s="97"/>
      <c r="AN189" s="97"/>
      <c r="AO189" s="97"/>
    </row>
    <row r="190" spans="1:41" ht="16.5" customHeight="1" x14ac:dyDescent="0.3">
      <c r="A190" s="69"/>
      <c r="B190" s="69"/>
      <c r="C190" s="69"/>
      <c r="D190" s="69"/>
      <c r="E190" s="69"/>
      <c r="F190" s="69"/>
      <c r="Z190" s="97"/>
      <c r="AA190" s="97"/>
      <c r="AB190" s="97"/>
      <c r="AC190" s="97"/>
      <c r="AD190" s="97"/>
      <c r="AE190" s="97"/>
      <c r="AF190" s="97"/>
      <c r="AG190" s="97"/>
      <c r="AH190" s="97"/>
      <c r="AI190" s="97"/>
      <c r="AJ190" s="97"/>
      <c r="AK190" s="97"/>
      <c r="AL190" s="97"/>
      <c r="AM190" s="97"/>
      <c r="AN190" s="97"/>
      <c r="AO190" s="97"/>
    </row>
    <row r="191" spans="1:41" ht="16.5" customHeight="1" x14ac:dyDescent="0.3">
      <c r="A191" s="69"/>
      <c r="B191" s="69"/>
      <c r="C191" s="69"/>
      <c r="D191" s="69"/>
      <c r="E191" s="69"/>
      <c r="F191" s="69"/>
      <c r="Z191" s="97"/>
      <c r="AA191" s="97"/>
      <c r="AB191" s="97"/>
      <c r="AC191" s="97"/>
      <c r="AD191" s="97"/>
      <c r="AE191" s="97"/>
      <c r="AF191" s="97"/>
      <c r="AG191" s="97"/>
      <c r="AH191" s="97"/>
      <c r="AI191" s="97"/>
      <c r="AJ191" s="97"/>
      <c r="AK191" s="97"/>
      <c r="AL191" s="97"/>
      <c r="AM191" s="97"/>
      <c r="AN191" s="97"/>
      <c r="AO191" s="97"/>
    </row>
    <row r="192" spans="1:41" ht="16.5" customHeight="1" x14ac:dyDescent="0.3">
      <c r="A192" s="69"/>
      <c r="B192" s="69"/>
      <c r="C192" s="69"/>
      <c r="D192" s="69"/>
      <c r="E192" s="69"/>
      <c r="F192" s="69"/>
      <c r="Z192" s="97"/>
      <c r="AA192" s="97"/>
      <c r="AB192" s="97"/>
      <c r="AC192" s="97"/>
      <c r="AD192" s="97"/>
      <c r="AE192" s="97"/>
      <c r="AF192" s="97"/>
      <c r="AG192" s="97"/>
      <c r="AH192" s="97"/>
      <c r="AI192" s="97"/>
      <c r="AJ192" s="97"/>
      <c r="AK192" s="97"/>
      <c r="AL192" s="97"/>
      <c r="AM192" s="97"/>
      <c r="AN192" s="97"/>
      <c r="AO192" s="97"/>
    </row>
    <row r="193" spans="1:41" ht="16.5" customHeight="1" x14ac:dyDescent="0.3">
      <c r="A193" s="69"/>
      <c r="B193" s="69"/>
      <c r="C193" s="69"/>
      <c r="D193" s="69"/>
      <c r="E193" s="69"/>
      <c r="F193" s="69"/>
      <c r="Z193" s="97"/>
      <c r="AA193" s="97"/>
      <c r="AB193" s="97"/>
      <c r="AC193" s="97"/>
      <c r="AD193" s="97"/>
      <c r="AE193" s="97"/>
      <c r="AF193" s="97"/>
      <c r="AG193" s="97"/>
      <c r="AH193" s="97"/>
      <c r="AI193" s="97"/>
      <c r="AJ193" s="97"/>
      <c r="AK193" s="97"/>
      <c r="AL193" s="97"/>
      <c r="AM193" s="97"/>
      <c r="AN193" s="97"/>
      <c r="AO193" s="97"/>
    </row>
    <row r="194" spans="1:41" ht="16.5" customHeight="1" x14ac:dyDescent="0.3">
      <c r="A194" s="69"/>
      <c r="B194" s="69"/>
      <c r="C194" s="69"/>
      <c r="D194" s="69"/>
      <c r="E194" s="69"/>
      <c r="F194" s="69"/>
      <c r="Z194" s="97"/>
      <c r="AA194" s="97"/>
      <c r="AB194" s="97"/>
      <c r="AC194" s="97"/>
      <c r="AD194" s="97"/>
      <c r="AE194" s="97"/>
      <c r="AF194" s="97"/>
      <c r="AG194" s="97"/>
      <c r="AH194" s="97"/>
      <c r="AI194" s="97"/>
      <c r="AJ194" s="97"/>
      <c r="AK194" s="97"/>
      <c r="AL194" s="97"/>
      <c r="AM194" s="97"/>
      <c r="AN194" s="97"/>
      <c r="AO194" s="97"/>
    </row>
    <row r="195" spans="1:41" ht="16.5" customHeight="1" x14ac:dyDescent="0.3">
      <c r="A195" s="69"/>
      <c r="B195" s="69"/>
      <c r="C195" s="69"/>
      <c r="D195" s="69"/>
      <c r="E195" s="69"/>
      <c r="F195" s="69"/>
      <c r="Z195" s="97"/>
      <c r="AA195" s="97"/>
      <c r="AB195" s="97"/>
      <c r="AC195" s="97"/>
      <c r="AD195" s="97"/>
      <c r="AE195" s="97"/>
      <c r="AF195" s="97"/>
      <c r="AG195" s="97"/>
      <c r="AH195" s="97"/>
      <c r="AI195" s="97"/>
      <c r="AJ195" s="97"/>
      <c r="AK195" s="97"/>
      <c r="AL195" s="97"/>
      <c r="AM195" s="97"/>
      <c r="AN195" s="97"/>
      <c r="AO195" s="97"/>
    </row>
    <row r="196" spans="1:41" ht="16.5" customHeight="1" x14ac:dyDescent="0.3">
      <c r="A196" s="69"/>
      <c r="B196" s="69"/>
      <c r="C196" s="69"/>
      <c r="D196" s="69"/>
      <c r="E196" s="69"/>
      <c r="F196" s="69"/>
      <c r="Z196" s="97"/>
      <c r="AA196" s="97"/>
      <c r="AB196" s="97"/>
      <c r="AC196" s="97"/>
      <c r="AD196" s="97"/>
      <c r="AE196" s="97"/>
      <c r="AF196" s="97"/>
      <c r="AG196" s="97"/>
      <c r="AH196" s="97"/>
      <c r="AI196" s="97"/>
      <c r="AJ196" s="97"/>
      <c r="AK196" s="97"/>
      <c r="AL196" s="97"/>
      <c r="AM196" s="97"/>
      <c r="AN196" s="97"/>
      <c r="AO196" s="97"/>
    </row>
    <row r="197" spans="1:41" ht="16.5" customHeight="1" x14ac:dyDescent="0.3">
      <c r="A197" s="69"/>
      <c r="B197" s="69"/>
      <c r="C197" s="69"/>
      <c r="D197" s="69"/>
      <c r="E197" s="69"/>
      <c r="F197" s="69"/>
      <c r="Z197" s="97"/>
      <c r="AA197" s="97"/>
      <c r="AB197" s="97"/>
      <c r="AC197" s="97"/>
      <c r="AD197" s="97"/>
      <c r="AE197" s="97"/>
      <c r="AF197" s="97"/>
      <c r="AG197" s="97"/>
      <c r="AH197" s="97"/>
      <c r="AI197" s="97"/>
      <c r="AJ197" s="97"/>
      <c r="AK197" s="97"/>
      <c r="AL197" s="97"/>
      <c r="AM197" s="97"/>
      <c r="AN197" s="97"/>
      <c r="AO197" s="97"/>
    </row>
    <row r="198" spans="1:41" ht="16.5" customHeight="1" x14ac:dyDescent="0.3">
      <c r="A198" s="69"/>
      <c r="B198" s="69"/>
      <c r="C198" s="69"/>
      <c r="D198" s="69"/>
      <c r="E198" s="69"/>
      <c r="F198" s="69"/>
      <c r="Z198" s="97"/>
      <c r="AA198" s="97"/>
      <c r="AB198" s="97"/>
      <c r="AC198" s="97"/>
      <c r="AD198" s="97"/>
      <c r="AE198" s="97"/>
      <c r="AF198" s="97"/>
      <c r="AG198" s="97"/>
      <c r="AH198" s="97"/>
      <c r="AI198" s="97"/>
      <c r="AJ198" s="97"/>
      <c r="AK198" s="97"/>
      <c r="AL198" s="97"/>
      <c r="AM198" s="97"/>
      <c r="AN198" s="97"/>
      <c r="AO198" s="97"/>
    </row>
    <row r="199" spans="1:41" ht="16.5" customHeight="1" x14ac:dyDescent="0.3">
      <c r="A199" s="69"/>
      <c r="B199" s="69"/>
      <c r="C199" s="69"/>
      <c r="D199" s="69"/>
      <c r="E199" s="69"/>
      <c r="F199" s="69"/>
      <c r="Z199" s="97"/>
      <c r="AA199" s="97"/>
      <c r="AB199" s="97"/>
      <c r="AC199" s="97"/>
      <c r="AD199" s="97"/>
      <c r="AE199" s="97"/>
      <c r="AF199" s="97"/>
      <c r="AG199" s="97"/>
      <c r="AH199" s="97"/>
      <c r="AI199" s="97"/>
      <c r="AJ199" s="97"/>
      <c r="AK199" s="97"/>
      <c r="AL199" s="97"/>
      <c r="AM199" s="97"/>
      <c r="AN199" s="97"/>
      <c r="AO199" s="97"/>
    </row>
    <row r="200" spans="1:41" ht="16.5" customHeight="1" x14ac:dyDescent="0.3">
      <c r="A200" s="69"/>
      <c r="B200" s="69"/>
      <c r="C200" s="69"/>
      <c r="D200" s="69"/>
      <c r="E200" s="69"/>
      <c r="F200" s="69"/>
      <c r="Z200" s="97"/>
      <c r="AA200" s="97"/>
      <c r="AB200" s="97"/>
      <c r="AC200" s="97"/>
      <c r="AD200" s="97"/>
      <c r="AE200" s="97"/>
      <c r="AF200" s="97"/>
      <c r="AG200" s="97"/>
      <c r="AH200" s="97"/>
      <c r="AI200" s="97"/>
      <c r="AJ200" s="97"/>
      <c r="AK200" s="97"/>
      <c r="AL200" s="97"/>
      <c r="AM200" s="97"/>
      <c r="AN200" s="97"/>
      <c r="AO200" s="97"/>
    </row>
    <row r="201" spans="1:41" ht="16.5" customHeight="1" x14ac:dyDescent="0.3">
      <c r="A201" s="69"/>
      <c r="B201" s="69"/>
      <c r="C201" s="69"/>
      <c r="D201" s="69"/>
      <c r="E201" s="69"/>
      <c r="F201" s="69"/>
      <c r="Z201" s="97"/>
      <c r="AA201" s="97"/>
      <c r="AB201" s="97"/>
      <c r="AC201" s="97"/>
      <c r="AD201" s="97"/>
      <c r="AE201" s="97"/>
      <c r="AF201" s="97"/>
      <c r="AG201" s="97"/>
      <c r="AH201" s="97"/>
      <c r="AI201" s="97"/>
      <c r="AJ201" s="97"/>
      <c r="AK201" s="97"/>
      <c r="AL201" s="97"/>
      <c r="AM201" s="97"/>
      <c r="AN201" s="97"/>
      <c r="AO201" s="97"/>
    </row>
    <row r="202" spans="1:41" ht="16.5" customHeight="1" x14ac:dyDescent="0.3">
      <c r="A202" s="69"/>
      <c r="B202" s="69"/>
      <c r="C202" s="69"/>
      <c r="D202" s="69"/>
      <c r="E202" s="69"/>
      <c r="F202" s="69"/>
      <c r="Z202" s="97"/>
      <c r="AA202" s="97"/>
      <c r="AB202" s="97"/>
      <c r="AC202" s="97"/>
      <c r="AD202" s="97"/>
      <c r="AE202" s="97"/>
      <c r="AF202" s="97"/>
      <c r="AG202" s="97"/>
      <c r="AH202" s="97"/>
      <c r="AI202" s="97"/>
      <c r="AJ202" s="97"/>
      <c r="AK202" s="97"/>
      <c r="AL202" s="97"/>
      <c r="AM202" s="97"/>
      <c r="AN202" s="97"/>
      <c r="AO202" s="97"/>
    </row>
    <row r="203" spans="1:41" ht="16.5" customHeight="1" x14ac:dyDescent="0.3">
      <c r="A203" s="74"/>
      <c r="B203" s="74"/>
      <c r="C203" s="74"/>
      <c r="D203" s="74"/>
      <c r="E203" s="74"/>
      <c r="F203" s="74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O203" s="97"/>
    </row>
    <row r="204" spans="1:41" ht="16.5" customHeight="1" x14ac:dyDescent="0.3">
      <c r="A204" s="145" t="s">
        <v>8953</v>
      </c>
      <c r="B204" s="138"/>
      <c r="C204" s="48">
        <f>E204+D204+F204</f>
        <v>24042</v>
      </c>
      <c r="D204" s="47">
        <f>ROUNDDOWN(SUMIF(N157:N175,M204,D157:D175),0)</f>
        <v>23571</v>
      </c>
      <c r="E204" s="56">
        <f>ROUNDDOWN(SUMIF(N157:N175,M204,E157:E175),0)</f>
        <v>0</v>
      </c>
      <c r="F204" s="48">
        <f>ROUNDDOWN(SUMIF(N157:N175,M204,F157:F175),0)</f>
        <v>471</v>
      </c>
      <c r="M204" s="35" t="s">
        <v>6406</v>
      </c>
      <c r="Z204" s="97"/>
      <c r="AA204" s="97"/>
      <c r="AB204" s="97"/>
      <c r="AC204" s="97"/>
      <c r="AD204" s="97"/>
      <c r="AE204" s="97"/>
      <c r="AF204" s="97"/>
      <c r="AG204" s="97"/>
      <c r="AH204" s="97"/>
      <c r="AI204" s="97"/>
      <c r="AJ204" s="97"/>
      <c r="AK204" s="97"/>
      <c r="AL204" s="97"/>
      <c r="AM204" s="97"/>
      <c r="AN204" s="97"/>
      <c r="AO204" s="97"/>
    </row>
    <row r="205" spans="1:41" ht="16.5" customHeight="1" x14ac:dyDescent="0.3">
      <c r="A205" s="86" t="s">
        <v>19</v>
      </c>
      <c r="B205" s="88" t="s">
        <v>19</v>
      </c>
      <c r="C205" s="146">
        <f>C254</f>
        <v>33660</v>
      </c>
      <c r="D205" s="146">
        <f>D254</f>
        <v>33000</v>
      </c>
      <c r="E205" s="146">
        <f>E254</f>
        <v>0</v>
      </c>
      <c r="F205" s="146">
        <f>F254</f>
        <v>660</v>
      </c>
      <c r="G205" s="84" t="str">
        <f>HYPERLINK("#G"&amp;ROW(G225),"_x0005_`BDCOD|D00119_x0007_`POSS|"&amp;ROW(G207)&amp;"_x0007_`POSE|"&amp;ROW(G225)&amp;"_x0007_`")</f>
        <v>_x0005_`BDCOD|D00119_x0007_`POSS|207_x0007_`POSE|225_x0007_`</v>
      </c>
      <c r="Z205" s="97"/>
      <c r="AA205" s="97"/>
      <c r="AB205" s="97"/>
      <c r="AC205" s="97"/>
      <c r="AD205" s="97"/>
      <c r="AE205" s="97"/>
      <c r="AF205" s="97"/>
      <c r="AG205" s="97"/>
      <c r="AH205" s="97"/>
      <c r="AI205" s="97"/>
      <c r="AJ205" s="97"/>
      <c r="AK205" s="97"/>
      <c r="AL205" s="97"/>
      <c r="AM205" s="97"/>
      <c r="AN205" s="97"/>
      <c r="AO205" s="97"/>
    </row>
    <row r="206" spans="1:41" ht="16.5" customHeight="1" x14ac:dyDescent="0.3">
      <c r="A206" s="87"/>
      <c r="B206" s="88" t="s">
        <v>1988</v>
      </c>
      <c r="C206" s="127"/>
      <c r="D206" s="127"/>
      <c r="E206" s="127"/>
      <c r="F206" s="127"/>
      <c r="M206" s="35" t="s">
        <v>8970</v>
      </c>
      <c r="Z206" s="97"/>
      <c r="AA206" s="97"/>
      <c r="AB206" s="97"/>
      <c r="AC206" s="97"/>
      <c r="AD206" s="97"/>
      <c r="AE206" s="97"/>
      <c r="AF206" s="97"/>
      <c r="AG206" s="97"/>
      <c r="AH206" s="97"/>
      <c r="AI206" s="97"/>
      <c r="AJ206" s="97"/>
      <c r="AK206" s="97"/>
      <c r="AL206" s="97"/>
      <c r="AM206" s="97"/>
      <c r="AN206" s="97"/>
      <c r="AO206" s="97"/>
    </row>
    <row r="207" spans="1:41" ht="16.5" customHeight="1" x14ac:dyDescent="0.3">
      <c r="A207" s="69"/>
      <c r="B207" s="69"/>
      <c r="C207" s="90"/>
      <c r="D207" s="90"/>
      <c r="E207" s="90"/>
      <c r="F207" s="90"/>
      <c r="G207" s="17" t="s">
        <v>8885</v>
      </c>
      <c r="Z207" s="97"/>
      <c r="AA207" s="97"/>
      <c r="AB207" s="97"/>
      <c r="AC207" s="97"/>
      <c r="AD207" s="97"/>
      <c r="AE207" s="97"/>
      <c r="AF207" s="97"/>
      <c r="AG207" s="97"/>
      <c r="AH207" s="97"/>
      <c r="AI207" s="97"/>
      <c r="AJ207" s="97"/>
      <c r="AK207" s="97"/>
      <c r="AL207" s="97"/>
      <c r="AM207" s="97"/>
      <c r="AN207" s="97"/>
      <c r="AO207" s="97"/>
    </row>
    <row r="208" spans="1:41" ht="16.5" customHeight="1" x14ac:dyDescent="0.3">
      <c r="A208" s="59"/>
      <c r="B208" s="68" t="s">
        <v>8956</v>
      </c>
      <c r="C208" s="69"/>
      <c r="D208" s="69"/>
      <c r="E208" s="69"/>
      <c r="F208" s="69"/>
      <c r="G208" s="17" t="s">
        <v>8955</v>
      </c>
      <c r="Z208" s="97"/>
      <c r="AA208" s="97"/>
      <c r="AB208" s="97"/>
      <c r="AC208" s="97"/>
      <c r="AD208" s="97"/>
      <c r="AE208" s="97"/>
      <c r="AF208" s="97"/>
      <c r="AG208" s="97"/>
      <c r="AH208" s="97"/>
      <c r="AI208" s="97"/>
      <c r="AJ208" s="97"/>
      <c r="AK208" s="97"/>
      <c r="AL208" s="97"/>
      <c r="AM208" s="97"/>
      <c r="AN208" s="97"/>
      <c r="AO208" s="97"/>
    </row>
    <row r="209" spans="1:41" ht="16.5" customHeight="1" x14ac:dyDescent="0.3">
      <c r="A209" s="69"/>
      <c r="B209" s="69"/>
      <c r="C209" s="69"/>
      <c r="D209" s="69"/>
      <c r="E209" s="69"/>
      <c r="F209" s="69"/>
      <c r="G209" s="17" t="s">
        <v>8885</v>
      </c>
      <c r="Z209" s="97"/>
      <c r="AA209" s="97"/>
      <c r="AB209" s="97"/>
      <c r="AC209" s="97"/>
      <c r="AD209" s="97"/>
      <c r="AE209" s="97"/>
      <c r="AF209" s="97"/>
      <c r="AG209" s="97"/>
      <c r="AH209" s="97"/>
      <c r="AI209" s="97"/>
      <c r="AJ209" s="97"/>
      <c r="AK209" s="97"/>
      <c r="AL209" s="97"/>
      <c r="AM209" s="97"/>
      <c r="AN209" s="97"/>
      <c r="AO209" s="97"/>
    </row>
    <row r="210" spans="1:41" ht="16.5" customHeight="1" x14ac:dyDescent="0.3">
      <c r="A210" s="59"/>
      <c r="B210" s="68" t="s">
        <v>8958</v>
      </c>
      <c r="C210" s="69"/>
      <c r="D210" s="69"/>
      <c r="E210" s="69"/>
      <c r="F210" s="69"/>
      <c r="G210" s="17" t="s">
        <v>8957</v>
      </c>
      <c r="Z210" s="97"/>
      <c r="AA210" s="97"/>
      <c r="AB210" s="97"/>
      <c r="AC210" s="97"/>
      <c r="AD210" s="97"/>
      <c r="AE210" s="97"/>
      <c r="AF210" s="97"/>
      <c r="AG210" s="97"/>
      <c r="AH210" s="97"/>
      <c r="AI210" s="97"/>
      <c r="AJ210" s="97"/>
      <c r="AK210" s="97"/>
      <c r="AL210" s="97"/>
      <c r="AM210" s="97"/>
      <c r="AN210" s="97"/>
      <c r="AO210" s="97"/>
    </row>
    <row r="211" spans="1:41" ht="16.5" customHeight="1" x14ac:dyDescent="0.3">
      <c r="A211" s="69"/>
      <c r="B211" s="69"/>
      <c r="C211" s="69"/>
      <c r="D211" s="69"/>
      <c r="E211" s="69"/>
      <c r="F211" s="69"/>
      <c r="G211" s="17" t="s">
        <v>8885</v>
      </c>
      <c r="Z211" s="97"/>
      <c r="AA211" s="97"/>
      <c r="AB211" s="97"/>
      <c r="AC211" s="97"/>
      <c r="AD211" s="97"/>
      <c r="AE211" s="97"/>
      <c r="AF211" s="97"/>
      <c r="AG211" s="97"/>
      <c r="AH211" s="97"/>
      <c r="AI211" s="97"/>
      <c r="AJ211" s="97"/>
      <c r="AK211" s="97"/>
      <c r="AL211" s="97"/>
      <c r="AM211" s="97"/>
      <c r="AN211" s="97"/>
      <c r="AO211" s="97"/>
    </row>
    <row r="212" spans="1:41" ht="16.5" customHeight="1" x14ac:dyDescent="0.3">
      <c r="A212" s="59"/>
      <c r="B212" s="68" t="s">
        <v>8960</v>
      </c>
      <c r="C212" s="69"/>
      <c r="D212" s="69"/>
      <c r="E212" s="69"/>
      <c r="F212" s="69"/>
      <c r="G212" s="17" t="s">
        <v>8959</v>
      </c>
      <c r="Z212" s="97"/>
      <c r="AA212" s="97"/>
      <c r="AB212" s="97"/>
      <c r="AC212" s="97"/>
      <c r="AD212" s="97"/>
      <c r="AE212" s="97"/>
      <c r="AF212" s="97"/>
      <c r="AG212" s="97"/>
      <c r="AH212" s="97"/>
      <c r="AI212" s="97"/>
      <c r="AJ212" s="97"/>
      <c r="AK212" s="97"/>
      <c r="AL212" s="97"/>
      <c r="AM212" s="97"/>
      <c r="AN212" s="97"/>
      <c r="AO212" s="97"/>
    </row>
    <row r="213" spans="1:41" ht="16.5" customHeight="1" x14ac:dyDescent="0.3">
      <c r="A213" s="69"/>
      <c r="B213" s="69"/>
      <c r="C213" s="69"/>
      <c r="D213" s="69"/>
      <c r="E213" s="69"/>
      <c r="F213" s="69"/>
      <c r="G213" s="17" t="s">
        <v>8885</v>
      </c>
      <c r="Z213" s="97"/>
      <c r="AA213" s="97"/>
      <c r="AB213" s="97"/>
      <c r="AC213" s="97"/>
      <c r="AD213" s="97"/>
      <c r="AE213" s="97"/>
      <c r="AF213" s="97"/>
      <c r="AG213" s="97"/>
      <c r="AH213" s="97"/>
      <c r="AI213" s="97"/>
      <c r="AJ213" s="97"/>
      <c r="AK213" s="97"/>
      <c r="AL213" s="97"/>
      <c r="AM213" s="97"/>
      <c r="AN213" s="97"/>
      <c r="AO213" s="97"/>
    </row>
    <row r="214" spans="1:41" ht="16.5" customHeight="1" x14ac:dyDescent="0.3">
      <c r="A214" s="59"/>
      <c r="B214" s="68" t="str">
        <f>"    개소당 시공량  Q = "&amp;Z214&amp;" m/일  * "&amp;AB214&amp;" %  = "&amp;AD214&amp;""</f>
        <v xml:space="preserve">    개소당 시공량  Q = 25 m/일  * 1.11 %  = 27.750</v>
      </c>
      <c r="C214" s="69"/>
      <c r="D214" s="69"/>
      <c r="E214" s="69"/>
      <c r="F214" s="69"/>
      <c r="G214" s="17" t="s">
        <v>8971</v>
      </c>
      <c r="Z214" s="99">
        <v>25</v>
      </c>
      <c r="AA214" s="35" t="s">
        <v>8896</v>
      </c>
      <c r="AB214" s="98">
        <v>1.1100000000000001</v>
      </c>
      <c r="AC214" s="35" t="s">
        <v>8892</v>
      </c>
      <c r="AD214" s="100" t="str">
        <f>TEXT(ROUND(Z214*AB214,3),"#,0.000")</f>
        <v>27.750</v>
      </c>
      <c r="AE214" s="97"/>
      <c r="AF214" s="97"/>
      <c r="AG214" s="97"/>
      <c r="AH214" s="97"/>
      <c r="AI214" s="97"/>
      <c r="AJ214" s="97"/>
      <c r="AK214" s="97"/>
      <c r="AL214" s="97"/>
      <c r="AM214" s="97"/>
      <c r="AN214" s="97"/>
      <c r="AO214" s="97"/>
    </row>
    <row r="215" spans="1:41" ht="16.5" customHeight="1" x14ac:dyDescent="0.3">
      <c r="A215" s="59"/>
      <c r="B215" s="68" t="str">
        <f>"    시간당 시공량:  Q1 = Q / "&amp;AB215&amp;" = "&amp;AD215&amp;"    m/Hr "</f>
        <v xml:space="preserve">    시간당 시공량:  Q1 = Q / 8 = 3.469    m/Hr </v>
      </c>
      <c r="C215" s="69"/>
      <c r="D215" s="69"/>
      <c r="E215" s="69"/>
      <c r="F215" s="69"/>
      <c r="G215" s="17" t="s">
        <v>8962</v>
      </c>
      <c r="Z215" s="100" t="str">
        <f>AD214</f>
        <v>27.750</v>
      </c>
      <c r="AA215" s="35" t="s">
        <v>8905</v>
      </c>
      <c r="AB215" s="99">
        <v>8</v>
      </c>
      <c r="AC215" s="35" t="s">
        <v>8892</v>
      </c>
      <c r="AD215" s="100" t="str">
        <f>TEXT(ROUND(AD214/AB215,3),"#,0.000")</f>
        <v>3.469</v>
      </c>
      <c r="AE215" s="97"/>
      <c r="AF215" s="97"/>
      <c r="AG215" s="97"/>
      <c r="AH215" s="97"/>
      <c r="AI215" s="97"/>
      <c r="AJ215" s="97"/>
      <c r="AK215" s="97"/>
      <c r="AL215" s="97"/>
      <c r="AM215" s="97"/>
      <c r="AN215" s="97"/>
      <c r="AO215" s="97"/>
    </row>
    <row r="216" spans="1:41" ht="16.5" customHeight="1" x14ac:dyDescent="0.3">
      <c r="A216" s="69"/>
      <c r="B216" s="69"/>
      <c r="C216" s="69"/>
      <c r="D216" s="69"/>
      <c r="E216" s="69"/>
      <c r="F216" s="69"/>
      <c r="G216" s="17" t="s">
        <v>8885</v>
      </c>
      <c r="Z216" s="97"/>
      <c r="AA216" s="97"/>
      <c r="AB216" s="97"/>
      <c r="AC216" s="97"/>
      <c r="AD216" s="97"/>
      <c r="AE216" s="97"/>
      <c r="AF216" s="97"/>
      <c r="AG216" s="97"/>
      <c r="AH216" s="97"/>
      <c r="AI216" s="97"/>
      <c r="AJ216" s="97"/>
      <c r="AK216" s="97"/>
      <c r="AL216" s="97"/>
      <c r="AM216" s="97"/>
      <c r="AN216" s="97"/>
      <c r="AO216" s="97"/>
    </row>
    <row r="217" spans="1:41" ht="16.5" customHeight="1" x14ac:dyDescent="0.3">
      <c r="A217" s="59"/>
      <c r="B217" s="68" t="s">
        <v>8964</v>
      </c>
      <c r="C217" s="69"/>
      <c r="D217" s="69"/>
      <c r="E217" s="69"/>
      <c r="F217" s="69"/>
      <c r="G217" s="17" t="s">
        <v>8963</v>
      </c>
      <c r="Z217" s="97"/>
      <c r="AA217" s="97"/>
      <c r="AB217" s="97"/>
      <c r="AC217" s="97"/>
      <c r="AD217" s="97"/>
      <c r="AE217" s="97"/>
      <c r="AF217" s="97"/>
      <c r="AG217" s="97"/>
      <c r="AH217" s="97"/>
      <c r="AI217" s="97"/>
      <c r="AJ217" s="97"/>
      <c r="AK217" s="97"/>
      <c r="AL217" s="97"/>
      <c r="AM217" s="97"/>
      <c r="AN217" s="97"/>
      <c r="AO217" s="97"/>
    </row>
    <row r="218" spans="1:41" ht="16.5" customHeight="1" x14ac:dyDescent="0.3">
      <c r="A218" s="69"/>
      <c r="B218" s="69"/>
      <c r="C218" s="69"/>
      <c r="D218" s="69"/>
      <c r="E218" s="69"/>
      <c r="F218" s="69"/>
      <c r="G218" s="17" t="s">
        <v>8885</v>
      </c>
      <c r="Z218" s="97"/>
      <c r="AA218" s="97"/>
      <c r="AB218" s="97"/>
      <c r="AC218" s="97"/>
      <c r="AD218" s="97"/>
      <c r="AE218" s="97"/>
      <c r="AF218" s="97"/>
      <c r="AG218" s="97"/>
      <c r="AH218" s="97"/>
      <c r="AI218" s="97"/>
      <c r="AJ218" s="97"/>
      <c r="AK218" s="97"/>
      <c r="AL218" s="97"/>
      <c r="AM218" s="97"/>
      <c r="AN218" s="97"/>
      <c r="AO218" s="97"/>
    </row>
    <row r="219" spans="1:41" ht="16.5" customHeight="1" x14ac:dyDescent="0.3">
      <c r="A219" s="59" t="s">
        <v>8966</v>
      </c>
      <c r="B219" s="89" t="str">
        <f>"     배 관 공 : "&amp;TEXT(I219,"#,##0"&amp;IF(I219&lt;&gt;INT(I219),".###",""))&amp;" * "&amp;AA219&amp;" 인 / Q 인 = "&amp;TEXT(C219,"#,##0.0")&amp;""</f>
        <v xml:space="preserve">     배 관 공 : 247,897 * 3 인 / Q 인 = 26,799.6</v>
      </c>
      <c r="C219" s="91">
        <f>E219+D219+F219</f>
        <v>26799.599999999999</v>
      </c>
      <c r="D219" s="91">
        <f>IF(H219=0,0,ROUNDDOWN(J219*H219,1))</f>
        <v>26799.599999999999</v>
      </c>
      <c r="E219" s="91">
        <f>IF(H219=0,0,ROUNDDOWN(K219*H219,1))</f>
        <v>0</v>
      </c>
      <c r="F219" s="91">
        <f>IF(H219=0,0,ROUNDDOWN(L219*H219,1))</f>
        <v>0</v>
      </c>
      <c r="G219" s="17" t="s">
        <v>8965</v>
      </c>
      <c r="H219" s="94">
        <f>ROUNDUP(AE219,14-LEN(ABS(INT(AE219))))</f>
        <v>0.1081081081082</v>
      </c>
      <c r="I219" s="95">
        <f>K219+J219+L219</f>
        <v>247897</v>
      </c>
      <c r="J219" s="39">
        <f>노무비목록표!E10</f>
        <v>247897</v>
      </c>
      <c r="M219" s="35" t="s">
        <v>8366</v>
      </c>
      <c r="N219" s="35" t="s">
        <v>8915</v>
      </c>
      <c r="O219" s="35" t="s">
        <v>7061</v>
      </c>
      <c r="X219" s="96" t="str">
        <f>노무비목록표!B10&amp;" / "&amp;노무비목록표!C10</f>
        <v xml:space="preserve">배관공 / </v>
      </c>
      <c r="Y219" s="3" t="str">
        <f ca="1">HYPERLINK("#"&amp;노무비목록표!G2&amp;"!A"&amp;ROW(노무비목록표!A10),"노무7 →")</f>
        <v>노무7 →</v>
      </c>
      <c r="Z219" s="35" t="s">
        <v>8947</v>
      </c>
      <c r="AA219" s="99">
        <v>3</v>
      </c>
      <c r="AB219" s="35" t="s">
        <v>8905</v>
      </c>
      <c r="AC219" s="100" t="str">
        <f>AD214</f>
        <v>27.750</v>
      </c>
      <c r="AD219" s="35" t="s">
        <v>8892</v>
      </c>
      <c r="AE219" s="100">
        <f>1*AA219/AD214</f>
        <v>0.10810810810810811</v>
      </c>
      <c r="AF219" s="97"/>
      <c r="AG219" s="97"/>
      <c r="AH219" s="97"/>
      <c r="AI219" s="97"/>
      <c r="AJ219" s="97"/>
      <c r="AK219" s="97"/>
      <c r="AL219" s="97"/>
      <c r="AM219" s="97"/>
      <c r="AN219" s="97"/>
      <c r="AO219" s="97"/>
    </row>
    <row r="220" spans="1:41" ht="16.5" customHeight="1" x14ac:dyDescent="0.3">
      <c r="A220" s="59" t="s">
        <v>8949</v>
      </c>
      <c r="B220" s="89" t="str">
        <f>"     보통인부 : "&amp;TEXT(I220,"#,##0"&amp;IF(I220&lt;&gt;INT(I220),".###",""))&amp;" * "&amp;AA220&amp;" 인 / Q 인 = "&amp;TEXT(C220,"#,##0.0")&amp;""</f>
        <v xml:space="preserve">     보통인부 : 172,068 * 1 인 / Q 인 = 6,200.6</v>
      </c>
      <c r="C220" s="91">
        <f>E220+D220+F220</f>
        <v>6200.6</v>
      </c>
      <c r="D220" s="91">
        <f>IF(H220=0,0,ROUNDDOWN(J220*H220,1))</f>
        <v>6200.6</v>
      </c>
      <c r="E220" s="91">
        <f>IF(H220=0,0,ROUNDDOWN(K220*H220,1))</f>
        <v>0</v>
      </c>
      <c r="F220" s="91">
        <f>IF(H220=0,0,ROUNDDOWN(L220*H220,1))</f>
        <v>0</v>
      </c>
      <c r="G220" s="17" t="s">
        <v>8967</v>
      </c>
      <c r="H220" s="94">
        <f>ROUNDUP(AE220,14-LEN(ABS(INT(AE220))))</f>
        <v>3.6036036036100005E-2</v>
      </c>
      <c r="I220" s="95">
        <f>K220+J220+L220</f>
        <v>172068</v>
      </c>
      <c r="J220" s="39">
        <f>노무비목록표!E12</f>
        <v>172068</v>
      </c>
      <c r="M220" s="35" t="s">
        <v>8261</v>
      </c>
      <c r="N220" s="35" t="s">
        <v>8915</v>
      </c>
      <c r="O220" s="35" t="s">
        <v>7061</v>
      </c>
      <c r="X220" s="96" t="str">
        <f>노무비목록표!B12&amp;" / "&amp;노무비목록표!C12</f>
        <v xml:space="preserve">보통인부 / </v>
      </c>
      <c r="Y220" s="3" t="str">
        <f ca="1">HYPERLINK("#"&amp;노무비목록표!G2&amp;"!A"&amp;ROW(노무비목록표!A12),"노무9 →")</f>
        <v>노무9 →</v>
      </c>
      <c r="Z220" s="35" t="s">
        <v>8947</v>
      </c>
      <c r="AA220" s="99">
        <v>1</v>
      </c>
      <c r="AB220" s="35" t="s">
        <v>8905</v>
      </c>
      <c r="AC220" s="100" t="str">
        <f>AD214</f>
        <v>27.750</v>
      </c>
      <c r="AD220" s="35" t="s">
        <v>8892</v>
      </c>
      <c r="AE220" s="100">
        <f>1*AA220/AD214</f>
        <v>3.6036036036036036E-2</v>
      </c>
      <c r="AF220" s="97"/>
      <c r="AG220" s="97"/>
      <c r="AH220" s="97"/>
      <c r="AI220" s="97"/>
      <c r="AJ220" s="97"/>
      <c r="AK220" s="97"/>
      <c r="AL220" s="97"/>
      <c r="AM220" s="97"/>
      <c r="AN220" s="97"/>
      <c r="AO220" s="97"/>
    </row>
    <row r="221" spans="1:41" ht="16.5" customHeight="1" x14ac:dyDescent="0.3">
      <c r="A221" s="69"/>
      <c r="B221" s="69"/>
      <c r="C221" s="69"/>
      <c r="D221" s="69"/>
      <c r="E221" s="69"/>
      <c r="F221" s="69"/>
      <c r="G221" s="17" t="s">
        <v>8885</v>
      </c>
      <c r="Z221" s="97"/>
      <c r="AA221" s="97"/>
      <c r="AB221" s="97"/>
      <c r="AC221" s="97"/>
      <c r="AD221" s="97"/>
      <c r="AE221" s="97"/>
      <c r="AF221" s="97"/>
      <c r="AG221" s="97"/>
      <c r="AH221" s="97"/>
      <c r="AI221" s="97"/>
      <c r="AJ221" s="97"/>
      <c r="AK221" s="97"/>
      <c r="AL221" s="97"/>
      <c r="AM221" s="97"/>
      <c r="AN221" s="97"/>
      <c r="AO221" s="97"/>
    </row>
    <row r="222" spans="1:41" ht="16.5" customHeight="1" x14ac:dyDescent="0.3">
      <c r="A222" s="59"/>
      <c r="B222" s="89" t="str">
        <f>"    공구손료 및 경장비(절단기, 고소작업대 등) : "&amp;TEXT(I222,"#,##0.0")&amp;" * "&amp;AA222&amp;" %  = "&amp;TEXT(C222,"#,##0.0")&amp;""</f>
        <v xml:space="preserve">    공구손료 및 경장비(절단기, 고소작업대 등) : 33,000.2 * 2 %  = 660.0</v>
      </c>
      <c r="C222" s="91">
        <f>E222+D222+F222</f>
        <v>660</v>
      </c>
      <c r="D222" s="91">
        <f>IF(H222=0,0,ROUNDDOWN(J222*H222/100,1))</f>
        <v>0</v>
      </c>
      <c r="E222" s="91">
        <f>IF(H222=0,0,ROUNDDOWN(K222*H222/100,1))</f>
        <v>0</v>
      </c>
      <c r="F222" s="91">
        <f>IF(H222=0,0,ROUNDDOWN(L222*H222/100,1))</f>
        <v>660</v>
      </c>
      <c r="G222" s="17" t="s">
        <v>8968</v>
      </c>
      <c r="H222" s="94">
        <f>ROUNDUP(AC222,14-LEN(ABS(INT(AC222))))</f>
        <v>2</v>
      </c>
      <c r="I222" s="95">
        <f>K222+J222+L222</f>
        <v>33000.199999999997</v>
      </c>
      <c r="J222" s="36">
        <v>0</v>
      </c>
      <c r="K222" s="36">
        <v>0</v>
      </c>
      <c r="L222" s="39">
        <f>D219+D220</f>
        <v>33000.199999999997</v>
      </c>
      <c r="M222" s="35" t="s">
        <v>8969</v>
      </c>
      <c r="N222" s="35" t="s">
        <v>8915</v>
      </c>
      <c r="Z222" s="35" t="s">
        <v>8947</v>
      </c>
      <c r="AA222" s="99">
        <v>2</v>
      </c>
      <c r="AB222" s="35" t="s">
        <v>8892</v>
      </c>
      <c r="AC222" s="100">
        <f>1*AA222</f>
        <v>2</v>
      </c>
      <c r="AD222" s="97"/>
      <c r="AE222" s="97"/>
      <c r="AF222" s="97"/>
      <c r="AG222" s="97"/>
      <c r="AH222" s="97"/>
      <c r="AI222" s="97"/>
      <c r="AJ222" s="97"/>
      <c r="AK222" s="97"/>
      <c r="AL222" s="97"/>
      <c r="AM222" s="97"/>
      <c r="AN222" s="97"/>
      <c r="AO222" s="97"/>
    </row>
    <row r="223" spans="1:41" ht="16.5" customHeight="1" x14ac:dyDescent="0.3">
      <c r="A223" s="69"/>
      <c r="B223" s="69"/>
      <c r="C223" s="69"/>
      <c r="D223" s="69"/>
      <c r="E223" s="69"/>
      <c r="F223" s="69"/>
      <c r="G223" s="17" t="s">
        <v>8885</v>
      </c>
      <c r="Z223" s="97"/>
      <c r="AA223" s="97"/>
      <c r="AB223" s="97"/>
      <c r="AC223" s="97"/>
      <c r="AD223" s="97"/>
      <c r="AE223" s="97"/>
      <c r="AF223" s="97"/>
      <c r="AG223" s="97"/>
      <c r="AH223" s="97"/>
      <c r="AI223" s="97"/>
      <c r="AJ223" s="97"/>
      <c r="AK223" s="97"/>
      <c r="AL223" s="97"/>
      <c r="AM223" s="97"/>
      <c r="AN223" s="97"/>
      <c r="AO223" s="97"/>
    </row>
    <row r="224" spans="1:41" ht="16.5" customHeight="1" x14ac:dyDescent="0.3">
      <c r="A224" s="59"/>
      <c r="B224" s="68" t="s">
        <v>8914</v>
      </c>
      <c r="C224" s="92">
        <f>E224+D224+F224</f>
        <v>33660.199999999997</v>
      </c>
      <c r="D224" s="92">
        <f>SUMIF(N207:N223,M224,D207:D223)</f>
        <v>33000.199999999997</v>
      </c>
      <c r="E224" s="92">
        <f>SUMIF(N207:N223,M224,E207:E223)</f>
        <v>0</v>
      </c>
      <c r="F224" s="92">
        <f>SUMIF(N207:N223,M224,F207:F223)</f>
        <v>660</v>
      </c>
      <c r="G224" s="17" t="s">
        <v>8927</v>
      </c>
      <c r="M224" s="35" t="s">
        <v>8915</v>
      </c>
      <c r="N224" s="35" t="s">
        <v>8952</v>
      </c>
      <c r="Z224" s="97"/>
      <c r="AA224" s="97"/>
      <c r="AB224" s="97"/>
      <c r="AC224" s="97"/>
      <c r="AD224" s="97"/>
      <c r="AE224" s="97"/>
      <c r="AF224" s="97"/>
      <c r="AG224" s="97"/>
      <c r="AH224" s="97"/>
      <c r="AI224" s="97"/>
      <c r="AJ224" s="97"/>
      <c r="AK224" s="97"/>
      <c r="AL224" s="97"/>
      <c r="AM224" s="97"/>
      <c r="AN224" s="97"/>
      <c r="AO224" s="97"/>
    </row>
    <row r="225" spans="1:41" ht="16.5" customHeight="1" x14ac:dyDescent="0.3">
      <c r="A225" s="59"/>
      <c r="B225" s="68" t="s">
        <v>8951</v>
      </c>
      <c r="C225" s="93">
        <f>E225+D225+F225</f>
        <v>33660.199999999997</v>
      </c>
      <c r="D225" s="93">
        <f>SUMIF(N207:N224,M225,D207:D224)</f>
        <v>33000.199999999997</v>
      </c>
      <c r="E225" s="93">
        <f>SUMIF(N207:N224,M225,E207:E224)</f>
        <v>0</v>
      </c>
      <c r="F225" s="93">
        <f>SUMIF(N207:N224,M225,F207:F224)</f>
        <v>660</v>
      </c>
      <c r="G225" s="17" t="s">
        <v>8950</v>
      </c>
      <c r="M225" s="35" t="s">
        <v>8952</v>
      </c>
      <c r="N225" s="35" t="s">
        <v>6406</v>
      </c>
      <c r="Z225" s="97"/>
      <c r="AA225" s="97"/>
      <c r="AB225" s="97"/>
      <c r="AC225" s="97"/>
      <c r="AD225" s="97"/>
      <c r="AE225" s="97"/>
      <c r="AF225" s="97"/>
      <c r="AG225" s="97"/>
      <c r="AH225" s="97"/>
      <c r="AI225" s="97"/>
      <c r="AJ225" s="97"/>
      <c r="AK225" s="97"/>
      <c r="AL225" s="97"/>
      <c r="AM225" s="97"/>
      <c r="AN225" s="97"/>
      <c r="AO225" s="97"/>
    </row>
    <row r="226" spans="1:41" ht="16.5" customHeight="1" x14ac:dyDescent="0.3">
      <c r="A226" s="69"/>
      <c r="B226" s="69"/>
      <c r="C226" s="90"/>
      <c r="D226" s="90"/>
      <c r="E226" s="90"/>
      <c r="F226" s="90"/>
      <c r="Z226" s="97"/>
      <c r="AA226" s="97"/>
      <c r="AB226" s="97"/>
      <c r="AC226" s="97"/>
      <c r="AD226" s="97"/>
      <c r="AE226" s="97"/>
      <c r="AF226" s="97"/>
      <c r="AG226" s="97"/>
      <c r="AH226" s="97"/>
      <c r="AI226" s="97"/>
      <c r="AJ226" s="97"/>
      <c r="AK226" s="97"/>
      <c r="AL226" s="97"/>
      <c r="AM226" s="97"/>
      <c r="AN226" s="97"/>
      <c r="AO226" s="97"/>
    </row>
    <row r="227" spans="1:41" ht="16.5" customHeight="1" x14ac:dyDescent="0.3">
      <c r="A227" s="69"/>
      <c r="B227" s="69"/>
      <c r="C227" s="69"/>
      <c r="D227" s="69"/>
      <c r="E227" s="69"/>
      <c r="F227" s="69"/>
      <c r="Z227" s="97"/>
      <c r="AA227" s="97"/>
      <c r="AB227" s="97"/>
      <c r="AC227" s="97"/>
      <c r="AD227" s="97"/>
      <c r="AE227" s="97"/>
      <c r="AF227" s="97"/>
      <c r="AG227" s="97"/>
      <c r="AH227" s="97"/>
      <c r="AI227" s="97"/>
      <c r="AJ227" s="97"/>
      <c r="AK227" s="97"/>
      <c r="AL227" s="97"/>
      <c r="AM227" s="97"/>
      <c r="AN227" s="97"/>
      <c r="AO227" s="97"/>
    </row>
    <row r="228" spans="1:41" ht="16.5" customHeight="1" x14ac:dyDescent="0.3">
      <c r="A228" s="69"/>
      <c r="B228" s="69"/>
      <c r="C228" s="69"/>
      <c r="D228" s="69"/>
      <c r="E228" s="69"/>
      <c r="F228" s="69"/>
      <c r="Z228" s="97"/>
      <c r="AA228" s="97"/>
      <c r="AB228" s="97"/>
      <c r="AC228" s="97"/>
      <c r="AD228" s="97"/>
      <c r="AE228" s="97"/>
      <c r="AF228" s="97"/>
      <c r="AG228" s="97"/>
      <c r="AH228" s="97"/>
      <c r="AI228" s="97"/>
      <c r="AJ228" s="97"/>
      <c r="AK228" s="97"/>
      <c r="AL228" s="97"/>
      <c r="AM228" s="97"/>
      <c r="AN228" s="97"/>
      <c r="AO228" s="97"/>
    </row>
    <row r="229" spans="1:41" ht="16.5" customHeight="1" x14ac:dyDescent="0.3">
      <c r="A229" s="69"/>
      <c r="B229" s="69"/>
      <c r="C229" s="69"/>
      <c r="D229" s="69"/>
      <c r="E229" s="69"/>
      <c r="F229" s="69"/>
      <c r="Z229" s="97"/>
      <c r="AA229" s="97"/>
      <c r="AB229" s="97"/>
      <c r="AC229" s="97"/>
      <c r="AD229" s="97"/>
      <c r="AE229" s="97"/>
      <c r="AF229" s="97"/>
      <c r="AG229" s="97"/>
      <c r="AH229" s="97"/>
      <c r="AI229" s="97"/>
      <c r="AJ229" s="97"/>
      <c r="AK229" s="97"/>
      <c r="AL229" s="97"/>
      <c r="AM229" s="97"/>
      <c r="AN229" s="97"/>
      <c r="AO229" s="97"/>
    </row>
    <row r="230" spans="1:41" ht="16.5" customHeight="1" x14ac:dyDescent="0.3">
      <c r="A230" s="69"/>
      <c r="B230" s="69"/>
      <c r="C230" s="69"/>
      <c r="D230" s="69"/>
      <c r="E230" s="69"/>
      <c r="F230" s="69"/>
      <c r="Z230" s="97"/>
      <c r="AA230" s="97"/>
      <c r="AB230" s="97"/>
      <c r="AC230" s="97"/>
      <c r="AD230" s="97"/>
      <c r="AE230" s="97"/>
      <c r="AF230" s="97"/>
      <c r="AG230" s="97"/>
      <c r="AH230" s="97"/>
      <c r="AI230" s="97"/>
      <c r="AJ230" s="97"/>
      <c r="AK230" s="97"/>
      <c r="AL230" s="97"/>
      <c r="AM230" s="97"/>
      <c r="AN230" s="97"/>
      <c r="AO230" s="97"/>
    </row>
    <row r="231" spans="1:41" ht="16.5" customHeight="1" x14ac:dyDescent="0.3">
      <c r="A231" s="69"/>
      <c r="B231" s="69"/>
      <c r="C231" s="69"/>
      <c r="D231" s="69"/>
      <c r="E231" s="69"/>
      <c r="F231" s="69"/>
      <c r="Z231" s="97"/>
      <c r="AA231" s="97"/>
      <c r="AB231" s="97"/>
      <c r="AC231" s="97"/>
      <c r="AD231" s="97"/>
      <c r="AE231" s="97"/>
      <c r="AF231" s="97"/>
      <c r="AG231" s="97"/>
      <c r="AH231" s="97"/>
      <c r="AI231" s="97"/>
      <c r="AJ231" s="97"/>
      <c r="AK231" s="97"/>
      <c r="AL231" s="97"/>
      <c r="AM231" s="97"/>
      <c r="AN231" s="97"/>
      <c r="AO231" s="97"/>
    </row>
    <row r="232" spans="1:41" ht="16.5" customHeight="1" x14ac:dyDescent="0.3">
      <c r="A232" s="69"/>
      <c r="B232" s="69"/>
      <c r="C232" s="69"/>
      <c r="D232" s="69"/>
      <c r="E232" s="69"/>
      <c r="F232" s="69"/>
      <c r="Z232" s="97"/>
      <c r="AA232" s="97"/>
      <c r="AB232" s="97"/>
      <c r="AC232" s="97"/>
      <c r="AD232" s="97"/>
      <c r="AE232" s="97"/>
      <c r="AF232" s="97"/>
      <c r="AG232" s="97"/>
      <c r="AH232" s="97"/>
      <c r="AI232" s="97"/>
      <c r="AJ232" s="97"/>
      <c r="AK232" s="97"/>
      <c r="AL232" s="97"/>
      <c r="AM232" s="97"/>
      <c r="AN232" s="97"/>
      <c r="AO232" s="97"/>
    </row>
    <row r="233" spans="1:41" ht="16.5" customHeight="1" x14ac:dyDescent="0.3">
      <c r="A233" s="69"/>
      <c r="B233" s="69"/>
      <c r="C233" s="69"/>
      <c r="D233" s="69"/>
      <c r="E233" s="69"/>
      <c r="F233" s="69"/>
      <c r="Z233" s="97"/>
      <c r="AA233" s="97"/>
      <c r="AB233" s="97"/>
      <c r="AC233" s="97"/>
      <c r="AD233" s="97"/>
      <c r="AE233" s="97"/>
      <c r="AF233" s="97"/>
      <c r="AG233" s="97"/>
      <c r="AH233" s="97"/>
      <c r="AI233" s="97"/>
      <c r="AJ233" s="97"/>
      <c r="AK233" s="97"/>
      <c r="AL233" s="97"/>
      <c r="AM233" s="97"/>
      <c r="AN233" s="97"/>
      <c r="AO233" s="97"/>
    </row>
    <row r="234" spans="1:41" ht="16.5" customHeight="1" x14ac:dyDescent="0.3">
      <c r="A234" s="69"/>
      <c r="B234" s="69"/>
      <c r="C234" s="69"/>
      <c r="D234" s="69"/>
      <c r="E234" s="69"/>
      <c r="F234" s="69"/>
      <c r="Z234" s="97"/>
      <c r="AA234" s="97"/>
      <c r="AB234" s="97"/>
      <c r="AC234" s="97"/>
      <c r="AD234" s="97"/>
      <c r="AE234" s="97"/>
      <c r="AF234" s="97"/>
      <c r="AG234" s="97"/>
      <c r="AH234" s="97"/>
      <c r="AI234" s="97"/>
      <c r="AJ234" s="97"/>
      <c r="AK234" s="97"/>
      <c r="AL234" s="97"/>
      <c r="AM234" s="97"/>
      <c r="AN234" s="97"/>
      <c r="AO234" s="97"/>
    </row>
    <row r="235" spans="1:41" ht="16.5" customHeight="1" x14ac:dyDescent="0.3">
      <c r="A235" s="69"/>
      <c r="B235" s="69"/>
      <c r="C235" s="69"/>
      <c r="D235" s="69"/>
      <c r="E235" s="69"/>
      <c r="F235" s="69"/>
      <c r="Z235" s="97"/>
      <c r="AA235" s="97"/>
      <c r="AB235" s="97"/>
      <c r="AC235" s="97"/>
      <c r="AD235" s="97"/>
      <c r="AE235" s="97"/>
      <c r="AF235" s="97"/>
      <c r="AG235" s="97"/>
      <c r="AH235" s="97"/>
      <c r="AI235" s="97"/>
      <c r="AJ235" s="97"/>
      <c r="AK235" s="97"/>
      <c r="AL235" s="97"/>
      <c r="AM235" s="97"/>
      <c r="AN235" s="97"/>
      <c r="AO235" s="97"/>
    </row>
    <row r="236" spans="1:41" ht="16.5" customHeight="1" x14ac:dyDescent="0.3">
      <c r="A236" s="69"/>
      <c r="B236" s="69"/>
      <c r="C236" s="69"/>
      <c r="D236" s="69"/>
      <c r="E236" s="69"/>
      <c r="F236" s="69"/>
      <c r="Z236" s="97"/>
      <c r="AA236" s="97"/>
      <c r="AB236" s="97"/>
      <c r="AC236" s="97"/>
      <c r="AD236" s="97"/>
      <c r="AE236" s="97"/>
      <c r="AF236" s="97"/>
      <c r="AG236" s="97"/>
      <c r="AH236" s="97"/>
      <c r="AI236" s="97"/>
      <c r="AJ236" s="97"/>
      <c r="AK236" s="97"/>
      <c r="AL236" s="97"/>
      <c r="AM236" s="97"/>
      <c r="AN236" s="97"/>
      <c r="AO236" s="97"/>
    </row>
    <row r="237" spans="1:41" ht="16.5" customHeight="1" x14ac:dyDescent="0.3">
      <c r="A237" s="69"/>
      <c r="B237" s="69"/>
      <c r="C237" s="69"/>
      <c r="D237" s="69"/>
      <c r="E237" s="69"/>
      <c r="F237" s="69"/>
      <c r="Z237" s="97"/>
      <c r="AA237" s="97"/>
      <c r="AB237" s="97"/>
      <c r="AC237" s="97"/>
      <c r="AD237" s="97"/>
      <c r="AE237" s="97"/>
      <c r="AF237" s="97"/>
      <c r="AG237" s="97"/>
      <c r="AH237" s="97"/>
      <c r="AI237" s="97"/>
      <c r="AJ237" s="97"/>
      <c r="AK237" s="97"/>
      <c r="AL237" s="97"/>
      <c r="AM237" s="97"/>
      <c r="AN237" s="97"/>
      <c r="AO237" s="97"/>
    </row>
    <row r="238" spans="1:41" ht="16.5" customHeight="1" x14ac:dyDescent="0.3">
      <c r="A238" s="69"/>
      <c r="B238" s="69"/>
      <c r="C238" s="69"/>
      <c r="D238" s="69"/>
      <c r="E238" s="69"/>
      <c r="F238" s="69"/>
      <c r="Z238" s="97"/>
      <c r="AA238" s="97"/>
      <c r="AB238" s="97"/>
      <c r="AC238" s="97"/>
      <c r="AD238" s="97"/>
      <c r="AE238" s="97"/>
      <c r="AF238" s="97"/>
      <c r="AG238" s="97"/>
      <c r="AH238" s="97"/>
      <c r="AI238" s="97"/>
      <c r="AJ238" s="97"/>
      <c r="AK238" s="97"/>
      <c r="AL238" s="97"/>
      <c r="AM238" s="97"/>
      <c r="AN238" s="97"/>
      <c r="AO238" s="97"/>
    </row>
    <row r="239" spans="1:41" ht="16.5" customHeight="1" x14ac:dyDescent="0.3">
      <c r="A239" s="69"/>
      <c r="B239" s="69"/>
      <c r="C239" s="69"/>
      <c r="D239" s="69"/>
      <c r="E239" s="69"/>
      <c r="F239" s="69"/>
      <c r="Z239" s="97"/>
      <c r="AA239" s="97"/>
      <c r="AB239" s="97"/>
      <c r="AC239" s="97"/>
      <c r="AD239" s="97"/>
      <c r="AE239" s="97"/>
      <c r="AF239" s="97"/>
      <c r="AG239" s="97"/>
      <c r="AH239" s="97"/>
      <c r="AI239" s="97"/>
      <c r="AJ239" s="97"/>
      <c r="AK239" s="97"/>
      <c r="AL239" s="97"/>
      <c r="AM239" s="97"/>
      <c r="AN239" s="97"/>
      <c r="AO239" s="97"/>
    </row>
    <row r="240" spans="1:41" ht="16.5" customHeight="1" x14ac:dyDescent="0.3">
      <c r="A240" s="69"/>
      <c r="B240" s="69"/>
      <c r="C240" s="69"/>
      <c r="D240" s="69"/>
      <c r="E240" s="69"/>
      <c r="F240" s="69"/>
      <c r="Z240" s="97"/>
      <c r="AA240" s="97"/>
      <c r="AB240" s="97"/>
      <c r="AC240" s="97"/>
      <c r="AD240" s="97"/>
      <c r="AE240" s="97"/>
      <c r="AF240" s="97"/>
      <c r="AG240" s="97"/>
      <c r="AH240" s="97"/>
      <c r="AI240" s="97"/>
      <c r="AJ240" s="97"/>
      <c r="AK240" s="97"/>
      <c r="AL240" s="97"/>
      <c r="AM240" s="97"/>
      <c r="AN240" s="97"/>
      <c r="AO240" s="97"/>
    </row>
    <row r="241" spans="1:41" ht="16.5" customHeight="1" x14ac:dyDescent="0.3">
      <c r="A241" s="69"/>
      <c r="B241" s="69"/>
      <c r="C241" s="69"/>
      <c r="D241" s="69"/>
      <c r="E241" s="69"/>
      <c r="F241" s="69"/>
      <c r="Z241" s="97"/>
      <c r="AA241" s="97"/>
      <c r="AB241" s="97"/>
      <c r="AC241" s="97"/>
      <c r="AD241" s="97"/>
      <c r="AE241" s="97"/>
      <c r="AF241" s="97"/>
      <c r="AG241" s="97"/>
      <c r="AH241" s="97"/>
      <c r="AI241" s="97"/>
      <c r="AJ241" s="97"/>
      <c r="AK241" s="97"/>
      <c r="AL241" s="97"/>
      <c r="AM241" s="97"/>
      <c r="AN241" s="97"/>
      <c r="AO241" s="97"/>
    </row>
    <row r="242" spans="1:41" ht="16.5" customHeight="1" x14ac:dyDescent="0.3">
      <c r="A242" s="69"/>
      <c r="B242" s="69"/>
      <c r="C242" s="69"/>
      <c r="D242" s="69"/>
      <c r="E242" s="69"/>
      <c r="F242" s="69"/>
      <c r="Z242" s="97"/>
      <c r="AA242" s="97"/>
      <c r="AB242" s="97"/>
      <c r="AC242" s="97"/>
      <c r="AD242" s="97"/>
      <c r="AE242" s="97"/>
      <c r="AF242" s="97"/>
      <c r="AG242" s="97"/>
      <c r="AH242" s="97"/>
      <c r="AI242" s="97"/>
      <c r="AJ242" s="97"/>
      <c r="AK242" s="97"/>
      <c r="AL242" s="97"/>
      <c r="AM242" s="97"/>
      <c r="AN242" s="97"/>
      <c r="AO242" s="97"/>
    </row>
    <row r="243" spans="1:41" ht="16.5" customHeight="1" x14ac:dyDescent="0.3">
      <c r="A243" s="69"/>
      <c r="B243" s="69"/>
      <c r="C243" s="69"/>
      <c r="D243" s="69"/>
      <c r="E243" s="69"/>
      <c r="F243" s="69"/>
      <c r="Z243" s="97"/>
      <c r="AA243" s="97"/>
      <c r="AB243" s="97"/>
      <c r="AC243" s="97"/>
      <c r="AD243" s="97"/>
      <c r="AE243" s="97"/>
      <c r="AF243" s="97"/>
      <c r="AG243" s="97"/>
      <c r="AH243" s="97"/>
      <c r="AI243" s="97"/>
      <c r="AJ243" s="97"/>
      <c r="AK243" s="97"/>
      <c r="AL243" s="97"/>
      <c r="AM243" s="97"/>
      <c r="AN243" s="97"/>
      <c r="AO243" s="97"/>
    </row>
    <row r="244" spans="1:41" ht="16.5" customHeight="1" x14ac:dyDescent="0.3">
      <c r="A244" s="69"/>
      <c r="B244" s="69"/>
      <c r="C244" s="69"/>
      <c r="D244" s="69"/>
      <c r="E244" s="69"/>
      <c r="F244" s="69"/>
      <c r="Z244" s="97"/>
      <c r="AA244" s="97"/>
      <c r="AB244" s="97"/>
      <c r="AC244" s="97"/>
      <c r="AD244" s="97"/>
      <c r="AE244" s="97"/>
      <c r="AF244" s="97"/>
      <c r="AG244" s="97"/>
      <c r="AH244" s="97"/>
      <c r="AI244" s="97"/>
      <c r="AJ244" s="97"/>
      <c r="AK244" s="97"/>
      <c r="AL244" s="97"/>
      <c r="AM244" s="97"/>
      <c r="AN244" s="97"/>
      <c r="AO244" s="97"/>
    </row>
    <row r="245" spans="1:41" ht="16.5" customHeight="1" x14ac:dyDescent="0.3">
      <c r="A245" s="69"/>
      <c r="B245" s="69"/>
      <c r="C245" s="69"/>
      <c r="D245" s="69"/>
      <c r="E245" s="69"/>
      <c r="F245" s="69"/>
      <c r="Z245" s="97"/>
      <c r="AA245" s="97"/>
      <c r="AB245" s="97"/>
      <c r="AC245" s="97"/>
      <c r="AD245" s="97"/>
      <c r="AE245" s="97"/>
      <c r="AF245" s="97"/>
      <c r="AG245" s="97"/>
      <c r="AH245" s="97"/>
      <c r="AI245" s="97"/>
      <c r="AJ245" s="97"/>
      <c r="AK245" s="97"/>
      <c r="AL245" s="97"/>
      <c r="AM245" s="97"/>
      <c r="AN245" s="97"/>
      <c r="AO245" s="97"/>
    </row>
    <row r="246" spans="1:41" ht="16.5" customHeight="1" x14ac:dyDescent="0.3">
      <c r="A246" s="69"/>
      <c r="B246" s="69"/>
      <c r="C246" s="69"/>
      <c r="D246" s="69"/>
      <c r="E246" s="69"/>
      <c r="F246" s="69"/>
      <c r="Z246" s="97"/>
      <c r="AA246" s="97"/>
      <c r="AB246" s="97"/>
      <c r="AC246" s="97"/>
      <c r="AD246" s="97"/>
      <c r="AE246" s="97"/>
      <c r="AF246" s="97"/>
      <c r="AG246" s="97"/>
      <c r="AH246" s="97"/>
      <c r="AI246" s="97"/>
      <c r="AJ246" s="97"/>
      <c r="AK246" s="97"/>
      <c r="AL246" s="97"/>
      <c r="AM246" s="97"/>
      <c r="AN246" s="97"/>
      <c r="AO246" s="97"/>
    </row>
    <row r="247" spans="1:41" ht="16.5" customHeight="1" x14ac:dyDescent="0.3">
      <c r="A247" s="69"/>
      <c r="B247" s="69"/>
      <c r="C247" s="69"/>
      <c r="D247" s="69"/>
      <c r="E247" s="69"/>
      <c r="F247" s="69"/>
      <c r="Z247" s="97"/>
      <c r="AA247" s="97"/>
      <c r="AB247" s="97"/>
      <c r="AC247" s="97"/>
      <c r="AD247" s="97"/>
      <c r="AE247" s="97"/>
      <c r="AF247" s="97"/>
      <c r="AG247" s="97"/>
      <c r="AH247" s="97"/>
      <c r="AI247" s="97"/>
      <c r="AJ247" s="97"/>
      <c r="AK247" s="97"/>
      <c r="AL247" s="97"/>
      <c r="AM247" s="97"/>
      <c r="AN247" s="97"/>
      <c r="AO247" s="97"/>
    </row>
    <row r="248" spans="1:41" ht="16.5" customHeight="1" x14ac:dyDescent="0.3">
      <c r="A248" s="69"/>
      <c r="B248" s="69"/>
      <c r="C248" s="69"/>
      <c r="D248" s="69"/>
      <c r="E248" s="69"/>
      <c r="F248" s="69"/>
      <c r="Z248" s="97"/>
      <c r="AA248" s="97"/>
      <c r="AB248" s="97"/>
      <c r="AC248" s="97"/>
      <c r="AD248" s="97"/>
      <c r="AE248" s="97"/>
      <c r="AF248" s="97"/>
      <c r="AG248" s="97"/>
      <c r="AH248" s="97"/>
      <c r="AI248" s="97"/>
      <c r="AJ248" s="97"/>
      <c r="AK248" s="97"/>
      <c r="AL248" s="97"/>
      <c r="AM248" s="97"/>
      <c r="AN248" s="97"/>
      <c r="AO248" s="97"/>
    </row>
    <row r="249" spans="1:41" ht="16.5" customHeight="1" x14ac:dyDescent="0.3">
      <c r="A249" s="69"/>
      <c r="B249" s="69"/>
      <c r="C249" s="69"/>
      <c r="D249" s="69"/>
      <c r="E249" s="69"/>
      <c r="F249" s="69"/>
      <c r="Z249" s="97"/>
      <c r="AA249" s="97"/>
      <c r="AB249" s="97"/>
      <c r="AC249" s="97"/>
      <c r="AD249" s="97"/>
      <c r="AE249" s="97"/>
      <c r="AF249" s="97"/>
      <c r="AG249" s="97"/>
      <c r="AH249" s="97"/>
      <c r="AI249" s="97"/>
      <c r="AJ249" s="97"/>
      <c r="AK249" s="97"/>
      <c r="AL249" s="97"/>
      <c r="AM249" s="97"/>
      <c r="AN249" s="97"/>
      <c r="AO249" s="97"/>
    </row>
    <row r="250" spans="1:41" ht="16.5" customHeight="1" x14ac:dyDescent="0.3">
      <c r="A250" s="69"/>
      <c r="B250" s="69"/>
      <c r="C250" s="69"/>
      <c r="D250" s="69"/>
      <c r="E250" s="69"/>
      <c r="F250" s="69"/>
      <c r="Z250" s="97"/>
      <c r="AA250" s="97"/>
      <c r="AB250" s="97"/>
      <c r="AC250" s="97"/>
      <c r="AD250" s="97"/>
      <c r="AE250" s="97"/>
      <c r="AF250" s="97"/>
      <c r="AG250" s="97"/>
      <c r="AH250" s="97"/>
      <c r="AI250" s="97"/>
      <c r="AJ250" s="97"/>
      <c r="AK250" s="97"/>
      <c r="AL250" s="97"/>
      <c r="AM250" s="97"/>
      <c r="AN250" s="97"/>
      <c r="AO250" s="97"/>
    </row>
    <row r="251" spans="1:41" ht="16.5" customHeight="1" x14ac:dyDescent="0.3">
      <c r="A251" s="69"/>
      <c r="B251" s="69"/>
      <c r="C251" s="69"/>
      <c r="D251" s="69"/>
      <c r="E251" s="69"/>
      <c r="F251" s="69"/>
      <c r="Z251" s="97"/>
      <c r="AA251" s="97"/>
      <c r="AB251" s="97"/>
      <c r="AC251" s="97"/>
      <c r="AD251" s="97"/>
      <c r="AE251" s="97"/>
      <c r="AF251" s="97"/>
      <c r="AG251" s="97"/>
      <c r="AH251" s="97"/>
      <c r="AI251" s="97"/>
      <c r="AJ251" s="97"/>
      <c r="AK251" s="97"/>
      <c r="AL251" s="97"/>
      <c r="AM251" s="97"/>
      <c r="AN251" s="97"/>
      <c r="AO251" s="97"/>
    </row>
    <row r="252" spans="1:41" ht="16.5" customHeight="1" x14ac:dyDescent="0.3">
      <c r="A252" s="69"/>
      <c r="B252" s="69"/>
      <c r="C252" s="69"/>
      <c r="D252" s="69"/>
      <c r="E252" s="69"/>
      <c r="F252" s="69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O252" s="97"/>
    </row>
    <row r="253" spans="1:41" ht="16.5" customHeight="1" x14ac:dyDescent="0.3">
      <c r="A253" s="74"/>
      <c r="B253" s="74"/>
      <c r="C253" s="74"/>
      <c r="D253" s="74"/>
      <c r="E253" s="74"/>
      <c r="F253" s="74"/>
      <c r="Z253" s="97"/>
      <c r="AA253" s="97"/>
      <c r="AB253" s="97"/>
      <c r="AC253" s="97"/>
      <c r="AD253" s="97"/>
      <c r="AE253" s="97"/>
      <c r="AF253" s="97"/>
      <c r="AG253" s="97"/>
      <c r="AH253" s="97"/>
      <c r="AI253" s="97"/>
      <c r="AJ253" s="97"/>
      <c r="AK253" s="97"/>
      <c r="AL253" s="97"/>
      <c r="AM253" s="97"/>
      <c r="AN253" s="97"/>
      <c r="AO253" s="97"/>
    </row>
    <row r="254" spans="1:41" ht="16.5" customHeight="1" x14ac:dyDescent="0.3">
      <c r="A254" s="145" t="s">
        <v>8953</v>
      </c>
      <c r="B254" s="138"/>
      <c r="C254" s="48">
        <f>E254+D254+F254</f>
        <v>33660</v>
      </c>
      <c r="D254" s="47">
        <f>ROUNDDOWN(SUMIF(N207:N225,M254,D207:D225),0)</f>
        <v>33000</v>
      </c>
      <c r="E254" s="56">
        <f>ROUNDDOWN(SUMIF(N207:N225,M254,E207:E225),0)</f>
        <v>0</v>
      </c>
      <c r="F254" s="48">
        <f>ROUNDDOWN(SUMIF(N207:N225,M254,F207:F225),0)</f>
        <v>660</v>
      </c>
      <c r="M254" s="35" t="s">
        <v>6406</v>
      </c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</row>
    <row r="255" spans="1:41" ht="16.5" customHeight="1" x14ac:dyDescent="0.3">
      <c r="A255" s="86" t="s">
        <v>22</v>
      </c>
      <c r="B255" s="88" t="s">
        <v>22</v>
      </c>
      <c r="C255" s="146">
        <f>C304</f>
        <v>46749</v>
      </c>
      <c r="D255" s="146">
        <f>D304</f>
        <v>45833</v>
      </c>
      <c r="E255" s="146">
        <f>E304</f>
        <v>0</v>
      </c>
      <c r="F255" s="146">
        <f>F304</f>
        <v>916</v>
      </c>
      <c r="G255" s="84" t="str">
        <f>HYPERLINK("#G"&amp;ROW(G275),"_x0005_`BDCOD|D03271_x0007_`POSS|"&amp;ROW(G257)&amp;"_x0007_`POSE|"&amp;ROW(G275)&amp;"_x0007_`")</f>
        <v>_x0005_`BDCOD|D03271_x0007_`POSS|257_x0007_`POSE|275_x0007_`</v>
      </c>
      <c r="Z255" s="97"/>
      <c r="AA255" s="97"/>
      <c r="AB255" s="97"/>
      <c r="AC255" s="97"/>
      <c r="AD255" s="97"/>
      <c r="AE255" s="97"/>
      <c r="AF255" s="97"/>
      <c r="AG255" s="97"/>
      <c r="AH255" s="97"/>
      <c r="AI255" s="97"/>
      <c r="AJ255" s="97"/>
      <c r="AK255" s="97"/>
      <c r="AL255" s="97"/>
      <c r="AM255" s="97"/>
      <c r="AN255" s="97"/>
      <c r="AO255" s="97"/>
    </row>
    <row r="256" spans="1:41" ht="16.5" customHeight="1" x14ac:dyDescent="0.3">
      <c r="A256" s="87"/>
      <c r="B256" s="88" t="s">
        <v>1990</v>
      </c>
      <c r="C256" s="127"/>
      <c r="D256" s="127"/>
      <c r="E256" s="127"/>
      <c r="F256" s="127"/>
      <c r="M256" s="35" t="s">
        <v>8972</v>
      </c>
      <c r="Z256" s="97"/>
      <c r="AA256" s="97"/>
      <c r="AB256" s="97"/>
      <c r="AC256" s="97"/>
      <c r="AD256" s="97"/>
      <c r="AE256" s="97"/>
      <c r="AF256" s="97"/>
      <c r="AG256" s="97"/>
      <c r="AH256" s="97"/>
      <c r="AI256" s="97"/>
      <c r="AJ256" s="97"/>
      <c r="AK256" s="97"/>
      <c r="AL256" s="97"/>
      <c r="AM256" s="97"/>
      <c r="AN256" s="97"/>
      <c r="AO256" s="97"/>
    </row>
    <row r="257" spans="1:41" ht="16.5" customHeight="1" x14ac:dyDescent="0.3">
      <c r="A257" s="69"/>
      <c r="B257" s="69"/>
      <c r="C257" s="90"/>
      <c r="D257" s="90"/>
      <c r="E257" s="90"/>
      <c r="F257" s="90"/>
      <c r="G257" s="17" t="s">
        <v>8885</v>
      </c>
      <c r="Z257" s="97"/>
      <c r="AA257" s="97"/>
      <c r="AB257" s="97"/>
      <c r="AC257" s="97"/>
      <c r="AD257" s="97"/>
      <c r="AE257" s="97"/>
      <c r="AF257" s="97"/>
      <c r="AG257" s="97"/>
      <c r="AH257" s="97"/>
      <c r="AI257" s="97"/>
      <c r="AJ257" s="97"/>
      <c r="AK257" s="97"/>
      <c r="AL257" s="97"/>
      <c r="AM257" s="97"/>
      <c r="AN257" s="97"/>
      <c r="AO257" s="97"/>
    </row>
    <row r="258" spans="1:41" ht="16.5" customHeight="1" x14ac:dyDescent="0.3">
      <c r="A258" s="59"/>
      <c r="B258" s="68" t="s">
        <v>8956</v>
      </c>
      <c r="C258" s="69"/>
      <c r="D258" s="69"/>
      <c r="E258" s="69"/>
      <c r="F258" s="69"/>
      <c r="G258" s="17" t="s">
        <v>8955</v>
      </c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/>
      <c r="AM258" s="97"/>
      <c r="AN258" s="97"/>
      <c r="AO258" s="97"/>
    </row>
    <row r="259" spans="1:41" ht="16.5" customHeight="1" x14ac:dyDescent="0.3">
      <c r="A259" s="69"/>
      <c r="B259" s="69"/>
      <c r="C259" s="69"/>
      <c r="D259" s="69"/>
      <c r="E259" s="69"/>
      <c r="F259" s="69"/>
      <c r="G259" s="17" t="s">
        <v>8885</v>
      </c>
      <c r="Z259" s="97"/>
      <c r="AA259" s="97"/>
      <c r="AB259" s="97"/>
      <c r="AC259" s="97"/>
      <c r="AD259" s="97"/>
      <c r="AE259" s="97"/>
      <c r="AF259" s="97"/>
      <c r="AG259" s="97"/>
      <c r="AH259" s="97"/>
      <c r="AI259" s="97"/>
      <c r="AJ259" s="97"/>
      <c r="AK259" s="97"/>
      <c r="AL259" s="97"/>
      <c r="AM259" s="97"/>
      <c r="AN259" s="97"/>
      <c r="AO259" s="97"/>
    </row>
    <row r="260" spans="1:41" ht="16.5" customHeight="1" x14ac:dyDescent="0.3">
      <c r="A260" s="59"/>
      <c r="B260" s="68" t="s">
        <v>8958</v>
      </c>
      <c r="C260" s="69"/>
      <c r="D260" s="69"/>
      <c r="E260" s="69"/>
      <c r="F260" s="69"/>
      <c r="G260" s="17" t="s">
        <v>8957</v>
      </c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</row>
    <row r="261" spans="1:41" ht="16.5" customHeight="1" x14ac:dyDescent="0.3">
      <c r="A261" s="69"/>
      <c r="B261" s="69"/>
      <c r="C261" s="69"/>
      <c r="D261" s="69"/>
      <c r="E261" s="69"/>
      <c r="F261" s="69"/>
      <c r="G261" s="17" t="s">
        <v>8885</v>
      </c>
      <c r="Z261" s="97"/>
      <c r="AA261" s="97"/>
      <c r="AB261" s="97"/>
      <c r="AC261" s="97"/>
      <c r="AD261" s="97"/>
      <c r="AE261" s="97"/>
      <c r="AF261" s="97"/>
      <c r="AG261" s="97"/>
      <c r="AH261" s="97"/>
      <c r="AI261" s="97"/>
      <c r="AJ261" s="97"/>
      <c r="AK261" s="97"/>
      <c r="AL261" s="97"/>
      <c r="AM261" s="97"/>
      <c r="AN261" s="97"/>
      <c r="AO261" s="97"/>
    </row>
    <row r="262" spans="1:41" ht="16.5" customHeight="1" x14ac:dyDescent="0.3">
      <c r="A262" s="59"/>
      <c r="B262" s="68" t="s">
        <v>8960</v>
      </c>
      <c r="C262" s="69"/>
      <c r="D262" s="69"/>
      <c r="E262" s="69"/>
      <c r="F262" s="69"/>
      <c r="G262" s="17" t="s">
        <v>8959</v>
      </c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</row>
    <row r="263" spans="1:41" ht="16.5" customHeight="1" x14ac:dyDescent="0.3">
      <c r="A263" s="69"/>
      <c r="B263" s="69"/>
      <c r="C263" s="69"/>
      <c r="D263" s="69"/>
      <c r="E263" s="69"/>
      <c r="F263" s="69"/>
      <c r="G263" s="17" t="s">
        <v>8885</v>
      </c>
      <c r="Z263" s="97"/>
      <c r="AA263" s="97"/>
      <c r="AB263" s="97"/>
      <c r="AC263" s="97"/>
      <c r="AD263" s="97"/>
      <c r="AE263" s="97"/>
      <c r="AF263" s="97"/>
      <c r="AG263" s="97"/>
      <c r="AH263" s="97"/>
      <c r="AI263" s="97"/>
      <c r="AJ263" s="97"/>
      <c r="AK263" s="97"/>
      <c r="AL263" s="97"/>
      <c r="AM263" s="97"/>
      <c r="AN263" s="97"/>
      <c r="AO263" s="97"/>
    </row>
    <row r="264" spans="1:41" ht="16.5" customHeight="1" x14ac:dyDescent="0.3">
      <c r="A264" s="59"/>
      <c r="B264" s="68" t="str">
        <f>"    개소당 시공량  Q = "&amp;Z264&amp;" m/일  * "&amp;AB264&amp;" %  = "&amp;AD264&amp;""</f>
        <v xml:space="preserve">    개소당 시공량  Q = 18 m/일  * 1.11 %  = 19.980</v>
      </c>
      <c r="C264" s="69"/>
      <c r="D264" s="69"/>
      <c r="E264" s="69"/>
      <c r="F264" s="69"/>
      <c r="G264" s="17" t="s">
        <v>8973</v>
      </c>
      <c r="Z264" s="99">
        <v>18</v>
      </c>
      <c r="AA264" s="35" t="s">
        <v>8896</v>
      </c>
      <c r="AB264" s="98">
        <v>1.1100000000000001</v>
      </c>
      <c r="AC264" s="35" t="s">
        <v>8892</v>
      </c>
      <c r="AD264" s="100" t="str">
        <f>TEXT(ROUND(Z264*AB264,3),"#,0.000")</f>
        <v>19.980</v>
      </c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</row>
    <row r="265" spans="1:41" ht="16.5" customHeight="1" x14ac:dyDescent="0.3">
      <c r="A265" s="59"/>
      <c r="B265" s="68" t="str">
        <f>"    시간당 시공량:  Q1 = Q / "&amp;AB265&amp;" = "&amp;AD265&amp;"    m/Hr "</f>
        <v xml:space="preserve">    시간당 시공량:  Q1 = Q / 8 = 2.498    m/Hr </v>
      </c>
      <c r="C265" s="69"/>
      <c r="D265" s="69"/>
      <c r="E265" s="69"/>
      <c r="F265" s="69"/>
      <c r="G265" s="17" t="s">
        <v>8962</v>
      </c>
      <c r="Z265" s="100" t="str">
        <f>AD264</f>
        <v>19.980</v>
      </c>
      <c r="AA265" s="35" t="s">
        <v>8905</v>
      </c>
      <c r="AB265" s="99">
        <v>8</v>
      </c>
      <c r="AC265" s="35" t="s">
        <v>8892</v>
      </c>
      <c r="AD265" s="100" t="str">
        <f>TEXT(ROUND(AD264/AB265,3),"#,0.000")</f>
        <v>2.498</v>
      </c>
      <c r="AE265" s="97"/>
      <c r="AF265" s="97"/>
      <c r="AG265" s="97"/>
      <c r="AH265" s="97"/>
      <c r="AI265" s="97"/>
      <c r="AJ265" s="97"/>
      <c r="AK265" s="97"/>
      <c r="AL265" s="97"/>
      <c r="AM265" s="97"/>
      <c r="AN265" s="97"/>
      <c r="AO265" s="97"/>
    </row>
    <row r="266" spans="1:41" ht="16.5" customHeight="1" x14ac:dyDescent="0.3">
      <c r="A266" s="69"/>
      <c r="B266" s="69"/>
      <c r="C266" s="69"/>
      <c r="D266" s="69"/>
      <c r="E266" s="69"/>
      <c r="F266" s="69"/>
      <c r="G266" s="17" t="s">
        <v>8885</v>
      </c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</row>
    <row r="267" spans="1:41" ht="16.5" customHeight="1" x14ac:dyDescent="0.3">
      <c r="A267" s="59"/>
      <c r="B267" s="68" t="s">
        <v>8964</v>
      </c>
      <c r="C267" s="69"/>
      <c r="D267" s="69"/>
      <c r="E267" s="69"/>
      <c r="F267" s="69"/>
      <c r="G267" s="17" t="s">
        <v>8963</v>
      </c>
      <c r="Z267" s="97"/>
      <c r="AA267" s="97"/>
      <c r="AB267" s="97"/>
      <c r="AC267" s="97"/>
      <c r="AD267" s="97"/>
      <c r="AE267" s="97"/>
      <c r="AF267" s="97"/>
      <c r="AG267" s="97"/>
      <c r="AH267" s="97"/>
      <c r="AI267" s="97"/>
      <c r="AJ267" s="97"/>
      <c r="AK267" s="97"/>
      <c r="AL267" s="97"/>
      <c r="AM267" s="97"/>
      <c r="AN267" s="97"/>
      <c r="AO267" s="97"/>
    </row>
    <row r="268" spans="1:41" ht="16.5" customHeight="1" x14ac:dyDescent="0.3">
      <c r="A268" s="69"/>
      <c r="B268" s="69"/>
      <c r="C268" s="69"/>
      <c r="D268" s="69"/>
      <c r="E268" s="69"/>
      <c r="F268" s="69"/>
      <c r="G268" s="17" t="s">
        <v>8885</v>
      </c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</row>
    <row r="269" spans="1:41" ht="16.5" customHeight="1" x14ac:dyDescent="0.3">
      <c r="A269" s="59" t="s">
        <v>8966</v>
      </c>
      <c r="B269" s="89" t="str">
        <f>"     배 관 공 : "&amp;TEXT(I269,"#,##0"&amp;IF(I269&lt;&gt;INT(I269),".###",""))&amp;" * "&amp;AA269&amp;" 인 / Q 인 = "&amp;TEXT(C269,"#,##0.0")&amp;""</f>
        <v xml:space="preserve">     배 관 공 : 247,897 * 3 인 / Q 인 = 37,221.7</v>
      </c>
      <c r="C269" s="91">
        <f>E269+D269+F269</f>
        <v>37221.699999999997</v>
      </c>
      <c r="D269" s="91">
        <f>IF(H269=0,0,ROUNDDOWN(J269*H269,1))</f>
        <v>37221.699999999997</v>
      </c>
      <c r="E269" s="91">
        <f>IF(H269=0,0,ROUNDDOWN(K269*H269,1))</f>
        <v>0</v>
      </c>
      <c r="F269" s="91">
        <f>IF(H269=0,0,ROUNDDOWN(L269*H269,1))</f>
        <v>0</v>
      </c>
      <c r="G269" s="17" t="s">
        <v>8965</v>
      </c>
      <c r="H269" s="94">
        <f>ROUNDUP(AE269,14-LEN(ABS(INT(AE269))))</f>
        <v>0.1501501501502</v>
      </c>
      <c r="I269" s="95">
        <f>K269+J269+L269</f>
        <v>247897</v>
      </c>
      <c r="J269" s="39">
        <f>노무비목록표!E10</f>
        <v>247897</v>
      </c>
      <c r="M269" s="35" t="s">
        <v>8366</v>
      </c>
      <c r="N269" s="35" t="s">
        <v>8915</v>
      </c>
      <c r="O269" s="35" t="s">
        <v>7061</v>
      </c>
      <c r="X269" s="96" t="str">
        <f>노무비목록표!B10&amp;" / "&amp;노무비목록표!C10</f>
        <v xml:space="preserve">배관공 / </v>
      </c>
      <c r="Y269" s="3" t="str">
        <f ca="1">HYPERLINK("#"&amp;노무비목록표!G2&amp;"!A"&amp;ROW(노무비목록표!A10),"노무7 →")</f>
        <v>노무7 →</v>
      </c>
      <c r="Z269" s="35" t="s">
        <v>8947</v>
      </c>
      <c r="AA269" s="99">
        <v>3</v>
      </c>
      <c r="AB269" s="35" t="s">
        <v>8905</v>
      </c>
      <c r="AC269" s="100" t="str">
        <f>AD264</f>
        <v>19.980</v>
      </c>
      <c r="AD269" s="35" t="s">
        <v>8892</v>
      </c>
      <c r="AE269" s="100">
        <f>1*AA269/AD264</f>
        <v>0.15015015015015015</v>
      </c>
      <c r="AF269" s="97"/>
      <c r="AG269" s="97"/>
      <c r="AH269" s="97"/>
      <c r="AI269" s="97"/>
      <c r="AJ269" s="97"/>
      <c r="AK269" s="97"/>
      <c r="AL269" s="97"/>
      <c r="AM269" s="97"/>
      <c r="AN269" s="97"/>
      <c r="AO269" s="97"/>
    </row>
    <row r="270" spans="1:41" ht="16.5" customHeight="1" x14ac:dyDescent="0.3">
      <c r="A270" s="59" t="s">
        <v>8949</v>
      </c>
      <c r="B270" s="89" t="str">
        <f>"     보통인부 : "&amp;TEXT(I270,"#,##0"&amp;IF(I270&lt;&gt;INT(I270),".###",""))&amp;" * "&amp;AA270&amp;" 인 / Q 인 = "&amp;TEXT(C270,"#,##0.0")&amp;""</f>
        <v xml:space="preserve">     보통인부 : 172,068 * 1 인 / Q 인 = 8,612.0</v>
      </c>
      <c r="C270" s="91">
        <f>E270+D270+F270</f>
        <v>8612</v>
      </c>
      <c r="D270" s="91">
        <f>IF(H270=0,0,ROUNDDOWN(J270*H270,1))</f>
        <v>8612</v>
      </c>
      <c r="E270" s="91">
        <f>IF(H270=0,0,ROUNDDOWN(K270*H270,1))</f>
        <v>0</v>
      </c>
      <c r="F270" s="91">
        <f>IF(H270=0,0,ROUNDDOWN(L270*H270,1))</f>
        <v>0</v>
      </c>
      <c r="G270" s="17" t="s">
        <v>8967</v>
      </c>
      <c r="H270" s="94">
        <f>ROUNDUP(AE270,14-LEN(ABS(INT(AE270))))</f>
        <v>5.0050050050100006E-2</v>
      </c>
      <c r="I270" s="95">
        <f>K270+J270+L270</f>
        <v>172068</v>
      </c>
      <c r="J270" s="39">
        <f>노무비목록표!E12</f>
        <v>172068</v>
      </c>
      <c r="M270" s="35" t="s">
        <v>8261</v>
      </c>
      <c r="N270" s="35" t="s">
        <v>8915</v>
      </c>
      <c r="O270" s="35" t="s">
        <v>7061</v>
      </c>
      <c r="X270" s="96" t="str">
        <f>노무비목록표!B12&amp;" / "&amp;노무비목록표!C12</f>
        <v xml:space="preserve">보통인부 / </v>
      </c>
      <c r="Y270" s="3" t="str">
        <f ca="1">HYPERLINK("#"&amp;노무비목록표!G2&amp;"!A"&amp;ROW(노무비목록표!A12),"노무9 →")</f>
        <v>노무9 →</v>
      </c>
      <c r="Z270" s="35" t="s">
        <v>8947</v>
      </c>
      <c r="AA270" s="99">
        <v>1</v>
      </c>
      <c r="AB270" s="35" t="s">
        <v>8905</v>
      </c>
      <c r="AC270" s="100" t="str">
        <f>AD264</f>
        <v>19.980</v>
      </c>
      <c r="AD270" s="35" t="s">
        <v>8892</v>
      </c>
      <c r="AE270" s="100">
        <f>1*AA270/AD264</f>
        <v>5.0050050050050046E-2</v>
      </c>
      <c r="AF270" s="97"/>
      <c r="AG270" s="97"/>
      <c r="AH270" s="97"/>
      <c r="AI270" s="97"/>
      <c r="AJ270" s="97"/>
      <c r="AK270" s="97"/>
      <c r="AL270" s="97"/>
      <c r="AM270" s="97"/>
      <c r="AN270" s="97"/>
      <c r="AO270" s="97"/>
    </row>
    <row r="271" spans="1:41" ht="16.5" customHeight="1" x14ac:dyDescent="0.3">
      <c r="A271" s="69"/>
      <c r="B271" s="69"/>
      <c r="C271" s="69"/>
      <c r="D271" s="69"/>
      <c r="E271" s="69"/>
      <c r="F271" s="69"/>
      <c r="G271" s="17" t="s">
        <v>8885</v>
      </c>
      <c r="Z271" s="97"/>
      <c r="AA271" s="97"/>
      <c r="AB271" s="97"/>
      <c r="AC271" s="97"/>
      <c r="AD271" s="97"/>
      <c r="AE271" s="97"/>
      <c r="AF271" s="97"/>
      <c r="AG271" s="97"/>
      <c r="AH271" s="97"/>
      <c r="AI271" s="97"/>
      <c r="AJ271" s="97"/>
      <c r="AK271" s="97"/>
      <c r="AL271" s="97"/>
      <c r="AM271" s="97"/>
      <c r="AN271" s="97"/>
      <c r="AO271" s="97"/>
    </row>
    <row r="272" spans="1:41" ht="16.5" customHeight="1" x14ac:dyDescent="0.3">
      <c r="A272" s="59"/>
      <c r="B272" s="89" t="str">
        <f>"    공구손료 및 경장비(절단기, 고소작업대 등) : "&amp;TEXT(I272,"#,##0.0")&amp;" * "&amp;AA272&amp;" %  = "&amp;TEXT(C272,"#,##0.0")&amp;""</f>
        <v xml:space="preserve">    공구손료 및 경장비(절단기, 고소작업대 등) : 45,833.7 * 2 %  = 916.6</v>
      </c>
      <c r="C272" s="91">
        <f>E272+D272+F272</f>
        <v>916.6</v>
      </c>
      <c r="D272" s="91">
        <f>IF(H272=0,0,ROUNDDOWN(J272*H272/100,1))</f>
        <v>0</v>
      </c>
      <c r="E272" s="91">
        <f>IF(H272=0,0,ROUNDDOWN(K272*H272/100,1))</f>
        <v>0</v>
      </c>
      <c r="F272" s="91">
        <f>IF(H272=0,0,ROUNDDOWN(L272*H272/100,1))</f>
        <v>916.6</v>
      </c>
      <c r="G272" s="17" t="s">
        <v>8968</v>
      </c>
      <c r="H272" s="94">
        <f>ROUNDUP(AC272,14-LEN(ABS(INT(AC272))))</f>
        <v>2</v>
      </c>
      <c r="I272" s="95">
        <f>K272+J272+L272</f>
        <v>45833.7</v>
      </c>
      <c r="J272" s="36">
        <v>0</v>
      </c>
      <c r="K272" s="36">
        <v>0</v>
      </c>
      <c r="L272" s="39">
        <f>D269+D270</f>
        <v>45833.7</v>
      </c>
      <c r="M272" s="35" t="s">
        <v>8969</v>
      </c>
      <c r="N272" s="35" t="s">
        <v>8915</v>
      </c>
      <c r="Z272" s="35" t="s">
        <v>8947</v>
      </c>
      <c r="AA272" s="99">
        <v>2</v>
      </c>
      <c r="AB272" s="35" t="s">
        <v>8892</v>
      </c>
      <c r="AC272" s="100">
        <f>1*AA272</f>
        <v>2</v>
      </c>
      <c r="AD272" s="97"/>
      <c r="AE272" s="97"/>
      <c r="AF272" s="97"/>
      <c r="AG272" s="97"/>
      <c r="AH272" s="97"/>
      <c r="AI272" s="97"/>
      <c r="AJ272" s="97"/>
      <c r="AK272" s="97"/>
      <c r="AL272" s="97"/>
      <c r="AM272" s="97"/>
      <c r="AN272" s="97"/>
      <c r="AO272" s="97"/>
    </row>
    <row r="273" spans="1:41" ht="16.5" customHeight="1" x14ac:dyDescent="0.3">
      <c r="A273" s="69"/>
      <c r="B273" s="69"/>
      <c r="C273" s="69"/>
      <c r="D273" s="69"/>
      <c r="E273" s="69"/>
      <c r="F273" s="69"/>
      <c r="G273" s="17" t="s">
        <v>8885</v>
      </c>
      <c r="Z273" s="97"/>
      <c r="AA273" s="97"/>
      <c r="AB273" s="97"/>
      <c r="AC273" s="97"/>
      <c r="AD273" s="97"/>
      <c r="AE273" s="97"/>
      <c r="AF273" s="97"/>
      <c r="AG273" s="97"/>
      <c r="AH273" s="97"/>
      <c r="AI273" s="97"/>
      <c r="AJ273" s="97"/>
      <c r="AK273" s="97"/>
      <c r="AL273" s="97"/>
      <c r="AM273" s="97"/>
      <c r="AN273" s="97"/>
      <c r="AO273" s="97"/>
    </row>
    <row r="274" spans="1:41" ht="16.5" customHeight="1" x14ac:dyDescent="0.3">
      <c r="A274" s="59"/>
      <c r="B274" s="68" t="s">
        <v>8914</v>
      </c>
      <c r="C274" s="92">
        <f>E274+D274+F274</f>
        <v>46750.299999999996</v>
      </c>
      <c r="D274" s="92">
        <f>SUMIF(N257:N273,M274,D257:D273)</f>
        <v>45833.7</v>
      </c>
      <c r="E274" s="92">
        <f>SUMIF(N257:N273,M274,E257:E273)</f>
        <v>0</v>
      </c>
      <c r="F274" s="92">
        <f>SUMIF(N257:N273,M274,F257:F273)</f>
        <v>916.6</v>
      </c>
      <c r="G274" s="17" t="s">
        <v>8927</v>
      </c>
      <c r="M274" s="35" t="s">
        <v>8915</v>
      </c>
      <c r="N274" s="35" t="s">
        <v>8952</v>
      </c>
      <c r="Z274" s="97"/>
      <c r="AA274" s="97"/>
      <c r="AB274" s="97"/>
      <c r="AC274" s="97"/>
      <c r="AD274" s="97"/>
      <c r="AE274" s="97"/>
      <c r="AF274" s="97"/>
      <c r="AG274" s="97"/>
      <c r="AH274" s="97"/>
      <c r="AI274" s="97"/>
      <c r="AJ274" s="97"/>
      <c r="AK274" s="97"/>
      <c r="AL274" s="97"/>
      <c r="AM274" s="97"/>
      <c r="AN274" s="97"/>
      <c r="AO274" s="97"/>
    </row>
    <row r="275" spans="1:41" ht="16.5" customHeight="1" x14ac:dyDescent="0.3">
      <c r="A275" s="59"/>
      <c r="B275" s="68" t="s">
        <v>8951</v>
      </c>
      <c r="C275" s="93">
        <f>E275+D275+F275</f>
        <v>46750.299999999996</v>
      </c>
      <c r="D275" s="93">
        <f>SUMIF(N257:N274,M275,D257:D274)</f>
        <v>45833.7</v>
      </c>
      <c r="E275" s="93">
        <f>SUMIF(N257:N274,M275,E257:E274)</f>
        <v>0</v>
      </c>
      <c r="F275" s="93">
        <f>SUMIF(N257:N274,M275,F257:F274)</f>
        <v>916.6</v>
      </c>
      <c r="G275" s="17" t="s">
        <v>8950</v>
      </c>
      <c r="M275" s="35" t="s">
        <v>8952</v>
      </c>
      <c r="N275" s="35" t="s">
        <v>6406</v>
      </c>
      <c r="Z275" s="97"/>
      <c r="AA275" s="97"/>
      <c r="AB275" s="97"/>
      <c r="AC275" s="97"/>
      <c r="AD275" s="97"/>
      <c r="AE275" s="97"/>
      <c r="AF275" s="97"/>
      <c r="AG275" s="97"/>
      <c r="AH275" s="97"/>
      <c r="AI275" s="97"/>
      <c r="AJ275" s="97"/>
      <c r="AK275" s="97"/>
      <c r="AL275" s="97"/>
      <c r="AM275" s="97"/>
      <c r="AN275" s="97"/>
      <c r="AO275" s="97"/>
    </row>
    <row r="276" spans="1:41" ht="16.5" customHeight="1" x14ac:dyDescent="0.3">
      <c r="A276" s="69"/>
      <c r="B276" s="69"/>
      <c r="C276" s="90"/>
      <c r="D276" s="90"/>
      <c r="E276" s="90"/>
      <c r="F276" s="90"/>
      <c r="Z276" s="97"/>
      <c r="AA276" s="97"/>
      <c r="AB276" s="97"/>
      <c r="AC276" s="97"/>
      <c r="AD276" s="97"/>
      <c r="AE276" s="97"/>
      <c r="AF276" s="97"/>
      <c r="AG276" s="97"/>
      <c r="AH276" s="97"/>
      <c r="AI276" s="97"/>
      <c r="AJ276" s="97"/>
      <c r="AK276" s="97"/>
      <c r="AL276" s="97"/>
      <c r="AM276" s="97"/>
      <c r="AN276" s="97"/>
      <c r="AO276" s="97"/>
    </row>
    <row r="277" spans="1:41" ht="16.5" customHeight="1" x14ac:dyDescent="0.3">
      <c r="A277" s="69"/>
      <c r="B277" s="69"/>
      <c r="C277" s="69"/>
      <c r="D277" s="69"/>
      <c r="E277" s="69"/>
      <c r="F277" s="69"/>
      <c r="Z277" s="97"/>
      <c r="AA277" s="97"/>
      <c r="AB277" s="97"/>
      <c r="AC277" s="97"/>
      <c r="AD277" s="97"/>
      <c r="AE277" s="97"/>
      <c r="AF277" s="97"/>
      <c r="AG277" s="97"/>
      <c r="AH277" s="97"/>
      <c r="AI277" s="97"/>
      <c r="AJ277" s="97"/>
      <c r="AK277" s="97"/>
      <c r="AL277" s="97"/>
      <c r="AM277" s="97"/>
      <c r="AN277" s="97"/>
      <c r="AO277" s="97"/>
    </row>
    <row r="278" spans="1:41" ht="16.5" customHeight="1" x14ac:dyDescent="0.3">
      <c r="A278" s="69"/>
      <c r="B278" s="69"/>
      <c r="C278" s="69"/>
      <c r="D278" s="69"/>
      <c r="E278" s="69"/>
      <c r="F278" s="69"/>
      <c r="Z278" s="97"/>
      <c r="AA278" s="97"/>
      <c r="AB278" s="97"/>
      <c r="AC278" s="97"/>
      <c r="AD278" s="97"/>
      <c r="AE278" s="97"/>
      <c r="AF278" s="97"/>
      <c r="AG278" s="97"/>
      <c r="AH278" s="97"/>
      <c r="AI278" s="97"/>
      <c r="AJ278" s="97"/>
      <c r="AK278" s="97"/>
      <c r="AL278" s="97"/>
      <c r="AM278" s="97"/>
      <c r="AN278" s="97"/>
      <c r="AO278" s="97"/>
    </row>
    <row r="279" spans="1:41" ht="16.5" customHeight="1" x14ac:dyDescent="0.3">
      <c r="A279" s="69"/>
      <c r="B279" s="69"/>
      <c r="C279" s="69"/>
      <c r="D279" s="69"/>
      <c r="E279" s="69"/>
      <c r="F279" s="69"/>
      <c r="Z279" s="97"/>
      <c r="AA279" s="97"/>
      <c r="AB279" s="97"/>
      <c r="AC279" s="97"/>
      <c r="AD279" s="97"/>
      <c r="AE279" s="97"/>
      <c r="AF279" s="97"/>
      <c r="AG279" s="97"/>
      <c r="AH279" s="97"/>
      <c r="AI279" s="97"/>
      <c r="AJ279" s="97"/>
      <c r="AK279" s="97"/>
      <c r="AL279" s="97"/>
      <c r="AM279" s="97"/>
      <c r="AN279" s="97"/>
      <c r="AO279" s="97"/>
    </row>
    <row r="280" spans="1:41" ht="16.5" customHeight="1" x14ac:dyDescent="0.3">
      <c r="A280" s="69"/>
      <c r="B280" s="69"/>
      <c r="C280" s="69"/>
      <c r="D280" s="69"/>
      <c r="E280" s="69"/>
      <c r="F280" s="69"/>
      <c r="Z280" s="97"/>
      <c r="AA280" s="97"/>
      <c r="AB280" s="97"/>
      <c r="AC280" s="97"/>
      <c r="AD280" s="97"/>
      <c r="AE280" s="97"/>
      <c r="AF280" s="97"/>
      <c r="AG280" s="97"/>
      <c r="AH280" s="97"/>
      <c r="AI280" s="97"/>
      <c r="AJ280" s="97"/>
      <c r="AK280" s="97"/>
      <c r="AL280" s="97"/>
      <c r="AM280" s="97"/>
      <c r="AN280" s="97"/>
      <c r="AO280" s="97"/>
    </row>
    <row r="281" spans="1:41" ht="16.5" customHeight="1" x14ac:dyDescent="0.3">
      <c r="A281" s="69"/>
      <c r="B281" s="69"/>
      <c r="C281" s="69"/>
      <c r="D281" s="69"/>
      <c r="E281" s="69"/>
      <c r="F281" s="69"/>
      <c r="Z281" s="97"/>
      <c r="AA281" s="97"/>
      <c r="AB281" s="97"/>
      <c r="AC281" s="97"/>
      <c r="AD281" s="97"/>
      <c r="AE281" s="97"/>
      <c r="AF281" s="97"/>
      <c r="AG281" s="97"/>
      <c r="AH281" s="97"/>
      <c r="AI281" s="97"/>
      <c r="AJ281" s="97"/>
      <c r="AK281" s="97"/>
      <c r="AL281" s="97"/>
      <c r="AM281" s="97"/>
      <c r="AN281" s="97"/>
      <c r="AO281" s="97"/>
    </row>
    <row r="282" spans="1:41" ht="16.5" customHeight="1" x14ac:dyDescent="0.3">
      <c r="A282" s="69"/>
      <c r="B282" s="69"/>
      <c r="C282" s="69"/>
      <c r="D282" s="69"/>
      <c r="E282" s="69"/>
      <c r="F282" s="69"/>
      <c r="Z282" s="97"/>
      <c r="AA282" s="97"/>
      <c r="AB282" s="97"/>
      <c r="AC282" s="97"/>
      <c r="AD282" s="97"/>
      <c r="AE282" s="97"/>
      <c r="AF282" s="97"/>
      <c r="AG282" s="97"/>
      <c r="AH282" s="97"/>
      <c r="AI282" s="97"/>
      <c r="AJ282" s="97"/>
      <c r="AK282" s="97"/>
      <c r="AL282" s="97"/>
      <c r="AM282" s="97"/>
      <c r="AN282" s="97"/>
      <c r="AO282" s="97"/>
    </row>
    <row r="283" spans="1:41" ht="16.5" customHeight="1" x14ac:dyDescent="0.3">
      <c r="A283" s="69"/>
      <c r="B283" s="69"/>
      <c r="C283" s="69"/>
      <c r="D283" s="69"/>
      <c r="E283" s="69"/>
      <c r="F283" s="69"/>
      <c r="Z283" s="97"/>
      <c r="AA283" s="97"/>
      <c r="AB283" s="97"/>
      <c r="AC283" s="97"/>
      <c r="AD283" s="97"/>
      <c r="AE283" s="97"/>
      <c r="AF283" s="97"/>
      <c r="AG283" s="97"/>
      <c r="AH283" s="97"/>
      <c r="AI283" s="97"/>
      <c r="AJ283" s="97"/>
      <c r="AK283" s="97"/>
      <c r="AL283" s="97"/>
      <c r="AM283" s="97"/>
      <c r="AN283" s="97"/>
      <c r="AO283" s="97"/>
    </row>
    <row r="284" spans="1:41" ht="16.5" customHeight="1" x14ac:dyDescent="0.3">
      <c r="A284" s="69"/>
      <c r="B284" s="69"/>
      <c r="C284" s="69"/>
      <c r="D284" s="69"/>
      <c r="E284" s="69"/>
      <c r="F284" s="69"/>
      <c r="Z284" s="97"/>
      <c r="AA284" s="97"/>
      <c r="AB284" s="97"/>
      <c r="AC284" s="97"/>
      <c r="AD284" s="97"/>
      <c r="AE284" s="97"/>
      <c r="AF284" s="97"/>
      <c r="AG284" s="97"/>
      <c r="AH284" s="97"/>
      <c r="AI284" s="97"/>
      <c r="AJ284" s="97"/>
      <c r="AK284" s="97"/>
      <c r="AL284" s="97"/>
      <c r="AM284" s="97"/>
      <c r="AN284" s="97"/>
      <c r="AO284" s="97"/>
    </row>
    <row r="285" spans="1:41" ht="16.5" customHeight="1" x14ac:dyDescent="0.3">
      <c r="A285" s="69"/>
      <c r="B285" s="69"/>
      <c r="C285" s="69"/>
      <c r="D285" s="69"/>
      <c r="E285" s="69"/>
      <c r="F285" s="69"/>
      <c r="Z285" s="97"/>
      <c r="AA285" s="97"/>
      <c r="AB285" s="97"/>
      <c r="AC285" s="97"/>
      <c r="AD285" s="97"/>
      <c r="AE285" s="97"/>
      <c r="AF285" s="97"/>
      <c r="AG285" s="97"/>
      <c r="AH285" s="97"/>
      <c r="AI285" s="97"/>
      <c r="AJ285" s="97"/>
      <c r="AK285" s="97"/>
      <c r="AL285" s="97"/>
      <c r="AM285" s="97"/>
      <c r="AN285" s="97"/>
      <c r="AO285" s="97"/>
    </row>
    <row r="286" spans="1:41" ht="16.5" customHeight="1" x14ac:dyDescent="0.3">
      <c r="A286" s="69"/>
      <c r="B286" s="69"/>
      <c r="C286" s="69"/>
      <c r="D286" s="69"/>
      <c r="E286" s="69"/>
      <c r="F286" s="69"/>
      <c r="Z286" s="97"/>
      <c r="AA286" s="97"/>
      <c r="AB286" s="97"/>
      <c r="AC286" s="97"/>
      <c r="AD286" s="97"/>
      <c r="AE286" s="97"/>
      <c r="AF286" s="97"/>
      <c r="AG286" s="97"/>
      <c r="AH286" s="97"/>
      <c r="AI286" s="97"/>
      <c r="AJ286" s="97"/>
      <c r="AK286" s="97"/>
      <c r="AL286" s="97"/>
      <c r="AM286" s="97"/>
      <c r="AN286" s="97"/>
      <c r="AO286" s="97"/>
    </row>
    <row r="287" spans="1:41" ht="16.5" customHeight="1" x14ac:dyDescent="0.3">
      <c r="A287" s="69"/>
      <c r="B287" s="69"/>
      <c r="C287" s="69"/>
      <c r="D287" s="69"/>
      <c r="E287" s="69"/>
      <c r="F287" s="69"/>
      <c r="Z287" s="97"/>
      <c r="AA287" s="97"/>
      <c r="AB287" s="97"/>
      <c r="AC287" s="97"/>
      <c r="AD287" s="97"/>
      <c r="AE287" s="97"/>
      <c r="AF287" s="97"/>
      <c r="AG287" s="97"/>
      <c r="AH287" s="97"/>
      <c r="AI287" s="97"/>
      <c r="AJ287" s="97"/>
      <c r="AK287" s="97"/>
      <c r="AL287" s="97"/>
      <c r="AM287" s="97"/>
      <c r="AN287" s="97"/>
      <c r="AO287" s="97"/>
    </row>
    <row r="288" spans="1:41" ht="16.5" customHeight="1" x14ac:dyDescent="0.3">
      <c r="A288" s="69"/>
      <c r="B288" s="69"/>
      <c r="C288" s="69"/>
      <c r="D288" s="69"/>
      <c r="E288" s="69"/>
      <c r="F288" s="69"/>
      <c r="Z288" s="97"/>
      <c r="AA288" s="97"/>
      <c r="AB288" s="97"/>
      <c r="AC288" s="97"/>
      <c r="AD288" s="97"/>
      <c r="AE288" s="97"/>
      <c r="AF288" s="97"/>
      <c r="AG288" s="97"/>
      <c r="AH288" s="97"/>
      <c r="AI288" s="97"/>
      <c r="AJ288" s="97"/>
      <c r="AK288" s="97"/>
      <c r="AL288" s="97"/>
      <c r="AM288" s="97"/>
      <c r="AN288" s="97"/>
      <c r="AO288" s="97"/>
    </row>
    <row r="289" spans="1:41" ht="16.5" customHeight="1" x14ac:dyDescent="0.3">
      <c r="A289" s="69"/>
      <c r="B289" s="69"/>
      <c r="C289" s="69"/>
      <c r="D289" s="69"/>
      <c r="E289" s="69"/>
      <c r="F289" s="69"/>
      <c r="Z289" s="97"/>
      <c r="AA289" s="97"/>
      <c r="AB289" s="97"/>
      <c r="AC289" s="97"/>
      <c r="AD289" s="97"/>
      <c r="AE289" s="97"/>
      <c r="AF289" s="97"/>
      <c r="AG289" s="97"/>
      <c r="AH289" s="97"/>
      <c r="AI289" s="97"/>
      <c r="AJ289" s="97"/>
      <c r="AK289" s="97"/>
      <c r="AL289" s="97"/>
      <c r="AM289" s="97"/>
      <c r="AN289" s="97"/>
      <c r="AO289" s="97"/>
    </row>
    <row r="290" spans="1:41" ht="16.5" customHeight="1" x14ac:dyDescent="0.3">
      <c r="A290" s="69"/>
      <c r="B290" s="69"/>
      <c r="C290" s="69"/>
      <c r="D290" s="69"/>
      <c r="E290" s="69"/>
      <c r="F290" s="69"/>
      <c r="Z290" s="97"/>
      <c r="AA290" s="97"/>
      <c r="AB290" s="97"/>
      <c r="AC290" s="97"/>
      <c r="AD290" s="97"/>
      <c r="AE290" s="97"/>
      <c r="AF290" s="97"/>
      <c r="AG290" s="97"/>
      <c r="AH290" s="97"/>
      <c r="AI290" s="97"/>
      <c r="AJ290" s="97"/>
      <c r="AK290" s="97"/>
      <c r="AL290" s="97"/>
      <c r="AM290" s="97"/>
      <c r="AN290" s="97"/>
      <c r="AO290" s="97"/>
    </row>
    <row r="291" spans="1:41" ht="16.5" customHeight="1" x14ac:dyDescent="0.3">
      <c r="A291" s="69"/>
      <c r="B291" s="69"/>
      <c r="C291" s="69"/>
      <c r="D291" s="69"/>
      <c r="E291" s="69"/>
      <c r="F291" s="69"/>
      <c r="Z291" s="97"/>
      <c r="AA291" s="97"/>
      <c r="AB291" s="97"/>
      <c r="AC291" s="97"/>
      <c r="AD291" s="97"/>
      <c r="AE291" s="97"/>
      <c r="AF291" s="97"/>
      <c r="AG291" s="97"/>
      <c r="AH291" s="97"/>
      <c r="AI291" s="97"/>
      <c r="AJ291" s="97"/>
      <c r="AK291" s="97"/>
      <c r="AL291" s="97"/>
      <c r="AM291" s="97"/>
      <c r="AN291" s="97"/>
      <c r="AO291" s="97"/>
    </row>
    <row r="292" spans="1:41" ht="16.5" customHeight="1" x14ac:dyDescent="0.3">
      <c r="A292" s="69"/>
      <c r="B292" s="69"/>
      <c r="C292" s="69"/>
      <c r="D292" s="69"/>
      <c r="E292" s="69"/>
      <c r="F292" s="69"/>
      <c r="Z292" s="97"/>
      <c r="AA292" s="97"/>
      <c r="AB292" s="97"/>
      <c r="AC292" s="97"/>
      <c r="AD292" s="97"/>
      <c r="AE292" s="97"/>
      <c r="AF292" s="97"/>
      <c r="AG292" s="97"/>
      <c r="AH292" s="97"/>
      <c r="AI292" s="97"/>
      <c r="AJ292" s="97"/>
      <c r="AK292" s="97"/>
      <c r="AL292" s="97"/>
      <c r="AM292" s="97"/>
      <c r="AN292" s="97"/>
      <c r="AO292" s="97"/>
    </row>
    <row r="293" spans="1:41" ht="16.5" customHeight="1" x14ac:dyDescent="0.3">
      <c r="A293" s="69"/>
      <c r="B293" s="69"/>
      <c r="C293" s="69"/>
      <c r="D293" s="69"/>
      <c r="E293" s="69"/>
      <c r="F293" s="69"/>
      <c r="Z293" s="97"/>
      <c r="AA293" s="97"/>
      <c r="AB293" s="97"/>
      <c r="AC293" s="97"/>
      <c r="AD293" s="97"/>
      <c r="AE293" s="97"/>
      <c r="AF293" s="97"/>
      <c r="AG293" s="97"/>
      <c r="AH293" s="97"/>
      <c r="AI293" s="97"/>
      <c r="AJ293" s="97"/>
      <c r="AK293" s="97"/>
      <c r="AL293" s="97"/>
      <c r="AM293" s="97"/>
      <c r="AN293" s="97"/>
      <c r="AO293" s="97"/>
    </row>
    <row r="294" spans="1:41" ht="16.5" customHeight="1" x14ac:dyDescent="0.3">
      <c r="A294" s="69"/>
      <c r="B294" s="69"/>
      <c r="C294" s="69"/>
      <c r="D294" s="69"/>
      <c r="E294" s="69"/>
      <c r="F294" s="69"/>
      <c r="Z294" s="97"/>
      <c r="AA294" s="97"/>
      <c r="AB294" s="97"/>
      <c r="AC294" s="97"/>
      <c r="AD294" s="97"/>
      <c r="AE294" s="97"/>
      <c r="AF294" s="97"/>
      <c r="AG294" s="97"/>
      <c r="AH294" s="97"/>
      <c r="AI294" s="97"/>
      <c r="AJ294" s="97"/>
      <c r="AK294" s="97"/>
      <c r="AL294" s="97"/>
      <c r="AM294" s="97"/>
      <c r="AN294" s="97"/>
      <c r="AO294" s="97"/>
    </row>
    <row r="295" spans="1:41" ht="16.5" customHeight="1" x14ac:dyDescent="0.3">
      <c r="A295" s="69"/>
      <c r="B295" s="69"/>
      <c r="C295" s="69"/>
      <c r="D295" s="69"/>
      <c r="E295" s="69"/>
      <c r="F295" s="69"/>
      <c r="Z295" s="97"/>
      <c r="AA295" s="97"/>
      <c r="AB295" s="97"/>
      <c r="AC295" s="97"/>
      <c r="AD295" s="97"/>
      <c r="AE295" s="97"/>
      <c r="AF295" s="97"/>
      <c r="AG295" s="97"/>
      <c r="AH295" s="97"/>
      <c r="AI295" s="97"/>
      <c r="AJ295" s="97"/>
      <c r="AK295" s="97"/>
      <c r="AL295" s="97"/>
      <c r="AM295" s="97"/>
      <c r="AN295" s="97"/>
      <c r="AO295" s="97"/>
    </row>
    <row r="296" spans="1:41" ht="16.5" customHeight="1" x14ac:dyDescent="0.3">
      <c r="A296" s="69"/>
      <c r="B296" s="69"/>
      <c r="C296" s="69"/>
      <c r="D296" s="69"/>
      <c r="E296" s="69"/>
      <c r="F296" s="69"/>
      <c r="Z296" s="97"/>
      <c r="AA296" s="97"/>
      <c r="AB296" s="97"/>
      <c r="AC296" s="97"/>
      <c r="AD296" s="97"/>
      <c r="AE296" s="97"/>
      <c r="AF296" s="97"/>
      <c r="AG296" s="97"/>
      <c r="AH296" s="97"/>
      <c r="AI296" s="97"/>
      <c r="AJ296" s="97"/>
      <c r="AK296" s="97"/>
      <c r="AL296" s="97"/>
      <c r="AM296" s="97"/>
      <c r="AN296" s="97"/>
      <c r="AO296" s="97"/>
    </row>
    <row r="297" spans="1:41" ht="16.5" customHeight="1" x14ac:dyDescent="0.3">
      <c r="A297" s="69"/>
      <c r="B297" s="69"/>
      <c r="C297" s="69"/>
      <c r="D297" s="69"/>
      <c r="E297" s="69"/>
      <c r="F297" s="69"/>
      <c r="Z297" s="97"/>
      <c r="AA297" s="97"/>
      <c r="AB297" s="97"/>
      <c r="AC297" s="97"/>
      <c r="AD297" s="97"/>
      <c r="AE297" s="97"/>
      <c r="AF297" s="97"/>
      <c r="AG297" s="97"/>
      <c r="AH297" s="97"/>
      <c r="AI297" s="97"/>
      <c r="AJ297" s="97"/>
      <c r="AK297" s="97"/>
      <c r="AL297" s="97"/>
      <c r="AM297" s="97"/>
      <c r="AN297" s="97"/>
      <c r="AO297" s="97"/>
    </row>
    <row r="298" spans="1:41" ht="16.5" customHeight="1" x14ac:dyDescent="0.3">
      <c r="A298" s="69"/>
      <c r="B298" s="69"/>
      <c r="C298" s="69"/>
      <c r="D298" s="69"/>
      <c r="E298" s="69"/>
      <c r="F298" s="69"/>
      <c r="Z298" s="97"/>
      <c r="AA298" s="97"/>
      <c r="AB298" s="97"/>
      <c r="AC298" s="97"/>
      <c r="AD298" s="97"/>
      <c r="AE298" s="97"/>
      <c r="AF298" s="97"/>
      <c r="AG298" s="97"/>
      <c r="AH298" s="97"/>
      <c r="AI298" s="97"/>
      <c r="AJ298" s="97"/>
      <c r="AK298" s="97"/>
      <c r="AL298" s="97"/>
      <c r="AM298" s="97"/>
      <c r="AN298" s="97"/>
      <c r="AO298" s="97"/>
    </row>
    <row r="299" spans="1:41" ht="16.5" customHeight="1" x14ac:dyDescent="0.3">
      <c r="A299" s="69"/>
      <c r="B299" s="69"/>
      <c r="C299" s="69"/>
      <c r="D299" s="69"/>
      <c r="E299" s="69"/>
      <c r="F299" s="69"/>
      <c r="Z299" s="97"/>
      <c r="AA299" s="97"/>
      <c r="AB299" s="97"/>
      <c r="AC299" s="97"/>
      <c r="AD299" s="97"/>
      <c r="AE299" s="97"/>
      <c r="AF299" s="97"/>
      <c r="AG299" s="97"/>
      <c r="AH299" s="97"/>
      <c r="AI299" s="97"/>
      <c r="AJ299" s="97"/>
      <c r="AK299" s="97"/>
      <c r="AL299" s="97"/>
      <c r="AM299" s="97"/>
      <c r="AN299" s="97"/>
      <c r="AO299" s="97"/>
    </row>
    <row r="300" spans="1:41" ht="16.5" customHeight="1" x14ac:dyDescent="0.3">
      <c r="A300" s="69"/>
      <c r="B300" s="69"/>
      <c r="C300" s="69"/>
      <c r="D300" s="69"/>
      <c r="E300" s="69"/>
      <c r="F300" s="69"/>
      <c r="Z300" s="97"/>
      <c r="AA300" s="97"/>
      <c r="AB300" s="97"/>
      <c r="AC300" s="97"/>
      <c r="AD300" s="97"/>
      <c r="AE300" s="97"/>
      <c r="AF300" s="97"/>
      <c r="AG300" s="97"/>
      <c r="AH300" s="97"/>
      <c r="AI300" s="97"/>
      <c r="AJ300" s="97"/>
      <c r="AK300" s="97"/>
      <c r="AL300" s="97"/>
      <c r="AM300" s="97"/>
      <c r="AN300" s="97"/>
      <c r="AO300" s="97"/>
    </row>
    <row r="301" spans="1:41" ht="16.5" customHeight="1" x14ac:dyDescent="0.3">
      <c r="A301" s="69"/>
      <c r="B301" s="69"/>
      <c r="C301" s="69"/>
      <c r="D301" s="69"/>
      <c r="E301" s="69"/>
      <c r="F301" s="69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O301" s="97"/>
    </row>
    <row r="302" spans="1:41" ht="16.5" customHeight="1" x14ac:dyDescent="0.3">
      <c r="A302" s="69"/>
      <c r="B302" s="69"/>
      <c r="C302" s="69"/>
      <c r="D302" s="69"/>
      <c r="E302" s="69"/>
      <c r="F302" s="69"/>
      <c r="Z302" s="97"/>
      <c r="AA302" s="97"/>
      <c r="AB302" s="97"/>
      <c r="AC302" s="97"/>
      <c r="AD302" s="97"/>
      <c r="AE302" s="97"/>
      <c r="AF302" s="97"/>
      <c r="AG302" s="97"/>
      <c r="AH302" s="97"/>
      <c r="AI302" s="97"/>
      <c r="AJ302" s="97"/>
      <c r="AK302" s="97"/>
      <c r="AL302" s="97"/>
      <c r="AM302" s="97"/>
      <c r="AN302" s="97"/>
      <c r="AO302" s="97"/>
    </row>
    <row r="303" spans="1:41" ht="16.5" customHeight="1" x14ac:dyDescent="0.3">
      <c r="A303" s="74"/>
      <c r="B303" s="74"/>
      <c r="C303" s="74"/>
      <c r="D303" s="74"/>
      <c r="E303" s="74"/>
      <c r="F303" s="74"/>
      <c r="Z303" s="97"/>
      <c r="AA303" s="97"/>
      <c r="AB303" s="97"/>
      <c r="AC303" s="97"/>
      <c r="AD303" s="97"/>
      <c r="AE303" s="97"/>
      <c r="AF303" s="97"/>
      <c r="AG303" s="97"/>
      <c r="AH303" s="97"/>
      <c r="AI303" s="97"/>
      <c r="AJ303" s="97"/>
      <c r="AK303" s="97"/>
      <c r="AL303" s="97"/>
      <c r="AM303" s="97"/>
      <c r="AN303" s="97"/>
      <c r="AO303" s="97"/>
    </row>
    <row r="304" spans="1:41" ht="16.5" customHeight="1" x14ac:dyDescent="0.3">
      <c r="A304" s="145" t="s">
        <v>8953</v>
      </c>
      <c r="B304" s="138"/>
      <c r="C304" s="48">
        <f>E304+D304+F304</f>
        <v>46749</v>
      </c>
      <c r="D304" s="47">
        <f>ROUNDDOWN(SUMIF(N257:N275,M304,D257:D275),0)</f>
        <v>45833</v>
      </c>
      <c r="E304" s="56">
        <f>ROUNDDOWN(SUMIF(N257:N275,M304,E257:E275),0)</f>
        <v>0</v>
      </c>
      <c r="F304" s="48">
        <f>ROUNDDOWN(SUMIF(N257:N275,M304,F257:F275),0)</f>
        <v>916</v>
      </c>
      <c r="M304" s="35" t="s">
        <v>6406</v>
      </c>
      <c r="Z304" s="97"/>
      <c r="AA304" s="97"/>
      <c r="AB304" s="97"/>
      <c r="AC304" s="97"/>
      <c r="AD304" s="97"/>
      <c r="AE304" s="97"/>
      <c r="AF304" s="97"/>
      <c r="AG304" s="97"/>
      <c r="AH304" s="97"/>
      <c r="AI304" s="97"/>
      <c r="AJ304" s="97"/>
      <c r="AK304" s="97"/>
      <c r="AL304" s="97"/>
      <c r="AM304" s="97"/>
      <c r="AN304" s="97"/>
      <c r="AO304" s="97"/>
    </row>
    <row r="305" spans="1:41" ht="16.5" customHeight="1" x14ac:dyDescent="0.3">
      <c r="A305" s="86" t="s">
        <v>25</v>
      </c>
      <c r="B305" s="88" t="s">
        <v>25</v>
      </c>
      <c r="C305" s="146">
        <f>C354</f>
        <v>70125</v>
      </c>
      <c r="D305" s="146">
        <f>D354</f>
        <v>68750</v>
      </c>
      <c r="E305" s="146">
        <f>E354</f>
        <v>0</v>
      </c>
      <c r="F305" s="146">
        <f>F354</f>
        <v>1375</v>
      </c>
      <c r="G305" s="84" t="str">
        <f>HYPERLINK("#G"&amp;ROW(G325),"_x0005_`BDCOD|D00118_x0007_`POSS|"&amp;ROW(G307)&amp;"_x0007_`POSE|"&amp;ROW(G325)&amp;"_x0007_`")</f>
        <v>_x0005_`BDCOD|D00118_x0007_`POSS|307_x0007_`POSE|325_x0007_`</v>
      </c>
      <c r="Z305" s="97"/>
      <c r="AA305" s="97"/>
      <c r="AB305" s="97"/>
      <c r="AC305" s="97"/>
      <c r="AD305" s="97"/>
      <c r="AE305" s="97"/>
      <c r="AF305" s="97"/>
      <c r="AG305" s="97"/>
      <c r="AH305" s="97"/>
      <c r="AI305" s="97"/>
      <c r="AJ305" s="97"/>
      <c r="AK305" s="97"/>
      <c r="AL305" s="97"/>
      <c r="AM305" s="97"/>
      <c r="AN305" s="97"/>
      <c r="AO305" s="97"/>
    </row>
    <row r="306" spans="1:41" ht="16.5" customHeight="1" x14ac:dyDescent="0.3">
      <c r="A306" s="87"/>
      <c r="B306" s="88" t="s">
        <v>1992</v>
      </c>
      <c r="C306" s="127"/>
      <c r="D306" s="127"/>
      <c r="E306" s="127"/>
      <c r="F306" s="127"/>
      <c r="M306" s="35" t="s">
        <v>8974</v>
      </c>
      <c r="Z306" s="97"/>
      <c r="AA306" s="97"/>
      <c r="AB306" s="97"/>
      <c r="AC306" s="97"/>
      <c r="AD306" s="97"/>
      <c r="AE306" s="97"/>
      <c r="AF306" s="97"/>
      <c r="AG306" s="97"/>
      <c r="AH306" s="97"/>
      <c r="AI306" s="97"/>
      <c r="AJ306" s="97"/>
      <c r="AK306" s="97"/>
      <c r="AL306" s="97"/>
      <c r="AM306" s="97"/>
      <c r="AN306" s="97"/>
      <c r="AO306" s="97"/>
    </row>
    <row r="307" spans="1:41" ht="16.5" customHeight="1" x14ac:dyDescent="0.3">
      <c r="A307" s="69"/>
      <c r="B307" s="69"/>
      <c r="C307" s="90"/>
      <c r="D307" s="90"/>
      <c r="E307" s="90"/>
      <c r="F307" s="90"/>
      <c r="G307" s="17" t="s">
        <v>8885</v>
      </c>
      <c r="Z307" s="97"/>
      <c r="AA307" s="97"/>
      <c r="AB307" s="97"/>
      <c r="AC307" s="97"/>
      <c r="AD307" s="97"/>
      <c r="AE307" s="97"/>
      <c r="AF307" s="97"/>
      <c r="AG307" s="97"/>
      <c r="AH307" s="97"/>
      <c r="AI307" s="97"/>
      <c r="AJ307" s="97"/>
      <c r="AK307" s="97"/>
      <c r="AL307" s="97"/>
      <c r="AM307" s="97"/>
      <c r="AN307" s="97"/>
      <c r="AO307" s="97"/>
    </row>
    <row r="308" spans="1:41" ht="16.5" customHeight="1" x14ac:dyDescent="0.3">
      <c r="A308" s="59"/>
      <c r="B308" s="68" t="s">
        <v>8956</v>
      </c>
      <c r="C308" s="69"/>
      <c r="D308" s="69"/>
      <c r="E308" s="69"/>
      <c r="F308" s="69"/>
      <c r="G308" s="17" t="s">
        <v>8955</v>
      </c>
      <c r="Z308" s="97"/>
      <c r="AA308" s="97"/>
      <c r="AB308" s="97"/>
      <c r="AC308" s="97"/>
      <c r="AD308" s="97"/>
      <c r="AE308" s="97"/>
      <c r="AF308" s="97"/>
      <c r="AG308" s="97"/>
      <c r="AH308" s="97"/>
      <c r="AI308" s="97"/>
      <c r="AJ308" s="97"/>
      <c r="AK308" s="97"/>
      <c r="AL308" s="97"/>
      <c r="AM308" s="97"/>
      <c r="AN308" s="97"/>
      <c r="AO308" s="97"/>
    </row>
    <row r="309" spans="1:41" ht="16.5" customHeight="1" x14ac:dyDescent="0.3">
      <c r="A309" s="69"/>
      <c r="B309" s="69"/>
      <c r="C309" s="69"/>
      <c r="D309" s="69"/>
      <c r="E309" s="69"/>
      <c r="F309" s="69"/>
      <c r="G309" s="17" t="s">
        <v>8885</v>
      </c>
      <c r="Z309" s="97"/>
      <c r="AA309" s="97"/>
      <c r="AB309" s="97"/>
      <c r="AC309" s="97"/>
      <c r="AD309" s="97"/>
      <c r="AE309" s="97"/>
      <c r="AF309" s="97"/>
      <c r="AG309" s="97"/>
      <c r="AH309" s="97"/>
      <c r="AI309" s="97"/>
      <c r="AJ309" s="97"/>
      <c r="AK309" s="97"/>
      <c r="AL309" s="97"/>
      <c r="AM309" s="97"/>
      <c r="AN309" s="97"/>
      <c r="AO309" s="97"/>
    </row>
    <row r="310" spans="1:41" ht="16.5" customHeight="1" x14ac:dyDescent="0.3">
      <c r="A310" s="59"/>
      <c r="B310" s="68" t="s">
        <v>8958</v>
      </c>
      <c r="C310" s="69"/>
      <c r="D310" s="69"/>
      <c r="E310" s="69"/>
      <c r="F310" s="69"/>
      <c r="G310" s="17" t="s">
        <v>8957</v>
      </c>
      <c r="Z310" s="97"/>
      <c r="AA310" s="97"/>
      <c r="AB310" s="97"/>
      <c r="AC310" s="97"/>
      <c r="AD310" s="97"/>
      <c r="AE310" s="97"/>
      <c r="AF310" s="97"/>
      <c r="AG310" s="97"/>
      <c r="AH310" s="97"/>
      <c r="AI310" s="97"/>
      <c r="AJ310" s="97"/>
      <c r="AK310" s="97"/>
      <c r="AL310" s="97"/>
      <c r="AM310" s="97"/>
      <c r="AN310" s="97"/>
      <c r="AO310" s="97"/>
    </row>
    <row r="311" spans="1:41" ht="16.5" customHeight="1" x14ac:dyDescent="0.3">
      <c r="A311" s="69"/>
      <c r="B311" s="69"/>
      <c r="C311" s="69"/>
      <c r="D311" s="69"/>
      <c r="E311" s="69"/>
      <c r="F311" s="69"/>
      <c r="G311" s="17" t="s">
        <v>8885</v>
      </c>
      <c r="Z311" s="97"/>
      <c r="AA311" s="97"/>
      <c r="AB311" s="97"/>
      <c r="AC311" s="97"/>
      <c r="AD311" s="97"/>
      <c r="AE311" s="97"/>
      <c r="AF311" s="97"/>
      <c r="AG311" s="97"/>
      <c r="AH311" s="97"/>
      <c r="AI311" s="97"/>
      <c r="AJ311" s="97"/>
      <c r="AK311" s="97"/>
      <c r="AL311" s="97"/>
      <c r="AM311" s="97"/>
      <c r="AN311" s="97"/>
      <c r="AO311" s="97"/>
    </row>
    <row r="312" spans="1:41" ht="16.5" customHeight="1" x14ac:dyDescent="0.3">
      <c r="A312" s="59"/>
      <c r="B312" s="68" t="s">
        <v>8960</v>
      </c>
      <c r="C312" s="69"/>
      <c r="D312" s="69"/>
      <c r="E312" s="69"/>
      <c r="F312" s="69"/>
      <c r="G312" s="17" t="s">
        <v>8959</v>
      </c>
      <c r="Z312" s="97"/>
      <c r="AA312" s="97"/>
      <c r="AB312" s="97"/>
      <c r="AC312" s="97"/>
      <c r="AD312" s="97"/>
      <c r="AE312" s="97"/>
      <c r="AF312" s="97"/>
      <c r="AG312" s="97"/>
      <c r="AH312" s="97"/>
      <c r="AI312" s="97"/>
      <c r="AJ312" s="97"/>
      <c r="AK312" s="97"/>
      <c r="AL312" s="97"/>
      <c r="AM312" s="97"/>
      <c r="AN312" s="97"/>
      <c r="AO312" s="97"/>
    </row>
    <row r="313" spans="1:41" ht="16.5" customHeight="1" x14ac:dyDescent="0.3">
      <c r="A313" s="69"/>
      <c r="B313" s="69"/>
      <c r="C313" s="69"/>
      <c r="D313" s="69"/>
      <c r="E313" s="69"/>
      <c r="F313" s="69"/>
      <c r="G313" s="17" t="s">
        <v>8885</v>
      </c>
      <c r="Z313" s="97"/>
      <c r="AA313" s="97"/>
      <c r="AB313" s="97"/>
      <c r="AC313" s="97"/>
      <c r="AD313" s="97"/>
      <c r="AE313" s="97"/>
      <c r="AF313" s="97"/>
      <c r="AG313" s="97"/>
      <c r="AH313" s="97"/>
      <c r="AI313" s="97"/>
      <c r="AJ313" s="97"/>
      <c r="AK313" s="97"/>
      <c r="AL313" s="97"/>
      <c r="AM313" s="97"/>
      <c r="AN313" s="97"/>
      <c r="AO313" s="97"/>
    </row>
    <row r="314" spans="1:41" ht="16.5" customHeight="1" x14ac:dyDescent="0.3">
      <c r="A314" s="59"/>
      <c r="B314" s="68" t="str">
        <f>"    개소당 시공량  Q = "&amp;Z314&amp;" m/일  * "&amp;AB314&amp;" %  = "&amp;AD314&amp;""</f>
        <v xml:space="preserve">    개소당 시공량  Q = 12 m/일  * 1.11 %  = 13.320</v>
      </c>
      <c r="C314" s="69"/>
      <c r="D314" s="69"/>
      <c r="E314" s="69"/>
      <c r="F314" s="69"/>
      <c r="G314" s="17" t="s">
        <v>8975</v>
      </c>
      <c r="Z314" s="99">
        <v>12</v>
      </c>
      <c r="AA314" s="35" t="s">
        <v>8896</v>
      </c>
      <c r="AB314" s="98">
        <v>1.1100000000000001</v>
      </c>
      <c r="AC314" s="35" t="s">
        <v>8892</v>
      </c>
      <c r="AD314" s="100" t="str">
        <f>TEXT(ROUND(Z314*AB314,3),"#,0.000")</f>
        <v>13.320</v>
      </c>
      <c r="AE314" s="97"/>
      <c r="AF314" s="97"/>
      <c r="AG314" s="97"/>
      <c r="AH314" s="97"/>
      <c r="AI314" s="97"/>
      <c r="AJ314" s="97"/>
      <c r="AK314" s="97"/>
      <c r="AL314" s="97"/>
      <c r="AM314" s="97"/>
      <c r="AN314" s="97"/>
      <c r="AO314" s="97"/>
    </row>
    <row r="315" spans="1:41" ht="16.5" customHeight="1" x14ac:dyDescent="0.3">
      <c r="A315" s="59"/>
      <c r="B315" s="68" t="str">
        <f>"    시간당 시공량:  Q1 = Q / "&amp;AB315&amp;" = "&amp;AD315&amp;"    m/Hr "</f>
        <v xml:space="preserve">    시간당 시공량:  Q1 = Q / 8 = 1.665    m/Hr </v>
      </c>
      <c r="C315" s="69"/>
      <c r="D315" s="69"/>
      <c r="E315" s="69"/>
      <c r="F315" s="69"/>
      <c r="G315" s="17" t="s">
        <v>8962</v>
      </c>
      <c r="Z315" s="100" t="str">
        <f>AD314</f>
        <v>13.320</v>
      </c>
      <c r="AA315" s="35" t="s">
        <v>8905</v>
      </c>
      <c r="AB315" s="99">
        <v>8</v>
      </c>
      <c r="AC315" s="35" t="s">
        <v>8892</v>
      </c>
      <c r="AD315" s="100" t="str">
        <f>TEXT(ROUND(AD314/AB315,3),"#,0.000")</f>
        <v>1.665</v>
      </c>
      <c r="AE315" s="97"/>
      <c r="AF315" s="97"/>
      <c r="AG315" s="97"/>
      <c r="AH315" s="97"/>
      <c r="AI315" s="97"/>
      <c r="AJ315" s="97"/>
      <c r="AK315" s="97"/>
      <c r="AL315" s="97"/>
      <c r="AM315" s="97"/>
      <c r="AN315" s="97"/>
      <c r="AO315" s="97"/>
    </row>
    <row r="316" spans="1:41" ht="16.5" customHeight="1" x14ac:dyDescent="0.3">
      <c r="A316" s="69"/>
      <c r="B316" s="69"/>
      <c r="C316" s="69"/>
      <c r="D316" s="69"/>
      <c r="E316" s="69"/>
      <c r="F316" s="69"/>
      <c r="G316" s="17" t="s">
        <v>8885</v>
      </c>
      <c r="Z316" s="97"/>
      <c r="AA316" s="97"/>
      <c r="AB316" s="97"/>
      <c r="AC316" s="97"/>
      <c r="AD316" s="97"/>
      <c r="AE316" s="97"/>
      <c r="AF316" s="97"/>
      <c r="AG316" s="97"/>
      <c r="AH316" s="97"/>
      <c r="AI316" s="97"/>
      <c r="AJ316" s="97"/>
      <c r="AK316" s="97"/>
      <c r="AL316" s="97"/>
      <c r="AM316" s="97"/>
      <c r="AN316" s="97"/>
      <c r="AO316" s="97"/>
    </row>
    <row r="317" spans="1:41" ht="16.5" customHeight="1" x14ac:dyDescent="0.3">
      <c r="A317" s="59"/>
      <c r="B317" s="68" t="s">
        <v>8964</v>
      </c>
      <c r="C317" s="69"/>
      <c r="D317" s="69"/>
      <c r="E317" s="69"/>
      <c r="F317" s="69"/>
      <c r="G317" s="17" t="s">
        <v>8963</v>
      </c>
      <c r="Z317" s="97"/>
      <c r="AA317" s="97"/>
      <c r="AB317" s="97"/>
      <c r="AC317" s="97"/>
      <c r="AD317" s="97"/>
      <c r="AE317" s="97"/>
      <c r="AF317" s="97"/>
      <c r="AG317" s="97"/>
      <c r="AH317" s="97"/>
      <c r="AI317" s="97"/>
      <c r="AJ317" s="97"/>
      <c r="AK317" s="97"/>
      <c r="AL317" s="97"/>
      <c r="AM317" s="97"/>
      <c r="AN317" s="97"/>
      <c r="AO317" s="97"/>
    </row>
    <row r="318" spans="1:41" ht="16.5" customHeight="1" x14ac:dyDescent="0.3">
      <c r="A318" s="69"/>
      <c r="B318" s="69"/>
      <c r="C318" s="69"/>
      <c r="D318" s="69"/>
      <c r="E318" s="69"/>
      <c r="F318" s="69"/>
      <c r="G318" s="17" t="s">
        <v>8885</v>
      </c>
      <c r="Z318" s="97"/>
      <c r="AA318" s="97"/>
      <c r="AB318" s="97"/>
      <c r="AC318" s="97"/>
      <c r="AD318" s="97"/>
      <c r="AE318" s="97"/>
      <c r="AF318" s="97"/>
      <c r="AG318" s="97"/>
      <c r="AH318" s="97"/>
      <c r="AI318" s="97"/>
      <c r="AJ318" s="97"/>
      <c r="AK318" s="97"/>
      <c r="AL318" s="97"/>
      <c r="AM318" s="97"/>
      <c r="AN318" s="97"/>
      <c r="AO318" s="97"/>
    </row>
    <row r="319" spans="1:41" ht="16.5" customHeight="1" x14ac:dyDescent="0.3">
      <c r="A319" s="59" t="s">
        <v>8966</v>
      </c>
      <c r="B319" s="89" t="str">
        <f>"     배 관 공 : "&amp;TEXT(I319,"#,##0"&amp;IF(I319&lt;&gt;INT(I319),".###",""))&amp;" * "&amp;AA319&amp;" 인 / Q 인 = "&amp;TEXT(C319,"#,##0.0")&amp;""</f>
        <v xml:space="preserve">     배 관 공 : 247,897 * 3 인 / Q 인 = 55,832.6</v>
      </c>
      <c r="C319" s="91">
        <f>E319+D319+F319</f>
        <v>55832.6</v>
      </c>
      <c r="D319" s="91">
        <f>IF(H319=0,0,ROUNDDOWN(J319*H319,1))</f>
        <v>55832.6</v>
      </c>
      <c r="E319" s="91">
        <f>IF(H319=0,0,ROUNDDOWN(K319*H319,1))</f>
        <v>0</v>
      </c>
      <c r="F319" s="91">
        <f>IF(H319=0,0,ROUNDDOWN(L319*H319,1))</f>
        <v>0</v>
      </c>
      <c r="G319" s="17" t="s">
        <v>8965</v>
      </c>
      <c r="H319" s="94">
        <f>ROUNDUP(AE319,14-LEN(ABS(INT(AE319))))</f>
        <v>0.2252252252253</v>
      </c>
      <c r="I319" s="95">
        <f>K319+J319+L319</f>
        <v>247897</v>
      </c>
      <c r="J319" s="39">
        <f>노무비목록표!E10</f>
        <v>247897</v>
      </c>
      <c r="M319" s="35" t="s">
        <v>8366</v>
      </c>
      <c r="N319" s="35" t="s">
        <v>8915</v>
      </c>
      <c r="O319" s="35" t="s">
        <v>7061</v>
      </c>
      <c r="X319" s="96" t="str">
        <f>노무비목록표!B10&amp;" / "&amp;노무비목록표!C10</f>
        <v xml:space="preserve">배관공 / </v>
      </c>
      <c r="Y319" s="3" t="str">
        <f ca="1">HYPERLINK("#"&amp;노무비목록표!G2&amp;"!A"&amp;ROW(노무비목록표!A10),"노무7 →")</f>
        <v>노무7 →</v>
      </c>
      <c r="Z319" s="35" t="s">
        <v>8947</v>
      </c>
      <c r="AA319" s="99">
        <v>3</v>
      </c>
      <c r="AB319" s="35" t="s">
        <v>8905</v>
      </c>
      <c r="AC319" s="100" t="str">
        <f>AD314</f>
        <v>13.320</v>
      </c>
      <c r="AD319" s="35" t="s">
        <v>8892</v>
      </c>
      <c r="AE319" s="100">
        <f>1*AA319/AD314</f>
        <v>0.22522522522522523</v>
      </c>
      <c r="AF319" s="97"/>
      <c r="AG319" s="97"/>
      <c r="AH319" s="97"/>
      <c r="AI319" s="97"/>
      <c r="AJ319" s="97"/>
      <c r="AK319" s="97"/>
      <c r="AL319" s="97"/>
      <c r="AM319" s="97"/>
      <c r="AN319" s="97"/>
      <c r="AO319" s="97"/>
    </row>
    <row r="320" spans="1:41" ht="16.5" customHeight="1" x14ac:dyDescent="0.3">
      <c r="A320" s="59" t="s">
        <v>8949</v>
      </c>
      <c r="B320" s="89" t="str">
        <f>"     보통인부 : "&amp;TEXT(I320,"#,##0"&amp;IF(I320&lt;&gt;INT(I320),".###",""))&amp;" * "&amp;AA320&amp;" 인 / Q 인 = "&amp;TEXT(C320,"#,##0.0")&amp;""</f>
        <v xml:space="preserve">     보통인부 : 172,068 * 1 인 / Q 인 = 12,918.0</v>
      </c>
      <c r="C320" s="91">
        <f>E320+D320+F320</f>
        <v>12918</v>
      </c>
      <c r="D320" s="91">
        <f>IF(H320=0,0,ROUNDDOWN(J320*H320,1))</f>
        <v>12918</v>
      </c>
      <c r="E320" s="91">
        <f>IF(H320=0,0,ROUNDDOWN(K320*H320,1))</f>
        <v>0</v>
      </c>
      <c r="F320" s="91">
        <f>IF(H320=0,0,ROUNDDOWN(L320*H320,1))</f>
        <v>0</v>
      </c>
      <c r="G320" s="17" t="s">
        <v>8967</v>
      </c>
      <c r="H320" s="94">
        <f>ROUNDUP(AE320,14-LEN(ABS(INT(AE320))))</f>
        <v>7.5075075075100001E-2</v>
      </c>
      <c r="I320" s="95">
        <f>K320+J320+L320</f>
        <v>172068</v>
      </c>
      <c r="J320" s="39">
        <f>노무비목록표!E12</f>
        <v>172068</v>
      </c>
      <c r="M320" s="35" t="s">
        <v>8261</v>
      </c>
      <c r="N320" s="35" t="s">
        <v>8915</v>
      </c>
      <c r="O320" s="35" t="s">
        <v>7061</v>
      </c>
      <c r="X320" s="96" t="str">
        <f>노무비목록표!B12&amp;" / "&amp;노무비목록표!C12</f>
        <v xml:space="preserve">보통인부 / </v>
      </c>
      <c r="Y320" s="3" t="str">
        <f ca="1">HYPERLINK("#"&amp;노무비목록표!G2&amp;"!A"&amp;ROW(노무비목록표!A12),"노무9 →")</f>
        <v>노무9 →</v>
      </c>
      <c r="Z320" s="35" t="s">
        <v>8947</v>
      </c>
      <c r="AA320" s="99">
        <v>1</v>
      </c>
      <c r="AB320" s="35" t="s">
        <v>8905</v>
      </c>
      <c r="AC320" s="100" t="str">
        <f>AD314</f>
        <v>13.320</v>
      </c>
      <c r="AD320" s="35" t="s">
        <v>8892</v>
      </c>
      <c r="AE320" s="100">
        <f>1*AA320/AD314</f>
        <v>7.5075075075075076E-2</v>
      </c>
      <c r="AF320" s="97"/>
      <c r="AG320" s="97"/>
      <c r="AH320" s="97"/>
      <c r="AI320" s="97"/>
      <c r="AJ320" s="97"/>
      <c r="AK320" s="97"/>
      <c r="AL320" s="97"/>
      <c r="AM320" s="97"/>
      <c r="AN320" s="97"/>
      <c r="AO320" s="97"/>
    </row>
    <row r="321" spans="1:41" ht="16.5" customHeight="1" x14ac:dyDescent="0.3">
      <c r="A321" s="69"/>
      <c r="B321" s="69"/>
      <c r="C321" s="69"/>
      <c r="D321" s="69"/>
      <c r="E321" s="69"/>
      <c r="F321" s="69"/>
      <c r="G321" s="17" t="s">
        <v>8885</v>
      </c>
      <c r="Z321" s="97"/>
      <c r="AA321" s="97"/>
      <c r="AB321" s="97"/>
      <c r="AC321" s="97"/>
      <c r="AD321" s="97"/>
      <c r="AE321" s="97"/>
      <c r="AF321" s="97"/>
      <c r="AG321" s="97"/>
      <c r="AH321" s="97"/>
      <c r="AI321" s="97"/>
      <c r="AJ321" s="97"/>
      <c r="AK321" s="97"/>
      <c r="AL321" s="97"/>
      <c r="AM321" s="97"/>
      <c r="AN321" s="97"/>
      <c r="AO321" s="97"/>
    </row>
    <row r="322" spans="1:41" ht="16.5" customHeight="1" x14ac:dyDescent="0.3">
      <c r="A322" s="59"/>
      <c r="B322" s="89" t="str">
        <f>"    공구손료 및 경장비(절단기, 고소작업대 등) : "&amp;TEXT(I322,"#,##0.0")&amp;" * "&amp;AA322&amp;" %  = "&amp;TEXT(C322,"#,##0.0")&amp;""</f>
        <v xml:space="preserve">    공구손료 및 경장비(절단기, 고소작업대 등) : 68,750.6 * 2 %  = 1,375.0</v>
      </c>
      <c r="C322" s="91">
        <f>E322+D322+F322</f>
        <v>1375</v>
      </c>
      <c r="D322" s="91">
        <f>IF(H322=0,0,ROUNDDOWN(J322*H322/100,1))</f>
        <v>0</v>
      </c>
      <c r="E322" s="91">
        <f>IF(H322=0,0,ROUNDDOWN(K322*H322/100,1))</f>
        <v>0</v>
      </c>
      <c r="F322" s="91">
        <f>IF(H322=0,0,ROUNDDOWN(L322*H322/100,1))</f>
        <v>1375</v>
      </c>
      <c r="G322" s="17" t="s">
        <v>8968</v>
      </c>
      <c r="H322" s="94">
        <f>ROUNDUP(AC322,14-LEN(ABS(INT(AC322))))</f>
        <v>2</v>
      </c>
      <c r="I322" s="95">
        <f>K322+J322+L322</f>
        <v>68750.600000000006</v>
      </c>
      <c r="J322" s="36">
        <v>0</v>
      </c>
      <c r="K322" s="36">
        <v>0</v>
      </c>
      <c r="L322" s="39">
        <f>D319+D320</f>
        <v>68750.600000000006</v>
      </c>
      <c r="M322" s="35" t="s">
        <v>8969</v>
      </c>
      <c r="N322" s="35" t="s">
        <v>8915</v>
      </c>
      <c r="Z322" s="35" t="s">
        <v>8947</v>
      </c>
      <c r="AA322" s="99">
        <v>2</v>
      </c>
      <c r="AB322" s="35" t="s">
        <v>8892</v>
      </c>
      <c r="AC322" s="100">
        <f>1*AA322</f>
        <v>2</v>
      </c>
      <c r="AD322" s="97"/>
      <c r="AE322" s="97"/>
      <c r="AF322" s="97"/>
      <c r="AG322" s="97"/>
      <c r="AH322" s="97"/>
      <c r="AI322" s="97"/>
      <c r="AJ322" s="97"/>
      <c r="AK322" s="97"/>
      <c r="AL322" s="97"/>
      <c r="AM322" s="97"/>
      <c r="AN322" s="97"/>
      <c r="AO322" s="97"/>
    </row>
    <row r="323" spans="1:41" ht="16.5" customHeight="1" x14ac:dyDescent="0.3">
      <c r="A323" s="69"/>
      <c r="B323" s="69"/>
      <c r="C323" s="69"/>
      <c r="D323" s="69"/>
      <c r="E323" s="69"/>
      <c r="F323" s="69"/>
      <c r="G323" s="17" t="s">
        <v>8885</v>
      </c>
      <c r="Z323" s="97"/>
      <c r="AA323" s="97"/>
      <c r="AB323" s="97"/>
      <c r="AC323" s="97"/>
      <c r="AD323" s="97"/>
      <c r="AE323" s="97"/>
      <c r="AF323" s="97"/>
      <c r="AG323" s="97"/>
      <c r="AH323" s="97"/>
      <c r="AI323" s="97"/>
      <c r="AJ323" s="97"/>
      <c r="AK323" s="97"/>
      <c r="AL323" s="97"/>
      <c r="AM323" s="97"/>
      <c r="AN323" s="97"/>
      <c r="AO323" s="97"/>
    </row>
    <row r="324" spans="1:41" ht="16.5" customHeight="1" x14ac:dyDescent="0.3">
      <c r="A324" s="59"/>
      <c r="B324" s="68" t="s">
        <v>8914</v>
      </c>
      <c r="C324" s="92">
        <f>E324+D324+F324</f>
        <v>70125.600000000006</v>
      </c>
      <c r="D324" s="92">
        <f>SUMIF(N307:N323,M324,D307:D323)</f>
        <v>68750.600000000006</v>
      </c>
      <c r="E324" s="92">
        <f>SUMIF(N307:N323,M324,E307:E323)</f>
        <v>0</v>
      </c>
      <c r="F324" s="92">
        <f>SUMIF(N307:N323,M324,F307:F323)</f>
        <v>1375</v>
      </c>
      <c r="G324" s="17" t="s">
        <v>8927</v>
      </c>
      <c r="M324" s="35" t="s">
        <v>8915</v>
      </c>
      <c r="N324" s="35" t="s">
        <v>8952</v>
      </c>
      <c r="Z324" s="97"/>
      <c r="AA324" s="97"/>
      <c r="AB324" s="97"/>
      <c r="AC324" s="97"/>
      <c r="AD324" s="97"/>
      <c r="AE324" s="97"/>
      <c r="AF324" s="97"/>
      <c r="AG324" s="97"/>
      <c r="AH324" s="97"/>
      <c r="AI324" s="97"/>
      <c r="AJ324" s="97"/>
      <c r="AK324" s="97"/>
      <c r="AL324" s="97"/>
      <c r="AM324" s="97"/>
      <c r="AN324" s="97"/>
      <c r="AO324" s="97"/>
    </row>
    <row r="325" spans="1:41" ht="16.5" customHeight="1" x14ac:dyDescent="0.3">
      <c r="A325" s="59"/>
      <c r="B325" s="68" t="s">
        <v>8951</v>
      </c>
      <c r="C325" s="93">
        <f>E325+D325+F325</f>
        <v>70125.600000000006</v>
      </c>
      <c r="D325" s="93">
        <f>SUMIF(N307:N324,M325,D307:D324)</f>
        <v>68750.600000000006</v>
      </c>
      <c r="E325" s="93">
        <f>SUMIF(N307:N324,M325,E307:E324)</f>
        <v>0</v>
      </c>
      <c r="F325" s="93">
        <f>SUMIF(N307:N324,M325,F307:F324)</f>
        <v>1375</v>
      </c>
      <c r="G325" s="17" t="s">
        <v>8950</v>
      </c>
      <c r="M325" s="35" t="s">
        <v>8952</v>
      </c>
      <c r="N325" s="35" t="s">
        <v>6406</v>
      </c>
      <c r="Z325" s="97"/>
      <c r="AA325" s="97"/>
      <c r="AB325" s="97"/>
      <c r="AC325" s="97"/>
      <c r="AD325" s="97"/>
      <c r="AE325" s="97"/>
      <c r="AF325" s="97"/>
      <c r="AG325" s="97"/>
      <c r="AH325" s="97"/>
      <c r="AI325" s="97"/>
      <c r="AJ325" s="97"/>
      <c r="AK325" s="97"/>
      <c r="AL325" s="97"/>
      <c r="AM325" s="97"/>
      <c r="AN325" s="97"/>
      <c r="AO325" s="97"/>
    </row>
    <row r="326" spans="1:41" ht="16.5" customHeight="1" x14ac:dyDescent="0.3">
      <c r="A326" s="69"/>
      <c r="B326" s="69"/>
      <c r="C326" s="90"/>
      <c r="D326" s="90"/>
      <c r="E326" s="90"/>
      <c r="F326" s="90"/>
      <c r="Z326" s="97"/>
      <c r="AA326" s="97"/>
      <c r="AB326" s="97"/>
      <c r="AC326" s="97"/>
      <c r="AD326" s="97"/>
      <c r="AE326" s="97"/>
      <c r="AF326" s="97"/>
      <c r="AG326" s="97"/>
      <c r="AH326" s="97"/>
      <c r="AI326" s="97"/>
      <c r="AJ326" s="97"/>
      <c r="AK326" s="97"/>
      <c r="AL326" s="97"/>
      <c r="AM326" s="97"/>
      <c r="AN326" s="97"/>
      <c r="AO326" s="97"/>
    </row>
    <row r="327" spans="1:41" ht="16.5" customHeight="1" x14ac:dyDescent="0.3">
      <c r="A327" s="69"/>
      <c r="B327" s="69"/>
      <c r="C327" s="69"/>
      <c r="D327" s="69"/>
      <c r="E327" s="69"/>
      <c r="F327" s="69"/>
      <c r="Z327" s="97"/>
      <c r="AA327" s="97"/>
      <c r="AB327" s="97"/>
      <c r="AC327" s="97"/>
      <c r="AD327" s="97"/>
      <c r="AE327" s="97"/>
      <c r="AF327" s="97"/>
      <c r="AG327" s="97"/>
      <c r="AH327" s="97"/>
      <c r="AI327" s="97"/>
      <c r="AJ327" s="97"/>
      <c r="AK327" s="97"/>
      <c r="AL327" s="97"/>
      <c r="AM327" s="97"/>
      <c r="AN327" s="97"/>
      <c r="AO327" s="97"/>
    </row>
    <row r="328" spans="1:41" ht="16.5" customHeight="1" x14ac:dyDescent="0.3">
      <c r="A328" s="69"/>
      <c r="B328" s="69"/>
      <c r="C328" s="69"/>
      <c r="D328" s="69"/>
      <c r="E328" s="69"/>
      <c r="F328" s="69"/>
      <c r="Z328" s="97"/>
      <c r="AA328" s="97"/>
      <c r="AB328" s="97"/>
      <c r="AC328" s="97"/>
      <c r="AD328" s="97"/>
      <c r="AE328" s="97"/>
      <c r="AF328" s="97"/>
      <c r="AG328" s="97"/>
      <c r="AH328" s="97"/>
      <c r="AI328" s="97"/>
      <c r="AJ328" s="97"/>
      <c r="AK328" s="97"/>
      <c r="AL328" s="97"/>
      <c r="AM328" s="97"/>
      <c r="AN328" s="97"/>
      <c r="AO328" s="97"/>
    </row>
    <row r="329" spans="1:41" ht="16.5" customHeight="1" x14ac:dyDescent="0.3">
      <c r="A329" s="69"/>
      <c r="B329" s="69"/>
      <c r="C329" s="69"/>
      <c r="D329" s="69"/>
      <c r="E329" s="69"/>
      <c r="F329" s="69"/>
      <c r="Z329" s="97"/>
      <c r="AA329" s="97"/>
      <c r="AB329" s="97"/>
      <c r="AC329" s="97"/>
      <c r="AD329" s="97"/>
      <c r="AE329" s="97"/>
      <c r="AF329" s="97"/>
      <c r="AG329" s="97"/>
      <c r="AH329" s="97"/>
      <c r="AI329" s="97"/>
      <c r="AJ329" s="97"/>
      <c r="AK329" s="97"/>
      <c r="AL329" s="97"/>
      <c r="AM329" s="97"/>
      <c r="AN329" s="97"/>
      <c r="AO329" s="97"/>
    </row>
    <row r="330" spans="1:41" ht="16.5" customHeight="1" x14ac:dyDescent="0.3">
      <c r="A330" s="69"/>
      <c r="B330" s="69"/>
      <c r="C330" s="69"/>
      <c r="D330" s="69"/>
      <c r="E330" s="69"/>
      <c r="F330" s="69"/>
      <c r="Z330" s="97"/>
      <c r="AA330" s="97"/>
      <c r="AB330" s="97"/>
      <c r="AC330" s="97"/>
      <c r="AD330" s="97"/>
      <c r="AE330" s="97"/>
      <c r="AF330" s="97"/>
      <c r="AG330" s="97"/>
      <c r="AH330" s="97"/>
      <c r="AI330" s="97"/>
      <c r="AJ330" s="97"/>
      <c r="AK330" s="97"/>
      <c r="AL330" s="97"/>
      <c r="AM330" s="97"/>
      <c r="AN330" s="97"/>
      <c r="AO330" s="97"/>
    </row>
    <row r="331" spans="1:41" ht="16.5" customHeight="1" x14ac:dyDescent="0.3">
      <c r="A331" s="69"/>
      <c r="B331" s="69"/>
      <c r="C331" s="69"/>
      <c r="D331" s="69"/>
      <c r="E331" s="69"/>
      <c r="F331" s="69"/>
      <c r="Z331" s="97"/>
      <c r="AA331" s="97"/>
      <c r="AB331" s="97"/>
      <c r="AC331" s="97"/>
      <c r="AD331" s="97"/>
      <c r="AE331" s="97"/>
      <c r="AF331" s="97"/>
      <c r="AG331" s="97"/>
      <c r="AH331" s="97"/>
      <c r="AI331" s="97"/>
      <c r="AJ331" s="97"/>
      <c r="AK331" s="97"/>
      <c r="AL331" s="97"/>
      <c r="AM331" s="97"/>
      <c r="AN331" s="97"/>
      <c r="AO331" s="97"/>
    </row>
    <row r="332" spans="1:41" ht="16.5" customHeight="1" x14ac:dyDescent="0.3">
      <c r="A332" s="69"/>
      <c r="B332" s="69"/>
      <c r="C332" s="69"/>
      <c r="D332" s="69"/>
      <c r="E332" s="69"/>
      <c r="F332" s="69"/>
      <c r="Z332" s="97"/>
      <c r="AA332" s="97"/>
      <c r="AB332" s="97"/>
      <c r="AC332" s="97"/>
      <c r="AD332" s="97"/>
      <c r="AE332" s="97"/>
      <c r="AF332" s="97"/>
      <c r="AG332" s="97"/>
      <c r="AH332" s="97"/>
      <c r="AI332" s="97"/>
      <c r="AJ332" s="97"/>
      <c r="AK332" s="97"/>
      <c r="AL332" s="97"/>
      <c r="AM332" s="97"/>
      <c r="AN332" s="97"/>
      <c r="AO332" s="97"/>
    </row>
    <row r="333" spans="1:41" ht="16.5" customHeight="1" x14ac:dyDescent="0.3">
      <c r="A333" s="69"/>
      <c r="B333" s="69"/>
      <c r="C333" s="69"/>
      <c r="D333" s="69"/>
      <c r="E333" s="69"/>
      <c r="F333" s="69"/>
      <c r="Z333" s="97"/>
      <c r="AA333" s="97"/>
      <c r="AB333" s="97"/>
      <c r="AC333" s="97"/>
      <c r="AD333" s="97"/>
      <c r="AE333" s="97"/>
      <c r="AF333" s="97"/>
      <c r="AG333" s="97"/>
      <c r="AH333" s="97"/>
      <c r="AI333" s="97"/>
      <c r="AJ333" s="97"/>
      <c r="AK333" s="97"/>
      <c r="AL333" s="97"/>
      <c r="AM333" s="97"/>
      <c r="AN333" s="97"/>
      <c r="AO333" s="97"/>
    </row>
    <row r="334" spans="1:41" ht="16.5" customHeight="1" x14ac:dyDescent="0.3">
      <c r="A334" s="69"/>
      <c r="B334" s="69"/>
      <c r="C334" s="69"/>
      <c r="D334" s="69"/>
      <c r="E334" s="69"/>
      <c r="F334" s="69"/>
      <c r="Z334" s="97"/>
      <c r="AA334" s="97"/>
      <c r="AB334" s="97"/>
      <c r="AC334" s="97"/>
      <c r="AD334" s="97"/>
      <c r="AE334" s="97"/>
      <c r="AF334" s="97"/>
      <c r="AG334" s="97"/>
      <c r="AH334" s="97"/>
      <c r="AI334" s="97"/>
      <c r="AJ334" s="97"/>
      <c r="AK334" s="97"/>
      <c r="AL334" s="97"/>
      <c r="AM334" s="97"/>
      <c r="AN334" s="97"/>
      <c r="AO334" s="97"/>
    </row>
    <row r="335" spans="1:41" ht="16.5" customHeight="1" x14ac:dyDescent="0.3">
      <c r="A335" s="69"/>
      <c r="B335" s="69"/>
      <c r="C335" s="69"/>
      <c r="D335" s="69"/>
      <c r="E335" s="69"/>
      <c r="F335" s="69"/>
      <c r="Z335" s="97"/>
      <c r="AA335" s="97"/>
      <c r="AB335" s="97"/>
      <c r="AC335" s="97"/>
      <c r="AD335" s="97"/>
      <c r="AE335" s="97"/>
      <c r="AF335" s="97"/>
      <c r="AG335" s="97"/>
      <c r="AH335" s="97"/>
      <c r="AI335" s="97"/>
      <c r="AJ335" s="97"/>
      <c r="AK335" s="97"/>
      <c r="AL335" s="97"/>
      <c r="AM335" s="97"/>
      <c r="AN335" s="97"/>
      <c r="AO335" s="97"/>
    </row>
    <row r="336" spans="1:41" ht="16.5" customHeight="1" x14ac:dyDescent="0.3">
      <c r="A336" s="69"/>
      <c r="B336" s="69"/>
      <c r="C336" s="69"/>
      <c r="D336" s="69"/>
      <c r="E336" s="69"/>
      <c r="F336" s="69"/>
      <c r="Z336" s="97"/>
      <c r="AA336" s="97"/>
      <c r="AB336" s="97"/>
      <c r="AC336" s="97"/>
      <c r="AD336" s="97"/>
      <c r="AE336" s="97"/>
      <c r="AF336" s="97"/>
      <c r="AG336" s="97"/>
      <c r="AH336" s="97"/>
      <c r="AI336" s="97"/>
      <c r="AJ336" s="97"/>
      <c r="AK336" s="97"/>
      <c r="AL336" s="97"/>
      <c r="AM336" s="97"/>
      <c r="AN336" s="97"/>
      <c r="AO336" s="97"/>
    </row>
    <row r="337" spans="1:41" ht="16.5" customHeight="1" x14ac:dyDescent="0.3">
      <c r="A337" s="69"/>
      <c r="B337" s="69"/>
      <c r="C337" s="69"/>
      <c r="D337" s="69"/>
      <c r="E337" s="69"/>
      <c r="F337" s="69"/>
      <c r="Z337" s="97"/>
      <c r="AA337" s="97"/>
      <c r="AB337" s="97"/>
      <c r="AC337" s="97"/>
      <c r="AD337" s="97"/>
      <c r="AE337" s="97"/>
      <c r="AF337" s="97"/>
      <c r="AG337" s="97"/>
      <c r="AH337" s="97"/>
      <c r="AI337" s="97"/>
      <c r="AJ337" s="97"/>
      <c r="AK337" s="97"/>
      <c r="AL337" s="97"/>
      <c r="AM337" s="97"/>
      <c r="AN337" s="97"/>
      <c r="AO337" s="97"/>
    </row>
    <row r="338" spans="1:41" ht="16.5" customHeight="1" x14ac:dyDescent="0.3">
      <c r="A338" s="69"/>
      <c r="B338" s="69"/>
      <c r="C338" s="69"/>
      <c r="D338" s="69"/>
      <c r="E338" s="69"/>
      <c r="F338" s="69"/>
      <c r="Z338" s="97"/>
      <c r="AA338" s="97"/>
      <c r="AB338" s="97"/>
      <c r="AC338" s="97"/>
      <c r="AD338" s="97"/>
      <c r="AE338" s="97"/>
      <c r="AF338" s="97"/>
      <c r="AG338" s="97"/>
      <c r="AH338" s="97"/>
      <c r="AI338" s="97"/>
      <c r="AJ338" s="97"/>
      <c r="AK338" s="97"/>
      <c r="AL338" s="97"/>
      <c r="AM338" s="97"/>
      <c r="AN338" s="97"/>
      <c r="AO338" s="97"/>
    </row>
    <row r="339" spans="1:41" ht="16.5" customHeight="1" x14ac:dyDescent="0.3">
      <c r="A339" s="69"/>
      <c r="B339" s="69"/>
      <c r="C339" s="69"/>
      <c r="D339" s="69"/>
      <c r="E339" s="69"/>
      <c r="F339" s="69"/>
      <c r="Z339" s="97"/>
      <c r="AA339" s="97"/>
      <c r="AB339" s="97"/>
      <c r="AC339" s="97"/>
      <c r="AD339" s="97"/>
      <c r="AE339" s="97"/>
      <c r="AF339" s="97"/>
      <c r="AG339" s="97"/>
      <c r="AH339" s="97"/>
      <c r="AI339" s="97"/>
      <c r="AJ339" s="97"/>
      <c r="AK339" s="97"/>
      <c r="AL339" s="97"/>
      <c r="AM339" s="97"/>
      <c r="AN339" s="97"/>
      <c r="AO339" s="97"/>
    </row>
    <row r="340" spans="1:41" ht="16.5" customHeight="1" x14ac:dyDescent="0.3">
      <c r="A340" s="69"/>
      <c r="B340" s="69"/>
      <c r="C340" s="69"/>
      <c r="D340" s="69"/>
      <c r="E340" s="69"/>
      <c r="F340" s="69"/>
      <c r="Z340" s="97"/>
      <c r="AA340" s="97"/>
      <c r="AB340" s="97"/>
      <c r="AC340" s="97"/>
      <c r="AD340" s="97"/>
      <c r="AE340" s="97"/>
      <c r="AF340" s="97"/>
      <c r="AG340" s="97"/>
      <c r="AH340" s="97"/>
      <c r="AI340" s="97"/>
      <c r="AJ340" s="97"/>
      <c r="AK340" s="97"/>
      <c r="AL340" s="97"/>
      <c r="AM340" s="97"/>
      <c r="AN340" s="97"/>
      <c r="AO340" s="97"/>
    </row>
    <row r="341" spans="1:41" ht="16.5" customHeight="1" x14ac:dyDescent="0.3">
      <c r="A341" s="69"/>
      <c r="B341" s="69"/>
      <c r="C341" s="69"/>
      <c r="D341" s="69"/>
      <c r="E341" s="69"/>
      <c r="F341" s="69"/>
      <c r="Z341" s="97"/>
      <c r="AA341" s="97"/>
      <c r="AB341" s="97"/>
      <c r="AC341" s="97"/>
      <c r="AD341" s="97"/>
      <c r="AE341" s="97"/>
      <c r="AF341" s="97"/>
      <c r="AG341" s="97"/>
      <c r="AH341" s="97"/>
      <c r="AI341" s="97"/>
      <c r="AJ341" s="97"/>
      <c r="AK341" s="97"/>
      <c r="AL341" s="97"/>
      <c r="AM341" s="97"/>
      <c r="AN341" s="97"/>
      <c r="AO341" s="97"/>
    </row>
    <row r="342" spans="1:41" ht="16.5" customHeight="1" x14ac:dyDescent="0.3">
      <c r="A342" s="69"/>
      <c r="B342" s="69"/>
      <c r="C342" s="69"/>
      <c r="D342" s="69"/>
      <c r="E342" s="69"/>
      <c r="F342" s="69"/>
      <c r="Z342" s="97"/>
      <c r="AA342" s="97"/>
      <c r="AB342" s="97"/>
      <c r="AC342" s="97"/>
      <c r="AD342" s="97"/>
      <c r="AE342" s="97"/>
      <c r="AF342" s="97"/>
      <c r="AG342" s="97"/>
      <c r="AH342" s="97"/>
      <c r="AI342" s="97"/>
      <c r="AJ342" s="97"/>
      <c r="AK342" s="97"/>
      <c r="AL342" s="97"/>
      <c r="AM342" s="97"/>
      <c r="AN342" s="97"/>
      <c r="AO342" s="97"/>
    </row>
    <row r="343" spans="1:41" ht="16.5" customHeight="1" x14ac:dyDescent="0.3">
      <c r="A343" s="69"/>
      <c r="B343" s="69"/>
      <c r="C343" s="69"/>
      <c r="D343" s="69"/>
      <c r="E343" s="69"/>
      <c r="F343" s="69"/>
      <c r="Z343" s="97"/>
      <c r="AA343" s="97"/>
      <c r="AB343" s="97"/>
      <c r="AC343" s="97"/>
      <c r="AD343" s="97"/>
      <c r="AE343" s="97"/>
      <c r="AF343" s="97"/>
      <c r="AG343" s="97"/>
      <c r="AH343" s="97"/>
      <c r="AI343" s="97"/>
      <c r="AJ343" s="97"/>
      <c r="AK343" s="97"/>
      <c r="AL343" s="97"/>
      <c r="AM343" s="97"/>
      <c r="AN343" s="97"/>
      <c r="AO343" s="97"/>
    </row>
    <row r="344" spans="1:41" ht="16.5" customHeight="1" x14ac:dyDescent="0.3">
      <c r="A344" s="69"/>
      <c r="B344" s="69"/>
      <c r="C344" s="69"/>
      <c r="D344" s="69"/>
      <c r="E344" s="69"/>
      <c r="F344" s="69"/>
      <c r="Z344" s="97"/>
      <c r="AA344" s="97"/>
      <c r="AB344" s="97"/>
      <c r="AC344" s="97"/>
      <c r="AD344" s="97"/>
      <c r="AE344" s="97"/>
      <c r="AF344" s="97"/>
      <c r="AG344" s="97"/>
      <c r="AH344" s="97"/>
      <c r="AI344" s="97"/>
      <c r="AJ344" s="97"/>
      <c r="AK344" s="97"/>
      <c r="AL344" s="97"/>
      <c r="AM344" s="97"/>
      <c r="AN344" s="97"/>
      <c r="AO344" s="97"/>
    </row>
    <row r="345" spans="1:41" ht="16.5" customHeight="1" x14ac:dyDescent="0.3">
      <c r="A345" s="69"/>
      <c r="B345" s="69"/>
      <c r="C345" s="69"/>
      <c r="D345" s="69"/>
      <c r="E345" s="69"/>
      <c r="F345" s="69"/>
      <c r="Z345" s="97"/>
      <c r="AA345" s="97"/>
      <c r="AB345" s="97"/>
      <c r="AC345" s="97"/>
      <c r="AD345" s="97"/>
      <c r="AE345" s="97"/>
      <c r="AF345" s="97"/>
      <c r="AG345" s="97"/>
      <c r="AH345" s="97"/>
      <c r="AI345" s="97"/>
      <c r="AJ345" s="97"/>
      <c r="AK345" s="97"/>
      <c r="AL345" s="97"/>
      <c r="AM345" s="97"/>
      <c r="AN345" s="97"/>
      <c r="AO345" s="97"/>
    </row>
    <row r="346" spans="1:41" ht="16.5" customHeight="1" x14ac:dyDescent="0.3">
      <c r="A346" s="69"/>
      <c r="B346" s="69"/>
      <c r="C346" s="69"/>
      <c r="D346" s="69"/>
      <c r="E346" s="69"/>
      <c r="F346" s="69"/>
      <c r="Z346" s="97"/>
      <c r="AA346" s="97"/>
      <c r="AB346" s="97"/>
      <c r="AC346" s="97"/>
      <c r="AD346" s="97"/>
      <c r="AE346" s="97"/>
      <c r="AF346" s="97"/>
      <c r="AG346" s="97"/>
      <c r="AH346" s="97"/>
      <c r="AI346" s="97"/>
      <c r="AJ346" s="97"/>
      <c r="AK346" s="97"/>
      <c r="AL346" s="97"/>
      <c r="AM346" s="97"/>
      <c r="AN346" s="97"/>
      <c r="AO346" s="97"/>
    </row>
    <row r="347" spans="1:41" ht="16.5" customHeight="1" x14ac:dyDescent="0.3">
      <c r="A347" s="69"/>
      <c r="B347" s="69"/>
      <c r="C347" s="69"/>
      <c r="D347" s="69"/>
      <c r="E347" s="69"/>
      <c r="F347" s="69"/>
      <c r="Z347" s="97"/>
      <c r="AA347" s="97"/>
      <c r="AB347" s="97"/>
      <c r="AC347" s="97"/>
      <c r="AD347" s="97"/>
      <c r="AE347" s="97"/>
      <c r="AF347" s="97"/>
      <c r="AG347" s="97"/>
      <c r="AH347" s="97"/>
      <c r="AI347" s="97"/>
      <c r="AJ347" s="97"/>
      <c r="AK347" s="97"/>
      <c r="AL347" s="97"/>
      <c r="AM347" s="97"/>
      <c r="AN347" s="97"/>
      <c r="AO347" s="97"/>
    </row>
    <row r="348" spans="1:41" ht="16.5" customHeight="1" x14ac:dyDescent="0.3">
      <c r="A348" s="69"/>
      <c r="B348" s="69"/>
      <c r="C348" s="69"/>
      <c r="D348" s="69"/>
      <c r="E348" s="69"/>
      <c r="F348" s="69"/>
      <c r="Z348" s="97"/>
      <c r="AA348" s="97"/>
      <c r="AB348" s="97"/>
      <c r="AC348" s="97"/>
      <c r="AD348" s="97"/>
      <c r="AE348" s="97"/>
      <c r="AF348" s="97"/>
      <c r="AG348" s="97"/>
      <c r="AH348" s="97"/>
      <c r="AI348" s="97"/>
      <c r="AJ348" s="97"/>
      <c r="AK348" s="97"/>
      <c r="AL348" s="97"/>
      <c r="AM348" s="97"/>
      <c r="AN348" s="97"/>
      <c r="AO348" s="97"/>
    </row>
    <row r="349" spans="1:41" ht="16.5" customHeight="1" x14ac:dyDescent="0.3">
      <c r="A349" s="69"/>
      <c r="B349" s="69"/>
      <c r="C349" s="69"/>
      <c r="D349" s="69"/>
      <c r="E349" s="69"/>
      <c r="F349" s="69"/>
      <c r="Z349" s="97"/>
      <c r="AA349" s="97"/>
      <c r="AB349" s="97"/>
      <c r="AC349" s="97"/>
      <c r="AD349" s="97"/>
      <c r="AE349" s="97"/>
      <c r="AF349" s="97"/>
      <c r="AG349" s="97"/>
      <c r="AH349" s="97"/>
      <c r="AI349" s="97"/>
      <c r="AJ349" s="97"/>
      <c r="AK349" s="97"/>
      <c r="AL349" s="97"/>
      <c r="AM349" s="97"/>
      <c r="AN349" s="97"/>
      <c r="AO349" s="97"/>
    </row>
    <row r="350" spans="1:41" ht="16.5" customHeight="1" x14ac:dyDescent="0.3">
      <c r="A350" s="69"/>
      <c r="B350" s="69"/>
      <c r="C350" s="69"/>
      <c r="D350" s="69"/>
      <c r="E350" s="69"/>
      <c r="F350" s="69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O350" s="97"/>
    </row>
    <row r="351" spans="1:41" ht="16.5" customHeight="1" x14ac:dyDescent="0.3">
      <c r="A351" s="69"/>
      <c r="B351" s="69"/>
      <c r="C351" s="69"/>
      <c r="D351" s="69"/>
      <c r="E351" s="69"/>
      <c r="F351" s="69"/>
      <c r="Z351" s="97"/>
      <c r="AA351" s="97"/>
      <c r="AB351" s="97"/>
      <c r="AC351" s="97"/>
      <c r="AD351" s="97"/>
      <c r="AE351" s="97"/>
      <c r="AF351" s="97"/>
      <c r="AG351" s="97"/>
      <c r="AH351" s="97"/>
      <c r="AI351" s="97"/>
      <c r="AJ351" s="97"/>
      <c r="AK351" s="97"/>
      <c r="AL351" s="97"/>
      <c r="AM351" s="97"/>
      <c r="AN351" s="97"/>
      <c r="AO351" s="97"/>
    </row>
    <row r="352" spans="1:41" ht="16.5" customHeight="1" x14ac:dyDescent="0.3">
      <c r="A352" s="69"/>
      <c r="B352" s="69"/>
      <c r="C352" s="69"/>
      <c r="D352" s="69"/>
      <c r="E352" s="69"/>
      <c r="F352" s="69"/>
      <c r="Z352" s="97"/>
      <c r="AA352" s="97"/>
      <c r="AB352" s="97"/>
      <c r="AC352" s="97"/>
      <c r="AD352" s="97"/>
      <c r="AE352" s="97"/>
      <c r="AF352" s="97"/>
      <c r="AG352" s="97"/>
      <c r="AH352" s="97"/>
      <c r="AI352" s="97"/>
      <c r="AJ352" s="97"/>
      <c r="AK352" s="97"/>
      <c r="AL352" s="97"/>
      <c r="AM352" s="97"/>
      <c r="AN352" s="97"/>
      <c r="AO352" s="97"/>
    </row>
    <row r="353" spans="1:41" ht="16.5" customHeight="1" x14ac:dyDescent="0.3">
      <c r="A353" s="74"/>
      <c r="B353" s="74"/>
      <c r="C353" s="74"/>
      <c r="D353" s="74"/>
      <c r="E353" s="74"/>
      <c r="F353" s="74"/>
      <c r="Z353" s="97"/>
      <c r="AA353" s="97"/>
      <c r="AB353" s="97"/>
      <c r="AC353" s="97"/>
      <c r="AD353" s="97"/>
      <c r="AE353" s="97"/>
      <c r="AF353" s="97"/>
      <c r="AG353" s="97"/>
      <c r="AH353" s="97"/>
      <c r="AI353" s="97"/>
      <c r="AJ353" s="97"/>
      <c r="AK353" s="97"/>
      <c r="AL353" s="97"/>
      <c r="AM353" s="97"/>
      <c r="AN353" s="97"/>
      <c r="AO353" s="97"/>
    </row>
    <row r="354" spans="1:41" ht="16.5" customHeight="1" x14ac:dyDescent="0.3">
      <c r="A354" s="145" t="s">
        <v>8953</v>
      </c>
      <c r="B354" s="138"/>
      <c r="C354" s="48">
        <f>E354+D354+F354</f>
        <v>70125</v>
      </c>
      <c r="D354" s="47">
        <f>ROUNDDOWN(SUMIF(N307:N325,M354,D307:D325),0)</f>
        <v>68750</v>
      </c>
      <c r="E354" s="56">
        <f>ROUNDDOWN(SUMIF(N307:N325,M354,E307:E325),0)</f>
        <v>0</v>
      </c>
      <c r="F354" s="48">
        <f>ROUNDDOWN(SUMIF(N307:N325,M354,F307:F325),0)</f>
        <v>1375</v>
      </c>
      <c r="M354" s="35" t="s">
        <v>6406</v>
      </c>
      <c r="Z354" s="97"/>
      <c r="AA354" s="97"/>
      <c r="AB354" s="97"/>
      <c r="AC354" s="97"/>
      <c r="AD354" s="97"/>
      <c r="AE354" s="97"/>
      <c r="AF354" s="97"/>
      <c r="AG354" s="97"/>
      <c r="AH354" s="97"/>
      <c r="AI354" s="97"/>
      <c r="AJ354" s="97"/>
      <c r="AK354" s="97"/>
      <c r="AL354" s="97"/>
      <c r="AM354" s="97"/>
      <c r="AN354" s="97"/>
      <c r="AO354" s="97"/>
    </row>
    <row r="355" spans="1:41" ht="16.5" customHeight="1" x14ac:dyDescent="0.3">
      <c r="A355" s="86" t="s">
        <v>28</v>
      </c>
      <c r="B355" s="88" t="s">
        <v>28</v>
      </c>
      <c r="C355" s="146">
        <f>C404</f>
        <v>97209</v>
      </c>
      <c r="D355" s="146">
        <f>D404</f>
        <v>95303</v>
      </c>
      <c r="E355" s="146">
        <f>E404</f>
        <v>0</v>
      </c>
      <c r="F355" s="146">
        <f>F404</f>
        <v>1906</v>
      </c>
      <c r="G355" s="84" t="str">
        <f>HYPERLINK("#G"&amp;ROW(G375),"_x0005_`BDCOD|D01585_x0007_`POSS|"&amp;ROW(G357)&amp;"_x0007_`POSE|"&amp;ROW(G375)&amp;"_x0007_`")</f>
        <v>_x0005_`BDCOD|D01585_x0007_`POSS|357_x0007_`POSE|375_x0007_`</v>
      </c>
      <c r="Z355" s="97"/>
      <c r="AA355" s="97"/>
      <c r="AB355" s="97"/>
      <c r="AC355" s="97"/>
      <c r="AD355" s="97"/>
      <c r="AE355" s="97"/>
      <c r="AF355" s="97"/>
      <c r="AG355" s="97"/>
      <c r="AH355" s="97"/>
      <c r="AI355" s="97"/>
      <c r="AJ355" s="97"/>
      <c r="AK355" s="97"/>
      <c r="AL355" s="97"/>
      <c r="AM355" s="97"/>
      <c r="AN355" s="97"/>
      <c r="AO355" s="97"/>
    </row>
    <row r="356" spans="1:41" ht="16.5" customHeight="1" x14ac:dyDescent="0.3">
      <c r="A356" s="87"/>
      <c r="B356" s="88" t="s">
        <v>1994</v>
      </c>
      <c r="C356" s="127"/>
      <c r="D356" s="127"/>
      <c r="E356" s="127"/>
      <c r="F356" s="127"/>
      <c r="M356" s="35" t="s">
        <v>8976</v>
      </c>
      <c r="Z356" s="97"/>
      <c r="AA356" s="97"/>
      <c r="AB356" s="97"/>
      <c r="AC356" s="97"/>
      <c r="AD356" s="97"/>
      <c r="AE356" s="97"/>
      <c r="AF356" s="97"/>
      <c r="AG356" s="97"/>
      <c r="AH356" s="97"/>
      <c r="AI356" s="97"/>
      <c r="AJ356" s="97"/>
      <c r="AK356" s="97"/>
      <c r="AL356" s="97"/>
      <c r="AM356" s="97"/>
      <c r="AN356" s="97"/>
      <c r="AO356" s="97"/>
    </row>
    <row r="357" spans="1:41" ht="16.5" customHeight="1" x14ac:dyDescent="0.3">
      <c r="A357" s="69"/>
      <c r="B357" s="69"/>
      <c r="C357" s="90"/>
      <c r="D357" s="90"/>
      <c r="E357" s="90"/>
      <c r="F357" s="90"/>
      <c r="G357" s="17" t="s">
        <v>8885</v>
      </c>
      <c r="Z357" s="97"/>
      <c r="AA357" s="97"/>
      <c r="AB357" s="97"/>
      <c r="AC357" s="97"/>
      <c r="AD357" s="97"/>
      <c r="AE357" s="97"/>
      <c r="AF357" s="97"/>
      <c r="AG357" s="97"/>
      <c r="AH357" s="97"/>
      <c r="AI357" s="97"/>
      <c r="AJ357" s="97"/>
      <c r="AK357" s="97"/>
      <c r="AL357" s="97"/>
      <c r="AM357" s="97"/>
      <c r="AN357" s="97"/>
      <c r="AO357" s="97"/>
    </row>
    <row r="358" spans="1:41" ht="16.5" customHeight="1" x14ac:dyDescent="0.3">
      <c r="A358" s="59"/>
      <c r="B358" s="68" t="s">
        <v>8956</v>
      </c>
      <c r="C358" s="69"/>
      <c r="D358" s="69"/>
      <c r="E358" s="69"/>
      <c r="F358" s="69"/>
      <c r="G358" s="17" t="s">
        <v>8955</v>
      </c>
      <c r="Z358" s="97"/>
      <c r="AA358" s="97"/>
      <c r="AB358" s="97"/>
      <c r="AC358" s="97"/>
      <c r="AD358" s="97"/>
      <c r="AE358" s="97"/>
      <c r="AF358" s="97"/>
      <c r="AG358" s="97"/>
      <c r="AH358" s="97"/>
      <c r="AI358" s="97"/>
      <c r="AJ358" s="97"/>
      <c r="AK358" s="97"/>
      <c r="AL358" s="97"/>
      <c r="AM358" s="97"/>
      <c r="AN358" s="97"/>
      <c r="AO358" s="97"/>
    </row>
    <row r="359" spans="1:41" ht="16.5" customHeight="1" x14ac:dyDescent="0.3">
      <c r="A359" s="69"/>
      <c r="B359" s="69"/>
      <c r="C359" s="69"/>
      <c r="D359" s="69"/>
      <c r="E359" s="69"/>
      <c r="F359" s="69"/>
      <c r="G359" s="17" t="s">
        <v>8885</v>
      </c>
      <c r="Z359" s="97"/>
      <c r="AA359" s="97"/>
      <c r="AB359" s="97"/>
      <c r="AC359" s="97"/>
      <c r="AD359" s="97"/>
      <c r="AE359" s="97"/>
      <c r="AF359" s="97"/>
      <c r="AG359" s="97"/>
      <c r="AH359" s="97"/>
      <c r="AI359" s="97"/>
      <c r="AJ359" s="97"/>
      <c r="AK359" s="97"/>
      <c r="AL359" s="97"/>
      <c r="AM359" s="97"/>
      <c r="AN359" s="97"/>
      <c r="AO359" s="97"/>
    </row>
    <row r="360" spans="1:41" ht="16.5" customHeight="1" x14ac:dyDescent="0.3">
      <c r="A360" s="59"/>
      <c r="B360" s="68" t="s">
        <v>8958</v>
      </c>
      <c r="C360" s="69"/>
      <c r="D360" s="69"/>
      <c r="E360" s="69"/>
      <c r="F360" s="69"/>
      <c r="G360" s="17" t="s">
        <v>8957</v>
      </c>
      <c r="Z360" s="97"/>
      <c r="AA360" s="97"/>
      <c r="AB360" s="97"/>
      <c r="AC360" s="97"/>
      <c r="AD360" s="97"/>
      <c r="AE360" s="97"/>
      <c r="AF360" s="97"/>
      <c r="AG360" s="97"/>
      <c r="AH360" s="97"/>
      <c r="AI360" s="97"/>
      <c r="AJ360" s="97"/>
      <c r="AK360" s="97"/>
      <c r="AL360" s="97"/>
      <c r="AM360" s="97"/>
      <c r="AN360" s="97"/>
      <c r="AO360" s="97"/>
    </row>
    <row r="361" spans="1:41" ht="16.5" customHeight="1" x14ac:dyDescent="0.3">
      <c r="A361" s="69"/>
      <c r="B361" s="69"/>
      <c r="C361" s="69"/>
      <c r="D361" s="69"/>
      <c r="E361" s="69"/>
      <c r="F361" s="69"/>
      <c r="G361" s="17" t="s">
        <v>8885</v>
      </c>
      <c r="Z361" s="97"/>
      <c r="AA361" s="97"/>
      <c r="AB361" s="97"/>
      <c r="AC361" s="97"/>
      <c r="AD361" s="97"/>
      <c r="AE361" s="97"/>
      <c r="AF361" s="97"/>
      <c r="AG361" s="97"/>
      <c r="AH361" s="97"/>
      <c r="AI361" s="97"/>
      <c r="AJ361" s="97"/>
      <c r="AK361" s="97"/>
      <c r="AL361" s="97"/>
      <c r="AM361" s="97"/>
      <c r="AN361" s="97"/>
      <c r="AO361" s="97"/>
    </row>
    <row r="362" spans="1:41" ht="16.5" customHeight="1" x14ac:dyDescent="0.3">
      <c r="A362" s="59"/>
      <c r="B362" s="68" t="s">
        <v>8960</v>
      </c>
      <c r="C362" s="69"/>
      <c r="D362" s="69"/>
      <c r="E362" s="69"/>
      <c r="F362" s="69"/>
      <c r="G362" s="17" t="s">
        <v>8959</v>
      </c>
      <c r="Z362" s="97"/>
      <c r="AA362" s="97"/>
      <c r="AB362" s="97"/>
      <c r="AC362" s="97"/>
      <c r="AD362" s="97"/>
      <c r="AE362" s="97"/>
      <c r="AF362" s="97"/>
      <c r="AG362" s="97"/>
      <c r="AH362" s="97"/>
      <c r="AI362" s="97"/>
      <c r="AJ362" s="97"/>
      <c r="AK362" s="97"/>
      <c r="AL362" s="97"/>
      <c r="AM362" s="97"/>
      <c r="AN362" s="97"/>
      <c r="AO362" s="97"/>
    </row>
    <row r="363" spans="1:41" ht="16.5" customHeight="1" x14ac:dyDescent="0.3">
      <c r="A363" s="69"/>
      <c r="B363" s="69"/>
      <c r="C363" s="69"/>
      <c r="D363" s="69"/>
      <c r="E363" s="69"/>
      <c r="F363" s="69"/>
      <c r="G363" s="17" t="s">
        <v>8885</v>
      </c>
      <c r="Z363" s="97"/>
      <c r="AA363" s="97"/>
      <c r="AB363" s="97"/>
      <c r="AC363" s="97"/>
      <c r="AD363" s="97"/>
      <c r="AE363" s="97"/>
      <c r="AF363" s="97"/>
      <c r="AG363" s="97"/>
      <c r="AH363" s="97"/>
      <c r="AI363" s="97"/>
      <c r="AJ363" s="97"/>
      <c r="AK363" s="97"/>
      <c r="AL363" s="97"/>
      <c r="AM363" s="97"/>
      <c r="AN363" s="97"/>
      <c r="AO363" s="97"/>
    </row>
    <row r="364" spans="1:41" ht="16.5" customHeight="1" x14ac:dyDescent="0.3">
      <c r="A364" s="59"/>
      <c r="B364" s="68" t="str">
        <f>"    개소당 시공량  Q = "&amp;Z364&amp;" m/일  * "&amp;AB364&amp;" %  = "&amp;AD364&amp;""</f>
        <v xml:space="preserve">    개소당 시공량  Q = 11 m/일  * 1.11 %  = 12.210</v>
      </c>
      <c r="C364" s="69"/>
      <c r="D364" s="69"/>
      <c r="E364" s="69"/>
      <c r="F364" s="69"/>
      <c r="G364" s="17" t="s">
        <v>8977</v>
      </c>
      <c r="Z364" s="99">
        <v>11</v>
      </c>
      <c r="AA364" s="35" t="s">
        <v>8896</v>
      </c>
      <c r="AB364" s="98">
        <v>1.1100000000000001</v>
      </c>
      <c r="AC364" s="35" t="s">
        <v>8892</v>
      </c>
      <c r="AD364" s="100" t="str">
        <f>TEXT(ROUND(Z364*AB364,3),"#,0.000")</f>
        <v>12.210</v>
      </c>
      <c r="AE364" s="97"/>
      <c r="AF364" s="97"/>
      <c r="AG364" s="97"/>
      <c r="AH364" s="97"/>
      <c r="AI364" s="97"/>
      <c r="AJ364" s="97"/>
      <c r="AK364" s="97"/>
      <c r="AL364" s="97"/>
      <c r="AM364" s="97"/>
      <c r="AN364" s="97"/>
      <c r="AO364" s="97"/>
    </row>
    <row r="365" spans="1:41" ht="16.5" customHeight="1" x14ac:dyDescent="0.3">
      <c r="A365" s="59"/>
      <c r="B365" s="68" t="str">
        <f>"    시간당 시공량:  Q1 = Q / "&amp;AB365&amp;" = "&amp;AD365&amp;"    m/Hr "</f>
        <v xml:space="preserve">    시간당 시공량:  Q1 = Q / 8 = 1.526    m/Hr </v>
      </c>
      <c r="C365" s="69"/>
      <c r="D365" s="69"/>
      <c r="E365" s="69"/>
      <c r="F365" s="69"/>
      <c r="G365" s="17" t="s">
        <v>8962</v>
      </c>
      <c r="Z365" s="100" t="str">
        <f>AD364</f>
        <v>12.210</v>
      </c>
      <c r="AA365" s="35" t="s">
        <v>8905</v>
      </c>
      <c r="AB365" s="99">
        <v>8</v>
      </c>
      <c r="AC365" s="35" t="s">
        <v>8892</v>
      </c>
      <c r="AD365" s="100" t="str">
        <f>TEXT(ROUND(AD364/AB365,3),"#,0.000")</f>
        <v>1.526</v>
      </c>
      <c r="AE365" s="97"/>
      <c r="AF365" s="97"/>
      <c r="AG365" s="97"/>
      <c r="AH365" s="97"/>
      <c r="AI365" s="97"/>
      <c r="AJ365" s="97"/>
      <c r="AK365" s="97"/>
      <c r="AL365" s="97"/>
      <c r="AM365" s="97"/>
      <c r="AN365" s="97"/>
      <c r="AO365" s="97"/>
    </row>
    <row r="366" spans="1:41" ht="16.5" customHeight="1" x14ac:dyDescent="0.3">
      <c r="A366" s="69"/>
      <c r="B366" s="69"/>
      <c r="C366" s="69"/>
      <c r="D366" s="69"/>
      <c r="E366" s="69"/>
      <c r="F366" s="69"/>
      <c r="G366" s="17" t="s">
        <v>8885</v>
      </c>
      <c r="Z366" s="97"/>
      <c r="AA366" s="97"/>
      <c r="AB366" s="97"/>
      <c r="AC366" s="97"/>
      <c r="AD366" s="97"/>
      <c r="AE366" s="97"/>
      <c r="AF366" s="97"/>
      <c r="AG366" s="97"/>
      <c r="AH366" s="97"/>
      <c r="AI366" s="97"/>
      <c r="AJ366" s="97"/>
      <c r="AK366" s="97"/>
      <c r="AL366" s="97"/>
      <c r="AM366" s="97"/>
      <c r="AN366" s="97"/>
      <c r="AO366" s="97"/>
    </row>
    <row r="367" spans="1:41" ht="16.5" customHeight="1" x14ac:dyDescent="0.3">
      <c r="A367" s="59"/>
      <c r="B367" s="68" t="s">
        <v>8964</v>
      </c>
      <c r="C367" s="69"/>
      <c r="D367" s="69"/>
      <c r="E367" s="69"/>
      <c r="F367" s="69"/>
      <c r="G367" s="17" t="s">
        <v>8963</v>
      </c>
      <c r="Z367" s="97"/>
      <c r="AA367" s="97"/>
      <c r="AB367" s="97"/>
      <c r="AC367" s="97"/>
      <c r="AD367" s="97"/>
      <c r="AE367" s="97"/>
      <c r="AF367" s="97"/>
      <c r="AG367" s="97"/>
      <c r="AH367" s="97"/>
      <c r="AI367" s="97"/>
      <c r="AJ367" s="97"/>
      <c r="AK367" s="97"/>
      <c r="AL367" s="97"/>
      <c r="AM367" s="97"/>
      <c r="AN367" s="97"/>
      <c r="AO367" s="97"/>
    </row>
    <row r="368" spans="1:41" ht="16.5" customHeight="1" x14ac:dyDescent="0.3">
      <c r="A368" s="69"/>
      <c r="B368" s="69"/>
      <c r="C368" s="69"/>
      <c r="D368" s="69"/>
      <c r="E368" s="69"/>
      <c r="F368" s="69"/>
      <c r="G368" s="17" t="s">
        <v>8885</v>
      </c>
      <c r="Z368" s="97"/>
      <c r="AA368" s="97"/>
      <c r="AB368" s="97"/>
      <c r="AC368" s="97"/>
      <c r="AD368" s="97"/>
      <c r="AE368" s="97"/>
      <c r="AF368" s="97"/>
      <c r="AG368" s="97"/>
      <c r="AH368" s="97"/>
      <c r="AI368" s="97"/>
      <c r="AJ368" s="97"/>
      <c r="AK368" s="97"/>
      <c r="AL368" s="97"/>
      <c r="AM368" s="97"/>
      <c r="AN368" s="97"/>
      <c r="AO368" s="97"/>
    </row>
    <row r="369" spans="1:41" ht="16.5" customHeight="1" x14ac:dyDescent="0.3">
      <c r="A369" s="59" t="s">
        <v>8966</v>
      </c>
      <c r="B369" s="89" t="str">
        <f>"     배 관 공 : "&amp;TEXT(I369,"#,##0"&amp;IF(I369&lt;&gt;INT(I369),".###",""))&amp;" * "&amp;AA369&amp;" 인 / Q 인 = "&amp;TEXT(C369,"#,##0.0")&amp;""</f>
        <v xml:space="preserve">     배 관 공 : 247,897 * 4 인 / Q 인 = 81,211.1</v>
      </c>
      <c r="C369" s="91">
        <f>E369+D369+F369</f>
        <v>81211.100000000006</v>
      </c>
      <c r="D369" s="91">
        <f>IF(H369=0,0,ROUNDDOWN(J369*H369,1))</f>
        <v>81211.100000000006</v>
      </c>
      <c r="E369" s="91">
        <f>IF(H369=0,0,ROUNDDOWN(K369*H369,1))</f>
        <v>0</v>
      </c>
      <c r="F369" s="91">
        <f>IF(H369=0,0,ROUNDDOWN(L369*H369,1))</f>
        <v>0</v>
      </c>
      <c r="G369" s="17" t="s">
        <v>8978</v>
      </c>
      <c r="H369" s="94">
        <f>ROUNDUP(AE369,14-LEN(ABS(INT(AE369))))</f>
        <v>0.32760032760039998</v>
      </c>
      <c r="I369" s="95">
        <f>K369+J369+L369</f>
        <v>247897</v>
      </c>
      <c r="J369" s="39">
        <f>노무비목록표!E10</f>
        <v>247897</v>
      </c>
      <c r="M369" s="35" t="s">
        <v>8366</v>
      </c>
      <c r="N369" s="35" t="s">
        <v>8915</v>
      </c>
      <c r="O369" s="35" t="s">
        <v>7061</v>
      </c>
      <c r="X369" s="96" t="str">
        <f>노무비목록표!B10&amp;" / "&amp;노무비목록표!C10</f>
        <v xml:space="preserve">배관공 / </v>
      </c>
      <c r="Y369" s="3" t="str">
        <f ca="1">HYPERLINK("#"&amp;노무비목록표!G2&amp;"!A"&amp;ROW(노무비목록표!A10),"노무7 →")</f>
        <v>노무7 →</v>
      </c>
      <c r="Z369" s="35" t="s">
        <v>8947</v>
      </c>
      <c r="AA369" s="99">
        <v>4</v>
      </c>
      <c r="AB369" s="35" t="s">
        <v>8905</v>
      </c>
      <c r="AC369" s="100" t="str">
        <f>AD364</f>
        <v>12.210</v>
      </c>
      <c r="AD369" s="35" t="s">
        <v>8892</v>
      </c>
      <c r="AE369" s="100">
        <f>1*AA369/AD364</f>
        <v>0.32760032760032759</v>
      </c>
      <c r="AF369" s="97"/>
      <c r="AG369" s="97"/>
      <c r="AH369" s="97"/>
      <c r="AI369" s="97"/>
      <c r="AJ369" s="97"/>
      <c r="AK369" s="97"/>
      <c r="AL369" s="97"/>
      <c r="AM369" s="97"/>
      <c r="AN369" s="97"/>
      <c r="AO369" s="97"/>
    </row>
    <row r="370" spans="1:41" ht="16.5" customHeight="1" x14ac:dyDescent="0.3">
      <c r="A370" s="59" t="s">
        <v>8949</v>
      </c>
      <c r="B370" s="89" t="str">
        <f>"     보통인부 : "&amp;TEXT(I370,"#,##0"&amp;IF(I370&lt;&gt;INT(I370),".###",""))&amp;" * "&amp;AA370&amp;" 인 / Q 인 = "&amp;TEXT(C370,"#,##0.0")&amp;""</f>
        <v xml:space="preserve">     보통인부 : 172,068 * 1 인 / Q 인 = 14,092.3</v>
      </c>
      <c r="C370" s="91">
        <f>E370+D370+F370</f>
        <v>14092.3</v>
      </c>
      <c r="D370" s="91">
        <f>IF(H370=0,0,ROUNDDOWN(J370*H370,1))</f>
        <v>14092.3</v>
      </c>
      <c r="E370" s="91">
        <f>IF(H370=0,0,ROUNDDOWN(K370*H370,1))</f>
        <v>0</v>
      </c>
      <c r="F370" s="91">
        <f>IF(H370=0,0,ROUNDDOWN(L370*H370,1))</f>
        <v>0</v>
      </c>
      <c r="G370" s="17" t="s">
        <v>8967</v>
      </c>
      <c r="H370" s="94">
        <f>ROUNDUP(AE370,14-LEN(ABS(INT(AE370))))</f>
        <v>8.1900081900100008E-2</v>
      </c>
      <c r="I370" s="95">
        <f>K370+J370+L370</f>
        <v>172068</v>
      </c>
      <c r="J370" s="39">
        <f>노무비목록표!E12</f>
        <v>172068</v>
      </c>
      <c r="M370" s="35" t="s">
        <v>8261</v>
      </c>
      <c r="N370" s="35" t="s">
        <v>8915</v>
      </c>
      <c r="O370" s="35" t="s">
        <v>7061</v>
      </c>
      <c r="X370" s="96" t="str">
        <f>노무비목록표!B12&amp;" / "&amp;노무비목록표!C12</f>
        <v xml:space="preserve">보통인부 / </v>
      </c>
      <c r="Y370" s="3" t="str">
        <f ca="1">HYPERLINK("#"&amp;노무비목록표!G2&amp;"!A"&amp;ROW(노무비목록표!A12),"노무9 →")</f>
        <v>노무9 →</v>
      </c>
      <c r="Z370" s="35" t="s">
        <v>8947</v>
      </c>
      <c r="AA370" s="99">
        <v>1</v>
      </c>
      <c r="AB370" s="35" t="s">
        <v>8905</v>
      </c>
      <c r="AC370" s="100" t="str">
        <f>AD364</f>
        <v>12.210</v>
      </c>
      <c r="AD370" s="35" t="s">
        <v>8892</v>
      </c>
      <c r="AE370" s="100">
        <f>1*AA370/AD364</f>
        <v>8.1900081900081897E-2</v>
      </c>
      <c r="AF370" s="97"/>
      <c r="AG370" s="97"/>
      <c r="AH370" s="97"/>
      <c r="AI370" s="97"/>
      <c r="AJ370" s="97"/>
      <c r="AK370" s="97"/>
      <c r="AL370" s="97"/>
      <c r="AM370" s="97"/>
      <c r="AN370" s="97"/>
      <c r="AO370" s="97"/>
    </row>
    <row r="371" spans="1:41" ht="16.5" customHeight="1" x14ac:dyDescent="0.3">
      <c r="A371" s="69"/>
      <c r="B371" s="69"/>
      <c r="C371" s="69"/>
      <c r="D371" s="69"/>
      <c r="E371" s="69"/>
      <c r="F371" s="69"/>
      <c r="G371" s="17" t="s">
        <v>8885</v>
      </c>
      <c r="Z371" s="97"/>
      <c r="AA371" s="97"/>
      <c r="AB371" s="97"/>
      <c r="AC371" s="97"/>
      <c r="AD371" s="97"/>
      <c r="AE371" s="97"/>
      <c r="AF371" s="97"/>
      <c r="AG371" s="97"/>
      <c r="AH371" s="97"/>
      <c r="AI371" s="97"/>
      <c r="AJ371" s="97"/>
      <c r="AK371" s="97"/>
      <c r="AL371" s="97"/>
      <c r="AM371" s="97"/>
      <c r="AN371" s="97"/>
      <c r="AO371" s="97"/>
    </row>
    <row r="372" spans="1:41" ht="16.5" customHeight="1" x14ac:dyDescent="0.3">
      <c r="A372" s="59"/>
      <c r="B372" s="89" t="str">
        <f>"    공구손료 및 경장비(절단기, 고소작업대 등) : "&amp;TEXT(I372,"#,##0.0")&amp;" * "&amp;AA372&amp;" %  = "&amp;TEXT(C372,"#,##0.0")&amp;""</f>
        <v xml:space="preserve">    공구손료 및 경장비(절단기, 고소작업대 등) : 95,303.4 * 2 %  = 1,906.0</v>
      </c>
      <c r="C372" s="91">
        <f>E372+D372+F372</f>
        <v>1906</v>
      </c>
      <c r="D372" s="91">
        <f>IF(H372=0,0,ROUNDDOWN(J372*H372/100,1))</f>
        <v>0</v>
      </c>
      <c r="E372" s="91">
        <f>IF(H372=0,0,ROUNDDOWN(K372*H372/100,1))</f>
        <v>0</v>
      </c>
      <c r="F372" s="91">
        <f>IF(H372=0,0,ROUNDDOWN(L372*H372/100,1))</f>
        <v>1906</v>
      </c>
      <c r="G372" s="17" t="s">
        <v>8968</v>
      </c>
      <c r="H372" s="94">
        <f>ROUNDUP(AC372,14-LEN(ABS(INT(AC372))))</f>
        <v>2</v>
      </c>
      <c r="I372" s="95">
        <f>K372+J372+L372</f>
        <v>95303.400000000009</v>
      </c>
      <c r="J372" s="36">
        <v>0</v>
      </c>
      <c r="K372" s="36">
        <v>0</v>
      </c>
      <c r="L372" s="39">
        <f>D369+D370</f>
        <v>95303.400000000009</v>
      </c>
      <c r="M372" s="35" t="s">
        <v>8969</v>
      </c>
      <c r="N372" s="35" t="s">
        <v>8915</v>
      </c>
      <c r="Z372" s="35" t="s">
        <v>8947</v>
      </c>
      <c r="AA372" s="99">
        <v>2</v>
      </c>
      <c r="AB372" s="35" t="s">
        <v>8892</v>
      </c>
      <c r="AC372" s="100">
        <f>1*AA372</f>
        <v>2</v>
      </c>
      <c r="AD372" s="97"/>
      <c r="AE372" s="97"/>
      <c r="AF372" s="97"/>
      <c r="AG372" s="97"/>
      <c r="AH372" s="97"/>
      <c r="AI372" s="97"/>
      <c r="AJ372" s="97"/>
      <c r="AK372" s="97"/>
      <c r="AL372" s="97"/>
      <c r="AM372" s="97"/>
      <c r="AN372" s="97"/>
      <c r="AO372" s="97"/>
    </row>
    <row r="373" spans="1:41" ht="16.5" customHeight="1" x14ac:dyDescent="0.3">
      <c r="A373" s="69"/>
      <c r="B373" s="69"/>
      <c r="C373" s="69"/>
      <c r="D373" s="69"/>
      <c r="E373" s="69"/>
      <c r="F373" s="69"/>
      <c r="G373" s="17" t="s">
        <v>8885</v>
      </c>
      <c r="Z373" s="97"/>
      <c r="AA373" s="97"/>
      <c r="AB373" s="97"/>
      <c r="AC373" s="97"/>
      <c r="AD373" s="97"/>
      <c r="AE373" s="97"/>
      <c r="AF373" s="97"/>
      <c r="AG373" s="97"/>
      <c r="AH373" s="97"/>
      <c r="AI373" s="97"/>
      <c r="AJ373" s="97"/>
      <c r="AK373" s="97"/>
      <c r="AL373" s="97"/>
      <c r="AM373" s="97"/>
      <c r="AN373" s="97"/>
      <c r="AO373" s="97"/>
    </row>
    <row r="374" spans="1:41" ht="16.5" customHeight="1" x14ac:dyDescent="0.3">
      <c r="A374" s="59"/>
      <c r="B374" s="68" t="s">
        <v>8914</v>
      </c>
      <c r="C374" s="92">
        <f>E374+D374+F374</f>
        <v>97209.400000000009</v>
      </c>
      <c r="D374" s="92">
        <f>SUMIF(N357:N373,M374,D357:D373)</f>
        <v>95303.400000000009</v>
      </c>
      <c r="E374" s="92">
        <f>SUMIF(N357:N373,M374,E357:E373)</f>
        <v>0</v>
      </c>
      <c r="F374" s="92">
        <f>SUMIF(N357:N373,M374,F357:F373)</f>
        <v>1906</v>
      </c>
      <c r="G374" s="17" t="s">
        <v>8927</v>
      </c>
      <c r="M374" s="35" t="s">
        <v>8915</v>
      </c>
      <c r="N374" s="35" t="s">
        <v>8952</v>
      </c>
      <c r="Z374" s="97"/>
      <c r="AA374" s="97"/>
      <c r="AB374" s="97"/>
      <c r="AC374" s="97"/>
      <c r="AD374" s="97"/>
      <c r="AE374" s="97"/>
      <c r="AF374" s="97"/>
      <c r="AG374" s="97"/>
      <c r="AH374" s="97"/>
      <c r="AI374" s="97"/>
      <c r="AJ374" s="97"/>
      <c r="AK374" s="97"/>
      <c r="AL374" s="97"/>
      <c r="AM374" s="97"/>
      <c r="AN374" s="97"/>
      <c r="AO374" s="97"/>
    </row>
    <row r="375" spans="1:41" ht="16.5" customHeight="1" x14ac:dyDescent="0.3">
      <c r="A375" s="59"/>
      <c r="B375" s="68" t="s">
        <v>8951</v>
      </c>
      <c r="C375" s="93">
        <f>E375+D375+F375</f>
        <v>97209.400000000009</v>
      </c>
      <c r="D375" s="93">
        <f>SUMIF(N357:N374,M375,D357:D374)</f>
        <v>95303.400000000009</v>
      </c>
      <c r="E375" s="93">
        <f>SUMIF(N357:N374,M375,E357:E374)</f>
        <v>0</v>
      </c>
      <c r="F375" s="93">
        <f>SUMIF(N357:N374,M375,F357:F374)</f>
        <v>1906</v>
      </c>
      <c r="G375" s="17" t="s">
        <v>8950</v>
      </c>
      <c r="M375" s="35" t="s">
        <v>8952</v>
      </c>
      <c r="N375" s="35" t="s">
        <v>6406</v>
      </c>
      <c r="Z375" s="97"/>
      <c r="AA375" s="97"/>
      <c r="AB375" s="97"/>
      <c r="AC375" s="97"/>
      <c r="AD375" s="97"/>
      <c r="AE375" s="97"/>
      <c r="AF375" s="97"/>
      <c r="AG375" s="97"/>
      <c r="AH375" s="97"/>
      <c r="AI375" s="97"/>
      <c r="AJ375" s="97"/>
      <c r="AK375" s="97"/>
      <c r="AL375" s="97"/>
      <c r="AM375" s="97"/>
      <c r="AN375" s="97"/>
      <c r="AO375" s="97"/>
    </row>
    <row r="376" spans="1:41" ht="16.5" customHeight="1" x14ac:dyDescent="0.3">
      <c r="A376" s="69"/>
      <c r="B376" s="69"/>
      <c r="C376" s="90"/>
      <c r="D376" s="90"/>
      <c r="E376" s="90"/>
      <c r="F376" s="90"/>
      <c r="Z376" s="97"/>
      <c r="AA376" s="97"/>
      <c r="AB376" s="97"/>
      <c r="AC376" s="97"/>
      <c r="AD376" s="97"/>
      <c r="AE376" s="97"/>
      <c r="AF376" s="97"/>
      <c r="AG376" s="97"/>
      <c r="AH376" s="97"/>
      <c r="AI376" s="97"/>
      <c r="AJ376" s="97"/>
      <c r="AK376" s="97"/>
      <c r="AL376" s="97"/>
      <c r="AM376" s="97"/>
      <c r="AN376" s="97"/>
      <c r="AO376" s="97"/>
    </row>
    <row r="377" spans="1:41" ht="16.5" customHeight="1" x14ac:dyDescent="0.3">
      <c r="A377" s="69"/>
      <c r="B377" s="69"/>
      <c r="C377" s="69"/>
      <c r="D377" s="69"/>
      <c r="E377" s="69"/>
      <c r="F377" s="69"/>
      <c r="Z377" s="97"/>
      <c r="AA377" s="97"/>
      <c r="AB377" s="97"/>
      <c r="AC377" s="97"/>
      <c r="AD377" s="97"/>
      <c r="AE377" s="97"/>
      <c r="AF377" s="97"/>
      <c r="AG377" s="97"/>
      <c r="AH377" s="97"/>
      <c r="AI377" s="97"/>
      <c r="AJ377" s="97"/>
      <c r="AK377" s="97"/>
      <c r="AL377" s="97"/>
      <c r="AM377" s="97"/>
      <c r="AN377" s="97"/>
      <c r="AO377" s="97"/>
    </row>
    <row r="378" spans="1:41" ht="16.5" customHeight="1" x14ac:dyDescent="0.3">
      <c r="A378" s="69"/>
      <c r="B378" s="69"/>
      <c r="C378" s="69"/>
      <c r="D378" s="69"/>
      <c r="E378" s="69"/>
      <c r="F378" s="69"/>
      <c r="Z378" s="97"/>
      <c r="AA378" s="97"/>
      <c r="AB378" s="97"/>
      <c r="AC378" s="97"/>
      <c r="AD378" s="97"/>
      <c r="AE378" s="97"/>
      <c r="AF378" s="97"/>
      <c r="AG378" s="97"/>
      <c r="AH378" s="97"/>
      <c r="AI378" s="97"/>
      <c r="AJ378" s="97"/>
      <c r="AK378" s="97"/>
      <c r="AL378" s="97"/>
      <c r="AM378" s="97"/>
      <c r="AN378" s="97"/>
      <c r="AO378" s="97"/>
    </row>
    <row r="379" spans="1:41" ht="16.5" customHeight="1" x14ac:dyDescent="0.3">
      <c r="A379" s="69"/>
      <c r="B379" s="69"/>
      <c r="C379" s="69"/>
      <c r="D379" s="69"/>
      <c r="E379" s="69"/>
      <c r="F379" s="69"/>
      <c r="Z379" s="97"/>
      <c r="AA379" s="97"/>
      <c r="AB379" s="97"/>
      <c r="AC379" s="97"/>
      <c r="AD379" s="97"/>
      <c r="AE379" s="97"/>
      <c r="AF379" s="97"/>
      <c r="AG379" s="97"/>
      <c r="AH379" s="97"/>
      <c r="AI379" s="97"/>
      <c r="AJ379" s="97"/>
      <c r="AK379" s="97"/>
      <c r="AL379" s="97"/>
      <c r="AM379" s="97"/>
      <c r="AN379" s="97"/>
      <c r="AO379" s="97"/>
    </row>
    <row r="380" spans="1:41" ht="16.5" customHeight="1" x14ac:dyDescent="0.3">
      <c r="A380" s="69"/>
      <c r="B380" s="69"/>
      <c r="C380" s="69"/>
      <c r="D380" s="69"/>
      <c r="E380" s="69"/>
      <c r="F380" s="69"/>
      <c r="Z380" s="97"/>
      <c r="AA380" s="97"/>
      <c r="AB380" s="97"/>
      <c r="AC380" s="97"/>
      <c r="AD380" s="97"/>
      <c r="AE380" s="97"/>
      <c r="AF380" s="97"/>
      <c r="AG380" s="97"/>
      <c r="AH380" s="97"/>
      <c r="AI380" s="97"/>
      <c r="AJ380" s="97"/>
      <c r="AK380" s="97"/>
      <c r="AL380" s="97"/>
      <c r="AM380" s="97"/>
      <c r="AN380" s="97"/>
      <c r="AO380" s="97"/>
    </row>
    <row r="381" spans="1:41" ht="16.5" customHeight="1" x14ac:dyDescent="0.3">
      <c r="A381" s="69"/>
      <c r="B381" s="69"/>
      <c r="C381" s="69"/>
      <c r="D381" s="69"/>
      <c r="E381" s="69"/>
      <c r="F381" s="69"/>
      <c r="Z381" s="97"/>
      <c r="AA381" s="97"/>
      <c r="AB381" s="97"/>
      <c r="AC381" s="97"/>
      <c r="AD381" s="97"/>
      <c r="AE381" s="97"/>
      <c r="AF381" s="97"/>
      <c r="AG381" s="97"/>
      <c r="AH381" s="97"/>
      <c r="AI381" s="97"/>
      <c r="AJ381" s="97"/>
      <c r="AK381" s="97"/>
      <c r="AL381" s="97"/>
      <c r="AM381" s="97"/>
      <c r="AN381" s="97"/>
      <c r="AO381" s="97"/>
    </row>
    <row r="382" spans="1:41" ht="16.5" customHeight="1" x14ac:dyDescent="0.3">
      <c r="A382" s="69"/>
      <c r="B382" s="69"/>
      <c r="C382" s="69"/>
      <c r="D382" s="69"/>
      <c r="E382" s="69"/>
      <c r="F382" s="69"/>
      <c r="Z382" s="97"/>
      <c r="AA382" s="97"/>
      <c r="AB382" s="97"/>
      <c r="AC382" s="97"/>
      <c r="AD382" s="97"/>
      <c r="AE382" s="97"/>
      <c r="AF382" s="97"/>
      <c r="AG382" s="97"/>
      <c r="AH382" s="97"/>
      <c r="AI382" s="97"/>
      <c r="AJ382" s="97"/>
      <c r="AK382" s="97"/>
      <c r="AL382" s="97"/>
      <c r="AM382" s="97"/>
      <c r="AN382" s="97"/>
      <c r="AO382" s="97"/>
    </row>
    <row r="383" spans="1:41" ht="16.5" customHeight="1" x14ac:dyDescent="0.3">
      <c r="A383" s="69"/>
      <c r="B383" s="69"/>
      <c r="C383" s="69"/>
      <c r="D383" s="69"/>
      <c r="E383" s="69"/>
      <c r="F383" s="69"/>
      <c r="Z383" s="97"/>
      <c r="AA383" s="97"/>
      <c r="AB383" s="97"/>
      <c r="AC383" s="97"/>
      <c r="AD383" s="97"/>
      <c r="AE383" s="97"/>
      <c r="AF383" s="97"/>
      <c r="AG383" s="97"/>
      <c r="AH383" s="97"/>
      <c r="AI383" s="97"/>
      <c r="AJ383" s="97"/>
      <c r="AK383" s="97"/>
      <c r="AL383" s="97"/>
      <c r="AM383" s="97"/>
      <c r="AN383" s="97"/>
      <c r="AO383" s="97"/>
    </row>
    <row r="384" spans="1:41" ht="16.5" customHeight="1" x14ac:dyDescent="0.3">
      <c r="A384" s="69"/>
      <c r="B384" s="69"/>
      <c r="C384" s="69"/>
      <c r="D384" s="69"/>
      <c r="E384" s="69"/>
      <c r="F384" s="69"/>
      <c r="Z384" s="97"/>
      <c r="AA384" s="97"/>
      <c r="AB384" s="97"/>
      <c r="AC384" s="97"/>
      <c r="AD384" s="97"/>
      <c r="AE384" s="97"/>
      <c r="AF384" s="97"/>
      <c r="AG384" s="97"/>
      <c r="AH384" s="97"/>
      <c r="AI384" s="97"/>
      <c r="AJ384" s="97"/>
      <c r="AK384" s="97"/>
      <c r="AL384" s="97"/>
      <c r="AM384" s="97"/>
      <c r="AN384" s="97"/>
      <c r="AO384" s="97"/>
    </row>
    <row r="385" spans="1:41" ht="16.5" customHeight="1" x14ac:dyDescent="0.3">
      <c r="A385" s="69"/>
      <c r="B385" s="69"/>
      <c r="C385" s="69"/>
      <c r="D385" s="69"/>
      <c r="E385" s="69"/>
      <c r="F385" s="69"/>
      <c r="Z385" s="97"/>
      <c r="AA385" s="97"/>
      <c r="AB385" s="97"/>
      <c r="AC385" s="97"/>
      <c r="AD385" s="97"/>
      <c r="AE385" s="97"/>
      <c r="AF385" s="97"/>
      <c r="AG385" s="97"/>
      <c r="AH385" s="97"/>
      <c r="AI385" s="97"/>
      <c r="AJ385" s="97"/>
      <c r="AK385" s="97"/>
      <c r="AL385" s="97"/>
      <c r="AM385" s="97"/>
      <c r="AN385" s="97"/>
      <c r="AO385" s="97"/>
    </row>
    <row r="386" spans="1:41" ht="16.5" customHeight="1" x14ac:dyDescent="0.3">
      <c r="A386" s="69"/>
      <c r="B386" s="69"/>
      <c r="C386" s="69"/>
      <c r="D386" s="69"/>
      <c r="E386" s="69"/>
      <c r="F386" s="69"/>
      <c r="Z386" s="97"/>
      <c r="AA386" s="97"/>
      <c r="AB386" s="97"/>
      <c r="AC386" s="97"/>
      <c r="AD386" s="97"/>
      <c r="AE386" s="97"/>
      <c r="AF386" s="97"/>
      <c r="AG386" s="97"/>
      <c r="AH386" s="97"/>
      <c r="AI386" s="97"/>
      <c r="AJ386" s="97"/>
      <c r="AK386" s="97"/>
      <c r="AL386" s="97"/>
      <c r="AM386" s="97"/>
      <c r="AN386" s="97"/>
      <c r="AO386" s="97"/>
    </row>
    <row r="387" spans="1:41" ht="16.5" customHeight="1" x14ac:dyDescent="0.3">
      <c r="A387" s="69"/>
      <c r="B387" s="69"/>
      <c r="C387" s="69"/>
      <c r="D387" s="69"/>
      <c r="E387" s="69"/>
      <c r="F387" s="69"/>
      <c r="Z387" s="97"/>
      <c r="AA387" s="97"/>
      <c r="AB387" s="97"/>
      <c r="AC387" s="97"/>
      <c r="AD387" s="97"/>
      <c r="AE387" s="97"/>
      <c r="AF387" s="97"/>
      <c r="AG387" s="97"/>
      <c r="AH387" s="97"/>
      <c r="AI387" s="97"/>
      <c r="AJ387" s="97"/>
      <c r="AK387" s="97"/>
      <c r="AL387" s="97"/>
      <c r="AM387" s="97"/>
      <c r="AN387" s="97"/>
      <c r="AO387" s="97"/>
    </row>
    <row r="388" spans="1:41" ht="16.5" customHeight="1" x14ac:dyDescent="0.3">
      <c r="A388" s="69"/>
      <c r="B388" s="69"/>
      <c r="C388" s="69"/>
      <c r="D388" s="69"/>
      <c r="E388" s="69"/>
      <c r="F388" s="69"/>
      <c r="Z388" s="97"/>
      <c r="AA388" s="97"/>
      <c r="AB388" s="97"/>
      <c r="AC388" s="97"/>
      <c r="AD388" s="97"/>
      <c r="AE388" s="97"/>
      <c r="AF388" s="97"/>
      <c r="AG388" s="97"/>
      <c r="AH388" s="97"/>
      <c r="AI388" s="97"/>
      <c r="AJ388" s="97"/>
      <c r="AK388" s="97"/>
      <c r="AL388" s="97"/>
      <c r="AM388" s="97"/>
      <c r="AN388" s="97"/>
      <c r="AO388" s="97"/>
    </row>
    <row r="389" spans="1:41" ht="16.5" customHeight="1" x14ac:dyDescent="0.3">
      <c r="A389" s="69"/>
      <c r="B389" s="69"/>
      <c r="C389" s="69"/>
      <c r="D389" s="69"/>
      <c r="E389" s="69"/>
      <c r="F389" s="69"/>
      <c r="Z389" s="97"/>
      <c r="AA389" s="97"/>
      <c r="AB389" s="97"/>
      <c r="AC389" s="97"/>
      <c r="AD389" s="97"/>
      <c r="AE389" s="97"/>
      <c r="AF389" s="97"/>
      <c r="AG389" s="97"/>
      <c r="AH389" s="97"/>
      <c r="AI389" s="97"/>
      <c r="AJ389" s="97"/>
      <c r="AK389" s="97"/>
      <c r="AL389" s="97"/>
      <c r="AM389" s="97"/>
      <c r="AN389" s="97"/>
      <c r="AO389" s="97"/>
    </row>
    <row r="390" spans="1:41" ht="16.5" customHeight="1" x14ac:dyDescent="0.3">
      <c r="A390" s="69"/>
      <c r="B390" s="69"/>
      <c r="C390" s="69"/>
      <c r="D390" s="69"/>
      <c r="E390" s="69"/>
      <c r="F390" s="69"/>
      <c r="Z390" s="97"/>
      <c r="AA390" s="97"/>
      <c r="AB390" s="97"/>
      <c r="AC390" s="97"/>
      <c r="AD390" s="97"/>
      <c r="AE390" s="97"/>
      <c r="AF390" s="97"/>
      <c r="AG390" s="97"/>
      <c r="AH390" s="97"/>
      <c r="AI390" s="97"/>
      <c r="AJ390" s="97"/>
      <c r="AK390" s="97"/>
      <c r="AL390" s="97"/>
      <c r="AM390" s="97"/>
      <c r="AN390" s="97"/>
      <c r="AO390" s="97"/>
    </row>
    <row r="391" spans="1:41" ht="16.5" customHeight="1" x14ac:dyDescent="0.3">
      <c r="A391" s="69"/>
      <c r="B391" s="69"/>
      <c r="C391" s="69"/>
      <c r="D391" s="69"/>
      <c r="E391" s="69"/>
      <c r="F391" s="69"/>
      <c r="Z391" s="97"/>
      <c r="AA391" s="97"/>
      <c r="AB391" s="97"/>
      <c r="AC391" s="97"/>
      <c r="AD391" s="97"/>
      <c r="AE391" s="97"/>
      <c r="AF391" s="97"/>
      <c r="AG391" s="97"/>
      <c r="AH391" s="97"/>
      <c r="AI391" s="97"/>
      <c r="AJ391" s="97"/>
      <c r="AK391" s="97"/>
      <c r="AL391" s="97"/>
      <c r="AM391" s="97"/>
      <c r="AN391" s="97"/>
      <c r="AO391" s="97"/>
    </row>
    <row r="392" spans="1:41" ht="16.5" customHeight="1" x14ac:dyDescent="0.3">
      <c r="A392" s="69"/>
      <c r="B392" s="69"/>
      <c r="C392" s="69"/>
      <c r="D392" s="69"/>
      <c r="E392" s="69"/>
      <c r="F392" s="69"/>
      <c r="Z392" s="97"/>
      <c r="AA392" s="97"/>
      <c r="AB392" s="97"/>
      <c r="AC392" s="97"/>
      <c r="AD392" s="97"/>
      <c r="AE392" s="97"/>
      <c r="AF392" s="97"/>
      <c r="AG392" s="97"/>
      <c r="AH392" s="97"/>
      <c r="AI392" s="97"/>
      <c r="AJ392" s="97"/>
      <c r="AK392" s="97"/>
      <c r="AL392" s="97"/>
      <c r="AM392" s="97"/>
      <c r="AN392" s="97"/>
      <c r="AO392" s="97"/>
    </row>
    <row r="393" spans="1:41" ht="16.5" customHeight="1" x14ac:dyDescent="0.3">
      <c r="A393" s="69"/>
      <c r="B393" s="69"/>
      <c r="C393" s="69"/>
      <c r="D393" s="69"/>
      <c r="E393" s="69"/>
      <c r="F393" s="69"/>
      <c r="Z393" s="97"/>
      <c r="AA393" s="97"/>
      <c r="AB393" s="97"/>
      <c r="AC393" s="97"/>
      <c r="AD393" s="97"/>
      <c r="AE393" s="97"/>
      <c r="AF393" s="97"/>
      <c r="AG393" s="97"/>
      <c r="AH393" s="97"/>
      <c r="AI393" s="97"/>
      <c r="AJ393" s="97"/>
      <c r="AK393" s="97"/>
      <c r="AL393" s="97"/>
      <c r="AM393" s="97"/>
      <c r="AN393" s="97"/>
      <c r="AO393" s="97"/>
    </row>
    <row r="394" spans="1:41" ht="16.5" customHeight="1" x14ac:dyDescent="0.3">
      <c r="A394" s="69"/>
      <c r="B394" s="69"/>
      <c r="C394" s="69"/>
      <c r="D394" s="69"/>
      <c r="E394" s="69"/>
      <c r="F394" s="69"/>
      <c r="Z394" s="97"/>
      <c r="AA394" s="97"/>
      <c r="AB394" s="97"/>
      <c r="AC394" s="97"/>
      <c r="AD394" s="97"/>
      <c r="AE394" s="97"/>
      <c r="AF394" s="97"/>
      <c r="AG394" s="97"/>
      <c r="AH394" s="97"/>
      <c r="AI394" s="97"/>
      <c r="AJ394" s="97"/>
      <c r="AK394" s="97"/>
      <c r="AL394" s="97"/>
      <c r="AM394" s="97"/>
      <c r="AN394" s="97"/>
      <c r="AO394" s="97"/>
    </row>
    <row r="395" spans="1:41" ht="16.5" customHeight="1" x14ac:dyDescent="0.3">
      <c r="A395" s="69"/>
      <c r="B395" s="69"/>
      <c r="C395" s="69"/>
      <c r="D395" s="69"/>
      <c r="E395" s="69"/>
      <c r="F395" s="69"/>
      <c r="Z395" s="97"/>
      <c r="AA395" s="97"/>
      <c r="AB395" s="97"/>
      <c r="AC395" s="97"/>
      <c r="AD395" s="97"/>
      <c r="AE395" s="97"/>
      <c r="AF395" s="97"/>
      <c r="AG395" s="97"/>
      <c r="AH395" s="97"/>
      <c r="AI395" s="97"/>
      <c r="AJ395" s="97"/>
      <c r="AK395" s="97"/>
      <c r="AL395" s="97"/>
      <c r="AM395" s="97"/>
      <c r="AN395" s="97"/>
      <c r="AO395" s="97"/>
    </row>
    <row r="396" spans="1:41" ht="16.5" customHeight="1" x14ac:dyDescent="0.3">
      <c r="A396" s="69"/>
      <c r="B396" s="69"/>
      <c r="C396" s="69"/>
      <c r="D396" s="69"/>
      <c r="E396" s="69"/>
      <c r="F396" s="69"/>
      <c r="Z396" s="97"/>
      <c r="AA396" s="97"/>
      <c r="AB396" s="97"/>
      <c r="AC396" s="97"/>
      <c r="AD396" s="97"/>
      <c r="AE396" s="97"/>
      <c r="AF396" s="97"/>
      <c r="AG396" s="97"/>
      <c r="AH396" s="97"/>
      <c r="AI396" s="97"/>
      <c r="AJ396" s="97"/>
      <c r="AK396" s="97"/>
      <c r="AL396" s="97"/>
      <c r="AM396" s="97"/>
      <c r="AN396" s="97"/>
      <c r="AO396" s="97"/>
    </row>
    <row r="397" spans="1:41" ht="16.5" customHeight="1" x14ac:dyDescent="0.3">
      <c r="A397" s="69"/>
      <c r="B397" s="69"/>
      <c r="C397" s="69"/>
      <c r="D397" s="69"/>
      <c r="E397" s="69"/>
      <c r="F397" s="69"/>
      <c r="Z397" s="97"/>
      <c r="AA397" s="97"/>
      <c r="AB397" s="97"/>
      <c r="AC397" s="97"/>
      <c r="AD397" s="97"/>
      <c r="AE397" s="97"/>
      <c r="AF397" s="97"/>
      <c r="AG397" s="97"/>
      <c r="AH397" s="97"/>
      <c r="AI397" s="97"/>
      <c r="AJ397" s="97"/>
      <c r="AK397" s="97"/>
      <c r="AL397" s="97"/>
      <c r="AM397" s="97"/>
      <c r="AN397" s="97"/>
      <c r="AO397" s="97"/>
    </row>
    <row r="398" spans="1:41" ht="16.5" customHeight="1" x14ac:dyDescent="0.3">
      <c r="A398" s="69"/>
      <c r="B398" s="69"/>
      <c r="C398" s="69"/>
      <c r="D398" s="69"/>
      <c r="E398" s="69"/>
      <c r="F398" s="69"/>
      <c r="Z398" s="97"/>
      <c r="AA398" s="97"/>
      <c r="AB398" s="97"/>
      <c r="AC398" s="97"/>
      <c r="AD398" s="97"/>
      <c r="AE398" s="97"/>
      <c r="AF398" s="97"/>
      <c r="AG398" s="97"/>
      <c r="AH398" s="97"/>
      <c r="AI398" s="97"/>
      <c r="AJ398" s="97"/>
      <c r="AK398" s="97"/>
      <c r="AL398" s="97"/>
      <c r="AM398" s="97"/>
      <c r="AN398" s="97"/>
      <c r="AO398" s="97"/>
    </row>
    <row r="399" spans="1:41" ht="16.5" customHeight="1" x14ac:dyDescent="0.3">
      <c r="A399" s="69"/>
      <c r="B399" s="69"/>
      <c r="C399" s="69"/>
      <c r="D399" s="69"/>
      <c r="E399" s="69"/>
      <c r="F399" s="69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O399" s="97"/>
    </row>
    <row r="400" spans="1:41" ht="16.5" customHeight="1" x14ac:dyDescent="0.3">
      <c r="A400" s="69"/>
      <c r="B400" s="69"/>
      <c r="C400" s="69"/>
      <c r="D400" s="69"/>
      <c r="E400" s="69"/>
      <c r="F400" s="69"/>
      <c r="Z400" s="97"/>
      <c r="AA400" s="97"/>
      <c r="AB400" s="97"/>
      <c r="AC400" s="97"/>
      <c r="AD400" s="97"/>
      <c r="AE400" s="97"/>
      <c r="AF400" s="97"/>
      <c r="AG400" s="97"/>
      <c r="AH400" s="97"/>
      <c r="AI400" s="97"/>
      <c r="AJ400" s="97"/>
      <c r="AK400" s="97"/>
      <c r="AL400" s="97"/>
      <c r="AM400" s="97"/>
      <c r="AN400" s="97"/>
      <c r="AO400" s="97"/>
    </row>
    <row r="401" spans="1:41" ht="16.5" customHeight="1" x14ac:dyDescent="0.3">
      <c r="A401" s="69"/>
      <c r="B401" s="69"/>
      <c r="C401" s="69"/>
      <c r="D401" s="69"/>
      <c r="E401" s="69"/>
      <c r="F401" s="69"/>
      <c r="Z401" s="97"/>
      <c r="AA401" s="97"/>
      <c r="AB401" s="97"/>
      <c r="AC401" s="97"/>
      <c r="AD401" s="97"/>
      <c r="AE401" s="97"/>
      <c r="AF401" s="97"/>
      <c r="AG401" s="97"/>
      <c r="AH401" s="97"/>
      <c r="AI401" s="97"/>
      <c r="AJ401" s="97"/>
      <c r="AK401" s="97"/>
      <c r="AL401" s="97"/>
      <c r="AM401" s="97"/>
      <c r="AN401" s="97"/>
      <c r="AO401" s="97"/>
    </row>
    <row r="402" spans="1:41" ht="16.5" customHeight="1" x14ac:dyDescent="0.3">
      <c r="A402" s="69"/>
      <c r="B402" s="69"/>
      <c r="C402" s="69"/>
      <c r="D402" s="69"/>
      <c r="E402" s="69"/>
      <c r="F402" s="69"/>
      <c r="Z402" s="97"/>
      <c r="AA402" s="97"/>
      <c r="AB402" s="97"/>
      <c r="AC402" s="97"/>
      <c r="AD402" s="97"/>
      <c r="AE402" s="97"/>
      <c r="AF402" s="97"/>
      <c r="AG402" s="97"/>
      <c r="AH402" s="97"/>
      <c r="AI402" s="97"/>
      <c r="AJ402" s="97"/>
      <c r="AK402" s="97"/>
      <c r="AL402" s="97"/>
      <c r="AM402" s="97"/>
      <c r="AN402" s="97"/>
      <c r="AO402" s="97"/>
    </row>
    <row r="403" spans="1:41" ht="16.5" customHeight="1" x14ac:dyDescent="0.3">
      <c r="A403" s="74"/>
      <c r="B403" s="74"/>
      <c r="C403" s="74"/>
      <c r="D403" s="74"/>
      <c r="E403" s="74"/>
      <c r="F403" s="74"/>
      <c r="Z403" s="97"/>
      <c r="AA403" s="97"/>
      <c r="AB403" s="97"/>
      <c r="AC403" s="97"/>
      <c r="AD403" s="97"/>
      <c r="AE403" s="97"/>
      <c r="AF403" s="97"/>
      <c r="AG403" s="97"/>
      <c r="AH403" s="97"/>
      <c r="AI403" s="97"/>
      <c r="AJ403" s="97"/>
      <c r="AK403" s="97"/>
      <c r="AL403" s="97"/>
      <c r="AM403" s="97"/>
      <c r="AN403" s="97"/>
      <c r="AO403" s="97"/>
    </row>
    <row r="404" spans="1:41" ht="16.5" customHeight="1" x14ac:dyDescent="0.3">
      <c r="A404" s="145" t="s">
        <v>8953</v>
      </c>
      <c r="B404" s="138"/>
      <c r="C404" s="48">
        <f>E404+D404+F404</f>
        <v>97209</v>
      </c>
      <c r="D404" s="47">
        <f>ROUNDDOWN(SUMIF(N357:N375,M404,D357:D375),0)</f>
        <v>95303</v>
      </c>
      <c r="E404" s="56">
        <f>ROUNDDOWN(SUMIF(N357:N375,M404,E357:E375),0)</f>
        <v>0</v>
      </c>
      <c r="F404" s="48">
        <f>ROUNDDOWN(SUMIF(N357:N375,M404,F357:F375),0)</f>
        <v>1906</v>
      </c>
      <c r="M404" s="35" t="s">
        <v>6406</v>
      </c>
      <c r="Z404" s="97"/>
      <c r="AA404" s="97"/>
      <c r="AB404" s="97"/>
      <c r="AC404" s="97"/>
      <c r="AD404" s="97"/>
      <c r="AE404" s="97"/>
      <c r="AF404" s="97"/>
      <c r="AG404" s="97"/>
      <c r="AH404" s="97"/>
      <c r="AI404" s="97"/>
      <c r="AJ404" s="97"/>
      <c r="AK404" s="97"/>
      <c r="AL404" s="97"/>
      <c r="AM404" s="97"/>
      <c r="AN404" s="97"/>
      <c r="AO404" s="97"/>
    </row>
    <row r="405" spans="1:41" ht="16.5" customHeight="1" x14ac:dyDescent="0.3">
      <c r="A405" s="86" t="s">
        <v>31</v>
      </c>
      <c r="B405" s="88" t="s">
        <v>31</v>
      </c>
      <c r="C405" s="146">
        <f>C454</f>
        <v>133662</v>
      </c>
      <c r="D405" s="146">
        <f>D454</f>
        <v>131042</v>
      </c>
      <c r="E405" s="146">
        <f>E454</f>
        <v>0</v>
      </c>
      <c r="F405" s="146">
        <f>F454</f>
        <v>2620</v>
      </c>
      <c r="G405" s="84" t="str">
        <f>HYPERLINK("#G"&amp;ROW(G425),"_x0005_`BDCOD|D04200_x0007_`POSS|"&amp;ROW(G407)&amp;"_x0007_`POSE|"&amp;ROW(G425)&amp;"_x0007_`")</f>
        <v>_x0005_`BDCOD|D04200_x0007_`POSS|407_x0007_`POSE|425_x0007_`</v>
      </c>
      <c r="Z405" s="97"/>
      <c r="AA405" s="97"/>
      <c r="AB405" s="97"/>
      <c r="AC405" s="97"/>
      <c r="AD405" s="97"/>
      <c r="AE405" s="97"/>
      <c r="AF405" s="97"/>
      <c r="AG405" s="97"/>
      <c r="AH405" s="97"/>
      <c r="AI405" s="97"/>
      <c r="AJ405" s="97"/>
      <c r="AK405" s="97"/>
      <c r="AL405" s="97"/>
      <c r="AM405" s="97"/>
      <c r="AN405" s="97"/>
      <c r="AO405" s="97"/>
    </row>
    <row r="406" spans="1:41" ht="16.5" customHeight="1" x14ac:dyDescent="0.3">
      <c r="A406" s="87"/>
      <c r="B406" s="88" t="s">
        <v>1996</v>
      </c>
      <c r="C406" s="127"/>
      <c r="D406" s="127"/>
      <c r="E406" s="127"/>
      <c r="F406" s="127"/>
      <c r="M406" s="35" t="s">
        <v>8979</v>
      </c>
      <c r="Z406" s="97"/>
      <c r="AA406" s="97"/>
      <c r="AB406" s="97"/>
      <c r="AC406" s="97"/>
      <c r="AD406" s="97"/>
      <c r="AE406" s="97"/>
      <c r="AF406" s="97"/>
      <c r="AG406" s="97"/>
      <c r="AH406" s="97"/>
      <c r="AI406" s="97"/>
      <c r="AJ406" s="97"/>
      <c r="AK406" s="97"/>
      <c r="AL406" s="97"/>
      <c r="AM406" s="97"/>
      <c r="AN406" s="97"/>
      <c r="AO406" s="97"/>
    </row>
    <row r="407" spans="1:41" ht="16.5" customHeight="1" x14ac:dyDescent="0.3">
      <c r="A407" s="69"/>
      <c r="B407" s="69"/>
      <c r="C407" s="90"/>
      <c r="D407" s="90"/>
      <c r="E407" s="90"/>
      <c r="F407" s="90"/>
      <c r="G407" s="17" t="s">
        <v>8885</v>
      </c>
      <c r="Z407" s="97"/>
      <c r="AA407" s="97"/>
      <c r="AB407" s="97"/>
      <c r="AC407" s="97"/>
      <c r="AD407" s="97"/>
      <c r="AE407" s="97"/>
      <c r="AF407" s="97"/>
      <c r="AG407" s="97"/>
      <c r="AH407" s="97"/>
      <c r="AI407" s="97"/>
      <c r="AJ407" s="97"/>
      <c r="AK407" s="97"/>
      <c r="AL407" s="97"/>
      <c r="AM407" s="97"/>
      <c r="AN407" s="97"/>
      <c r="AO407" s="97"/>
    </row>
    <row r="408" spans="1:41" ht="16.5" customHeight="1" x14ac:dyDescent="0.3">
      <c r="A408" s="59"/>
      <c r="B408" s="68" t="s">
        <v>8956</v>
      </c>
      <c r="C408" s="69"/>
      <c r="D408" s="69"/>
      <c r="E408" s="69"/>
      <c r="F408" s="69"/>
      <c r="G408" s="17" t="s">
        <v>8955</v>
      </c>
      <c r="Z408" s="97"/>
      <c r="AA408" s="97"/>
      <c r="AB408" s="97"/>
      <c r="AC408" s="97"/>
      <c r="AD408" s="97"/>
      <c r="AE408" s="97"/>
      <c r="AF408" s="97"/>
      <c r="AG408" s="97"/>
      <c r="AH408" s="97"/>
      <c r="AI408" s="97"/>
      <c r="AJ408" s="97"/>
      <c r="AK408" s="97"/>
      <c r="AL408" s="97"/>
      <c r="AM408" s="97"/>
      <c r="AN408" s="97"/>
      <c r="AO408" s="97"/>
    </row>
    <row r="409" spans="1:41" ht="16.5" customHeight="1" x14ac:dyDescent="0.3">
      <c r="A409" s="69"/>
      <c r="B409" s="69"/>
      <c r="C409" s="69"/>
      <c r="D409" s="69"/>
      <c r="E409" s="69"/>
      <c r="F409" s="69"/>
      <c r="G409" s="17" t="s">
        <v>8885</v>
      </c>
      <c r="Z409" s="97"/>
      <c r="AA409" s="97"/>
      <c r="AB409" s="97"/>
      <c r="AC409" s="97"/>
      <c r="AD409" s="97"/>
      <c r="AE409" s="97"/>
      <c r="AF409" s="97"/>
      <c r="AG409" s="97"/>
      <c r="AH409" s="97"/>
      <c r="AI409" s="97"/>
      <c r="AJ409" s="97"/>
      <c r="AK409" s="97"/>
      <c r="AL409" s="97"/>
      <c r="AM409" s="97"/>
      <c r="AN409" s="97"/>
      <c r="AO409" s="97"/>
    </row>
    <row r="410" spans="1:41" ht="16.5" customHeight="1" x14ac:dyDescent="0.3">
      <c r="A410" s="59"/>
      <c r="B410" s="68" t="s">
        <v>8958</v>
      </c>
      <c r="C410" s="69"/>
      <c r="D410" s="69"/>
      <c r="E410" s="69"/>
      <c r="F410" s="69"/>
      <c r="G410" s="17" t="s">
        <v>8957</v>
      </c>
      <c r="Z410" s="97"/>
      <c r="AA410" s="97"/>
      <c r="AB410" s="97"/>
      <c r="AC410" s="97"/>
      <c r="AD410" s="97"/>
      <c r="AE410" s="97"/>
      <c r="AF410" s="97"/>
      <c r="AG410" s="97"/>
      <c r="AH410" s="97"/>
      <c r="AI410" s="97"/>
      <c r="AJ410" s="97"/>
      <c r="AK410" s="97"/>
      <c r="AL410" s="97"/>
      <c r="AM410" s="97"/>
      <c r="AN410" s="97"/>
      <c r="AO410" s="97"/>
    </row>
    <row r="411" spans="1:41" ht="16.5" customHeight="1" x14ac:dyDescent="0.3">
      <c r="A411" s="69"/>
      <c r="B411" s="69"/>
      <c r="C411" s="69"/>
      <c r="D411" s="69"/>
      <c r="E411" s="69"/>
      <c r="F411" s="69"/>
      <c r="G411" s="17" t="s">
        <v>8885</v>
      </c>
      <c r="Z411" s="97"/>
      <c r="AA411" s="97"/>
      <c r="AB411" s="97"/>
      <c r="AC411" s="97"/>
      <c r="AD411" s="97"/>
      <c r="AE411" s="97"/>
      <c r="AF411" s="97"/>
      <c r="AG411" s="97"/>
      <c r="AH411" s="97"/>
      <c r="AI411" s="97"/>
      <c r="AJ411" s="97"/>
      <c r="AK411" s="97"/>
      <c r="AL411" s="97"/>
      <c r="AM411" s="97"/>
      <c r="AN411" s="97"/>
      <c r="AO411" s="97"/>
    </row>
    <row r="412" spans="1:41" ht="16.5" customHeight="1" x14ac:dyDescent="0.3">
      <c r="A412" s="59"/>
      <c r="B412" s="68" t="s">
        <v>8960</v>
      </c>
      <c r="C412" s="69"/>
      <c r="D412" s="69"/>
      <c r="E412" s="69"/>
      <c r="F412" s="69"/>
      <c r="G412" s="17" t="s">
        <v>8959</v>
      </c>
      <c r="Z412" s="97"/>
      <c r="AA412" s="97"/>
      <c r="AB412" s="97"/>
      <c r="AC412" s="97"/>
      <c r="AD412" s="97"/>
      <c r="AE412" s="97"/>
      <c r="AF412" s="97"/>
      <c r="AG412" s="97"/>
      <c r="AH412" s="97"/>
      <c r="AI412" s="97"/>
      <c r="AJ412" s="97"/>
      <c r="AK412" s="97"/>
      <c r="AL412" s="97"/>
      <c r="AM412" s="97"/>
      <c r="AN412" s="97"/>
      <c r="AO412" s="97"/>
    </row>
    <row r="413" spans="1:41" ht="16.5" customHeight="1" x14ac:dyDescent="0.3">
      <c r="A413" s="69"/>
      <c r="B413" s="69"/>
      <c r="C413" s="69"/>
      <c r="D413" s="69"/>
      <c r="E413" s="69"/>
      <c r="F413" s="69"/>
      <c r="G413" s="17" t="s">
        <v>8885</v>
      </c>
      <c r="Z413" s="97"/>
      <c r="AA413" s="97"/>
      <c r="AB413" s="97"/>
      <c r="AC413" s="97"/>
      <c r="AD413" s="97"/>
      <c r="AE413" s="97"/>
      <c r="AF413" s="97"/>
      <c r="AG413" s="97"/>
      <c r="AH413" s="97"/>
      <c r="AI413" s="97"/>
      <c r="AJ413" s="97"/>
      <c r="AK413" s="97"/>
      <c r="AL413" s="97"/>
      <c r="AM413" s="97"/>
      <c r="AN413" s="97"/>
      <c r="AO413" s="97"/>
    </row>
    <row r="414" spans="1:41" ht="16.5" customHeight="1" x14ac:dyDescent="0.3">
      <c r="A414" s="59"/>
      <c r="B414" s="68" t="str">
        <f>"    개소당 시공량  Q = "&amp;Z414&amp;" m/일  * "&amp;AB414&amp;" %  = "&amp;AD414&amp;""</f>
        <v xml:space="preserve">    개소당 시공량  Q = 8 m/일  * 1.11 %  = 8.880</v>
      </c>
      <c r="C414" s="69"/>
      <c r="D414" s="69"/>
      <c r="E414" s="69"/>
      <c r="F414" s="69"/>
      <c r="G414" s="17" t="s">
        <v>8980</v>
      </c>
      <c r="Z414" s="99">
        <v>8</v>
      </c>
      <c r="AA414" s="35" t="s">
        <v>8896</v>
      </c>
      <c r="AB414" s="98">
        <v>1.1100000000000001</v>
      </c>
      <c r="AC414" s="35" t="s">
        <v>8892</v>
      </c>
      <c r="AD414" s="100" t="str">
        <f>TEXT(ROUND(Z414*AB414,3),"#,0.000")</f>
        <v>8.880</v>
      </c>
      <c r="AE414" s="97"/>
      <c r="AF414" s="97"/>
      <c r="AG414" s="97"/>
      <c r="AH414" s="97"/>
      <c r="AI414" s="97"/>
      <c r="AJ414" s="97"/>
      <c r="AK414" s="97"/>
      <c r="AL414" s="97"/>
      <c r="AM414" s="97"/>
      <c r="AN414" s="97"/>
      <c r="AO414" s="97"/>
    </row>
    <row r="415" spans="1:41" ht="16.5" customHeight="1" x14ac:dyDescent="0.3">
      <c r="A415" s="59"/>
      <c r="B415" s="68" t="str">
        <f>"    시간당 시공량:  Q1 = Q / "&amp;AB415&amp;" = "&amp;AD415&amp;"    m/Hr "</f>
        <v xml:space="preserve">    시간당 시공량:  Q1 = Q / 8 = 1.110    m/Hr </v>
      </c>
      <c r="C415" s="69"/>
      <c r="D415" s="69"/>
      <c r="E415" s="69"/>
      <c r="F415" s="69"/>
      <c r="G415" s="17" t="s">
        <v>8962</v>
      </c>
      <c r="Z415" s="100" t="str">
        <f>AD414</f>
        <v>8.880</v>
      </c>
      <c r="AA415" s="35" t="s">
        <v>8905</v>
      </c>
      <c r="AB415" s="99">
        <v>8</v>
      </c>
      <c r="AC415" s="35" t="s">
        <v>8892</v>
      </c>
      <c r="AD415" s="100" t="str">
        <f>TEXT(ROUND(AD414/AB415,3),"#,0.000")</f>
        <v>1.110</v>
      </c>
      <c r="AE415" s="97"/>
      <c r="AF415" s="97"/>
      <c r="AG415" s="97"/>
      <c r="AH415" s="97"/>
      <c r="AI415" s="97"/>
      <c r="AJ415" s="97"/>
      <c r="AK415" s="97"/>
      <c r="AL415" s="97"/>
      <c r="AM415" s="97"/>
      <c r="AN415" s="97"/>
      <c r="AO415" s="97"/>
    </row>
    <row r="416" spans="1:41" ht="16.5" customHeight="1" x14ac:dyDescent="0.3">
      <c r="A416" s="69"/>
      <c r="B416" s="69"/>
      <c r="C416" s="69"/>
      <c r="D416" s="69"/>
      <c r="E416" s="69"/>
      <c r="F416" s="69"/>
      <c r="G416" s="17" t="s">
        <v>8885</v>
      </c>
      <c r="Z416" s="97"/>
      <c r="AA416" s="97"/>
      <c r="AB416" s="97"/>
      <c r="AC416" s="97"/>
      <c r="AD416" s="97"/>
      <c r="AE416" s="97"/>
      <c r="AF416" s="97"/>
      <c r="AG416" s="97"/>
      <c r="AH416" s="97"/>
      <c r="AI416" s="97"/>
      <c r="AJ416" s="97"/>
      <c r="AK416" s="97"/>
      <c r="AL416" s="97"/>
      <c r="AM416" s="97"/>
      <c r="AN416" s="97"/>
      <c r="AO416" s="97"/>
    </row>
    <row r="417" spans="1:41" ht="16.5" customHeight="1" x14ac:dyDescent="0.3">
      <c r="A417" s="59"/>
      <c r="B417" s="68" t="s">
        <v>8964</v>
      </c>
      <c r="C417" s="69"/>
      <c r="D417" s="69"/>
      <c r="E417" s="69"/>
      <c r="F417" s="69"/>
      <c r="G417" s="17" t="s">
        <v>8963</v>
      </c>
      <c r="Z417" s="97"/>
      <c r="AA417" s="97"/>
      <c r="AB417" s="97"/>
      <c r="AC417" s="97"/>
      <c r="AD417" s="97"/>
      <c r="AE417" s="97"/>
      <c r="AF417" s="97"/>
      <c r="AG417" s="97"/>
      <c r="AH417" s="97"/>
      <c r="AI417" s="97"/>
      <c r="AJ417" s="97"/>
      <c r="AK417" s="97"/>
      <c r="AL417" s="97"/>
      <c r="AM417" s="97"/>
      <c r="AN417" s="97"/>
      <c r="AO417" s="97"/>
    </row>
    <row r="418" spans="1:41" ht="16.5" customHeight="1" x14ac:dyDescent="0.3">
      <c r="A418" s="69"/>
      <c r="B418" s="69"/>
      <c r="C418" s="69"/>
      <c r="D418" s="69"/>
      <c r="E418" s="69"/>
      <c r="F418" s="69"/>
      <c r="G418" s="17" t="s">
        <v>8885</v>
      </c>
      <c r="Z418" s="97"/>
      <c r="AA418" s="97"/>
      <c r="AB418" s="97"/>
      <c r="AC418" s="97"/>
      <c r="AD418" s="97"/>
      <c r="AE418" s="97"/>
      <c r="AF418" s="97"/>
      <c r="AG418" s="97"/>
      <c r="AH418" s="97"/>
      <c r="AI418" s="97"/>
      <c r="AJ418" s="97"/>
      <c r="AK418" s="97"/>
      <c r="AL418" s="97"/>
      <c r="AM418" s="97"/>
      <c r="AN418" s="97"/>
      <c r="AO418" s="97"/>
    </row>
    <row r="419" spans="1:41" ht="16.5" customHeight="1" x14ac:dyDescent="0.3">
      <c r="A419" s="59" t="s">
        <v>8966</v>
      </c>
      <c r="B419" s="89" t="str">
        <f>"     배 관 공 : "&amp;TEXT(I419,"#,##0"&amp;IF(I419&lt;&gt;INT(I419),".###",""))&amp;" * "&amp;AA419&amp;" 인 / Q 인 = "&amp;TEXT(C419,"#,##0.0")&amp;""</f>
        <v xml:space="preserve">     배 관 공 : 247,897 * 4 인 / Q 인 = 111,665.3</v>
      </c>
      <c r="C419" s="91">
        <f>E419+D419+F419</f>
        <v>111665.3</v>
      </c>
      <c r="D419" s="91">
        <f>IF(H419=0,0,ROUNDDOWN(J419*H419,1))</f>
        <v>111665.3</v>
      </c>
      <c r="E419" s="91">
        <f>IF(H419=0,0,ROUNDDOWN(K419*H419,1))</f>
        <v>0</v>
      </c>
      <c r="F419" s="91">
        <f>IF(H419=0,0,ROUNDDOWN(L419*H419,1))</f>
        <v>0</v>
      </c>
      <c r="G419" s="17" t="s">
        <v>8978</v>
      </c>
      <c r="H419" s="94">
        <f>ROUNDUP(AE419,14-LEN(ABS(INT(AE419))))</f>
        <v>0.45045045045049997</v>
      </c>
      <c r="I419" s="95">
        <f>K419+J419+L419</f>
        <v>247897</v>
      </c>
      <c r="J419" s="39">
        <f>노무비목록표!E10</f>
        <v>247897</v>
      </c>
      <c r="M419" s="35" t="s">
        <v>8366</v>
      </c>
      <c r="N419" s="35" t="s">
        <v>8915</v>
      </c>
      <c r="O419" s="35" t="s">
        <v>7061</v>
      </c>
      <c r="X419" s="96" t="str">
        <f>노무비목록표!B10&amp;" / "&amp;노무비목록표!C10</f>
        <v xml:space="preserve">배관공 / </v>
      </c>
      <c r="Y419" s="3" t="str">
        <f ca="1">HYPERLINK("#"&amp;노무비목록표!G2&amp;"!A"&amp;ROW(노무비목록표!A10),"노무7 →")</f>
        <v>노무7 →</v>
      </c>
      <c r="Z419" s="35" t="s">
        <v>8947</v>
      </c>
      <c r="AA419" s="99">
        <v>4</v>
      </c>
      <c r="AB419" s="35" t="s">
        <v>8905</v>
      </c>
      <c r="AC419" s="100" t="str">
        <f>AD414</f>
        <v>8.880</v>
      </c>
      <c r="AD419" s="35" t="s">
        <v>8892</v>
      </c>
      <c r="AE419" s="100">
        <f>1*AA419/AD414</f>
        <v>0.4504504504504504</v>
      </c>
      <c r="AF419" s="97"/>
      <c r="AG419" s="97"/>
      <c r="AH419" s="97"/>
      <c r="AI419" s="97"/>
      <c r="AJ419" s="97"/>
      <c r="AK419" s="97"/>
      <c r="AL419" s="97"/>
      <c r="AM419" s="97"/>
      <c r="AN419" s="97"/>
      <c r="AO419" s="97"/>
    </row>
    <row r="420" spans="1:41" ht="16.5" customHeight="1" x14ac:dyDescent="0.3">
      <c r="A420" s="59" t="s">
        <v>8949</v>
      </c>
      <c r="B420" s="89" t="str">
        <f>"     보통인부 : "&amp;TEXT(I420,"#,##0"&amp;IF(I420&lt;&gt;INT(I420),".###",""))&amp;" * "&amp;AA420&amp;" 인 / Q 인 = "&amp;TEXT(C420,"#,##0.0")&amp;""</f>
        <v xml:space="preserve">     보통인부 : 172,068 * 1 인 / Q 인 = 19,377.0</v>
      </c>
      <c r="C420" s="91">
        <f>E420+D420+F420</f>
        <v>19377</v>
      </c>
      <c r="D420" s="91">
        <f>IF(H420=0,0,ROUNDDOWN(J420*H420,1))</f>
        <v>19377</v>
      </c>
      <c r="E420" s="91">
        <f>IF(H420=0,0,ROUNDDOWN(K420*H420,1))</f>
        <v>0</v>
      </c>
      <c r="F420" s="91">
        <f>IF(H420=0,0,ROUNDDOWN(L420*H420,1))</f>
        <v>0</v>
      </c>
      <c r="G420" s="17" t="s">
        <v>8967</v>
      </c>
      <c r="H420" s="94">
        <f>ROUNDUP(AE420,14-LEN(ABS(INT(AE420))))</f>
        <v>0.1126126126127</v>
      </c>
      <c r="I420" s="95">
        <f>K420+J420+L420</f>
        <v>172068</v>
      </c>
      <c r="J420" s="39">
        <f>노무비목록표!E12</f>
        <v>172068</v>
      </c>
      <c r="M420" s="35" t="s">
        <v>8261</v>
      </c>
      <c r="N420" s="35" t="s">
        <v>8915</v>
      </c>
      <c r="O420" s="35" t="s">
        <v>7061</v>
      </c>
      <c r="X420" s="96" t="str">
        <f>노무비목록표!B12&amp;" / "&amp;노무비목록표!C12</f>
        <v xml:space="preserve">보통인부 / </v>
      </c>
      <c r="Y420" s="3" t="str">
        <f ca="1">HYPERLINK("#"&amp;노무비목록표!G2&amp;"!A"&amp;ROW(노무비목록표!A12),"노무9 →")</f>
        <v>노무9 →</v>
      </c>
      <c r="Z420" s="35" t="s">
        <v>8947</v>
      </c>
      <c r="AA420" s="99">
        <v>1</v>
      </c>
      <c r="AB420" s="35" t="s">
        <v>8905</v>
      </c>
      <c r="AC420" s="100" t="str">
        <f>AD414</f>
        <v>8.880</v>
      </c>
      <c r="AD420" s="35" t="s">
        <v>8892</v>
      </c>
      <c r="AE420" s="100">
        <f>1*AA420/AD414</f>
        <v>0.1126126126126126</v>
      </c>
      <c r="AF420" s="97"/>
      <c r="AG420" s="97"/>
      <c r="AH420" s="97"/>
      <c r="AI420" s="97"/>
      <c r="AJ420" s="97"/>
      <c r="AK420" s="97"/>
      <c r="AL420" s="97"/>
      <c r="AM420" s="97"/>
      <c r="AN420" s="97"/>
      <c r="AO420" s="97"/>
    </row>
    <row r="421" spans="1:41" ht="16.5" customHeight="1" x14ac:dyDescent="0.3">
      <c r="A421" s="69"/>
      <c r="B421" s="69"/>
      <c r="C421" s="69"/>
      <c r="D421" s="69"/>
      <c r="E421" s="69"/>
      <c r="F421" s="69"/>
      <c r="G421" s="17" t="s">
        <v>8885</v>
      </c>
      <c r="Z421" s="97"/>
      <c r="AA421" s="97"/>
      <c r="AB421" s="97"/>
      <c r="AC421" s="97"/>
      <c r="AD421" s="97"/>
      <c r="AE421" s="97"/>
      <c r="AF421" s="97"/>
      <c r="AG421" s="97"/>
      <c r="AH421" s="97"/>
      <c r="AI421" s="97"/>
      <c r="AJ421" s="97"/>
      <c r="AK421" s="97"/>
      <c r="AL421" s="97"/>
      <c r="AM421" s="97"/>
      <c r="AN421" s="97"/>
      <c r="AO421" s="97"/>
    </row>
    <row r="422" spans="1:41" ht="16.5" customHeight="1" x14ac:dyDescent="0.3">
      <c r="A422" s="59"/>
      <c r="B422" s="89" t="str">
        <f>"    공구손료 및 경장비(절단기, 고소작업대 등) : "&amp;TEXT(I422,"#,##0.0")&amp;" * "&amp;AA422&amp;" %  = "&amp;TEXT(C422,"#,##0.0")&amp;""</f>
        <v xml:space="preserve">    공구손료 및 경장비(절단기, 고소작업대 등) : 131,042.3 * 2 %  = 2,620.8</v>
      </c>
      <c r="C422" s="91">
        <f>E422+D422+F422</f>
        <v>2620.8000000000002</v>
      </c>
      <c r="D422" s="91">
        <f>IF(H422=0,0,ROUNDDOWN(J422*H422/100,1))</f>
        <v>0</v>
      </c>
      <c r="E422" s="91">
        <f>IF(H422=0,0,ROUNDDOWN(K422*H422/100,1))</f>
        <v>0</v>
      </c>
      <c r="F422" s="91">
        <f>IF(H422=0,0,ROUNDDOWN(L422*H422/100,1))</f>
        <v>2620.8000000000002</v>
      </c>
      <c r="G422" s="17" t="s">
        <v>8968</v>
      </c>
      <c r="H422" s="94">
        <f>ROUNDUP(AC422,14-LEN(ABS(INT(AC422))))</f>
        <v>2</v>
      </c>
      <c r="I422" s="95">
        <f>K422+J422+L422</f>
        <v>131042.3</v>
      </c>
      <c r="J422" s="36">
        <v>0</v>
      </c>
      <c r="K422" s="36">
        <v>0</v>
      </c>
      <c r="L422" s="39">
        <f>D419+D420</f>
        <v>131042.3</v>
      </c>
      <c r="M422" s="35" t="s">
        <v>8969</v>
      </c>
      <c r="N422" s="35" t="s">
        <v>8915</v>
      </c>
      <c r="Z422" s="35" t="s">
        <v>8947</v>
      </c>
      <c r="AA422" s="99">
        <v>2</v>
      </c>
      <c r="AB422" s="35" t="s">
        <v>8892</v>
      </c>
      <c r="AC422" s="100">
        <f>1*AA422</f>
        <v>2</v>
      </c>
      <c r="AD422" s="97"/>
      <c r="AE422" s="97"/>
      <c r="AF422" s="97"/>
      <c r="AG422" s="97"/>
      <c r="AH422" s="97"/>
      <c r="AI422" s="97"/>
      <c r="AJ422" s="97"/>
      <c r="AK422" s="97"/>
      <c r="AL422" s="97"/>
      <c r="AM422" s="97"/>
      <c r="AN422" s="97"/>
      <c r="AO422" s="97"/>
    </row>
    <row r="423" spans="1:41" ht="16.5" customHeight="1" x14ac:dyDescent="0.3">
      <c r="A423" s="69"/>
      <c r="B423" s="69"/>
      <c r="C423" s="69"/>
      <c r="D423" s="69"/>
      <c r="E423" s="69"/>
      <c r="F423" s="69"/>
      <c r="G423" s="17" t="s">
        <v>8885</v>
      </c>
      <c r="Z423" s="97"/>
      <c r="AA423" s="97"/>
      <c r="AB423" s="97"/>
      <c r="AC423" s="97"/>
      <c r="AD423" s="97"/>
      <c r="AE423" s="97"/>
      <c r="AF423" s="97"/>
      <c r="AG423" s="97"/>
      <c r="AH423" s="97"/>
      <c r="AI423" s="97"/>
      <c r="AJ423" s="97"/>
      <c r="AK423" s="97"/>
      <c r="AL423" s="97"/>
      <c r="AM423" s="97"/>
      <c r="AN423" s="97"/>
      <c r="AO423" s="97"/>
    </row>
    <row r="424" spans="1:41" ht="16.5" customHeight="1" x14ac:dyDescent="0.3">
      <c r="A424" s="59"/>
      <c r="B424" s="68" t="s">
        <v>8914</v>
      </c>
      <c r="C424" s="92">
        <f>E424+D424+F424</f>
        <v>133663.1</v>
      </c>
      <c r="D424" s="92">
        <f>SUMIF(N407:N423,M424,D407:D423)</f>
        <v>131042.3</v>
      </c>
      <c r="E424" s="92">
        <f>SUMIF(N407:N423,M424,E407:E423)</f>
        <v>0</v>
      </c>
      <c r="F424" s="92">
        <f>SUMIF(N407:N423,M424,F407:F423)</f>
        <v>2620.8000000000002</v>
      </c>
      <c r="G424" s="17" t="s">
        <v>8927</v>
      </c>
      <c r="M424" s="35" t="s">
        <v>8915</v>
      </c>
      <c r="N424" s="35" t="s">
        <v>8952</v>
      </c>
      <c r="Z424" s="97"/>
      <c r="AA424" s="97"/>
      <c r="AB424" s="97"/>
      <c r="AC424" s="97"/>
      <c r="AD424" s="97"/>
      <c r="AE424" s="97"/>
      <c r="AF424" s="97"/>
      <c r="AG424" s="97"/>
      <c r="AH424" s="97"/>
      <c r="AI424" s="97"/>
      <c r="AJ424" s="97"/>
      <c r="AK424" s="97"/>
      <c r="AL424" s="97"/>
      <c r="AM424" s="97"/>
      <c r="AN424" s="97"/>
      <c r="AO424" s="97"/>
    </row>
    <row r="425" spans="1:41" ht="16.5" customHeight="1" x14ac:dyDescent="0.3">
      <c r="A425" s="59"/>
      <c r="B425" s="68" t="s">
        <v>8951</v>
      </c>
      <c r="C425" s="93">
        <f>E425+D425+F425</f>
        <v>133663.1</v>
      </c>
      <c r="D425" s="93">
        <f>SUMIF(N407:N424,M425,D407:D424)</f>
        <v>131042.3</v>
      </c>
      <c r="E425" s="93">
        <f>SUMIF(N407:N424,M425,E407:E424)</f>
        <v>0</v>
      </c>
      <c r="F425" s="93">
        <f>SUMIF(N407:N424,M425,F407:F424)</f>
        <v>2620.8000000000002</v>
      </c>
      <c r="G425" s="17" t="s">
        <v>8950</v>
      </c>
      <c r="M425" s="35" t="s">
        <v>8952</v>
      </c>
      <c r="N425" s="35" t="s">
        <v>6406</v>
      </c>
      <c r="Z425" s="97"/>
      <c r="AA425" s="97"/>
      <c r="AB425" s="97"/>
      <c r="AC425" s="97"/>
      <c r="AD425" s="97"/>
      <c r="AE425" s="97"/>
      <c r="AF425" s="97"/>
      <c r="AG425" s="97"/>
      <c r="AH425" s="97"/>
      <c r="AI425" s="97"/>
      <c r="AJ425" s="97"/>
      <c r="AK425" s="97"/>
      <c r="AL425" s="97"/>
      <c r="AM425" s="97"/>
      <c r="AN425" s="97"/>
      <c r="AO425" s="97"/>
    </row>
    <row r="426" spans="1:41" ht="16.5" customHeight="1" x14ac:dyDescent="0.3">
      <c r="A426" s="69"/>
      <c r="B426" s="69"/>
      <c r="C426" s="90"/>
      <c r="D426" s="90"/>
      <c r="E426" s="90"/>
      <c r="F426" s="90"/>
      <c r="Z426" s="97"/>
      <c r="AA426" s="97"/>
      <c r="AB426" s="97"/>
      <c r="AC426" s="97"/>
      <c r="AD426" s="97"/>
      <c r="AE426" s="97"/>
      <c r="AF426" s="97"/>
      <c r="AG426" s="97"/>
      <c r="AH426" s="97"/>
      <c r="AI426" s="97"/>
      <c r="AJ426" s="97"/>
      <c r="AK426" s="97"/>
      <c r="AL426" s="97"/>
      <c r="AM426" s="97"/>
      <c r="AN426" s="97"/>
      <c r="AO426" s="97"/>
    </row>
    <row r="427" spans="1:41" ht="16.5" customHeight="1" x14ac:dyDescent="0.3">
      <c r="A427" s="69"/>
      <c r="B427" s="69"/>
      <c r="C427" s="69"/>
      <c r="D427" s="69"/>
      <c r="E427" s="69"/>
      <c r="F427" s="69"/>
      <c r="Z427" s="97"/>
      <c r="AA427" s="97"/>
      <c r="AB427" s="97"/>
      <c r="AC427" s="97"/>
      <c r="AD427" s="97"/>
      <c r="AE427" s="97"/>
      <c r="AF427" s="97"/>
      <c r="AG427" s="97"/>
      <c r="AH427" s="97"/>
      <c r="AI427" s="97"/>
      <c r="AJ427" s="97"/>
      <c r="AK427" s="97"/>
      <c r="AL427" s="97"/>
      <c r="AM427" s="97"/>
      <c r="AN427" s="97"/>
      <c r="AO427" s="97"/>
    </row>
    <row r="428" spans="1:41" ht="16.5" customHeight="1" x14ac:dyDescent="0.3">
      <c r="A428" s="69"/>
      <c r="B428" s="69"/>
      <c r="C428" s="69"/>
      <c r="D428" s="69"/>
      <c r="E428" s="69"/>
      <c r="F428" s="69"/>
      <c r="Z428" s="97"/>
      <c r="AA428" s="97"/>
      <c r="AB428" s="97"/>
      <c r="AC428" s="97"/>
      <c r="AD428" s="97"/>
      <c r="AE428" s="97"/>
      <c r="AF428" s="97"/>
      <c r="AG428" s="97"/>
      <c r="AH428" s="97"/>
      <c r="AI428" s="97"/>
      <c r="AJ428" s="97"/>
      <c r="AK428" s="97"/>
      <c r="AL428" s="97"/>
      <c r="AM428" s="97"/>
      <c r="AN428" s="97"/>
      <c r="AO428" s="97"/>
    </row>
    <row r="429" spans="1:41" ht="16.5" customHeight="1" x14ac:dyDescent="0.3">
      <c r="A429" s="69"/>
      <c r="B429" s="69"/>
      <c r="C429" s="69"/>
      <c r="D429" s="69"/>
      <c r="E429" s="69"/>
      <c r="F429" s="69"/>
      <c r="Z429" s="97"/>
      <c r="AA429" s="97"/>
      <c r="AB429" s="97"/>
      <c r="AC429" s="97"/>
      <c r="AD429" s="97"/>
      <c r="AE429" s="97"/>
      <c r="AF429" s="97"/>
      <c r="AG429" s="97"/>
      <c r="AH429" s="97"/>
      <c r="AI429" s="97"/>
      <c r="AJ429" s="97"/>
      <c r="AK429" s="97"/>
      <c r="AL429" s="97"/>
      <c r="AM429" s="97"/>
      <c r="AN429" s="97"/>
      <c r="AO429" s="97"/>
    </row>
    <row r="430" spans="1:41" ht="16.5" customHeight="1" x14ac:dyDescent="0.3">
      <c r="A430" s="69"/>
      <c r="B430" s="69"/>
      <c r="C430" s="69"/>
      <c r="D430" s="69"/>
      <c r="E430" s="69"/>
      <c r="F430" s="69"/>
      <c r="Z430" s="97"/>
      <c r="AA430" s="97"/>
      <c r="AB430" s="97"/>
      <c r="AC430" s="97"/>
      <c r="AD430" s="97"/>
      <c r="AE430" s="97"/>
      <c r="AF430" s="97"/>
      <c r="AG430" s="97"/>
      <c r="AH430" s="97"/>
      <c r="AI430" s="97"/>
      <c r="AJ430" s="97"/>
      <c r="AK430" s="97"/>
      <c r="AL430" s="97"/>
      <c r="AM430" s="97"/>
      <c r="AN430" s="97"/>
      <c r="AO430" s="97"/>
    </row>
    <row r="431" spans="1:41" ht="16.5" customHeight="1" x14ac:dyDescent="0.3">
      <c r="A431" s="69"/>
      <c r="B431" s="69"/>
      <c r="C431" s="69"/>
      <c r="D431" s="69"/>
      <c r="E431" s="69"/>
      <c r="F431" s="69"/>
      <c r="Z431" s="97"/>
      <c r="AA431" s="97"/>
      <c r="AB431" s="97"/>
      <c r="AC431" s="97"/>
      <c r="AD431" s="97"/>
      <c r="AE431" s="97"/>
      <c r="AF431" s="97"/>
      <c r="AG431" s="97"/>
      <c r="AH431" s="97"/>
      <c r="AI431" s="97"/>
      <c r="AJ431" s="97"/>
      <c r="AK431" s="97"/>
      <c r="AL431" s="97"/>
      <c r="AM431" s="97"/>
      <c r="AN431" s="97"/>
      <c r="AO431" s="97"/>
    </row>
    <row r="432" spans="1:41" ht="16.5" customHeight="1" x14ac:dyDescent="0.3">
      <c r="A432" s="69"/>
      <c r="B432" s="69"/>
      <c r="C432" s="69"/>
      <c r="D432" s="69"/>
      <c r="E432" s="69"/>
      <c r="F432" s="69"/>
      <c r="Z432" s="97"/>
      <c r="AA432" s="97"/>
      <c r="AB432" s="97"/>
      <c r="AC432" s="97"/>
      <c r="AD432" s="97"/>
      <c r="AE432" s="97"/>
      <c r="AF432" s="97"/>
      <c r="AG432" s="97"/>
      <c r="AH432" s="97"/>
      <c r="AI432" s="97"/>
      <c r="AJ432" s="97"/>
      <c r="AK432" s="97"/>
      <c r="AL432" s="97"/>
      <c r="AM432" s="97"/>
      <c r="AN432" s="97"/>
      <c r="AO432" s="97"/>
    </row>
    <row r="433" spans="1:41" ht="16.5" customHeight="1" x14ac:dyDescent="0.3">
      <c r="A433" s="69"/>
      <c r="B433" s="69"/>
      <c r="C433" s="69"/>
      <c r="D433" s="69"/>
      <c r="E433" s="69"/>
      <c r="F433" s="69"/>
      <c r="Z433" s="97"/>
      <c r="AA433" s="97"/>
      <c r="AB433" s="97"/>
      <c r="AC433" s="97"/>
      <c r="AD433" s="97"/>
      <c r="AE433" s="97"/>
      <c r="AF433" s="97"/>
      <c r="AG433" s="97"/>
      <c r="AH433" s="97"/>
      <c r="AI433" s="97"/>
      <c r="AJ433" s="97"/>
      <c r="AK433" s="97"/>
      <c r="AL433" s="97"/>
      <c r="AM433" s="97"/>
      <c r="AN433" s="97"/>
      <c r="AO433" s="97"/>
    </row>
    <row r="434" spans="1:41" ht="16.5" customHeight="1" x14ac:dyDescent="0.3">
      <c r="A434" s="69"/>
      <c r="B434" s="69"/>
      <c r="C434" s="69"/>
      <c r="D434" s="69"/>
      <c r="E434" s="69"/>
      <c r="F434" s="69"/>
      <c r="Z434" s="97"/>
      <c r="AA434" s="97"/>
      <c r="AB434" s="97"/>
      <c r="AC434" s="97"/>
      <c r="AD434" s="97"/>
      <c r="AE434" s="97"/>
      <c r="AF434" s="97"/>
      <c r="AG434" s="97"/>
      <c r="AH434" s="97"/>
      <c r="AI434" s="97"/>
      <c r="AJ434" s="97"/>
      <c r="AK434" s="97"/>
      <c r="AL434" s="97"/>
      <c r="AM434" s="97"/>
      <c r="AN434" s="97"/>
      <c r="AO434" s="97"/>
    </row>
    <row r="435" spans="1:41" ht="16.5" customHeight="1" x14ac:dyDescent="0.3">
      <c r="A435" s="69"/>
      <c r="B435" s="69"/>
      <c r="C435" s="69"/>
      <c r="D435" s="69"/>
      <c r="E435" s="69"/>
      <c r="F435" s="69"/>
      <c r="Z435" s="97"/>
      <c r="AA435" s="97"/>
      <c r="AB435" s="97"/>
      <c r="AC435" s="97"/>
      <c r="AD435" s="97"/>
      <c r="AE435" s="97"/>
      <c r="AF435" s="97"/>
      <c r="AG435" s="97"/>
      <c r="AH435" s="97"/>
      <c r="AI435" s="97"/>
      <c r="AJ435" s="97"/>
      <c r="AK435" s="97"/>
      <c r="AL435" s="97"/>
      <c r="AM435" s="97"/>
      <c r="AN435" s="97"/>
      <c r="AO435" s="97"/>
    </row>
    <row r="436" spans="1:41" ht="16.5" customHeight="1" x14ac:dyDescent="0.3">
      <c r="A436" s="69"/>
      <c r="B436" s="69"/>
      <c r="C436" s="69"/>
      <c r="D436" s="69"/>
      <c r="E436" s="69"/>
      <c r="F436" s="69"/>
      <c r="Z436" s="97"/>
      <c r="AA436" s="97"/>
      <c r="AB436" s="97"/>
      <c r="AC436" s="97"/>
      <c r="AD436" s="97"/>
      <c r="AE436" s="97"/>
      <c r="AF436" s="97"/>
      <c r="AG436" s="97"/>
      <c r="AH436" s="97"/>
      <c r="AI436" s="97"/>
      <c r="AJ436" s="97"/>
      <c r="AK436" s="97"/>
      <c r="AL436" s="97"/>
      <c r="AM436" s="97"/>
      <c r="AN436" s="97"/>
      <c r="AO436" s="97"/>
    </row>
    <row r="437" spans="1:41" ht="16.5" customHeight="1" x14ac:dyDescent="0.3">
      <c r="A437" s="69"/>
      <c r="B437" s="69"/>
      <c r="C437" s="69"/>
      <c r="D437" s="69"/>
      <c r="E437" s="69"/>
      <c r="F437" s="69"/>
      <c r="Z437" s="97"/>
      <c r="AA437" s="97"/>
      <c r="AB437" s="97"/>
      <c r="AC437" s="97"/>
      <c r="AD437" s="97"/>
      <c r="AE437" s="97"/>
      <c r="AF437" s="97"/>
      <c r="AG437" s="97"/>
      <c r="AH437" s="97"/>
      <c r="AI437" s="97"/>
      <c r="AJ437" s="97"/>
      <c r="AK437" s="97"/>
      <c r="AL437" s="97"/>
      <c r="AM437" s="97"/>
      <c r="AN437" s="97"/>
      <c r="AO437" s="97"/>
    </row>
    <row r="438" spans="1:41" ht="16.5" customHeight="1" x14ac:dyDescent="0.3">
      <c r="A438" s="69"/>
      <c r="B438" s="69"/>
      <c r="C438" s="69"/>
      <c r="D438" s="69"/>
      <c r="E438" s="69"/>
      <c r="F438" s="69"/>
      <c r="Z438" s="97"/>
      <c r="AA438" s="97"/>
      <c r="AB438" s="97"/>
      <c r="AC438" s="97"/>
      <c r="AD438" s="97"/>
      <c r="AE438" s="97"/>
      <c r="AF438" s="97"/>
      <c r="AG438" s="97"/>
      <c r="AH438" s="97"/>
      <c r="AI438" s="97"/>
      <c r="AJ438" s="97"/>
      <c r="AK438" s="97"/>
      <c r="AL438" s="97"/>
      <c r="AM438" s="97"/>
      <c r="AN438" s="97"/>
      <c r="AO438" s="97"/>
    </row>
    <row r="439" spans="1:41" ht="16.5" customHeight="1" x14ac:dyDescent="0.3">
      <c r="A439" s="69"/>
      <c r="B439" s="69"/>
      <c r="C439" s="69"/>
      <c r="D439" s="69"/>
      <c r="E439" s="69"/>
      <c r="F439" s="69"/>
      <c r="Z439" s="97"/>
      <c r="AA439" s="97"/>
      <c r="AB439" s="97"/>
      <c r="AC439" s="97"/>
      <c r="AD439" s="97"/>
      <c r="AE439" s="97"/>
      <c r="AF439" s="97"/>
      <c r="AG439" s="97"/>
      <c r="AH439" s="97"/>
      <c r="AI439" s="97"/>
      <c r="AJ439" s="97"/>
      <c r="AK439" s="97"/>
      <c r="AL439" s="97"/>
      <c r="AM439" s="97"/>
      <c r="AN439" s="97"/>
      <c r="AO439" s="97"/>
    </row>
    <row r="440" spans="1:41" ht="16.5" customHeight="1" x14ac:dyDescent="0.3">
      <c r="A440" s="69"/>
      <c r="B440" s="69"/>
      <c r="C440" s="69"/>
      <c r="D440" s="69"/>
      <c r="E440" s="69"/>
      <c r="F440" s="69"/>
      <c r="Z440" s="97"/>
      <c r="AA440" s="97"/>
      <c r="AB440" s="97"/>
      <c r="AC440" s="97"/>
      <c r="AD440" s="97"/>
      <c r="AE440" s="97"/>
      <c r="AF440" s="97"/>
      <c r="AG440" s="97"/>
      <c r="AH440" s="97"/>
      <c r="AI440" s="97"/>
      <c r="AJ440" s="97"/>
      <c r="AK440" s="97"/>
      <c r="AL440" s="97"/>
      <c r="AM440" s="97"/>
      <c r="AN440" s="97"/>
      <c r="AO440" s="97"/>
    </row>
    <row r="441" spans="1:41" ht="16.5" customHeight="1" x14ac:dyDescent="0.3">
      <c r="A441" s="69"/>
      <c r="B441" s="69"/>
      <c r="C441" s="69"/>
      <c r="D441" s="69"/>
      <c r="E441" s="69"/>
      <c r="F441" s="69"/>
      <c r="Z441" s="97"/>
      <c r="AA441" s="97"/>
      <c r="AB441" s="97"/>
      <c r="AC441" s="97"/>
      <c r="AD441" s="97"/>
      <c r="AE441" s="97"/>
      <c r="AF441" s="97"/>
      <c r="AG441" s="97"/>
      <c r="AH441" s="97"/>
      <c r="AI441" s="97"/>
      <c r="AJ441" s="97"/>
      <c r="AK441" s="97"/>
      <c r="AL441" s="97"/>
      <c r="AM441" s="97"/>
      <c r="AN441" s="97"/>
      <c r="AO441" s="97"/>
    </row>
    <row r="442" spans="1:41" ht="16.5" customHeight="1" x14ac:dyDescent="0.3">
      <c r="A442" s="69"/>
      <c r="B442" s="69"/>
      <c r="C442" s="69"/>
      <c r="D442" s="69"/>
      <c r="E442" s="69"/>
      <c r="F442" s="69"/>
      <c r="Z442" s="97"/>
      <c r="AA442" s="97"/>
      <c r="AB442" s="97"/>
      <c r="AC442" s="97"/>
      <c r="AD442" s="97"/>
      <c r="AE442" s="97"/>
      <c r="AF442" s="97"/>
      <c r="AG442" s="97"/>
      <c r="AH442" s="97"/>
      <c r="AI442" s="97"/>
      <c r="AJ442" s="97"/>
      <c r="AK442" s="97"/>
      <c r="AL442" s="97"/>
      <c r="AM442" s="97"/>
      <c r="AN442" s="97"/>
      <c r="AO442" s="97"/>
    </row>
    <row r="443" spans="1:41" ht="16.5" customHeight="1" x14ac:dyDescent="0.3">
      <c r="A443" s="69"/>
      <c r="B443" s="69"/>
      <c r="C443" s="69"/>
      <c r="D443" s="69"/>
      <c r="E443" s="69"/>
      <c r="F443" s="69"/>
      <c r="Z443" s="97"/>
      <c r="AA443" s="97"/>
      <c r="AB443" s="97"/>
      <c r="AC443" s="97"/>
      <c r="AD443" s="97"/>
      <c r="AE443" s="97"/>
      <c r="AF443" s="97"/>
      <c r="AG443" s="97"/>
      <c r="AH443" s="97"/>
      <c r="AI443" s="97"/>
      <c r="AJ443" s="97"/>
      <c r="AK443" s="97"/>
      <c r="AL443" s="97"/>
      <c r="AM443" s="97"/>
      <c r="AN443" s="97"/>
      <c r="AO443" s="97"/>
    </row>
    <row r="444" spans="1:41" ht="16.5" customHeight="1" x14ac:dyDescent="0.3">
      <c r="A444" s="69"/>
      <c r="B444" s="69"/>
      <c r="C444" s="69"/>
      <c r="D444" s="69"/>
      <c r="E444" s="69"/>
      <c r="F444" s="69"/>
      <c r="Z444" s="97"/>
      <c r="AA444" s="97"/>
      <c r="AB444" s="97"/>
      <c r="AC444" s="97"/>
      <c r="AD444" s="97"/>
      <c r="AE444" s="97"/>
      <c r="AF444" s="97"/>
      <c r="AG444" s="97"/>
      <c r="AH444" s="97"/>
      <c r="AI444" s="97"/>
      <c r="AJ444" s="97"/>
      <c r="AK444" s="97"/>
      <c r="AL444" s="97"/>
      <c r="AM444" s="97"/>
      <c r="AN444" s="97"/>
      <c r="AO444" s="97"/>
    </row>
    <row r="445" spans="1:41" ht="16.5" customHeight="1" x14ac:dyDescent="0.3">
      <c r="A445" s="69"/>
      <c r="B445" s="69"/>
      <c r="C445" s="69"/>
      <c r="D445" s="69"/>
      <c r="E445" s="69"/>
      <c r="F445" s="69"/>
      <c r="Z445" s="97"/>
      <c r="AA445" s="97"/>
      <c r="AB445" s="97"/>
      <c r="AC445" s="97"/>
      <c r="AD445" s="97"/>
      <c r="AE445" s="97"/>
      <c r="AF445" s="97"/>
      <c r="AG445" s="97"/>
      <c r="AH445" s="97"/>
      <c r="AI445" s="97"/>
      <c r="AJ445" s="97"/>
      <c r="AK445" s="97"/>
      <c r="AL445" s="97"/>
      <c r="AM445" s="97"/>
      <c r="AN445" s="97"/>
      <c r="AO445" s="97"/>
    </row>
    <row r="446" spans="1:41" ht="16.5" customHeight="1" x14ac:dyDescent="0.3">
      <c r="A446" s="69"/>
      <c r="B446" s="69"/>
      <c r="C446" s="69"/>
      <c r="D446" s="69"/>
      <c r="E446" s="69"/>
      <c r="F446" s="69"/>
      <c r="Z446" s="97"/>
      <c r="AA446" s="97"/>
      <c r="AB446" s="97"/>
      <c r="AC446" s="97"/>
      <c r="AD446" s="97"/>
      <c r="AE446" s="97"/>
      <c r="AF446" s="97"/>
      <c r="AG446" s="97"/>
      <c r="AH446" s="97"/>
      <c r="AI446" s="97"/>
      <c r="AJ446" s="97"/>
      <c r="AK446" s="97"/>
      <c r="AL446" s="97"/>
      <c r="AM446" s="97"/>
      <c r="AN446" s="97"/>
      <c r="AO446" s="97"/>
    </row>
    <row r="447" spans="1:41" ht="16.5" customHeight="1" x14ac:dyDescent="0.3">
      <c r="A447" s="69"/>
      <c r="B447" s="69"/>
      <c r="C447" s="69"/>
      <c r="D447" s="69"/>
      <c r="E447" s="69"/>
      <c r="F447" s="69"/>
      <c r="Z447" s="97"/>
      <c r="AA447" s="97"/>
      <c r="AB447" s="97"/>
      <c r="AC447" s="97"/>
      <c r="AD447" s="97"/>
      <c r="AE447" s="97"/>
      <c r="AF447" s="97"/>
      <c r="AG447" s="97"/>
      <c r="AH447" s="97"/>
      <c r="AI447" s="97"/>
      <c r="AJ447" s="97"/>
      <c r="AK447" s="97"/>
      <c r="AL447" s="97"/>
      <c r="AM447" s="97"/>
      <c r="AN447" s="97"/>
      <c r="AO447" s="97"/>
    </row>
    <row r="448" spans="1:41" ht="16.5" customHeight="1" x14ac:dyDescent="0.3">
      <c r="A448" s="69"/>
      <c r="B448" s="69"/>
      <c r="C448" s="69"/>
      <c r="D448" s="69"/>
      <c r="E448" s="69"/>
      <c r="F448" s="69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O448" s="97"/>
    </row>
    <row r="449" spans="1:41" ht="16.5" customHeight="1" x14ac:dyDescent="0.3">
      <c r="A449" s="69"/>
      <c r="B449" s="69"/>
      <c r="C449" s="69"/>
      <c r="D449" s="69"/>
      <c r="E449" s="69"/>
      <c r="F449" s="69"/>
      <c r="Z449" s="97"/>
      <c r="AA449" s="97"/>
      <c r="AB449" s="97"/>
      <c r="AC449" s="97"/>
      <c r="AD449" s="97"/>
      <c r="AE449" s="97"/>
      <c r="AF449" s="97"/>
      <c r="AG449" s="97"/>
      <c r="AH449" s="97"/>
      <c r="AI449" s="97"/>
      <c r="AJ449" s="97"/>
      <c r="AK449" s="97"/>
      <c r="AL449" s="97"/>
      <c r="AM449" s="97"/>
      <c r="AN449" s="97"/>
      <c r="AO449" s="97"/>
    </row>
    <row r="450" spans="1:41" ht="16.5" customHeight="1" x14ac:dyDescent="0.3">
      <c r="A450" s="69"/>
      <c r="B450" s="69"/>
      <c r="C450" s="69"/>
      <c r="D450" s="69"/>
      <c r="E450" s="69"/>
      <c r="F450" s="69"/>
      <c r="Z450" s="97"/>
      <c r="AA450" s="97"/>
      <c r="AB450" s="97"/>
      <c r="AC450" s="97"/>
      <c r="AD450" s="97"/>
      <c r="AE450" s="97"/>
      <c r="AF450" s="97"/>
      <c r="AG450" s="97"/>
      <c r="AH450" s="97"/>
      <c r="AI450" s="97"/>
      <c r="AJ450" s="97"/>
      <c r="AK450" s="97"/>
      <c r="AL450" s="97"/>
      <c r="AM450" s="97"/>
      <c r="AN450" s="97"/>
      <c r="AO450" s="97"/>
    </row>
    <row r="451" spans="1:41" ht="16.5" customHeight="1" x14ac:dyDescent="0.3">
      <c r="A451" s="69"/>
      <c r="B451" s="69"/>
      <c r="C451" s="69"/>
      <c r="D451" s="69"/>
      <c r="E451" s="69"/>
      <c r="F451" s="69"/>
      <c r="Z451" s="97"/>
      <c r="AA451" s="97"/>
      <c r="AB451" s="97"/>
      <c r="AC451" s="97"/>
      <c r="AD451" s="97"/>
      <c r="AE451" s="97"/>
      <c r="AF451" s="97"/>
      <c r="AG451" s="97"/>
      <c r="AH451" s="97"/>
      <c r="AI451" s="97"/>
      <c r="AJ451" s="97"/>
      <c r="AK451" s="97"/>
      <c r="AL451" s="97"/>
      <c r="AM451" s="97"/>
      <c r="AN451" s="97"/>
      <c r="AO451" s="97"/>
    </row>
    <row r="452" spans="1:41" ht="16.5" customHeight="1" x14ac:dyDescent="0.3">
      <c r="A452" s="69"/>
      <c r="B452" s="69"/>
      <c r="C452" s="69"/>
      <c r="D452" s="69"/>
      <c r="E452" s="69"/>
      <c r="F452" s="69"/>
      <c r="Z452" s="97"/>
      <c r="AA452" s="97"/>
      <c r="AB452" s="97"/>
      <c r="AC452" s="97"/>
      <c r="AD452" s="97"/>
      <c r="AE452" s="97"/>
      <c r="AF452" s="97"/>
      <c r="AG452" s="97"/>
      <c r="AH452" s="97"/>
      <c r="AI452" s="97"/>
      <c r="AJ452" s="97"/>
      <c r="AK452" s="97"/>
      <c r="AL452" s="97"/>
      <c r="AM452" s="97"/>
      <c r="AN452" s="97"/>
      <c r="AO452" s="97"/>
    </row>
    <row r="453" spans="1:41" ht="16.5" customHeight="1" x14ac:dyDescent="0.3">
      <c r="A453" s="74"/>
      <c r="B453" s="74"/>
      <c r="C453" s="74"/>
      <c r="D453" s="74"/>
      <c r="E453" s="74"/>
      <c r="F453" s="74"/>
      <c r="Z453" s="97"/>
      <c r="AA453" s="97"/>
      <c r="AB453" s="97"/>
      <c r="AC453" s="97"/>
      <c r="AD453" s="97"/>
      <c r="AE453" s="97"/>
      <c r="AF453" s="97"/>
      <c r="AG453" s="97"/>
      <c r="AH453" s="97"/>
      <c r="AI453" s="97"/>
      <c r="AJ453" s="97"/>
      <c r="AK453" s="97"/>
      <c r="AL453" s="97"/>
      <c r="AM453" s="97"/>
      <c r="AN453" s="97"/>
      <c r="AO453" s="97"/>
    </row>
    <row r="454" spans="1:41" ht="16.5" customHeight="1" x14ac:dyDescent="0.3">
      <c r="A454" s="145" t="s">
        <v>8953</v>
      </c>
      <c r="B454" s="138"/>
      <c r="C454" s="48">
        <f>E454+D454+F454</f>
        <v>133662</v>
      </c>
      <c r="D454" s="47">
        <f>ROUNDDOWN(SUMIF(N407:N425,M454,D407:D425),0)</f>
        <v>131042</v>
      </c>
      <c r="E454" s="56">
        <f>ROUNDDOWN(SUMIF(N407:N425,M454,E407:E425),0)</f>
        <v>0</v>
      </c>
      <c r="F454" s="48">
        <f>ROUNDDOWN(SUMIF(N407:N425,M454,F407:F425),0)</f>
        <v>2620</v>
      </c>
      <c r="M454" s="35" t="s">
        <v>6406</v>
      </c>
      <c r="Z454" s="97"/>
      <c r="AA454" s="97"/>
      <c r="AB454" s="97"/>
      <c r="AC454" s="97"/>
      <c r="AD454" s="97"/>
      <c r="AE454" s="97"/>
      <c r="AF454" s="97"/>
      <c r="AG454" s="97"/>
      <c r="AH454" s="97"/>
      <c r="AI454" s="97"/>
      <c r="AJ454" s="97"/>
      <c r="AK454" s="97"/>
      <c r="AL454" s="97"/>
      <c r="AM454" s="97"/>
      <c r="AN454" s="97"/>
      <c r="AO454" s="97"/>
    </row>
    <row r="455" spans="1:41" ht="16.5" customHeight="1" x14ac:dyDescent="0.3">
      <c r="A455" s="86" t="s">
        <v>34</v>
      </c>
      <c r="B455" s="88" t="s">
        <v>34</v>
      </c>
      <c r="C455" s="146">
        <f>C504</f>
        <v>48340</v>
      </c>
      <c r="D455" s="146">
        <f>D504</f>
        <v>34461</v>
      </c>
      <c r="E455" s="146">
        <f>E504</f>
        <v>13535</v>
      </c>
      <c r="F455" s="146">
        <f>F504</f>
        <v>344</v>
      </c>
      <c r="G455" s="84" t="str">
        <f>HYPERLINK("#G"&amp;ROW(G490),"_x0005_`BDCOD|D00362_x0007_`POSS|"&amp;ROW(G457)&amp;"_x0007_`POSE|"&amp;ROW(G490)&amp;"_x0007_`")</f>
        <v>_x0005_`BDCOD|D00362_x0007_`POSS|457_x0007_`POSE|490_x0007_`</v>
      </c>
      <c r="Z455" s="97"/>
      <c r="AA455" s="97"/>
      <c r="AB455" s="97"/>
      <c r="AC455" s="97"/>
      <c r="AD455" s="97"/>
      <c r="AE455" s="97"/>
      <c r="AF455" s="97"/>
      <c r="AG455" s="97"/>
      <c r="AH455" s="97"/>
      <c r="AI455" s="97"/>
      <c r="AJ455" s="97"/>
      <c r="AK455" s="97"/>
      <c r="AL455" s="97"/>
      <c r="AM455" s="97"/>
      <c r="AN455" s="97"/>
      <c r="AO455" s="97"/>
    </row>
    <row r="456" spans="1:41" ht="16.5" customHeight="1" x14ac:dyDescent="0.3">
      <c r="A456" s="87"/>
      <c r="B456" s="88" t="s">
        <v>1998</v>
      </c>
      <c r="C456" s="127"/>
      <c r="D456" s="127"/>
      <c r="E456" s="127"/>
      <c r="F456" s="127"/>
      <c r="M456" s="35" t="s">
        <v>8981</v>
      </c>
      <c r="Z456" s="97"/>
      <c r="AA456" s="97"/>
      <c r="AB456" s="97"/>
      <c r="AC456" s="97"/>
      <c r="AD456" s="97"/>
      <c r="AE456" s="97"/>
      <c r="AF456" s="97"/>
      <c r="AG456" s="97"/>
      <c r="AH456" s="97"/>
      <c r="AI456" s="97"/>
      <c r="AJ456" s="97"/>
      <c r="AK456" s="97"/>
      <c r="AL456" s="97"/>
      <c r="AM456" s="97"/>
      <c r="AN456" s="97"/>
      <c r="AO456" s="97"/>
    </row>
    <row r="457" spans="1:41" ht="16.5" customHeight="1" x14ac:dyDescent="0.3">
      <c r="A457" s="69"/>
      <c r="B457" s="69"/>
      <c r="C457" s="90"/>
      <c r="D457" s="90"/>
      <c r="E457" s="90"/>
      <c r="F457" s="90"/>
      <c r="G457" s="17" t="s">
        <v>8885</v>
      </c>
      <c r="Z457" s="97"/>
      <c r="AA457" s="97"/>
      <c r="AB457" s="97"/>
      <c r="AC457" s="97"/>
      <c r="AD457" s="97"/>
      <c r="AE457" s="97"/>
      <c r="AF457" s="97"/>
      <c r="AG457" s="97"/>
      <c r="AH457" s="97"/>
      <c r="AI457" s="97"/>
      <c r="AJ457" s="97"/>
      <c r="AK457" s="97"/>
      <c r="AL457" s="97"/>
      <c r="AM457" s="97"/>
      <c r="AN457" s="97"/>
      <c r="AO457" s="97"/>
    </row>
    <row r="458" spans="1:41" ht="16.5" customHeight="1" x14ac:dyDescent="0.3">
      <c r="A458" s="59"/>
      <c r="B458" s="68" t="s">
        <v>8983</v>
      </c>
      <c r="C458" s="69"/>
      <c r="D458" s="69"/>
      <c r="E458" s="69"/>
      <c r="F458" s="69"/>
      <c r="G458" s="17" t="s">
        <v>8982</v>
      </c>
      <c r="Z458" s="97"/>
      <c r="AA458" s="97"/>
      <c r="AB458" s="97"/>
      <c r="AC458" s="97"/>
      <c r="AD458" s="97"/>
      <c r="AE458" s="97"/>
      <c r="AF458" s="97"/>
      <c r="AG458" s="97"/>
      <c r="AH458" s="97"/>
      <c r="AI458" s="97"/>
      <c r="AJ458" s="97"/>
      <c r="AK458" s="97"/>
      <c r="AL458" s="97"/>
      <c r="AM458" s="97"/>
      <c r="AN458" s="97"/>
      <c r="AO458" s="97"/>
    </row>
    <row r="459" spans="1:41" ht="16.5" customHeight="1" x14ac:dyDescent="0.3">
      <c r="A459" s="69"/>
      <c r="B459" s="69"/>
      <c r="C459" s="69"/>
      <c r="D459" s="69"/>
      <c r="E459" s="69"/>
      <c r="F459" s="69"/>
      <c r="G459" s="17" t="s">
        <v>8885</v>
      </c>
      <c r="Z459" s="97"/>
      <c r="AA459" s="97"/>
      <c r="AB459" s="97"/>
      <c r="AC459" s="97"/>
      <c r="AD459" s="97"/>
      <c r="AE459" s="97"/>
      <c r="AF459" s="97"/>
      <c r="AG459" s="97"/>
      <c r="AH459" s="97"/>
      <c r="AI459" s="97"/>
      <c r="AJ459" s="97"/>
      <c r="AK459" s="97"/>
      <c r="AL459" s="97"/>
      <c r="AM459" s="97"/>
      <c r="AN459" s="97"/>
      <c r="AO459" s="97"/>
    </row>
    <row r="460" spans="1:41" ht="16.5" customHeight="1" x14ac:dyDescent="0.3">
      <c r="A460" s="59"/>
      <c r="B460" s="68" t="s">
        <v>8985</v>
      </c>
      <c r="C460" s="69"/>
      <c r="D460" s="69"/>
      <c r="E460" s="69"/>
      <c r="F460" s="69"/>
      <c r="G460" s="17" t="s">
        <v>8984</v>
      </c>
      <c r="Z460" s="97"/>
      <c r="AA460" s="97"/>
      <c r="AB460" s="97"/>
      <c r="AC460" s="97"/>
      <c r="AD460" s="97"/>
      <c r="AE460" s="97"/>
      <c r="AF460" s="97"/>
      <c r="AG460" s="97"/>
      <c r="AH460" s="97"/>
      <c r="AI460" s="97"/>
      <c r="AJ460" s="97"/>
      <c r="AK460" s="97"/>
      <c r="AL460" s="97"/>
      <c r="AM460" s="97"/>
      <c r="AN460" s="97"/>
      <c r="AO460" s="97"/>
    </row>
    <row r="461" spans="1:41" ht="16.5" customHeight="1" x14ac:dyDescent="0.3">
      <c r="A461" s="69"/>
      <c r="B461" s="69"/>
      <c r="C461" s="69"/>
      <c r="D461" s="69"/>
      <c r="E461" s="69"/>
      <c r="F461" s="69"/>
      <c r="G461" s="17" t="s">
        <v>8885</v>
      </c>
      <c r="Z461" s="97"/>
      <c r="AA461" s="97"/>
      <c r="AB461" s="97"/>
      <c r="AC461" s="97"/>
      <c r="AD461" s="97"/>
      <c r="AE461" s="97"/>
      <c r="AF461" s="97"/>
      <c r="AG461" s="97"/>
      <c r="AH461" s="97"/>
      <c r="AI461" s="97"/>
      <c r="AJ461" s="97"/>
      <c r="AK461" s="97"/>
      <c r="AL461" s="97"/>
      <c r="AM461" s="97"/>
      <c r="AN461" s="97"/>
      <c r="AO461" s="97"/>
    </row>
    <row r="462" spans="1:41" ht="16.5" customHeight="1" x14ac:dyDescent="0.3">
      <c r="A462" s="59"/>
      <c r="B462" s="68" t="str">
        <f>" Q1 = "&amp;Z462&amp;" 인 /"&amp;AB462&amp;" hr/일 = "&amp;AD462&amp;" hr/일 "</f>
        <v xml:space="preserve"> Q1 = 5 인 /8 hr/일 = 0.625 hr/일 </v>
      </c>
      <c r="C462" s="69"/>
      <c r="D462" s="69"/>
      <c r="E462" s="69"/>
      <c r="F462" s="69"/>
      <c r="G462" s="17" t="s">
        <v>8986</v>
      </c>
      <c r="Z462" s="99">
        <v>5</v>
      </c>
      <c r="AA462" s="35" t="s">
        <v>8905</v>
      </c>
      <c r="AB462" s="99">
        <v>8</v>
      </c>
      <c r="AC462" s="35" t="s">
        <v>8892</v>
      </c>
      <c r="AD462" s="100" t="str">
        <f>TEXT(ROUND(Z462/AB462,3),"#,0.000")</f>
        <v>0.625</v>
      </c>
      <c r="AE462" s="97"/>
      <c r="AF462" s="97"/>
      <c r="AG462" s="97"/>
      <c r="AH462" s="97"/>
      <c r="AI462" s="97"/>
      <c r="AJ462" s="97"/>
      <c r="AK462" s="97"/>
      <c r="AL462" s="97"/>
      <c r="AM462" s="97"/>
      <c r="AN462" s="97"/>
      <c r="AO462" s="97"/>
    </row>
    <row r="463" spans="1:41" ht="16.5" customHeight="1" x14ac:dyDescent="0.3">
      <c r="A463" s="69"/>
      <c r="B463" s="69"/>
      <c r="C463" s="69"/>
      <c r="D463" s="69"/>
      <c r="E463" s="69"/>
      <c r="F463" s="69"/>
      <c r="G463" s="17" t="s">
        <v>8885</v>
      </c>
      <c r="Z463" s="97"/>
      <c r="AA463" s="97"/>
      <c r="AB463" s="97"/>
      <c r="AC463" s="97"/>
      <c r="AD463" s="97"/>
      <c r="AE463" s="97"/>
      <c r="AF463" s="97"/>
      <c r="AG463" s="97"/>
      <c r="AH463" s="97"/>
      <c r="AI463" s="97"/>
      <c r="AJ463" s="97"/>
      <c r="AK463" s="97"/>
      <c r="AL463" s="97"/>
      <c r="AM463" s="97"/>
      <c r="AN463" s="97"/>
      <c r="AO463" s="97"/>
    </row>
    <row r="464" spans="1:41" ht="16.5" customHeight="1" x14ac:dyDescent="0.3">
      <c r="A464" s="59"/>
      <c r="B464" s="68" t="str">
        <f>" Q2 = "&amp;Z464&amp;" 인 /"&amp;AB464&amp;" hr/일 = "&amp;AD464&amp;" hr/일 "</f>
        <v xml:space="preserve"> Q2 = 2 인 /8 hr/일 = 0.250 hr/일 </v>
      </c>
      <c r="C464" s="69"/>
      <c r="D464" s="69"/>
      <c r="E464" s="69"/>
      <c r="F464" s="69"/>
      <c r="G464" s="17" t="s">
        <v>8987</v>
      </c>
      <c r="Z464" s="99">
        <v>2</v>
      </c>
      <c r="AA464" s="35" t="s">
        <v>8905</v>
      </c>
      <c r="AB464" s="99">
        <v>8</v>
      </c>
      <c r="AC464" s="35" t="s">
        <v>8892</v>
      </c>
      <c r="AD464" s="100" t="str">
        <f>TEXT(ROUND(Z464/AB464,3),"#,0.000")</f>
        <v>0.250</v>
      </c>
      <c r="AE464" s="97"/>
      <c r="AF464" s="97"/>
      <c r="AG464" s="97"/>
      <c r="AH464" s="97"/>
      <c r="AI464" s="97"/>
      <c r="AJ464" s="97"/>
      <c r="AK464" s="97"/>
      <c r="AL464" s="97"/>
      <c r="AM464" s="97"/>
      <c r="AN464" s="97"/>
      <c r="AO464" s="97"/>
    </row>
    <row r="465" spans="1:41" ht="16.5" customHeight="1" x14ac:dyDescent="0.3">
      <c r="A465" s="69"/>
      <c r="B465" s="69"/>
      <c r="C465" s="69"/>
      <c r="D465" s="69"/>
      <c r="E465" s="69"/>
      <c r="F465" s="69"/>
      <c r="G465" s="17" t="s">
        <v>8885</v>
      </c>
      <c r="Z465" s="97"/>
      <c r="AA465" s="97"/>
      <c r="AB465" s="97"/>
      <c r="AC465" s="97"/>
      <c r="AD465" s="97"/>
      <c r="AE465" s="97"/>
      <c r="AF465" s="97"/>
      <c r="AG465" s="97"/>
      <c r="AH465" s="97"/>
      <c r="AI465" s="97"/>
      <c r="AJ465" s="97"/>
      <c r="AK465" s="97"/>
      <c r="AL465" s="97"/>
      <c r="AM465" s="97"/>
      <c r="AN465" s="97"/>
      <c r="AO465" s="97"/>
    </row>
    <row r="466" spans="1:41" ht="16.5" customHeight="1" x14ac:dyDescent="0.3">
      <c r="A466" s="59"/>
      <c r="B466" s="68" t="str">
        <f>" Q = "&amp;Z466&amp;" ㎥/일 /"&amp;AB466&amp;" hr/일 = "&amp;AD466&amp;" ㎥/hr "</f>
        <v xml:space="preserve"> Q = 50 ㎥/일 /8 hr/일 = 6.250 ㎥/hr </v>
      </c>
      <c r="C466" s="69"/>
      <c r="D466" s="69"/>
      <c r="E466" s="69"/>
      <c r="F466" s="69"/>
      <c r="G466" s="17" t="s">
        <v>8988</v>
      </c>
      <c r="Z466" s="99">
        <v>50</v>
      </c>
      <c r="AA466" s="35" t="s">
        <v>8905</v>
      </c>
      <c r="AB466" s="99">
        <v>8</v>
      </c>
      <c r="AC466" s="35" t="s">
        <v>8892</v>
      </c>
      <c r="AD466" s="100" t="str">
        <f>TEXT(ROUND(Z466/AB466,3),"#,0.000")</f>
        <v>6.250</v>
      </c>
      <c r="AE466" s="97"/>
      <c r="AF466" s="97"/>
      <c r="AG466" s="97"/>
      <c r="AH466" s="97"/>
      <c r="AI466" s="97"/>
      <c r="AJ466" s="97"/>
      <c r="AK466" s="97"/>
      <c r="AL466" s="97"/>
      <c r="AM466" s="97"/>
      <c r="AN466" s="97"/>
      <c r="AO466" s="97"/>
    </row>
    <row r="467" spans="1:41" ht="16.5" customHeight="1" x14ac:dyDescent="0.3">
      <c r="A467" s="69"/>
      <c r="B467" s="69"/>
      <c r="C467" s="69"/>
      <c r="D467" s="69"/>
      <c r="E467" s="69"/>
      <c r="F467" s="69"/>
      <c r="G467" s="17" t="s">
        <v>8885</v>
      </c>
      <c r="Z467" s="97"/>
      <c r="AA467" s="97"/>
      <c r="AB467" s="97"/>
      <c r="AC467" s="97"/>
      <c r="AD467" s="97"/>
      <c r="AE467" s="97"/>
      <c r="AF467" s="97"/>
      <c r="AG467" s="97"/>
      <c r="AH467" s="97"/>
      <c r="AI467" s="97"/>
      <c r="AJ467" s="97"/>
      <c r="AK467" s="97"/>
      <c r="AL467" s="97"/>
      <c r="AM467" s="97"/>
      <c r="AN467" s="97"/>
      <c r="AO467" s="97"/>
    </row>
    <row r="468" spans="1:41" ht="16.5" customHeight="1" x14ac:dyDescent="0.3">
      <c r="A468" s="59"/>
      <c r="B468" s="68" t="s">
        <v>8990</v>
      </c>
      <c r="C468" s="69"/>
      <c r="D468" s="69"/>
      <c r="E468" s="69"/>
      <c r="F468" s="69"/>
      <c r="G468" s="17" t="s">
        <v>8989</v>
      </c>
      <c r="Z468" s="97"/>
      <c r="AA468" s="97"/>
      <c r="AB468" s="97"/>
      <c r="AC468" s="97"/>
      <c r="AD468" s="97"/>
      <c r="AE468" s="97"/>
      <c r="AF468" s="97"/>
      <c r="AG468" s="97"/>
      <c r="AH468" s="97"/>
      <c r="AI468" s="97"/>
      <c r="AJ468" s="97"/>
      <c r="AK468" s="97"/>
      <c r="AL468" s="97"/>
      <c r="AM468" s="97"/>
      <c r="AN468" s="97"/>
      <c r="AO468" s="97"/>
    </row>
    <row r="469" spans="1:41" ht="16.5" customHeight="1" x14ac:dyDescent="0.3">
      <c r="A469" s="69"/>
      <c r="B469" s="69"/>
      <c r="C469" s="69"/>
      <c r="D469" s="69"/>
      <c r="E469" s="69"/>
      <c r="F469" s="69"/>
      <c r="G469" s="17" t="s">
        <v>8885</v>
      </c>
      <c r="Z469" s="97"/>
      <c r="AA469" s="97"/>
      <c r="AB469" s="97"/>
      <c r="AC469" s="97"/>
      <c r="AD469" s="97"/>
      <c r="AE469" s="97"/>
      <c r="AF469" s="97"/>
      <c r="AG469" s="97"/>
      <c r="AH469" s="97"/>
      <c r="AI469" s="97"/>
      <c r="AJ469" s="97"/>
      <c r="AK469" s="97"/>
      <c r="AL469" s="97"/>
      <c r="AM469" s="97"/>
      <c r="AN469" s="97"/>
      <c r="AO469" s="97"/>
    </row>
    <row r="470" spans="1:41" ht="16.5" customHeight="1" x14ac:dyDescent="0.3">
      <c r="A470" s="59" t="s">
        <v>8992</v>
      </c>
      <c r="B470" s="89" t="str">
        <f>"   합판(내수1급,12m/m) : "&amp;TEXT(I470,"#,##0"&amp;IF(I470&lt;&gt;INT(I470),".###",""))&amp;" * "&amp;AA470&amp;" ㎡  *"&amp;AC470&amp;"= "&amp;TEXT(C470,"#,##0.0")&amp;""</f>
        <v xml:space="preserve">   합판(내수1급,12m/m) : 14,750 * 1.03 ㎡  *0.327= 4,967.9</v>
      </c>
      <c r="C470" s="91">
        <f>E470+D470+F470</f>
        <v>4967.8999999999996</v>
      </c>
      <c r="D470" s="91">
        <f>IF(H470=0,0,ROUNDDOWN(J470*H470,1))</f>
        <v>0</v>
      </c>
      <c r="E470" s="91">
        <f>IF(H470=0,0,ROUNDDOWN(K470*H470,1))</f>
        <v>4967.8999999999996</v>
      </c>
      <c r="F470" s="91">
        <f>IF(H470=0,0,ROUNDDOWN(L470*H470,1))</f>
        <v>0</v>
      </c>
      <c r="G470" s="17" t="s">
        <v>8991</v>
      </c>
      <c r="H470" s="94">
        <f>ROUNDUP(AE470,14-LEN(ABS(INT(AE470))))</f>
        <v>0.33681</v>
      </c>
      <c r="I470" s="95">
        <f>K470+J470+L470</f>
        <v>14750</v>
      </c>
      <c r="K470" s="39">
        <f>재료비목록표!E356</f>
        <v>14750</v>
      </c>
      <c r="M470" s="35" t="s">
        <v>8993</v>
      </c>
      <c r="N470" s="35" t="s">
        <v>8915</v>
      </c>
      <c r="O470" s="35" t="s">
        <v>7061</v>
      </c>
      <c r="X470" s="96" t="str">
        <f>재료비목록표!B356&amp;" / "&amp;재료비목록표!C356</f>
        <v>합판 / 내수합판, 1급, 15×1220×2440mm</v>
      </c>
      <c r="Y470" s="3" t="str">
        <f ca="1">HYPERLINK("#"&amp;재료비목록표!G2&amp;"!A"&amp;ROW(재료비목록표!A356),"자재353 →")</f>
        <v>자재353 →</v>
      </c>
      <c r="Z470" s="35" t="s">
        <v>8947</v>
      </c>
      <c r="AA470" s="98">
        <v>1.03</v>
      </c>
      <c r="AB470" s="35" t="s">
        <v>8896</v>
      </c>
      <c r="AC470" s="98">
        <v>0.32700000000000001</v>
      </c>
      <c r="AD470" s="35" t="s">
        <v>8892</v>
      </c>
      <c r="AE470" s="100">
        <f>1*AA470*AC470</f>
        <v>0.33681</v>
      </c>
      <c r="AF470" s="97"/>
      <c r="AG470" s="97"/>
      <c r="AH470" s="97"/>
      <c r="AI470" s="97"/>
      <c r="AJ470" s="97"/>
      <c r="AK470" s="97"/>
      <c r="AL470" s="97"/>
      <c r="AM470" s="97"/>
      <c r="AN470" s="97"/>
      <c r="AO470" s="97"/>
    </row>
    <row r="471" spans="1:41" ht="16.5" customHeight="1" x14ac:dyDescent="0.3">
      <c r="A471" s="69"/>
      <c r="B471" s="69"/>
      <c r="C471" s="69"/>
      <c r="D471" s="69"/>
      <c r="E471" s="69"/>
      <c r="F471" s="69"/>
      <c r="G471" s="17" t="s">
        <v>8885</v>
      </c>
      <c r="Z471" s="97"/>
      <c r="AA471" s="97"/>
      <c r="AB471" s="97"/>
      <c r="AC471" s="97"/>
      <c r="AD471" s="97"/>
      <c r="AE471" s="97"/>
      <c r="AF471" s="97"/>
      <c r="AG471" s="97"/>
      <c r="AH471" s="97"/>
      <c r="AI471" s="97"/>
      <c r="AJ471" s="97"/>
      <c r="AK471" s="97"/>
      <c r="AL471" s="97"/>
      <c r="AM471" s="97"/>
      <c r="AN471" s="97"/>
      <c r="AO471" s="97"/>
    </row>
    <row r="472" spans="1:41" ht="16.5" customHeight="1" x14ac:dyDescent="0.3">
      <c r="A472" s="59" t="s">
        <v>8995</v>
      </c>
      <c r="B472" s="89" t="str">
        <f>"   각재(외송) : "&amp;TEXT(I472,"#,##0"&amp;IF(I472&lt;&gt;INT(I472),".###",""))&amp;" * "&amp;AA472&amp;" ㎥  *"&amp;AC472&amp;"= "&amp;TEXT(C472,"#,##0.0")&amp;""</f>
        <v xml:space="preserve">   각재(외송) : 581,559 * 0.038 ㎥  *0.327= 7,226.4</v>
      </c>
      <c r="C472" s="91">
        <f>E472+D472+F472</f>
        <v>7226.4</v>
      </c>
      <c r="D472" s="91">
        <f>IF(H472=0,0,ROUNDDOWN(J472*H472,1))</f>
        <v>0</v>
      </c>
      <c r="E472" s="91">
        <f>IF(H472=0,0,ROUNDDOWN(K472*H472,1))</f>
        <v>7226.4</v>
      </c>
      <c r="F472" s="91">
        <f>IF(H472=0,0,ROUNDDOWN(L472*H472,1))</f>
        <v>0</v>
      </c>
      <c r="G472" s="17" t="s">
        <v>8994</v>
      </c>
      <c r="H472" s="94">
        <f>ROUNDUP(AE472,14-LEN(ABS(INT(AE472))))</f>
        <v>1.2426E-2</v>
      </c>
      <c r="I472" s="95">
        <f>K472+J472+L472</f>
        <v>581559</v>
      </c>
      <c r="K472" s="39">
        <f>재료비목록표!E8</f>
        <v>581559</v>
      </c>
      <c r="M472" s="35" t="s">
        <v>8996</v>
      </c>
      <c r="N472" s="35" t="s">
        <v>8915</v>
      </c>
      <c r="O472" s="35" t="s">
        <v>7061</v>
      </c>
      <c r="X472" s="96" t="str">
        <f>재료비목록표!B8&amp;" / "&amp;재료비목록표!C8</f>
        <v>각재 / 각재, 외송</v>
      </c>
      <c r="Y472" s="3" t="str">
        <f ca="1">HYPERLINK("#"&amp;재료비목록표!G2&amp;"!A"&amp;ROW(재료비목록표!A8),"자재5 →")</f>
        <v>자재5 →</v>
      </c>
      <c r="Z472" s="35" t="s">
        <v>8947</v>
      </c>
      <c r="AA472" s="98">
        <v>3.7999999999999999E-2</v>
      </c>
      <c r="AB472" s="35" t="s">
        <v>8896</v>
      </c>
      <c r="AC472" s="98">
        <v>0.32700000000000001</v>
      </c>
      <c r="AD472" s="35" t="s">
        <v>8892</v>
      </c>
      <c r="AE472" s="100">
        <f>1*AA472*AC472</f>
        <v>1.2426E-2</v>
      </c>
      <c r="AF472" s="97"/>
      <c r="AG472" s="97"/>
      <c r="AH472" s="97"/>
      <c r="AI472" s="97"/>
      <c r="AJ472" s="97"/>
      <c r="AK472" s="97"/>
      <c r="AL472" s="97"/>
      <c r="AM472" s="97"/>
      <c r="AN472" s="97"/>
      <c r="AO472" s="97"/>
    </row>
    <row r="473" spans="1:41" ht="16.5" customHeight="1" x14ac:dyDescent="0.3">
      <c r="A473" s="69"/>
      <c r="B473" s="69"/>
      <c r="C473" s="69"/>
      <c r="D473" s="69"/>
      <c r="E473" s="69"/>
      <c r="F473" s="69"/>
      <c r="G473" s="17" t="s">
        <v>8885</v>
      </c>
      <c r="Z473" s="97"/>
      <c r="AA473" s="97"/>
      <c r="AB473" s="97"/>
      <c r="AC473" s="97"/>
      <c r="AD473" s="97"/>
      <c r="AE473" s="97"/>
      <c r="AF473" s="97"/>
      <c r="AG473" s="97"/>
      <c r="AH473" s="97"/>
      <c r="AI473" s="97"/>
      <c r="AJ473" s="97"/>
      <c r="AK473" s="97"/>
      <c r="AL473" s="97"/>
      <c r="AM473" s="97"/>
      <c r="AN473" s="97"/>
      <c r="AO473" s="97"/>
    </row>
    <row r="474" spans="1:41" ht="16.5" customHeight="1" x14ac:dyDescent="0.3">
      <c r="A474" s="59"/>
      <c r="B474" s="68" t="s">
        <v>8914</v>
      </c>
      <c r="C474" s="92">
        <f>E474+D474+F474</f>
        <v>12194.3</v>
      </c>
      <c r="D474" s="92">
        <f>SUMIF(N457:N473,M474,D457:D473)</f>
        <v>0</v>
      </c>
      <c r="E474" s="92">
        <f>SUMIF(N457:N473,M474,E457:E473)</f>
        <v>12194.3</v>
      </c>
      <c r="F474" s="92">
        <f>SUMIF(N457:N473,M474,F457:F473)</f>
        <v>0</v>
      </c>
      <c r="G474" s="17" t="s">
        <v>8927</v>
      </c>
      <c r="M474" s="35" t="s">
        <v>8915</v>
      </c>
      <c r="N474" s="35" t="s">
        <v>8952</v>
      </c>
      <c r="Z474" s="97"/>
      <c r="AA474" s="97"/>
      <c r="AB474" s="97"/>
      <c r="AC474" s="97"/>
      <c r="AD474" s="97"/>
      <c r="AE474" s="97"/>
      <c r="AF474" s="97"/>
      <c r="AG474" s="97"/>
      <c r="AH474" s="97"/>
      <c r="AI474" s="97"/>
      <c r="AJ474" s="97"/>
      <c r="AK474" s="97"/>
      <c r="AL474" s="97"/>
      <c r="AM474" s="97"/>
      <c r="AN474" s="97"/>
      <c r="AO474" s="97"/>
    </row>
    <row r="475" spans="1:41" ht="16.5" customHeight="1" x14ac:dyDescent="0.3">
      <c r="A475" s="69"/>
      <c r="B475" s="69"/>
      <c r="C475" s="90"/>
      <c r="D475" s="90"/>
      <c r="E475" s="90"/>
      <c r="F475" s="90"/>
      <c r="G475" s="17" t="s">
        <v>8885</v>
      </c>
      <c r="Z475" s="97"/>
      <c r="AA475" s="97"/>
      <c r="AB475" s="97"/>
      <c r="AC475" s="97"/>
      <c r="AD475" s="97"/>
      <c r="AE475" s="97"/>
      <c r="AF475" s="97"/>
      <c r="AG475" s="97"/>
      <c r="AH475" s="97"/>
      <c r="AI475" s="97"/>
      <c r="AJ475" s="97"/>
      <c r="AK475" s="97"/>
      <c r="AL475" s="97"/>
      <c r="AM475" s="97"/>
      <c r="AN475" s="97"/>
      <c r="AO475" s="97"/>
    </row>
    <row r="476" spans="1:41" ht="16.5" customHeight="1" x14ac:dyDescent="0.3">
      <c r="A476" s="59"/>
      <c r="B476" s="68" t="s">
        <v>8998</v>
      </c>
      <c r="C476" s="69"/>
      <c r="D476" s="69"/>
      <c r="E476" s="69"/>
      <c r="F476" s="69"/>
      <c r="G476" s="17" t="s">
        <v>8997</v>
      </c>
      <c r="Z476" s="97"/>
      <c r="AA476" s="97"/>
      <c r="AB476" s="97"/>
      <c r="AC476" s="97"/>
      <c r="AD476" s="97"/>
      <c r="AE476" s="97"/>
      <c r="AF476" s="97"/>
      <c r="AG476" s="97"/>
      <c r="AH476" s="97"/>
      <c r="AI476" s="97"/>
      <c r="AJ476" s="97"/>
      <c r="AK476" s="97"/>
      <c r="AL476" s="97"/>
      <c r="AM476" s="97"/>
      <c r="AN476" s="97"/>
      <c r="AO476" s="97"/>
    </row>
    <row r="477" spans="1:41" ht="16.5" customHeight="1" x14ac:dyDescent="0.3">
      <c r="A477" s="69"/>
      <c r="B477" s="69"/>
      <c r="C477" s="69"/>
      <c r="D477" s="69"/>
      <c r="E477" s="69"/>
      <c r="F477" s="69"/>
      <c r="G477" s="17" t="s">
        <v>8885</v>
      </c>
      <c r="Z477" s="97"/>
      <c r="AA477" s="97"/>
      <c r="AB477" s="97"/>
      <c r="AC477" s="97"/>
      <c r="AD477" s="97"/>
      <c r="AE477" s="97"/>
      <c r="AF477" s="97"/>
      <c r="AG477" s="97"/>
      <c r="AH477" s="97"/>
      <c r="AI477" s="97"/>
      <c r="AJ477" s="97"/>
      <c r="AK477" s="97"/>
      <c r="AL477" s="97"/>
      <c r="AM477" s="97"/>
      <c r="AN477" s="97"/>
      <c r="AO477" s="97"/>
    </row>
    <row r="478" spans="1:41" ht="16.5" customHeight="1" x14ac:dyDescent="0.3">
      <c r="A478" s="59"/>
      <c r="B478" s="89" t="str">
        <f>"    손료계산 : "&amp;TEXT(I478,"#,##0.0")&amp;" * "&amp;AA478&amp;" %  = "&amp;TEXT(C478,"#,##0.0")&amp;""</f>
        <v xml:space="preserve">    손료계산 : 12,194.3 * 11 %  = 1,341.3</v>
      </c>
      <c r="C478" s="91">
        <f>E478+D478+F478</f>
        <v>1341.3</v>
      </c>
      <c r="D478" s="91">
        <f>IF(H478=0,0,ROUNDDOWN(J478*H478/100,1))</f>
        <v>0</v>
      </c>
      <c r="E478" s="91">
        <f>IF(H478=0,0,ROUNDDOWN(K478*H478/100,1))</f>
        <v>1341.3</v>
      </c>
      <c r="F478" s="91">
        <f>IF(H478=0,0,ROUNDDOWN(L478*H478/100,1))</f>
        <v>0</v>
      </c>
      <c r="G478" s="17" t="s">
        <v>8999</v>
      </c>
      <c r="H478" s="94">
        <f>ROUNDUP(AC478,14-LEN(ABS(INT(AC478))))</f>
        <v>11</v>
      </c>
      <c r="I478" s="95">
        <f>K478+J478+L478</f>
        <v>12194.3</v>
      </c>
      <c r="J478" s="36">
        <v>0</v>
      </c>
      <c r="K478" s="39">
        <f>E470+E472</f>
        <v>12194.3</v>
      </c>
      <c r="L478" s="36">
        <v>0</v>
      </c>
      <c r="M478" s="35" t="s">
        <v>8969</v>
      </c>
      <c r="N478" s="35" t="s">
        <v>8915</v>
      </c>
      <c r="Z478" s="35" t="s">
        <v>8947</v>
      </c>
      <c r="AA478" s="99">
        <v>11</v>
      </c>
      <c r="AB478" s="35" t="s">
        <v>8892</v>
      </c>
      <c r="AC478" s="100">
        <f>1*AA478</f>
        <v>11</v>
      </c>
      <c r="AD478" s="97"/>
      <c r="AE478" s="97"/>
      <c r="AF478" s="97"/>
      <c r="AG478" s="97"/>
      <c r="AH478" s="97"/>
      <c r="AI478" s="97"/>
      <c r="AJ478" s="97"/>
      <c r="AK478" s="97"/>
      <c r="AL478" s="97"/>
      <c r="AM478" s="97"/>
      <c r="AN478" s="97"/>
      <c r="AO478" s="97"/>
    </row>
    <row r="479" spans="1:41" ht="16.5" customHeight="1" x14ac:dyDescent="0.3">
      <c r="A479" s="69"/>
      <c r="B479" s="69"/>
      <c r="C479" s="69"/>
      <c r="D479" s="69"/>
      <c r="E479" s="69"/>
      <c r="F479" s="69"/>
      <c r="G479" s="17" t="s">
        <v>8885</v>
      </c>
      <c r="Z479" s="97"/>
      <c r="AA479" s="97"/>
      <c r="AB479" s="97"/>
      <c r="AC479" s="97"/>
      <c r="AD479" s="97"/>
      <c r="AE479" s="97"/>
      <c r="AF479" s="97"/>
      <c r="AG479" s="97"/>
      <c r="AH479" s="97"/>
      <c r="AI479" s="97"/>
      <c r="AJ479" s="97"/>
      <c r="AK479" s="97"/>
      <c r="AL479" s="97"/>
      <c r="AM479" s="97"/>
      <c r="AN479" s="97"/>
      <c r="AO479" s="97"/>
    </row>
    <row r="480" spans="1:41" ht="16.5" customHeight="1" x14ac:dyDescent="0.3">
      <c r="A480" s="59"/>
      <c r="B480" s="68" t="s">
        <v>9001</v>
      </c>
      <c r="C480" s="69"/>
      <c r="D480" s="69"/>
      <c r="E480" s="69"/>
      <c r="F480" s="69"/>
      <c r="G480" s="17" t="s">
        <v>9000</v>
      </c>
      <c r="Z480" s="97"/>
      <c r="AA480" s="97"/>
      <c r="AB480" s="97"/>
      <c r="AC480" s="97"/>
      <c r="AD480" s="97"/>
      <c r="AE480" s="97"/>
      <c r="AF480" s="97"/>
      <c r="AG480" s="97"/>
      <c r="AH480" s="97"/>
      <c r="AI480" s="97"/>
      <c r="AJ480" s="97"/>
      <c r="AK480" s="97"/>
      <c r="AL480" s="97"/>
      <c r="AM480" s="97"/>
      <c r="AN480" s="97"/>
      <c r="AO480" s="97"/>
    </row>
    <row r="481" spans="1:41" ht="16.5" customHeight="1" x14ac:dyDescent="0.3">
      <c r="A481" s="69"/>
      <c r="B481" s="69"/>
      <c r="C481" s="69"/>
      <c r="D481" s="69"/>
      <c r="E481" s="69"/>
      <c r="F481" s="69"/>
      <c r="G481" s="17" t="s">
        <v>8885</v>
      </c>
      <c r="Z481" s="97"/>
      <c r="AA481" s="97"/>
      <c r="AB481" s="97"/>
      <c r="AC481" s="97"/>
      <c r="AD481" s="97"/>
      <c r="AE481" s="97"/>
      <c r="AF481" s="97"/>
      <c r="AG481" s="97"/>
      <c r="AH481" s="97"/>
      <c r="AI481" s="97"/>
      <c r="AJ481" s="97"/>
      <c r="AK481" s="97"/>
      <c r="AL481" s="97"/>
      <c r="AM481" s="97"/>
      <c r="AN481" s="97"/>
      <c r="AO481" s="97"/>
    </row>
    <row r="482" spans="1:41" ht="16.5" customHeight="1" x14ac:dyDescent="0.3">
      <c r="A482" s="59" t="s">
        <v>9003</v>
      </c>
      <c r="B482" s="89" t="str">
        <f>"   형틀목공 : "&amp;TEXT(I482,"#,##0"&amp;IF(I482&lt;&gt;INT(I482),".###",""))&amp;" * Q1 / Q  인  = "&amp;TEXT(C482,"#,##0.0")&amp;" "</f>
        <v xml:space="preserve">   형틀목공 : 275,790 * Q1 / Q  인  = 27,579.0 </v>
      </c>
      <c r="C482" s="91">
        <f>E482+D482+F482</f>
        <v>27579</v>
      </c>
      <c r="D482" s="91">
        <f>IF(H482=0,0,ROUNDDOWN(J482*H482,1))</f>
        <v>27579</v>
      </c>
      <c r="E482" s="91">
        <f>IF(H482=0,0,ROUNDDOWN(K482*H482,1))</f>
        <v>0</v>
      </c>
      <c r="F482" s="91">
        <f>IF(H482=0,0,ROUNDDOWN(L482*H482,1))</f>
        <v>0</v>
      </c>
      <c r="G482" s="17" t="s">
        <v>9002</v>
      </c>
      <c r="H482" s="94">
        <f>ROUNDUP(AE482,14-LEN(ABS(INT(AE482))))</f>
        <v>0.1</v>
      </c>
      <c r="I482" s="95">
        <f>K482+J482+L482</f>
        <v>275790</v>
      </c>
      <c r="J482" s="39">
        <f>노무비목록표!E23</f>
        <v>275790</v>
      </c>
      <c r="M482" s="35" t="s">
        <v>9004</v>
      </c>
      <c r="N482" s="35" t="s">
        <v>8915</v>
      </c>
      <c r="O482" s="35" t="s">
        <v>7061</v>
      </c>
      <c r="X482" s="96" t="str">
        <f>노무비목록표!B23&amp;" / "&amp;노무비목록표!C23</f>
        <v xml:space="preserve">형틀목공 / </v>
      </c>
      <c r="Y482" s="3" t="str">
        <f ca="1">HYPERLINK("#"&amp;노무비목록표!G2&amp;"!A"&amp;ROW(노무비목록표!A23),"노무20 →")</f>
        <v>노무20 →</v>
      </c>
      <c r="Z482" s="35" t="s">
        <v>8947</v>
      </c>
      <c r="AA482" s="100" t="str">
        <f>AD462</f>
        <v>0.625</v>
      </c>
      <c r="AB482" s="35" t="s">
        <v>8905</v>
      </c>
      <c r="AC482" s="100" t="str">
        <f>AD466</f>
        <v>6.250</v>
      </c>
      <c r="AD482" s="35" t="s">
        <v>8892</v>
      </c>
      <c r="AE482" s="100">
        <f>1*AD462/AD466</f>
        <v>0.1</v>
      </c>
      <c r="AF482" s="97"/>
      <c r="AG482" s="97"/>
      <c r="AH482" s="97"/>
      <c r="AI482" s="97"/>
      <c r="AJ482" s="97"/>
      <c r="AK482" s="97"/>
      <c r="AL482" s="97"/>
      <c r="AM482" s="97"/>
      <c r="AN482" s="97"/>
      <c r="AO482" s="97"/>
    </row>
    <row r="483" spans="1:41" ht="16.5" customHeight="1" x14ac:dyDescent="0.3">
      <c r="A483" s="69"/>
      <c r="B483" s="69"/>
      <c r="C483" s="69"/>
      <c r="D483" s="69"/>
      <c r="E483" s="69"/>
      <c r="F483" s="69"/>
      <c r="G483" s="17" t="s">
        <v>8885</v>
      </c>
      <c r="Z483" s="97"/>
      <c r="AA483" s="97"/>
      <c r="AB483" s="97"/>
      <c r="AC483" s="97"/>
      <c r="AD483" s="97"/>
      <c r="AE483" s="97"/>
      <c r="AF483" s="97"/>
      <c r="AG483" s="97"/>
      <c r="AH483" s="97"/>
      <c r="AI483" s="97"/>
      <c r="AJ483" s="97"/>
      <c r="AK483" s="97"/>
      <c r="AL483" s="97"/>
      <c r="AM483" s="97"/>
      <c r="AN483" s="97"/>
      <c r="AO483" s="97"/>
    </row>
    <row r="484" spans="1:41" ht="16.5" customHeight="1" x14ac:dyDescent="0.3">
      <c r="A484" s="59" t="s">
        <v>8949</v>
      </c>
      <c r="B484" s="89" t="str">
        <f>"   보통인부 : "&amp;TEXT(I484,"#,##0"&amp;IF(I484&lt;&gt;INT(I484),".###",""))&amp;" * Q2 / Q  인  = "&amp;TEXT(C484,"#,##0.0")&amp;" "</f>
        <v xml:space="preserve">   보통인부 : 172,068 * Q2 / Q  인  = 6,882.7 </v>
      </c>
      <c r="C484" s="91">
        <f>E484+D484+F484</f>
        <v>6882.7</v>
      </c>
      <c r="D484" s="91">
        <f>IF(H484=0,0,ROUNDDOWN(J484*H484,1))</f>
        <v>6882.7</v>
      </c>
      <c r="E484" s="91">
        <f>IF(H484=0,0,ROUNDDOWN(K484*H484,1))</f>
        <v>0</v>
      </c>
      <c r="F484" s="91">
        <f>IF(H484=0,0,ROUNDDOWN(L484*H484,1))</f>
        <v>0</v>
      </c>
      <c r="G484" s="17" t="s">
        <v>9005</v>
      </c>
      <c r="H484" s="94">
        <f>ROUNDUP(AE484,14-LEN(ABS(INT(AE484))))</f>
        <v>0.04</v>
      </c>
      <c r="I484" s="95">
        <f>K484+J484+L484</f>
        <v>172068</v>
      </c>
      <c r="J484" s="39">
        <f>노무비목록표!E12</f>
        <v>172068</v>
      </c>
      <c r="M484" s="35" t="s">
        <v>8261</v>
      </c>
      <c r="N484" s="35" t="s">
        <v>8915</v>
      </c>
      <c r="O484" s="35" t="s">
        <v>7061</v>
      </c>
      <c r="X484" s="96" t="str">
        <f>노무비목록표!B12&amp;" / "&amp;노무비목록표!C12</f>
        <v xml:space="preserve">보통인부 / </v>
      </c>
      <c r="Y484" s="3" t="str">
        <f ca="1">HYPERLINK("#"&amp;노무비목록표!G2&amp;"!A"&amp;ROW(노무비목록표!A12),"노무9 →")</f>
        <v>노무9 →</v>
      </c>
      <c r="Z484" s="35" t="s">
        <v>8947</v>
      </c>
      <c r="AA484" s="100" t="str">
        <f>AD464</f>
        <v>0.250</v>
      </c>
      <c r="AB484" s="35" t="s">
        <v>8905</v>
      </c>
      <c r="AC484" s="100" t="str">
        <f>AD466</f>
        <v>6.250</v>
      </c>
      <c r="AD484" s="35" t="s">
        <v>8892</v>
      </c>
      <c r="AE484" s="100">
        <f>1*AD464/AD466</f>
        <v>0.04</v>
      </c>
      <c r="AF484" s="97"/>
      <c r="AG484" s="97"/>
      <c r="AH484" s="97"/>
      <c r="AI484" s="97"/>
      <c r="AJ484" s="97"/>
      <c r="AK484" s="97"/>
      <c r="AL484" s="97"/>
      <c r="AM484" s="97"/>
      <c r="AN484" s="97"/>
      <c r="AO484" s="97"/>
    </row>
    <row r="485" spans="1:41" ht="16.5" customHeight="1" x14ac:dyDescent="0.3">
      <c r="A485" s="69"/>
      <c r="B485" s="69"/>
      <c r="C485" s="69"/>
      <c r="D485" s="69"/>
      <c r="E485" s="69"/>
      <c r="F485" s="69"/>
      <c r="G485" s="17" t="s">
        <v>8885</v>
      </c>
      <c r="Z485" s="97"/>
      <c r="AA485" s="97"/>
      <c r="AB485" s="97"/>
      <c r="AC485" s="97"/>
      <c r="AD485" s="97"/>
      <c r="AE485" s="97"/>
      <c r="AF485" s="97"/>
      <c r="AG485" s="97"/>
      <c r="AH485" s="97"/>
      <c r="AI485" s="97"/>
      <c r="AJ485" s="97"/>
      <c r="AK485" s="97"/>
      <c r="AL485" s="97"/>
      <c r="AM485" s="97"/>
      <c r="AN485" s="97"/>
      <c r="AO485" s="97"/>
    </row>
    <row r="486" spans="1:41" ht="16.5" customHeight="1" x14ac:dyDescent="0.3">
      <c r="A486" s="59"/>
      <c r="B486" s="89" t="str">
        <f>"   공구손료 : "&amp;TEXT(I486,"#,##0.0")&amp;" * "&amp;AA486&amp;" %  = "&amp;TEXT(C486,"#,##0.0")&amp;""</f>
        <v xml:space="preserve">   공구손료 : 34,461.7 * 1 %  = 344.6</v>
      </c>
      <c r="C486" s="91">
        <f>E486+D486+F486</f>
        <v>344.6</v>
      </c>
      <c r="D486" s="91">
        <f>IF(H486=0,0,ROUNDDOWN(J486*H486/100,1))</f>
        <v>0</v>
      </c>
      <c r="E486" s="91">
        <f>IF(H486=0,0,ROUNDDOWN(K486*H486/100,1))</f>
        <v>0</v>
      </c>
      <c r="F486" s="91">
        <f>IF(H486=0,0,ROUNDDOWN(L486*H486/100,1))</f>
        <v>344.6</v>
      </c>
      <c r="G486" s="17" t="s">
        <v>9006</v>
      </c>
      <c r="H486" s="94">
        <f>ROUNDUP(AC486,14-LEN(ABS(INT(AC486))))</f>
        <v>1</v>
      </c>
      <c r="I486" s="95">
        <f>K486+J486+L486</f>
        <v>34461.699999999997</v>
      </c>
      <c r="J486" s="36">
        <v>0</v>
      </c>
      <c r="K486" s="36">
        <v>0</v>
      </c>
      <c r="L486" s="39">
        <f>D470+D472+D482+D484</f>
        <v>34461.699999999997</v>
      </c>
      <c r="M486" s="35" t="s">
        <v>8969</v>
      </c>
      <c r="N486" s="35" t="s">
        <v>8915</v>
      </c>
      <c r="Z486" s="35" t="s">
        <v>8947</v>
      </c>
      <c r="AA486" s="99">
        <v>1</v>
      </c>
      <c r="AB486" s="35" t="s">
        <v>8892</v>
      </c>
      <c r="AC486" s="100">
        <f>1*AA486</f>
        <v>1</v>
      </c>
      <c r="AD486" s="97"/>
      <c r="AE486" s="97"/>
      <c r="AF486" s="97"/>
      <c r="AG486" s="97"/>
      <c r="AH486" s="97"/>
      <c r="AI486" s="97"/>
      <c r="AJ486" s="97"/>
      <c r="AK486" s="97"/>
      <c r="AL486" s="97"/>
      <c r="AM486" s="97"/>
      <c r="AN486" s="97"/>
      <c r="AO486" s="97"/>
    </row>
    <row r="487" spans="1:41" ht="16.5" customHeight="1" x14ac:dyDescent="0.3">
      <c r="A487" s="69"/>
      <c r="B487" s="69"/>
      <c r="C487" s="69"/>
      <c r="D487" s="69"/>
      <c r="E487" s="69"/>
      <c r="F487" s="69"/>
      <c r="G487" s="17" t="s">
        <v>8885</v>
      </c>
      <c r="Z487" s="97"/>
      <c r="AA487" s="97"/>
      <c r="AB487" s="97"/>
      <c r="AC487" s="97"/>
      <c r="AD487" s="97"/>
      <c r="AE487" s="97"/>
      <c r="AF487" s="97"/>
      <c r="AG487" s="97"/>
      <c r="AH487" s="97"/>
      <c r="AI487" s="97"/>
      <c r="AJ487" s="97"/>
      <c r="AK487" s="97"/>
      <c r="AL487" s="97"/>
      <c r="AM487" s="97"/>
      <c r="AN487" s="97"/>
      <c r="AO487" s="97"/>
    </row>
    <row r="488" spans="1:41" ht="16.5" customHeight="1" x14ac:dyDescent="0.3">
      <c r="A488" s="59"/>
      <c r="B488" s="68" t="s">
        <v>8914</v>
      </c>
      <c r="C488" s="92">
        <f>E488+D488+F488</f>
        <v>36147.599999999999</v>
      </c>
      <c r="D488" s="92">
        <f>SUMIF(N475:N487,M488,D475:D487)</f>
        <v>34461.699999999997</v>
      </c>
      <c r="E488" s="92">
        <f>SUMIF(N475:N487,M488,E475:E487)</f>
        <v>1341.3</v>
      </c>
      <c r="F488" s="92">
        <f>SUMIF(N475:N487,M488,F475:F487)</f>
        <v>344.6</v>
      </c>
      <c r="G488" s="17" t="s">
        <v>9007</v>
      </c>
      <c r="M488" s="35" t="s">
        <v>8915</v>
      </c>
      <c r="N488" s="35" t="s">
        <v>8952</v>
      </c>
      <c r="Z488" s="97"/>
      <c r="AA488" s="97"/>
      <c r="AB488" s="97"/>
      <c r="AC488" s="97"/>
      <c r="AD488" s="97"/>
      <c r="AE488" s="97"/>
      <c r="AF488" s="97"/>
      <c r="AG488" s="97"/>
      <c r="AH488" s="97"/>
      <c r="AI488" s="97"/>
      <c r="AJ488" s="97"/>
      <c r="AK488" s="97"/>
      <c r="AL488" s="97"/>
      <c r="AM488" s="97"/>
      <c r="AN488" s="97"/>
      <c r="AO488" s="97"/>
    </row>
    <row r="489" spans="1:41" ht="16.5" customHeight="1" x14ac:dyDescent="0.3">
      <c r="A489" s="69"/>
      <c r="B489" s="69"/>
      <c r="C489" s="90"/>
      <c r="D489" s="90"/>
      <c r="E489" s="90"/>
      <c r="F489" s="90"/>
      <c r="G489" s="17" t="s">
        <v>8885</v>
      </c>
      <c r="Z489" s="97"/>
      <c r="AA489" s="97"/>
      <c r="AB489" s="97"/>
      <c r="AC489" s="97"/>
      <c r="AD489" s="97"/>
      <c r="AE489" s="97"/>
      <c r="AF489" s="97"/>
      <c r="AG489" s="97"/>
      <c r="AH489" s="97"/>
      <c r="AI489" s="97"/>
      <c r="AJ489" s="97"/>
      <c r="AK489" s="97"/>
      <c r="AL489" s="97"/>
      <c r="AM489" s="97"/>
      <c r="AN489" s="97"/>
      <c r="AO489" s="97"/>
    </row>
    <row r="490" spans="1:41" ht="16.5" customHeight="1" x14ac:dyDescent="0.3">
      <c r="A490" s="59"/>
      <c r="B490" s="68" t="s">
        <v>8951</v>
      </c>
      <c r="C490" s="92">
        <f>E490+D490+F490</f>
        <v>48341.899999999994</v>
      </c>
      <c r="D490" s="92">
        <f>SUMIF(N457:N489,M490,D457:D489)</f>
        <v>34461.699999999997</v>
      </c>
      <c r="E490" s="92">
        <f>SUMIF(N457:N489,M490,E457:E489)</f>
        <v>13535.599999999999</v>
      </c>
      <c r="F490" s="92">
        <f>SUMIF(N457:N489,M490,F457:F489)</f>
        <v>344.6</v>
      </c>
      <c r="G490" s="17" t="s">
        <v>8950</v>
      </c>
      <c r="M490" s="35" t="s">
        <v>8952</v>
      </c>
      <c r="N490" s="35" t="s">
        <v>6406</v>
      </c>
      <c r="Z490" s="97"/>
      <c r="AA490" s="97"/>
      <c r="AB490" s="97"/>
      <c r="AC490" s="97"/>
      <c r="AD490" s="97"/>
      <c r="AE490" s="97"/>
      <c r="AF490" s="97"/>
      <c r="AG490" s="97"/>
      <c r="AH490" s="97"/>
      <c r="AI490" s="97"/>
      <c r="AJ490" s="97"/>
      <c r="AK490" s="97"/>
      <c r="AL490" s="97"/>
      <c r="AM490" s="97"/>
      <c r="AN490" s="97"/>
      <c r="AO490" s="97"/>
    </row>
    <row r="491" spans="1:41" ht="16.5" customHeight="1" x14ac:dyDescent="0.3">
      <c r="A491" s="69"/>
      <c r="B491" s="69"/>
      <c r="C491" s="90"/>
      <c r="D491" s="90"/>
      <c r="E491" s="90"/>
      <c r="F491" s="90"/>
      <c r="Z491" s="97"/>
      <c r="AA491" s="97"/>
      <c r="AB491" s="97"/>
      <c r="AC491" s="97"/>
      <c r="AD491" s="97"/>
      <c r="AE491" s="97"/>
      <c r="AF491" s="97"/>
      <c r="AG491" s="97"/>
      <c r="AH491" s="97"/>
      <c r="AI491" s="97"/>
      <c r="AJ491" s="97"/>
      <c r="AK491" s="97"/>
      <c r="AL491" s="97"/>
      <c r="AM491" s="97"/>
      <c r="AN491" s="97"/>
      <c r="AO491" s="97"/>
    </row>
    <row r="492" spans="1:41" ht="16.5" customHeight="1" x14ac:dyDescent="0.3">
      <c r="A492" s="69"/>
      <c r="B492" s="69"/>
      <c r="C492" s="69"/>
      <c r="D492" s="69"/>
      <c r="E492" s="69"/>
      <c r="F492" s="69"/>
      <c r="Z492" s="97"/>
      <c r="AA492" s="97"/>
      <c r="AB492" s="97"/>
      <c r="AC492" s="97"/>
      <c r="AD492" s="97"/>
      <c r="AE492" s="97"/>
      <c r="AF492" s="97"/>
      <c r="AG492" s="97"/>
      <c r="AH492" s="97"/>
      <c r="AI492" s="97"/>
      <c r="AJ492" s="97"/>
      <c r="AK492" s="97"/>
      <c r="AL492" s="97"/>
      <c r="AM492" s="97"/>
      <c r="AN492" s="97"/>
      <c r="AO492" s="97"/>
    </row>
    <row r="493" spans="1:41" ht="16.5" customHeight="1" x14ac:dyDescent="0.3">
      <c r="A493" s="69"/>
      <c r="B493" s="69"/>
      <c r="C493" s="69"/>
      <c r="D493" s="69"/>
      <c r="E493" s="69"/>
      <c r="F493" s="69"/>
      <c r="Z493" s="97"/>
      <c r="AA493" s="97"/>
      <c r="AB493" s="97"/>
      <c r="AC493" s="97"/>
      <c r="AD493" s="97"/>
      <c r="AE493" s="97"/>
      <c r="AF493" s="97"/>
      <c r="AG493" s="97"/>
      <c r="AH493" s="97"/>
      <c r="AI493" s="97"/>
      <c r="AJ493" s="97"/>
      <c r="AK493" s="97"/>
      <c r="AL493" s="97"/>
      <c r="AM493" s="97"/>
      <c r="AN493" s="97"/>
      <c r="AO493" s="97"/>
    </row>
    <row r="494" spans="1:41" ht="16.5" customHeight="1" x14ac:dyDescent="0.3">
      <c r="A494" s="69"/>
      <c r="B494" s="69"/>
      <c r="C494" s="69"/>
      <c r="D494" s="69"/>
      <c r="E494" s="69"/>
      <c r="F494" s="69"/>
      <c r="Z494" s="97"/>
      <c r="AA494" s="97"/>
      <c r="AB494" s="97"/>
      <c r="AC494" s="97"/>
      <c r="AD494" s="97"/>
      <c r="AE494" s="97"/>
      <c r="AF494" s="97"/>
      <c r="AG494" s="97"/>
      <c r="AH494" s="97"/>
      <c r="AI494" s="97"/>
      <c r="AJ494" s="97"/>
      <c r="AK494" s="97"/>
      <c r="AL494" s="97"/>
      <c r="AM494" s="97"/>
      <c r="AN494" s="97"/>
      <c r="AO494" s="97"/>
    </row>
    <row r="495" spans="1:41" ht="16.5" customHeight="1" x14ac:dyDescent="0.3">
      <c r="A495" s="69"/>
      <c r="B495" s="69"/>
      <c r="C495" s="69"/>
      <c r="D495" s="69"/>
      <c r="E495" s="69"/>
      <c r="F495" s="69"/>
      <c r="Z495" s="97"/>
      <c r="AA495" s="97"/>
      <c r="AB495" s="97"/>
      <c r="AC495" s="97"/>
      <c r="AD495" s="97"/>
      <c r="AE495" s="97"/>
      <c r="AF495" s="97"/>
      <c r="AG495" s="97"/>
      <c r="AH495" s="97"/>
      <c r="AI495" s="97"/>
      <c r="AJ495" s="97"/>
      <c r="AK495" s="97"/>
      <c r="AL495" s="97"/>
      <c r="AM495" s="97"/>
      <c r="AN495" s="97"/>
      <c r="AO495" s="97"/>
    </row>
    <row r="496" spans="1:41" ht="16.5" customHeight="1" x14ac:dyDescent="0.3">
      <c r="A496" s="69"/>
      <c r="B496" s="69"/>
      <c r="C496" s="69"/>
      <c r="D496" s="69"/>
      <c r="E496" s="69"/>
      <c r="F496" s="69"/>
      <c r="Z496" s="97"/>
      <c r="AA496" s="97"/>
      <c r="AB496" s="97"/>
      <c r="AC496" s="97"/>
      <c r="AD496" s="97"/>
      <c r="AE496" s="97"/>
      <c r="AF496" s="97"/>
      <c r="AG496" s="97"/>
      <c r="AH496" s="97"/>
      <c r="AI496" s="97"/>
      <c r="AJ496" s="97"/>
      <c r="AK496" s="97"/>
      <c r="AL496" s="97"/>
      <c r="AM496" s="97"/>
      <c r="AN496" s="97"/>
      <c r="AO496" s="97"/>
    </row>
    <row r="497" spans="1:41" ht="16.5" customHeight="1" x14ac:dyDescent="0.3">
      <c r="A497" s="69"/>
      <c r="B497" s="69"/>
      <c r="C497" s="69"/>
      <c r="D497" s="69"/>
      <c r="E497" s="69"/>
      <c r="F497" s="69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O497" s="97"/>
    </row>
    <row r="498" spans="1:41" ht="16.5" customHeight="1" x14ac:dyDescent="0.3">
      <c r="A498" s="69"/>
      <c r="B498" s="69"/>
      <c r="C498" s="69"/>
      <c r="D498" s="69"/>
      <c r="E498" s="69"/>
      <c r="F498" s="69"/>
      <c r="Z498" s="97"/>
      <c r="AA498" s="97"/>
      <c r="AB498" s="97"/>
      <c r="AC498" s="97"/>
      <c r="AD498" s="97"/>
      <c r="AE498" s="97"/>
      <c r="AF498" s="97"/>
      <c r="AG498" s="97"/>
      <c r="AH498" s="97"/>
      <c r="AI498" s="97"/>
      <c r="AJ498" s="97"/>
      <c r="AK498" s="97"/>
      <c r="AL498" s="97"/>
      <c r="AM498" s="97"/>
      <c r="AN498" s="97"/>
      <c r="AO498" s="97"/>
    </row>
    <row r="499" spans="1:41" ht="16.5" customHeight="1" x14ac:dyDescent="0.3">
      <c r="A499" s="69"/>
      <c r="B499" s="69"/>
      <c r="C499" s="69"/>
      <c r="D499" s="69"/>
      <c r="E499" s="69"/>
      <c r="F499" s="69"/>
      <c r="Z499" s="97"/>
      <c r="AA499" s="97"/>
      <c r="AB499" s="97"/>
      <c r="AC499" s="97"/>
      <c r="AD499" s="97"/>
      <c r="AE499" s="97"/>
      <c r="AF499" s="97"/>
      <c r="AG499" s="97"/>
      <c r="AH499" s="97"/>
      <c r="AI499" s="97"/>
      <c r="AJ499" s="97"/>
      <c r="AK499" s="97"/>
      <c r="AL499" s="97"/>
      <c r="AM499" s="97"/>
      <c r="AN499" s="97"/>
      <c r="AO499" s="97"/>
    </row>
    <row r="500" spans="1:41" ht="16.5" customHeight="1" x14ac:dyDescent="0.3">
      <c r="A500" s="69"/>
      <c r="B500" s="69"/>
      <c r="C500" s="69"/>
      <c r="D500" s="69"/>
      <c r="E500" s="69"/>
      <c r="F500" s="69"/>
      <c r="Z500" s="97"/>
      <c r="AA500" s="97"/>
      <c r="AB500" s="97"/>
      <c r="AC500" s="97"/>
      <c r="AD500" s="97"/>
      <c r="AE500" s="97"/>
      <c r="AF500" s="97"/>
      <c r="AG500" s="97"/>
      <c r="AH500" s="97"/>
      <c r="AI500" s="97"/>
      <c r="AJ500" s="97"/>
      <c r="AK500" s="97"/>
      <c r="AL500" s="97"/>
      <c r="AM500" s="97"/>
      <c r="AN500" s="97"/>
      <c r="AO500" s="97"/>
    </row>
    <row r="501" spans="1:41" ht="16.5" customHeight="1" x14ac:dyDescent="0.3">
      <c r="A501" s="69"/>
      <c r="B501" s="69"/>
      <c r="C501" s="69"/>
      <c r="D501" s="69"/>
      <c r="E501" s="69"/>
      <c r="F501" s="69"/>
      <c r="Z501" s="97"/>
      <c r="AA501" s="97"/>
      <c r="AB501" s="97"/>
      <c r="AC501" s="97"/>
      <c r="AD501" s="97"/>
      <c r="AE501" s="97"/>
      <c r="AF501" s="97"/>
      <c r="AG501" s="97"/>
      <c r="AH501" s="97"/>
      <c r="AI501" s="97"/>
      <c r="AJ501" s="97"/>
      <c r="AK501" s="97"/>
      <c r="AL501" s="97"/>
      <c r="AM501" s="97"/>
      <c r="AN501" s="97"/>
      <c r="AO501" s="97"/>
    </row>
    <row r="502" spans="1:41" ht="16.5" customHeight="1" x14ac:dyDescent="0.3">
      <c r="A502" s="69"/>
      <c r="B502" s="69"/>
      <c r="C502" s="69"/>
      <c r="D502" s="69"/>
      <c r="E502" s="69"/>
      <c r="F502" s="69"/>
      <c r="Z502" s="97"/>
      <c r="AA502" s="97"/>
      <c r="AB502" s="97"/>
      <c r="AC502" s="97"/>
      <c r="AD502" s="97"/>
      <c r="AE502" s="97"/>
      <c r="AF502" s="97"/>
      <c r="AG502" s="97"/>
      <c r="AH502" s="97"/>
      <c r="AI502" s="97"/>
      <c r="AJ502" s="97"/>
      <c r="AK502" s="97"/>
      <c r="AL502" s="97"/>
      <c r="AM502" s="97"/>
      <c r="AN502" s="97"/>
      <c r="AO502" s="97"/>
    </row>
    <row r="503" spans="1:41" ht="16.5" customHeight="1" x14ac:dyDescent="0.3">
      <c r="A503" s="74"/>
      <c r="B503" s="74"/>
      <c r="C503" s="74"/>
      <c r="D503" s="74"/>
      <c r="E503" s="74"/>
      <c r="F503" s="74"/>
      <c r="Z503" s="97"/>
      <c r="AA503" s="97"/>
      <c r="AB503" s="97"/>
      <c r="AC503" s="97"/>
      <c r="AD503" s="97"/>
      <c r="AE503" s="97"/>
      <c r="AF503" s="97"/>
      <c r="AG503" s="97"/>
      <c r="AH503" s="97"/>
      <c r="AI503" s="97"/>
      <c r="AJ503" s="97"/>
      <c r="AK503" s="97"/>
      <c r="AL503" s="97"/>
      <c r="AM503" s="97"/>
      <c r="AN503" s="97"/>
      <c r="AO503" s="97"/>
    </row>
    <row r="504" spans="1:41" ht="16.5" customHeight="1" x14ac:dyDescent="0.3">
      <c r="A504" s="145" t="s">
        <v>8953</v>
      </c>
      <c r="B504" s="138"/>
      <c r="C504" s="48">
        <f>E504+D504+F504</f>
        <v>48340</v>
      </c>
      <c r="D504" s="47">
        <f>ROUNDDOWN(SUMIF(N457:N490,M504,D457:D490),0)</f>
        <v>34461</v>
      </c>
      <c r="E504" s="56">
        <f>ROUNDDOWN(SUMIF(N457:N490,M504,E457:E490),0)</f>
        <v>13535</v>
      </c>
      <c r="F504" s="48">
        <f>ROUNDDOWN(SUMIF(N457:N490,M504,F457:F490),0)</f>
        <v>344</v>
      </c>
      <c r="M504" s="35" t="s">
        <v>6406</v>
      </c>
      <c r="Z504" s="97"/>
      <c r="AA504" s="97"/>
      <c r="AB504" s="97"/>
      <c r="AC504" s="97"/>
      <c r="AD504" s="97"/>
      <c r="AE504" s="97"/>
      <c r="AF504" s="97"/>
      <c r="AG504" s="97"/>
      <c r="AH504" s="97"/>
      <c r="AI504" s="97"/>
      <c r="AJ504" s="97"/>
      <c r="AK504" s="97"/>
      <c r="AL504" s="97"/>
      <c r="AM504" s="97"/>
      <c r="AN504" s="97"/>
      <c r="AO504" s="97"/>
    </row>
    <row r="505" spans="1:41" ht="16.5" customHeight="1" x14ac:dyDescent="0.3">
      <c r="A505" s="86" t="s">
        <v>37</v>
      </c>
      <c r="B505" s="88" t="s">
        <v>37</v>
      </c>
      <c r="C505" s="146">
        <f>C554</f>
        <v>62811</v>
      </c>
      <c r="D505" s="146">
        <f>D554</f>
        <v>62811</v>
      </c>
      <c r="E505" s="146">
        <f>E554</f>
        <v>0</v>
      </c>
      <c r="F505" s="146">
        <f>F554</f>
        <v>0</v>
      </c>
      <c r="G505" s="84" t="str">
        <f>HYPERLINK("#G"&amp;ROW(G516),"_x0005_`BDCOD|D04119_x0007_`POSS|"&amp;ROW(G507)&amp;"_x0007_`POSE|"&amp;ROW(G516)&amp;"_x0007_`")</f>
        <v>_x0005_`BDCOD|D04119_x0007_`POSS|507_x0007_`POSE|516_x0007_`</v>
      </c>
      <c r="Z505" s="97"/>
      <c r="AA505" s="97"/>
      <c r="AB505" s="97"/>
      <c r="AC505" s="97"/>
      <c r="AD505" s="97"/>
      <c r="AE505" s="97"/>
      <c r="AF505" s="97"/>
      <c r="AG505" s="97"/>
      <c r="AH505" s="97"/>
      <c r="AI505" s="97"/>
      <c r="AJ505" s="97"/>
      <c r="AK505" s="97"/>
      <c r="AL505" s="97"/>
      <c r="AM505" s="97"/>
      <c r="AN505" s="97"/>
      <c r="AO505" s="97"/>
    </row>
    <row r="506" spans="1:41" ht="16.5" customHeight="1" x14ac:dyDescent="0.3">
      <c r="A506" s="87"/>
      <c r="B506" s="88" t="s">
        <v>1999</v>
      </c>
      <c r="C506" s="127"/>
      <c r="D506" s="127"/>
      <c r="E506" s="127"/>
      <c r="F506" s="127"/>
      <c r="M506" s="35" t="s">
        <v>9008</v>
      </c>
      <c r="Z506" s="97"/>
      <c r="AA506" s="97"/>
      <c r="AB506" s="97"/>
      <c r="AC506" s="97"/>
      <c r="AD506" s="97"/>
      <c r="AE506" s="97"/>
      <c r="AF506" s="97"/>
      <c r="AG506" s="97"/>
      <c r="AH506" s="97"/>
      <c r="AI506" s="97"/>
      <c r="AJ506" s="97"/>
      <c r="AK506" s="97"/>
      <c r="AL506" s="97"/>
      <c r="AM506" s="97"/>
      <c r="AN506" s="97"/>
      <c r="AO506" s="97"/>
    </row>
    <row r="507" spans="1:41" ht="16.5" customHeight="1" x14ac:dyDescent="0.3">
      <c r="A507" s="69"/>
      <c r="B507" s="69"/>
      <c r="C507" s="90"/>
      <c r="D507" s="90"/>
      <c r="E507" s="90"/>
      <c r="F507" s="90"/>
      <c r="G507" s="17" t="s">
        <v>8885</v>
      </c>
      <c r="Z507" s="97"/>
      <c r="AA507" s="97"/>
      <c r="AB507" s="97"/>
      <c r="AC507" s="97"/>
      <c r="AD507" s="97"/>
      <c r="AE507" s="97"/>
      <c r="AF507" s="97"/>
      <c r="AG507" s="97"/>
      <c r="AH507" s="97"/>
      <c r="AI507" s="97"/>
      <c r="AJ507" s="97"/>
      <c r="AK507" s="97"/>
      <c r="AL507" s="97"/>
      <c r="AM507" s="97"/>
      <c r="AN507" s="97"/>
      <c r="AO507" s="97"/>
    </row>
    <row r="508" spans="1:41" ht="16.5" customHeight="1" x14ac:dyDescent="0.3">
      <c r="A508" s="59"/>
      <c r="B508" s="68" t="s">
        <v>9010</v>
      </c>
      <c r="C508" s="69"/>
      <c r="D508" s="69"/>
      <c r="E508" s="69"/>
      <c r="F508" s="69"/>
      <c r="G508" s="17" t="s">
        <v>9009</v>
      </c>
      <c r="Z508" s="97"/>
      <c r="AA508" s="97"/>
      <c r="AB508" s="97"/>
      <c r="AC508" s="97"/>
      <c r="AD508" s="97"/>
      <c r="AE508" s="97"/>
      <c r="AF508" s="97"/>
      <c r="AG508" s="97"/>
      <c r="AH508" s="97"/>
      <c r="AI508" s="97"/>
      <c r="AJ508" s="97"/>
      <c r="AK508" s="97"/>
      <c r="AL508" s="97"/>
      <c r="AM508" s="97"/>
      <c r="AN508" s="97"/>
      <c r="AO508" s="97"/>
    </row>
    <row r="509" spans="1:41" ht="16.5" customHeight="1" x14ac:dyDescent="0.3">
      <c r="A509" s="69"/>
      <c r="B509" s="69"/>
      <c r="C509" s="69"/>
      <c r="D509" s="69"/>
      <c r="E509" s="69"/>
      <c r="F509" s="69"/>
      <c r="G509" s="17" t="s">
        <v>8885</v>
      </c>
      <c r="Z509" s="97"/>
      <c r="AA509" s="97"/>
      <c r="AB509" s="97"/>
      <c r="AC509" s="97"/>
      <c r="AD509" s="97"/>
      <c r="AE509" s="97"/>
      <c r="AF509" s="97"/>
      <c r="AG509" s="97"/>
      <c r="AH509" s="97"/>
      <c r="AI509" s="97"/>
      <c r="AJ509" s="97"/>
      <c r="AK509" s="97"/>
      <c r="AL509" s="97"/>
      <c r="AM509" s="97"/>
      <c r="AN509" s="97"/>
      <c r="AO509" s="97"/>
    </row>
    <row r="510" spans="1:41" ht="16.5" customHeight="1" x14ac:dyDescent="0.3">
      <c r="A510" s="59"/>
      <c r="B510" s="68" t="s">
        <v>9012</v>
      </c>
      <c r="C510" s="69"/>
      <c r="D510" s="69"/>
      <c r="E510" s="69"/>
      <c r="F510" s="69"/>
      <c r="G510" s="17" t="s">
        <v>9011</v>
      </c>
      <c r="Z510" s="97"/>
      <c r="AA510" s="97"/>
      <c r="AB510" s="97"/>
      <c r="AC510" s="97"/>
      <c r="AD510" s="97"/>
      <c r="AE510" s="97"/>
      <c r="AF510" s="97"/>
      <c r="AG510" s="97"/>
      <c r="AH510" s="97"/>
      <c r="AI510" s="97"/>
      <c r="AJ510" s="97"/>
      <c r="AK510" s="97"/>
      <c r="AL510" s="97"/>
      <c r="AM510" s="97"/>
      <c r="AN510" s="97"/>
      <c r="AO510" s="97"/>
    </row>
    <row r="511" spans="1:41" ht="16.5" customHeight="1" x14ac:dyDescent="0.3">
      <c r="A511" s="69"/>
      <c r="B511" s="69"/>
      <c r="C511" s="69"/>
      <c r="D511" s="69"/>
      <c r="E511" s="69"/>
      <c r="F511" s="69"/>
      <c r="G511" s="17" t="s">
        <v>8885</v>
      </c>
      <c r="Z511" s="97"/>
      <c r="AA511" s="97"/>
      <c r="AB511" s="97"/>
      <c r="AC511" s="97"/>
      <c r="AD511" s="97"/>
      <c r="AE511" s="97"/>
      <c r="AF511" s="97"/>
      <c r="AG511" s="97"/>
      <c r="AH511" s="97"/>
      <c r="AI511" s="97"/>
      <c r="AJ511" s="97"/>
      <c r="AK511" s="97"/>
      <c r="AL511" s="97"/>
      <c r="AM511" s="97"/>
      <c r="AN511" s="97"/>
      <c r="AO511" s="97"/>
    </row>
    <row r="512" spans="1:41" ht="16.5" customHeight="1" x14ac:dyDescent="0.3">
      <c r="A512" s="59"/>
      <c r="B512" s="68" t="str">
        <f>"      Q = "&amp;Z512&amp;"  hr/일 "</f>
        <v xml:space="preserve">      Q = 3.6  hr/일 </v>
      </c>
      <c r="C512" s="69"/>
      <c r="D512" s="69"/>
      <c r="E512" s="69"/>
      <c r="F512" s="69"/>
      <c r="G512" s="17" t="s">
        <v>9013</v>
      </c>
      <c r="Z512" s="98">
        <v>3.6</v>
      </c>
      <c r="AA512" s="35" t="s">
        <v>8892</v>
      </c>
      <c r="AB512" s="100">
        <f>Z512</f>
        <v>3.6</v>
      </c>
      <c r="AC512" s="97"/>
      <c r="AD512" s="97"/>
      <c r="AE512" s="97"/>
      <c r="AF512" s="97"/>
      <c r="AG512" s="97"/>
      <c r="AH512" s="97"/>
      <c r="AI512" s="97"/>
      <c r="AJ512" s="97"/>
      <c r="AK512" s="97"/>
      <c r="AL512" s="97"/>
      <c r="AM512" s="97"/>
      <c r="AN512" s="97"/>
      <c r="AO512" s="97"/>
    </row>
    <row r="513" spans="1:41" ht="16.5" customHeight="1" x14ac:dyDescent="0.3">
      <c r="A513" s="69"/>
      <c r="B513" s="69"/>
      <c r="C513" s="69"/>
      <c r="D513" s="69"/>
      <c r="E513" s="69"/>
      <c r="F513" s="69"/>
      <c r="G513" s="17" t="s">
        <v>8885</v>
      </c>
      <c r="Z513" s="97"/>
      <c r="AA513" s="97"/>
      <c r="AB513" s="97"/>
      <c r="AC513" s="97"/>
      <c r="AD513" s="97"/>
      <c r="AE513" s="97"/>
      <c r="AF513" s="97"/>
      <c r="AG513" s="97"/>
      <c r="AH513" s="97"/>
      <c r="AI513" s="97"/>
      <c r="AJ513" s="97"/>
      <c r="AK513" s="97"/>
      <c r="AL513" s="97"/>
      <c r="AM513" s="97"/>
      <c r="AN513" s="97"/>
      <c r="AO513" s="97"/>
    </row>
    <row r="514" spans="1:41" ht="16.5" customHeight="1" x14ac:dyDescent="0.3">
      <c r="A514" s="59" t="s">
        <v>8946</v>
      </c>
      <c r="B514" s="89" t="str">
        <f>"    특별인부:   "&amp;TEXT(I514,"#,##0"&amp;IF(I514&lt;&gt;INT(I514),".###",""))&amp;" * "&amp;AA514&amp;" 인  /  Q  인  = "&amp;TEXT(C514,"#,##0.0")&amp;"  ㎥ "</f>
        <v xml:space="preserve">    특별인부:   226,122 * 1 인  /  Q  인  = 62,811.6  ㎥ </v>
      </c>
      <c r="C514" s="91">
        <f>E514+D514+F514</f>
        <v>62811.6</v>
      </c>
      <c r="D514" s="91">
        <f>IF(H514=0,0,ROUNDDOWN(J514*H514,1))</f>
        <v>62811.6</v>
      </c>
      <c r="E514" s="91">
        <f>IF(H514=0,0,ROUNDDOWN(K514*H514,1))</f>
        <v>0</v>
      </c>
      <c r="F514" s="91">
        <f>IF(H514=0,0,ROUNDDOWN(L514*H514,1))</f>
        <v>0</v>
      </c>
      <c r="G514" s="17" t="s">
        <v>9014</v>
      </c>
      <c r="H514" s="94">
        <f>ROUNDUP(AE514,14-LEN(ABS(INT(AE514))))</f>
        <v>0.27777777777779999</v>
      </c>
      <c r="I514" s="95">
        <f>K514+J514+L514</f>
        <v>226122</v>
      </c>
      <c r="J514" s="39">
        <f>노무비목록표!E20</f>
        <v>226122</v>
      </c>
      <c r="M514" s="35" t="s">
        <v>8454</v>
      </c>
      <c r="N514" s="35" t="s">
        <v>8952</v>
      </c>
      <c r="X514" s="96" t="str">
        <f>노무비목록표!B20&amp;" / "&amp;노무비목록표!C20</f>
        <v xml:space="preserve">특별인부 / </v>
      </c>
      <c r="Y514" s="3" t="str">
        <f ca="1">HYPERLINK("#"&amp;노무비목록표!G2&amp;"!A"&amp;ROW(노무비목록표!A20),"노무17 →")</f>
        <v>노무17 →</v>
      </c>
      <c r="Z514" s="35" t="s">
        <v>8947</v>
      </c>
      <c r="AA514" s="99">
        <v>1</v>
      </c>
      <c r="AB514" s="35" t="s">
        <v>8905</v>
      </c>
      <c r="AC514" s="100">
        <f>AB512</f>
        <v>3.6</v>
      </c>
      <c r="AD514" s="35" t="s">
        <v>8892</v>
      </c>
      <c r="AE514" s="100">
        <f>1*AA514/AB512</f>
        <v>0.27777777777777779</v>
      </c>
      <c r="AF514" s="97"/>
      <c r="AG514" s="97"/>
      <c r="AH514" s="97"/>
      <c r="AI514" s="97"/>
      <c r="AJ514" s="97"/>
      <c r="AK514" s="97"/>
      <c r="AL514" s="97"/>
      <c r="AM514" s="97"/>
      <c r="AN514" s="97"/>
      <c r="AO514" s="97"/>
    </row>
    <row r="515" spans="1:41" ht="16.5" customHeight="1" x14ac:dyDescent="0.3">
      <c r="A515" s="69"/>
      <c r="B515" s="69"/>
      <c r="C515" s="69"/>
      <c r="D515" s="69"/>
      <c r="E515" s="69"/>
      <c r="F515" s="69"/>
      <c r="G515" s="17" t="s">
        <v>8885</v>
      </c>
      <c r="Z515" s="97"/>
      <c r="AA515" s="97"/>
      <c r="AB515" s="97"/>
      <c r="AC515" s="97"/>
      <c r="AD515" s="97"/>
      <c r="AE515" s="97"/>
      <c r="AF515" s="97"/>
      <c r="AG515" s="97"/>
      <c r="AH515" s="97"/>
      <c r="AI515" s="97"/>
      <c r="AJ515" s="97"/>
      <c r="AK515" s="97"/>
      <c r="AL515" s="97"/>
      <c r="AM515" s="97"/>
      <c r="AN515" s="97"/>
      <c r="AO515" s="97"/>
    </row>
    <row r="516" spans="1:41" ht="16.5" customHeight="1" x14ac:dyDescent="0.3">
      <c r="A516" s="59"/>
      <c r="B516" s="68" t="s">
        <v>8951</v>
      </c>
      <c r="C516" s="92">
        <f>E516+D516+F516</f>
        <v>62811.6</v>
      </c>
      <c r="D516" s="92">
        <f>SUMIF(N507:N515,M516,D507:D515)</f>
        <v>62811.6</v>
      </c>
      <c r="E516" s="92">
        <f>SUMIF(N507:N515,M516,E507:E515)</f>
        <v>0</v>
      </c>
      <c r="F516" s="92">
        <f>SUMIF(N507:N515,M516,F507:F515)</f>
        <v>0</v>
      </c>
      <c r="G516" s="17" t="s">
        <v>8950</v>
      </c>
      <c r="M516" s="35" t="s">
        <v>8952</v>
      </c>
      <c r="N516" s="35" t="s">
        <v>6406</v>
      </c>
      <c r="Z516" s="97"/>
      <c r="AA516" s="97"/>
      <c r="AB516" s="97"/>
      <c r="AC516" s="97"/>
      <c r="AD516" s="97"/>
      <c r="AE516" s="97"/>
      <c r="AF516" s="97"/>
      <c r="AG516" s="97"/>
      <c r="AH516" s="97"/>
      <c r="AI516" s="97"/>
      <c r="AJ516" s="97"/>
      <c r="AK516" s="97"/>
      <c r="AL516" s="97"/>
      <c r="AM516" s="97"/>
      <c r="AN516" s="97"/>
      <c r="AO516" s="97"/>
    </row>
    <row r="517" spans="1:41" ht="16.5" customHeight="1" x14ac:dyDescent="0.3">
      <c r="A517" s="69"/>
      <c r="B517" s="69"/>
      <c r="C517" s="90"/>
      <c r="D517" s="90"/>
      <c r="E517" s="90"/>
      <c r="F517" s="90"/>
      <c r="Z517" s="97"/>
      <c r="AA517" s="97"/>
      <c r="AB517" s="97"/>
      <c r="AC517" s="97"/>
      <c r="AD517" s="97"/>
      <c r="AE517" s="97"/>
      <c r="AF517" s="97"/>
      <c r="AG517" s="97"/>
      <c r="AH517" s="97"/>
      <c r="AI517" s="97"/>
      <c r="AJ517" s="97"/>
      <c r="AK517" s="97"/>
      <c r="AL517" s="97"/>
      <c r="AM517" s="97"/>
      <c r="AN517" s="97"/>
      <c r="AO517" s="97"/>
    </row>
    <row r="518" spans="1:41" ht="16.5" customHeight="1" x14ac:dyDescent="0.3">
      <c r="A518" s="69"/>
      <c r="B518" s="69"/>
      <c r="C518" s="69"/>
      <c r="D518" s="69"/>
      <c r="E518" s="69"/>
      <c r="F518" s="69"/>
      <c r="Z518" s="97"/>
      <c r="AA518" s="97"/>
      <c r="AB518" s="97"/>
      <c r="AC518" s="97"/>
      <c r="AD518" s="97"/>
      <c r="AE518" s="97"/>
      <c r="AF518" s="97"/>
      <c r="AG518" s="97"/>
      <c r="AH518" s="97"/>
      <c r="AI518" s="97"/>
      <c r="AJ518" s="97"/>
      <c r="AK518" s="97"/>
      <c r="AL518" s="97"/>
      <c r="AM518" s="97"/>
      <c r="AN518" s="97"/>
      <c r="AO518" s="97"/>
    </row>
    <row r="519" spans="1:41" ht="16.5" customHeight="1" x14ac:dyDescent="0.3">
      <c r="A519" s="69"/>
      <c r="B519" s="69"/>
      <c r="C519" s="69"/>
      <c r="D519" s="69"/>
      <c r="E519" s="69"/>
      <c r="F519" s="69"/>
      <c r="Z519" s="97"/>
      <c r="AA519" s="97"/>
      <c r="AB519" s="97"/>
      <c r="AC519" s="97"/>
      <c r="AD519" s="97"/>
      <c r="AE519" s="97"/>
      <c r="AF519" s="97"/>
      <c r="AG519" s="97"/>
      <c r="AH519" s="97"/>
      <c r="AI519" s="97"/>
      <c r="AJ519" s="97"/>
      <c r="AK519" s="97"/>
      <c r="AL519" s="97"/>
      <c r="AM519" s="97"/>
      <c r="AN519" s="97"/>
      <c r="AO519" s="97"/>
    </row>
    <row r="520" spans="1:41" ht="16.5" customHeight="1" x14ac:dyDescent="0.3">
      <c r="A520" s="69"/>
      <c r="B520" s="69"/>
      <c r="C520" s="69"/>
      <c r="D520" s="69"/>
      <c r="E520" s="69"/>
      <c r="F520" s="69"/>
      <c r="Z520" s="97"/>
      <c r="AA520" s="97"/>
      <c r="AB520" s="97"/>
      <c r="AC520" s="97"/>
      <c r="AD520" s="97"/>
      <c r="AE520" s="97"/>
      <c r="AF520" s="97"/>
      <c r="AG520" s="97"/>
      <c r="AH520" s="97"/>
      <c r="AI520" s="97"/>
      <c r="AJ520" s="97"/>
      <c r="AK520" s="97"/>
      <c r="AL520" s="97"/>
      <c r="AM520" s="97"/>
      <c r="AN520" s="97"/>
      <c r="AO520" s="97"/>
    </row>
    <row r="521" spans="1:41" ht="16.5" customHeight="1" x14ac:dyDescent="0.3">
      <c r="A521" s="69"/>
      <c r="B521" s="69"/>
      <c r="C521" s="69"/>
      <c r="D521" s="69"/>
      <c r="E521" s="69"/>
      <c r="F521" s="69"/>
      <c r="Z521" s="97"/>
      <c r="AA521" s="97"/>
      <c r="AB521" s="97"/>
      <c r="AC521" s="97"/>
      <c r="AD521" s="97"/>
      <c r="AE521" s="97"/>
      <c r="AF521" s="97"/>
      <c r="AG521" s="97"/>
      <c r="AH521" s="97"/>
      <c r="AI521" s="97"/>
      <c r="AJ521" s="97"/>
      <c r="AK521" s="97"/>
      <c r="AL521" s="97"/>
      <c r="AM521" s="97"/>
      <c r="AN521" s="97"/>
      <c r="AO521" s="97"/>
    </row>
    <row r="522" spans="1:41" ht="16.5" customHeight="1" x14ac:dyDescent="0.3">
      <c r="A522" s="69"/>
      <c r="B522" s="69"/>
      <c r="C522" s="69"/>
      <c r="D522" s="69"/>
      <c r="E522" s="69"/>
      <c r="F522" s="69"/>
      <c r="Z522" s="97"/>
      <c r="AA522" s="97"/>
      <c r="AB522" s="97"/>
      <c r="AC522" s="97"/>
      <c r="AD522" s="97"/>
      <c r="AE522" s="97"/>
      <c r="AF522" s="97"/>
      <c r="AG522" s="97"/>
      <c r="AH522" s="97"/>
      <c r="AI522" s="97"/>
      <c r="AJ522" s="97"/>
      <c r="AK522" s="97"/>
      <c r="AL522" s="97"/>
      <c r="AM522" s="97"/>
      <c r="AN522" s="97"/>
      <c r="AO522" s="97"/>
    </row>
    <row r="523" spans="1:41" ht="16.5" customHeight="1" x14ac:dyDescent="0.3">
      <c r="A523" s="69"/>
      <c r="B523" s="69"/>
      <c r="C523" s="69"/>
      <c r="D523" s="69"/>
      <c r="E523" s="69"/>
      <c r="F523" s="69"/>
      <c r="Z523" s="97"/>
      <c r="AA523" s="97"/>
      <c r="AB523" s="97"/>
      <c r="AC523" s="97"/>
      <c r="AD523" s="97"/>
      <c r="AE523" s="97"/>
      <c r="AF523" s="97"/>
      <c r="AG523" s="97"/>
      <c r="AH523" s="97"/>
      <c r="AI523" s="97"/>
      <c r="AJ523" s="97"/>
      <c r="AK523" s="97"/>
      <c r="AL523" s="97"/>
      <c r="AM523" s="97"/>
      <c r="AN523" s="97"/>
      <c r="AO523" s="97"/>
    </row>
    <row r="524" spans="1:41" ht="16.5" customHeight="1" x14ac:dyDescent="0.3">
      <c r="A524" s="69"/>
      <c r="B524" s="69"/>
      <c r="C524" s="69"/>
      <c r="D524" s="69"/>
      <c r="E524" s="69"/>
      <c r="F524" s="69"/>
      <c r="Z524" s="97"/>
      <c r="AA524" s="97"/>
      <c r="AB524" s="97"/>
      <c r="AC524" s="97"/>
      <c r="AD524" s="97"/>
      <c r="AE524" s="97"/>
      <c r="AF524" s="97"/>
      <c r="AG524" s="97"/>
      <c r="AH524" s="97"/>
      <c r="AI524" s="97"/>
      <c r="AJ524" s="97"/>
      <c r="AK524" s="97"/>
      <c r="AL524" s="97"/>
      <c r="AM524" s="97"/>
      <c r="AN524" s="97"/>
      <c r="AO524" s="97"/>
    </row>
    <row r="525" spans="1:41" ht="16.5" customHeight="1" x14ac:dyDescent="0.3">
      <c r="A525" s="69"/>
      <c r="B525" s="69"/>
      <c r="C525" s="69"/>
      <c r="D525" s="69"/>
      <c r="E525" s="69"/>
      <c r="F525" s="69"/>
      <c r="Z525" s="97"/>
      <c r="AA525" s="97"/>
      <c r="AB525" s="97"/>
      <c r="AC525" s="97"/>
      <c r="AD525" s="97"/>
      <c r="AE525" s="97"/>
      <c r="AF525" s="97"/>
      <c r="AG525" s="97"/>
      <c r="AH525" s="97"/>
      <c r="AI525" s="97"/>
      <c r="AJ525" s="97"/>
      <c r="AK525" s="97"/>
      <c r="AL525" s="97"/>
      <c r="AM525" s="97"/>
      <c r="AN525" s="97"/>
      <c r="AO525" s="97"/>
    </row>
    <row r="526" spans="1:41" ht="16.5" customHeight="1" x14ac:dyDescent="0.3">
      <c r="A526" s="69"/>
      <c r="B526" s="69"/>
      <c r="C526" s="69"/>
      <c r="D526" s="69"/>
      <c r="E526" s="69"/>
      <c r="F526" s="69"/>
      <c r="Z526" s="97"/>
      <c r="AA526" s="97"/>
      <c r="AB526" s="97"/>
      <c r="AC526" s="97"/>
      <c r="AD526" s="97"/>
      <c r="AE526" s="97"/>
      <c r="AF526" s="97"/>
      <c r="AG526" s="97"/>
      <c r="AH526" s="97"/>
      <c r="AI526" s="97"/>
      <c r="AJ526" s="97"/>
      <c r="AK526" s="97"/>
      <c r="AL526" s="97"/>
      <c r="AM526" s="97"/>
      <c r="AN526" s="97"/>
      <c r="AO526" s="97"/>
    </row>
    <row r="527" spans="1:41" ht="16.5" customHeight="1" x14ac:dyDescent="0.3">
      <c r="A527" s="69"/>
      <c r="B527" s="69"/>
      <c r="C527" s="69"/>
      <c r="D527" s="69"/>
      <c r="E527" s="69"/>
      <c r="F527" s="69"/>
      <c r="Z527" s="97"/>
      <c r="AA527" s="97"/>
      <c r="AB527" s="97"/>
      <c r="AC527" s="97"/>
      <c r="AD527" s="97"/>
      <c r="AE527" s="97"/>
      <c r="AF527" s="97"/>
      <c r="AG527" s="97"/>
      <c r="AH527" s="97"/>
      <c r="AI527" s="97"/>
      <c r="AJ527" s="97"/>
      <c r="AK527" s="97"/>
      <c r="AL527" s="97"/>
      <c r="AM527" s="97"/>
      <c r="AN527" s="97"/>
      <c r="AO527" s="97"/>
    </row>
    <row r="528" spans="1:41" ht="16.5" customHeight="1" x14ac:dyDescent="0.3">
      <c r="A528" s="69"/>
      <c r="B528" s="69"/>
      <c r="C528" s="69"/>
      <c r="D528" s="69"/>
      <c r="E528" s="69"/>
      <c r="F528" s="69"/>
      <c r="Z528" s="97"/>
      <c r="AA528" s="97"/>
      <c r="AB528" s="97"/>
      <c r="AC528" s="97"/>
      <c r="AD528" s="97"/>
      <c r="AE528" s="97"/>
      <c r="AF528" s="97"/>
      <c r="AG528" s="97"/>
      <c r="AH528" s="97"/>
      <c r="AI528" s="97"/>
      <c r="AJ528" s="97"/>
      <c r="AK528" s="97"/>
      <c r="AL528" s="97"/>
      <c r="AM528" s="97"/>
      <c r="AN528" s="97"/>
      <c r="AO528" s="97"/>
    </row>
    <row r="529" spans="1:41" ht="16.5" customHeight="1" x14ac:dyDescent="0.3">
      <c r="A529" s="69"/>
      <c r="B529" s="69"/>
      <c r="C529" s="69"/>
      <c r="D529" s="69"/>
      <c r="E529" s="69"/>
      <c r="F529" s="69"/>
      <c r="Z529" s="97"/>
      <c r="AA529" s="97"/>
      <c r="AB529" s="97"/>
      <c r="AC529" s="97"/>
      <c r="AD529" s="97"/>
      <c r="AE529" s="97"/>
      <c r="AF529" s="97"/>
      <c r="AG529" s="97"/>
      <c r="AH529" s="97"/>
      <c r="AI529" s="97"/>
      <c r="AJ529" s="97"/>
      <c r="AK529" s="97"/>
      <c r="AL529" s="97"/>
      <c r="AM529" s="97"/>
      <c r="AN529" s="97"/>
      <c r="AO529" s="97"/>
    </row>
    <row r="530" spans="1:41" ht="16.5" customHeight="1" x14ac:dyDescent="0.3">
      <c r="A530" s="69"/>
      <c r="B530" s="69"/>
      <c r="C530" s="69"/>
      <c r="D530" s="69"/>
      <c r="E530" s="69"/>
      <c r="F530" s="69"/>
      <c r="Z530" s="97"/>
      <c r="AA530" s="97"/>
      <c r="AB530" s="97"/>
      <c r="AC530" s="97"/>
      <c r="AD530" s="97"/>
      <c r="AE530" s="97"/>
      <c r="AF530" s="97"/>
      <c r="AG530" s="97"/>
      <c r="AH530" s="97"/>
      <c r="AI530" s="97"/>
      <c r="AJ530" s="97"/>
      <c r="AK530" s="97"/>
      <c r="AL530" s="97"/>
      <c r="AM530" s="97"/>
      <c r="AN530" s="97"/>
      <c r="AO530" s="97"/>
    </row>
    <row r="531" spans="1:41" ht="16.5" customHeight="1" x14ac:dyDescent="0.3">
      <c r="A531" s="69"/>
      <c r="B531" s="69"/>
      <c r="C531" s="69"/>
      <c r="D531" s="69"/>
      <c r="E531" s="69"/>
      <c r="F531" s="69"/>
      <c r="Z531" s="97"/>
      <c r="AA531" s="97"/>
      <c r="AB531" s="97"/>
      <c r="AC531" s="97"/>
      <c r="AD531" s="97"/>
      <c r="AE531" s="97"/>
      <c r="AF531" s="97"/>
      <c r="AG531" s="97"/>
      <c r="AH531" s="97"/>
      <c r="AI531" s="97"/>
      <c r="AJ531" s="97"/>
      <c r="AK531" s="97"/>
      <c r="AL531" s="97"/>
      <c r="AM531" s="97"/>
      <c r="AN531" s="97"/>
      <c r="AO531" s="97"/>
    </row>
    <row r="532" spans="1:41" ht="16.5" customHeight="1" x14ac:dyDescent="0.3">
      <c r="A532" s="69"/>
      <c r="B532" s="69"/>
      <c r="C532" s="69"/>
      <c r="D532" s="69"/>
      <c r="E532" s="69"/>
      <c r="F532" s="69"/>
      <c r="Z532" s="97"/>
      <c r="AA532" s="97"/>
      <c r="AB532" s="97"/>
      <c r="AC532" s="97"/>
      <c r="AD532" s="97"/>
      <c r="AE532" s="97"/>
      <c r="AF532" s="97"/>
      <c r="AG532" s="97"/>
      <c r="AH532" s="97"/>
      <c r="AI532" s="97"/>
      <c r="AJ532" s="97"/>
      <c r="AK532" s="97"/>
      <c r="AL532" s="97"/>
      <c r="AM532" s="97"/>
      <c r="AN532" s="97"/>
      <c r="AO532" s="97"/>
    </row>
    <row r="533" spans="1:41" ht="16.5" customHeight="1" x14ac:dyDescent="0.3">
      <c r="A533" s="69"/>
      <c r="B533" s="69"/>
      <c r="C533" s="69"/>
      <c r="D533" s="69"/>
      <c r="E533" s="69"/>
      <c r="F533" s="69"/>
      <c r="Z533" s="97"/>
      <c r="AA533" s="97"/>
      <c r="AB533" s="97"/>
      <c r="AC533" s="97"/>
      <c r="AD533" s="97"/>
      <c r="AE533" s="97"/>
      <c r="AF533" s="97"/>
      <c r="AG533" s="97"/>
      <c r="AH533" s="97"/>
      <c r="AI533" s="97"/>
      <c r="AJ533" s="97"/>
      <c r="AK533" s="97"/>
      <c r="AL533" s="97"/>
      <c r="AM533" s="97"/>
      <c r="AN533" s="97"/>
      <c r="AO533" s="97"/>
    </row>
    <row r="534" spans="1:41" ht="16.5" customHeight="1" x14ac:dyDescent="0.3">
      <c r="A534" s="69"/>
      <c r="B534" s="69"/>
      <c r="C534" s="69"/>
      <c r="D534" s="69"/>
      <c r="E534" s="69"/>
      <c r="F534" s="69"/>
      <c r="Z534" s="97"/>
      <c r="AA534" s="97"/>
      <c r="AB534" s="97"/>
      <c r="AC534" s="97"/>
      <c r="AD534" s="97"/>
      <c r="AE534" s="97"/>
      <c r="AF534" s="97"/>
      <c r="AG534" s="97"/>
      <c r="AH534" s="97"/>
      <c r="AI534" s="97"/>
      <c r="AJ534" s="97"/>
      <c r="AK534" s="97"/>
      <c r="AL534" s="97"/>
      <c r="AM534" s="97"/>
      <c r="AN534" s="97"/>
      <c r="AO534" s="97"/>
    </row>
    <row r="535" spans="1:41" ht="16.5" customHeight="1" x14ac:dyDescent="0.3">
      <c r="A535" s="69"/>
      <c r="B535" s="69"/>
      <c r="C535" s="69"/>
      <c r="D535" s="69"/>
      <c r="E535" s="69"/>
      <c r="F535" s="69"/>
      <c r="Z535" s="97"/>
      <c r="AA535" s="97"/>
      <c r="AB535" s="97"/>
      <c r="AC535" s="97"/>
      <c r="AD535" s="97"/>
      <c r="AE535" s="97"/>
      <c r="AF535" s="97"/>
      <c r="AG535" s="97"/>
      <c r="AH535" s="97"/>
      <c r="AI535" s="97"/>
      <c r="AJ535" s="97"/>
      <c r="AK535" s="97"/>
      <c r="AL535" s="97"/>
      <c r="AM535" s="97"/>
      <c r="AN535" s="97"/>
      <c r="AO535" s="97"/>
    </row>
    <row r="536" spans="1:41" ht="16.5" customHeight="1" x14ac:dyDescent="0.3">
      <c r="A536" s="69"/>
      <c r="B536" s="69"/>
      <c r="C536" s="69"/>
      <c r="D536" s="69"/>
      <c r="E536" s="69"/>
      <c r="F536" s="69"/>
      <c r="Z536" s="97"/>
      <c r="AA536" s="97"/>
      <c r="AB536" s="97"/>
      <c r="AC536" s="97"/>
      <c r="AD536" s="97"/>
      <c r="AE536" s="97"/>
      <c r="AF536" s="97"/>
      <c r="AG536" s="97"/>
      <c r="AH536" s="97"/>
      <c r="AI536" s="97"/>
      <c r="AJ536" s="97"/>
      <c r="AK536" s="97"/>
      <c r="AL536" s="97"/>
      <c r="AM536" s="97"/>
      <c r="AN536" s="97"/>
      <c r="AO536" s="97"/>
    </row>
    <row r="537" spans="1:41" ht="16.5" customHeight="1" x14ac:dyDescent="0.3">
      <c r="A537" s="69"/>
      <c r="B537" s="69"/>
      <c r="C537" s="69"/>
      <c r="D537" s="69"/>
      <c r="E537" s="69"/>
      <c r="F537" s="69"/>
      <c r="Z537" s="97"/>
      <c r="AA537" s="97"/>
      <c r="AB537" s="97"/>
      <c r="AC537" s="97"/>
      <c r="AD537" s="97"/>
      <c r="AE537" s="97"/>
      <c r="AF537" s="97"/>
      <c r="AG537" s="97"/>
      <c r="AH537" s="97"/>
      <c r="AI537" s="97"/>
      <c r="AJ537" s="97"/>
      <c r="AK537" s="97"/>
      <c r="AL537" s="97"/>
      <c r="AM537" s="97"/>
      <c r="AN537" s="97"/>
      <c r="AO537" s="97"/>
    </row>
    <row r="538" spans="1:41" ht="16.5" customHeight="1" x14ac:dyDescent="0.3">
      <c r="A538" s="69"/>
      <c r="B538" s="69"/>
      <c r="C538" s="69"/>
      <c r="D538" s="69"/>
      <c r="E538" s="69"/>
      <c r="F538" s="69"/>
      <c r="Z538" s="97"/>
      <c r="AA538" s="97"/>
      <c r="AB538" s="97"/>
      <c r="AC538" s="97"/>
      <c r="AD538" s="97"/>
      <c r="AE538" s="97"/>
      <c r="AF538" s="97"/>
      <c r="AG538" s="97"/>
      <c r="AH538" s="97"/>
      <c r="AI538" s="97"/>
      <c r="AJ538" s="97"/>
      <c r="AK538" s="97"/>
      <c r="AL538" s="97"/>
      <c r="AM538" s="97"/>
      <c r="AN538" s="97"/>
      <c r="AO538" s="97"/>
    </row>
    <row r="539" spans="1:41" ht="16.5" customHeight="1" x14ac:dyDescent="0.3">
      <c r="A539" s="69"/>
      <c r="B539" s="69"/>
      <c r="C539" s="69"/>
      <c r="D539" s="69"/>
      <c r="E539" s="69"/>
      <c r="F539" s="69"/>
      <c r="Z539" s="97"/>
      <c r="AA539" s="97"/>
      <c r="AB539" s="97"/>
      <c r="AC539" s="97"/>
      <c r="AD539" s="97"/>
      <c r="AE539" s="97"/>
      <c r="AF539" s="97"/>
      <c r="AG539" s="97"/>
      <c r="AH539" s="97"/>
      <c r="AI539" s="97"/>
      <c r="AJ539" s="97"/>
      <c r="AK539" s="97"/>
      <c r="AL539" s="97"/>
      <c r="AM539" s="97"/>
      <c r="AN539" s="97"/>
      <c r="AO539" s="97"/>
    </row>
    <row r="540" spans="1:41" ht="16.5" customHeight="1" x14ac:dyDescent="0.3">
      <c r="A540" s="69"/>
      <c r="B540" s="69"/>
      <c r="C540" s="69"/>
      <c r="D540" s="69"/>
      <c r="E540" s="69"/>
      <c r="F540" s="69"/>
      <c r="Z540" s="97"/>
      <c r="AA540" s="97"/>
      <c r="AB540" s="97"/>
      <c r="AC540" s="97"/>
      <c r="AD540" s="97"/>
      <c r="AE540" s="97"/>
      <c r="AF540" s="97"/>
      <c r="AG540" s="97"/>
      <c r="AH540" s="97"/>
      <c r="AI540" s="97"/>
      <c r="AJ540" s="97"/>
      <c r="AK540" s="97"/>
      <c r="AL540" s="97"/>
      <c r="AM540" s="97"/>
      <c r="AN540" s="97"/>
      <c r="AO540" s="97"/>
    </row>
    <row r="541" spans="1:41" ht="16.5" customHeight="1" x14ac:dyDescent="0.3">
      <c r="A541" s="69"/>
      <c r="B541" s="69"/>
      <c r="C541" s="69"/>
      <c r="D541" s="69"/>
      <c r="E541" s="69"/>
      <c r="F541" s="69"/>
      <c r="Z541" s="97"/>
      <c r="AA541" s="97"/>
      <c r="AB541" s="97"/>
      <c r="AC541" s="97"/>
      <c r="AD541" s="97"/>
      <c r="AE541" s="97"/>
      <c r="AF541" s="97"/>
      <c r="AG541" s="97"/>
      <c r="AH541" s="97"/>
      <c r="AI541" s="97"/>
      <c r="AJ541" s="97"/>
      <c r="AK541" s="97"/>
      <c r="AL541" s="97"/>
      <c r="AM541" s="97"/>
      <c r="AN541" s="97"/>
      <c r="AO541" s="97"/>
    </row>
    <row r="542" spans="1:41" ht="16.5" customHeight="1" x14ac:dyDescent="0.3">
      <c r="A542" s="69"/>
      <c r="B542" s="69"/>
      <c r="C542" s="69"/>
      <c r="D542" s="69"/>
      <c r="E542" s="69"/>
      <c r="F542" s="69"/>
      <c r="Z542" s="97"/>
      <c r="AA542" s="97"/>
      <c r="AB542" s="97"/>
      <c r="AC542" s="97"/>
      <c r="AD542" s="97"/>
      <c r="AE542" s="97"/>
      <c r="AF542" s="97"/>
      <c r="AG542" s="97"/>
      <c r="AH542" s="97"/>
      <c r="AI542" s="97"/>
      <c r="AJ542" s="97"/>
      <c r="AK542" s="97"/>
      <c r="AL542" s="97"/>
      <c r="AM542" s="97"/>
      <c r="AN542" s="97"/>
      <c r="AO542" s="97"/>
    </row>
    <row r="543" spans="1:41" ht="16.5" customHeight="1" x14ac:dyDescent="0.3">
      <c r="A543" s="69"/>
      <c r="B543" s="69"/>
      <c r="C543" s="69"/>
      <c r="D543" s="69"/>
      <c r="E543" s="69"/>
      <c r="F543" s="69"/>
      <c r="Z543" s="97"/>
      <c r="AA543" s="97"/>
      <c r="AB543" s="97"/>
      <c r="AC543" s="97"/>
      <c r="AD543" s="97"/>
      <c r="AE543" s="97"/>
      <c r="AF543" s="97"/>
      <c r="AG543" s="97"/>
      <c r="AH543" s="97"/>
      <c r="AI543" s="97"/>
      <c r="AJ543" s="97"/>
      <c r="AK543" s="97"/>
      <c r="AL543" s="97"/>
      <c r="AM543" s="97"/>
      <c r="AN543" s="97"/>
      <c r="AO543" s="97"/>
    </row>
    <row r="544" spans="1:41" ht="16.5" customHeight="1" x14ac:dyDescent="0.3">
      <c r="A544" s="69"/>
      <c r="B544" s="69"/>
      <c r="C544" s="69"/>
      <c r="D544" s="69"/>
      <c r="E544" s="69"/>
      <c r="F544" s="69"/>
      <c r="Z544" s="97"/>
      <c r="AA544" s="97"/>
      <c r="AB544" s="97"/>
      <c r="AC544" s="97"/>
      <c r="AD544" s="97"/>
      <c r="AE544" s="97"/>
      <c r="AF544" s="97"/>
      <c r="AG544" s="97"/>
      <c r="AH544" s="97"/>
      <c r="AI544" s="97"/>
      <c r="AJ544" s="97"/>
      <c r="AK544" s="97"/>
      <c r="AL544" s="97"/>
      <c r="AM544" s="97"/>
      <c r="AN544" s="97"/>
      <c r="AO544" s="97"/>
    </row>
    <row r="545" spans="1:41" ht="16.5" customHeight="1" x14ac:dyDescent="0.3">
      <c r="A545" s="69"/>
      <c r="B545" s="69"/>
      <c r="C545" s="69"/>
      <c r="D545" s="69"/>
      <c r="E545" s="69"/>
      <c r="F545" s="69"/>
      <c r="Z545" s="97"/>
      <c r="AA545" s="97"/>
      <c r="AB545" s="97"/>
      <c r="AC545" s="97"/>
      <c r="AD545" s="97"/>
      <c r="AE545" s="97"/>
      <c r="AF545" s="97"/>
      <c r="AG545" s="97"/>
      <c r="AH545" s="97"/>
      <c r="AI545" s="97"/>
      <c r="AJ545" s="97"/>
      <c r="AK545" s="97"/>
      <c r="AL545" s="97"/>
      <c r="AM545" s="97"/>
      <c r="AN545" s="97"/>
      <c r="AO545" s="97"/>
    </row>
    <row r="546" spans="1:41" ht="16.5" customHeight="1" x14ac:dyDescent="0.3">
      <c r="A546" s="69"/>
      <c r="B546" s="69"/>
      <c r="C546" s="69"/>
      <c r="D546" s="69"/>
      <c r="E546" s="69"/>
      <c r="F546" s="69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O546" s="97"/>
    </row>
    <row r="547" spans="1:41" ht="16.5" customHeight="1" x14ac:dyDescent="0.3">
      <c r="A547" s="69"/>
      <c r="B547" s="69"/>
      <c r="C547" s="69"/>
      <c r="D547" s="69"/>
      <c r="E547" s="69"/>
      <c r="F547" s="69"/>
      <c r="Z547" s="97"/>
      <c r="AA547" s="97"/>
      <c r="AB547" s="97"/>
      <c r="AC547" s="97"/>
      <c r="AD547" s="97"/>
      <c r="AE547" s="97"/>
      <c r="AF547" s="97"/>
      <c r="AG547" s="97"/>
      <c r="AH547" s="97"/>
      <c r="AI547" s="97"/>
      <c r="AJ547" s="97"/>
      <c r="AK547" s="97"/>
      <c r="AL547" s="97"/>
      <c r="AM547" s="97"/>
      <c r="AN547" s="97"/>
      <c r="AO547" s="97"/>
    </row>
    <row r="548" spans="1:41" ht="16.5" customHeight="1" x14ac:dyDescent="0.3">
      <c r="A548" s="69"/>
      <c r="B548" s="69"/>
      <c r="C548" s="69"/>
      <c r="D548" s="69"/>
      <c r="E548" s="69"/>
      <c r="F548" s="69"/>
      <c r="Z548" s="97"/>
      <c r="AA548" s="97"/>
      <c r="AB548" s="97"/>
      <c r="AC548" s="97"/>
      <c r="AD548" s="97"/>
      <c r="AE548" s="97"/>
      <c r="AF548" s="97"/>
      <c r="AG548" s="97"/>
      <c r="AH548" s="97"/>
      <c r="AI548" s="97"/>
      <c r="AJ548" s="97"/>
      <c r="AK548" s="97"/>
      <c r="AL548" s="97"/>
      <c r="AM548" s="97"/>
      <c r="AN548" s="97"/>
      <c r="AO548" s="97"/>
    </row>
    <row r="549" spans="1:41" ht="16.5" customHeight="1" x14ac:dyDescent="0.3">
      <c r="A549" s="69"/>
      <c r="B549" s="69"/>
      <c r="C549" s="69"/>
      <c r="D549" s="69"/>
      <c r="E549" s="69"/>
      <c r="F549" s="69"/>
      <c r="Z549" s="97"/>
      <c r="AA549" s="97"/>
      <c r="AB549" s="97"/>
      <c r="AC549" s="97"/>
      <c r="AD549" s="97"/>
      <c r="AE549" s="97"/>
      <c r="AF549" s="97"/>
      <c r="AG549" s="97"/>
      <c r="AH549" s="97"/>
      <c r="AI549" s="97"/>
      <c r="AJ549" s="97"/>
      <c r="AK549" s="97"/>
      <c r="AL549" s="97"/>
      <c r="AM549" s="97"/>
      <c r="AN549" s="97"/>
      <c r="AO549" s="97"/>
    </row>
    <row r="550" spans="1:41" ht="16.5" customHeight="1" x14ac:dyDescent="0.3">
      <c r="A550" s="69"/>
      <c r="B550" s="69"/>
      <c r="C550" s="69"/>
      <c r="D550" s="69"/>
      <c r="E550" s="69"/>
      <c r="F550" s="69"/>
      <c r="Z550" s="97"/>
      <c r="AA550" s="97"/>
      <c r="AB550" s="97"/>
      <c r="AC550" s="97"/>
      <c r="AD550" s="97"/>
      <c r="AE550" s="97"/>
      <c r="AF550" s="97"/>
      <c r="AG550" s="97"/>
      <c r="AH550" s="97"/>
      <c r="AI550" s="97"/>
      <c r="AJ550" s="97"/>
      <c r="AK550" s="97"/>
      <c r="AL550" s="97"/>
      <c r="AM550" s="97"/>
      <c r="AN550" s="97"/>
      <c r="AO550" s="97"/>
    </row>
    <row r="551" spans="1:41" ht="16.5" customHeight="1" x14ac:dyDescent="0.3">
      <c r="A551" s="69"/>
      <c r="B551" s="69"/>
      <c r="C551" s="69"/>
      <c r="D551" s="69"/>
      <c r="E551" s="69"/>
      <c r="F551" s="69"/>
      <c r="Z551" s="97"/>
      <c r="AA551" s="97"/>
      <c r="AB551" s="97"/>
      <c r="AC551" s="97"/>
      <c r="AD551" s="97"/>
      <c r="AE551" s="97"/>
      <c r="AF551" s="97"/>
      <c r="AG551" s="97"/>
      <c r="AH551" s="97"/>
      <c r="AI551" s="97"/>
      <c r="AJ551" s="97"/>
      <c r="AK551" s="97"/>
      <c r="AL551" s="97"/>
      <c r="AM551" s="97"/>
      <c r="AN551" s="97"/>
      <c r="AO551" s="97"/>
    </row>
    <row r="552" spans="1:41" ht="16.5" customHeight="1" x14ac:dyDescent="0.3">
      <c r="A552" s="69"/>
      <c r="B552" s="69"/>
      <c r="C552" s="69"/>
      <c r="D552" s="69"/>
      <c r="E552" s="69"/>
      <c r="F552" s="69"/>
      <c r="Z552" s="97"/>
      <c r="AA552" s="97"/>
      <c r="AB552" s="97"/>
      <c r="AC552" s="97"/>
      <c r="AD552" s="97"/>
      <c r="AE552" s="97"/>
      <c r="AF552" s="97"/>
      <c r="AG552" s="97"/>
      <c r="AH552" s="97"/>
      <c r="AI552" s="97"/>
      <c r="AJ552" s="97"/>
      <c r="AK552" s="97"/>
      <c r="AL552" s="97"/>
      <c r="AM552" s="97"/>
      <c r="AN552" s="97"/>
      <c r="AO552" s="97"/>
    </row>
    <row r="553" spans="1:41" ht="16.5" customHeight="1" x14ac:dyDescent="0.3">
      <c r="A553" s="74"/>
      <c r="B553" s="74"/>
      <c r="C553" s="74"/>
      <c r="D553" s="74"/>
      <c r="E553" s="74"/>
      <c r="F553" s="74"/>
      <c r="Z553" s="97"/>
      <c r="AA553" s="97"/>
      <c r="AB553" s="97"/>
      <c r="AC553" s="97"/>
      <c r="AD553" s="97"/>
      <c r="AE553" s="97"/>
      <c r="AF553" s="97"/>
      <c r="AG553" s="97"/>
      <c r="AH553" s="97"/>
      <c r="AI553" s="97"/>
      <c r="AJ553" s="97"/>
      <c r="AK553" s="97"/>
      <c r="AL553" s="97"/>
      <c r="AM553" s="97"/>
      <c r="AN553" s="97"/>
      <c r="AO553" s="97"/>
    </row>
    <row r="554" spans="1:41" ht="16.5" customHeight="1" x14ac:dyDescent="0.3">
      <c r="A554" s="145" t="s">
        <v>8953</v>
      </c>
      <c r="B554" s="138"/>
      <c r="C554" s="48">
        <f>E554+D554+F554</f>
        <v>62811</v>
      </c>
      <c r="D554" s="47">
        <f>ROUNDDOWN(SUMIF(N507:N516,M554,D507:D516),0)</f>
        <v>62811</v>
      </c>
      <c r="E554" s="56">
        <f>ROUNDDOWN(SUMIF(N507:N516,M554,E507:E516),0)</f>
        <v>0</v>
      </c>
      <c r="F554" s="48">
        <f>ROUNDDOWN(SUMIF(N507:N516,M554,F507:F516),0)</f>
        <v>0</v>
      </c>
      <c r="M554" s="35" t="s">
        <v>6406</v>
      </c>
      <c r="Z554" s="97"/>
      <c r="AA554" s="97"/>
      <c r="AB554" s="97"/>
      <c r="AC554" s="97"/>
      <c r="AD554" s="97"/>
      <c r="AE554" s="97"/>
      <c r="AF554" s="97"/>
      <c r="AG554" s="97"/>
      <c r="AH554" s="97"/>
      <c r="AI554" s="97"/>
      <c r="AJ554" s="97"/>
      <c r="AK554" s="97"/>
      <c r="AL554" s="97"/>
      <c r="AM554" s="97"/>
      <c r="AN554" s="97"/>
      <c r="AO554" s="97"/>
    </row>
    <row r="555" spans="1:41" ht="16.5" customHeight="1" x14ac:dyDescent="0.3">
      <c r="A555" s="86" t="s">
        <v>40</v>
      </c>
      <c r="B555" s="88" t="s">
        <v>40</v>
      </c>
      <c r="C555" s="146">
        <f>C604</f>
        <v>17206</v>
      </c>
      <c r="D555" s="146">
        <f>D604</f>
        <v>17206</v>
      </c>
      <c r="E555" s="146">
        <f>E604</f>
        <v>0</v>
      </c>
      <c r="F555" s="146">
        <f>F604</f>
        <v>0</v>
      </c>
      <c r="G555" s="84" t="str">
        <f>HYPERLINK("#G"&amp;ROW(G567),"_x0005_`BDCOD|D03632_x0007_`POSS|"&amp;ROW(G557)&amp;"_x0007_`POSE|"&amp;ROW(G567)&amp;"_x0007_`")</f>
        <v>_x0005_`BDCOD|D03632_x0007_`POSS|557_x0007_`POSE|567_x0007_`</v>
      </c>
      <c r="Z555" s="97"/>
      <c r="AA555" s="97"/>
      <c r="AB555" s="97"/>
      <c r="AC555" s="97"/>
      <c r="AD555" s="97"/>
      <c r="AE555" s="97"/>
      <c r="AF555" s="97"/>
      <c r="AG555" s="97"/>
      <c r="AH555" s="97"/>
      <c r="AI555" s="97"/>
      <c r="AJ555" s="97"/>
      <c r="AK555" s="97"/>
      <c r="AL555" s="97"/>
      <c r="AM555" s="97"/>
      <c r="AN555" s="97"/>
      <c r="AO555" s="97"/>
    </row>
    <row r="556" spans="1:41" ht="16.5" customHeight="1" x14ac:dyDescent="0.3">
      <c r="A556" s="87"/>
      <c r="B556" s="88" t="s">
        <v>2002</v>
      </c>
      <c r="C556" s="127"/>
      <c r="D556" s="127"/>
      <c r="E556" s="127"/>
      <c r="F556" s="127"/>
      <c r="M556" s="35" t="s">
        <v>9015</v>
      </c>
      <c r="Z556" s="97"/>
      <c r="AA556" s="97"/>
      <c r="AB556" s="97"/>
      <c r="AC556" s="97"/>
      <c r="AD556" s="97"/>
      <c r="AE556" s="97"/>
      <c r="AF556" s="97"/>
      <c r="AG556" s="97"/>
      <c r="AH556" s="97"/>
      <c r="AI556" s="97"/>
      <c r="AJ556" s="97"/>
      <c r="AK556" s="97"/>
      <c r="AL556" s="97"/>
      <c r="AM556" s="97"/>
      <c r="AN556" s="97"/>
      <c r="AO556" s="97"/>
    </row>
    <row r="557" spans="1:41" ht="16.5" customHeight="1" x14ac:dyDescent="0.3">
      <c r="A557" s="69"/>
      <c r="B557" s="69"/>
      <c r="C557" s="90"/>
      <c r="D557" s="90"/>
      <c r="E557" s="90"/>
      <c r="F557" s="90"/>
      <c r="G557" s="17" t="s">
        <v>8885</v>
      </c>
      <c r="Z557" s="97"/>
      <c r="AA557" s="97"/>
      <c r="AB557" s="97"/>
      <c r="AC557" s="97"/>
      <c r="AD557" s="97"/>
      <c r="AE557" s="97"/>
      <c r="AF557" s="97"/>
      <c r="AG557" s="97"/>
      <c r="AH557" s="97"/>
      <c r="AI557" s="97"/>
      <c r="AJ557" s="97"/>
      <c r="AK557" s="97"/>
      <c r="AL557" s="97"/>
      <c r="AM557" s="97"/>
      <c r="AN557" s="97"/>
      <c r="AO557" s="97"/>
    </row>
    <row r="558" spans="1:41" ht="16.5" customHeight="1" x14ac:dyDescent="0.3">
      <c r="A558" s="69"/>
      <c r="B558" s="69"/>
      <c r="C558" s="69"/>
      <c r="D558" s="69"/>
      <c r="E558" s="69"/>
      <c r="F558" s="69"/>
      <c r="G558" s="17" t="s">
        <v>8885</v>
      </c>
      <c r="Z558" s="97"/>
      <c r="AA558" s="97"/>
      <c r="AB558" s="97"/>
      <c r="AC558" s="97"/>
      <c r="AD558" s="97"/>
      <c r="AE558" s="97"/>
      <c r="AF558" s="97"/>
      <c r="AG558" s="97"/>
      <c r="AH558" s="97"/>
      <c r="AI558" s="97"/>
      <c r="AJ558" s="97"/>
      <c r="AK558" s="97"/>
      <c r="AL558" s="97"/>
      <c r="AM558" s="97"/>
      <c r="AN558" s="97"/>
      <c r="AO558" s="97"/>
    </row>
    <row r="559" spans="1:41" ht="16.5" customHeight="1" x14ac:dyDescent="0.3">
      <c r="A559" s="59"/>
      <c r="B559" s="68" t="s">
        <v>9017</v>
      </c>
      <c r="C559" s="69"/>
      <c r="D559" s="69"/>
      <c r="E559" s="69"/>
      <c r="F559" s="69"/>
      <c r="G559" s="17" t="s">
        <v>9016</v>
      </c>
      <c r="Z559" s="97"/>
      <c r="AA559" s="97"/>
      <c r="AB559" s="97"/>
      <c r="AC559" s="97"/>
      <c r="AD559" s="97"/>
      <c r="AE559" s="97"/>
      <c r="AF559" s="97"/>
      <c r="AG559" s="97"/>
      <c r="AH559" s="97"/>
      <c r="AI559" s="97"/>
      <c r="AJ559" s="97"/>
      <c r="AK559" s="97"/>
      <c r="AL559" s="97"/>
      <c r="AM559" s="97"/>
      <c r="AN559" s="97"/>
      <c r="AO559" s="97"/>
    </row>
    <row r="560" spans="1:41" ht="16.5" customHeight="1" x14ac:dyDescent="0.3">
      <c r="A560" s="69"/>
      <c r="B560" s="69"/>
      <c r="C560" s="69"/>
      <c r="D560" s="69"/>
      <c r="E560" s="69"/>
      <c r="F560" s="69"/>
      <c r="G560" s="17" t="s">
        <v>8885</v>
      </c>
      <c r="Z560" s="97"/>
      <c r="AA560" s="97"/>
      <c r="AB560" s="97"/>
      <c r="AC560" s="97"/>
      <c r="AD560" s="97"/>
      <c r="AE560" s="97"/>
      <c r="AF560" s="97"/>
      <c r="AG560" s="97"/>
      <c r="AH560" s="97"/>
      <c r="AI560" s="97"/>
      <c r="AJ560" s="97"/>
      <c r="AK560" s="97"/>
      <c r="AL560" s="97"/>
      <c r="AM560" s="97"/>
      <c r="AN560" s="97"/>
      <c r="AO560" s="97"/>
    </row>
    <row r="561" spans="1:41" ht="16.5" customHeight="1" x14ac:dyDescent="0.3">
      <c r="A561" s="69"/>
      <c r="B561" s="69"/>
      <c r="C561" s="69"/>
      <c r="D561" s="69"/>
      <c r="E561" s="69"/>
      <c r="F561" s="69"/>
      <c r="G561" s="17" t="s">
        <v>8885</v>
      </c>
      <c r="Z561" s="97"/>
      <c r="AA561" s="97"/>
      <c r="AB561" s="97"/>
      <c r="AC561" s="97"/>
      <c r="AD561" s="97"/>
      <c r="AE561" s="97"/>
      <c r="AF561" s="97"/>
      <c r="AG561" s="97"/>
      <c r="AH561" s="97"/>
      <c r="AI561" s="97"/>
      <c r="AJ561" s="97"/>
      <c r="AK561" s="97"/>
      <c r="AL561" s="97"/>
      <c r="AM561" s="97"/>
      <c r="AN561" s="97"/>
      <c r="AO561" s="97"/>
    </row>
    <row r="562" spans="1:41" ht="16.5" customHeight="1" x14ac:dyDescent="0.3">
      <c r="A562" s="59" t="s">
        <v>8949</v>
      </c>
      <c r="B562" s="89" t="str">
        <f>" 인  부: "&amp;Z562&amp;" 인 *"&amp;TEXT(I562,"#,##0"&amp;IF(I562&lt;&gt;INT(I562),".###",""))&amp;" = "&amp;TEXT(C562,"#,##0.0")&amp;""</f>
        <v xml:space="preserve"> 인  부: 0.1 인 *172,068 = 17,206.8</v>
      </c>
      <c r="C562" s="91">
        <f>E562+D562+F562</f>
        <v>17206.8</v>
      </c>
      <c r="D562" s="91">
        <f>IF(H562=0,0,ROUNDDOWN(J562*H562,1))</f>
        <v>17206.8</v>
      </c>
      <c r="E562" s="91">
        <f>IF(H562=0,0,ROUNDDOWN(K562*H562,1))</f>
        <v>0</v>
      </c>
      <c r="F562" s="91">
        <f>IF(H562=0,0,ROUNDDOWN(L562*H562,1))</f>
        <v>0</v>
      </c>
      <c r="G562" s="17" t="s">
        <v>9018</v>
      </c>
      <c r="H562" s="94">
        <f>ROUNDUP(AC562,14-LEN(ABS(INT(AC562))))</f>
        <v>0.1</v>
      </c>
      <c r="I562" s="95">
        <f>K562+J562+L562</f>
        <v>172068</v>
      </c>
      <c r="J562" s="39">
        <f>노무비목록표!E12</f>
        <v>172068</v>
      </c>
      <c r="M562" s="35" t="s">
        <v>8261</v>
      </c>
      <c r="N562" s="35" t="s">
        <v>8915</v>
      </c>
      <c r="X562" s="96" t="str">
        <f>노무비목록표!B12&amp;" / "&amp;노무비목록표!C12</f>
        <v xml:space="preserve">보통인부 / </v>
      </c>
      <c r="Y562" s="3" t="str">
        <f ca="1">HYPERLINK("#"&amp;노무비목록표!G2&amp;"!A"&amp;ROW(노무비목록표!A12),"노무9 →")</f>
        <v>노무9 →</v>
      </c>
      <c r="Z562" s="98">
        <v>0.1</v>
      </c>
      <c r="AA562" s="35" t="s">
        <v>9019</v>
      </c>
      <c r="AB562" s="35" t="s">
        <v>8892</v>
      </c>
      <c r="AC562" s="100">
        <f>Z562*1</f>
        <v>0.1</v>
      </c>
      <c r="AD562" s="97"/>
      <c r="AE562" s="97"/>
      <c r="AF562" s="97"/>
      <c r="AG562" s="97"/>
      <c r="AH562" s="97"/>
      <c r="AI562" s="97"/>
      <c r="AJ562" s="97"/>
      <c r="AK562" s="97"/>
      <c r="AL562" s="97"/>
      <c r="AM562" s="97"/>
      <c r="AN562" s="97"/>
      <c r="AO562" s="97"/>
    </row>
    <row r="563" spans="1:41" ht="16.5" customHeight="1" x14ac:dyDescent="0.3">
      <c r="A563" s="69"/>
      <c r="B563" s="69"/>
      <c r="C563" s="69"/>
      <c r="D563" s="69"/>
      <c r="E563" s="69"/>
      <c r="F563" s="69"/>
      <c r="G563" s="17" t="s">
        <v>8885</v>
      </c>
      <c r="Z563" s="97"/>
      <c r="AA563" s="97"/>
      <c r="AB563" s="97"/>
      <c r="AC563" s="97"/>
      <c r="AD563" s="97"/>
      <c r="AE563" s="97"/>
      <c r="AF563" s="97"/>
      <c r="AG563" s="97"/>
      <c r="AH563" s="97"/>
      <c r="AI563" s="97"/>
      <c r="AJ563" s="97"/>
      <c r="AK563" s="97"/>
      <c r="AL563" s="97"/>
      <c r="AM563" s="97"/>
      <c r="AN563" s="97"/>
      <c r="AO563" s="97"/>
    </row>
    <row r="564" spans="1:41" ht="16.5" customHeight="1" x14ac:dyDescent="0.3">
      <c r="A564" s="69"/>
      <c r="B564" s="69"/>
      <c r="C564" s="69"/>
      <c r="D564" s="69"/>
      <c r="E564" s="69"/>
      <c r="F564" s="69"/>
      <c r="G564" s="17" t="s">
        <v>8885</v>
      </c>
      <c r="Z564" s="97"/>
      <c r="AA564" s="97"/>
      <c r="AB564" s="97"/>
      <c r="AC564" s="97"/>
      <c r="AD564" s="97"/>
      <c r="AE564" s="97"/>
      <c r="AF564" s="97"/>
      <c r="AG564" s="97"/>
      <c r="AH564" s="97"/>
      <c r="AI564" s="97"/>
      <c r="AJ564" s="97"/>
      <c r="AK564" s="97"/>
      <c r="AL564" s="97"/>
      <c r="AM564" s="97"/>
      <c r="AN564" s="97"/>
      <c r="AO564" s="97"/>
    </row>
    <row r="565" spans="1:41" ht="16.5" customHeight="1" x14ac:dyDescent="0.3">
      <c r="A565" s="59"/>
      <c r="B565" s="68" t="s">
        <v>8914</v>
      </c>
      <c r="C565" s="92">
        <f>E565+D565+F565</f>
        <v>17206.8</v>
      </c>
      <c r="D565" s="92">
        <f>SUMIF(N557:N564,M565,D557:D564)</f>
        <v>17206.8</v>
      </c>
      <c r="E565" s="92">
        <f>SUMIF(N557:N564,M565,E557:E564)</f>
        <v>0</v>
      </c>
      <c r="F565" s="92">
        <f>SUMIF(N557:N564,M565,F557:F564)</f>
        <v>0</v>
      </c>
      <c r="G565" s="17" t="s">
        <v>8927</v>
      </c>
      <c r="M565" s="35" t="s">
        <v>8915</v>
      </c>
      <c r="N565" s="35" t="s">
        <v>8952</v>
      </c>
      <c r="Z565" s="97"/>
      <c r="AA565" s="97"/>
      <c r="AB565" s="97"/>
      <c r="AC565" s="97"/>
      <c r="AD565" s="97"/>
      <c r="AE565" s="97"/>
      <c r="AF565" s="97"/>
      <c r="AG565" s="97"/>
      <c r="AH565" s="97"/>
      <c r="AI565" s="97"/>
      <c r="AJ565" s="97"/>
      <c r="AK565" s="97"/>
      <c r="AL565" s="97"/>
      <c r="AM565" s="97"/>
      <c r="AN565" s="97"/>
      <c r="AO565" s="97"/>
    </row>
    <row r="566" spans="1:41" ht="16.5" customHeight="1" x14ac:dyDescent="0.3">
      <c r="A566" s="69"/>
      <c r="B566" s="69"/>
      <c r="C566" s="90"/>
      <c r="D566" s="90"/>
      <c r="E566" s="90"/>
      <c r="F566" s="90"/>
      <c r="G566" s="17" t="s">
        <v>8885</v>
      </c>
      <c r="Z566" s="97"/>
      <c r="AA566" s="97"/>
      <c r="AB566" s="97"/>
      <c r="AC566" s="97"/>
      <c r="AD566" s="97"/>
      <c r="AE566" s="97"/>
      <c r="AF566" s="97"/>
      <c r="AG566" s="97"/>
      <c r="AH566" s="97"/>
      <c r="AI566" s="97"/>
      <c r="AJ566" s="97"/>
      <c r="AK566" s="97"/>
      <c r="AL566" s="97"/>
      <c r="AM566" s="97"/>
      <c r="AN566" s="97"/>
      <c r="AO566" s="97"/>
    </row>
    <row r="567" spans="1:41" ht="16.5" customHeight="1" x14ac:dyDescent="0.3">
      <c r="A567" s="59"/>
      <c r="B567" s="68" t="s">
        <v>8951</v>
      </c>
      <c r="C567" s="92">
        <f>E567+D567+F567</f>
        <v>17206.8</v>
      </c>
      <c r="D567" s="92">
        <f>SUMIF(N557:N566,M567,D557:D566)</f>
        <v>17206.8</v>
      </c>
      <c r="E567" s="92">
        <f>SUMIF(N557:N566,M567,E557:E566)</f>
        <v>0</v>
      </c>
      <c r="F567" s="92">
        <f>SUMIF(N557:N566,M567,F557:F566)</f>
        <v>0</v>
      </c>
      <c r="G567" s="17" t="s">
        <v>8950</v>
      </c>
      <c r="M567" s="35" t="s">
        <v>8952</v>
      </c>
      <c r="N567" s="35" t="s">
        <v>6406</v>
      </c>
      <c r="Z567" s="97"/>
      <c r="AA567" s="97"/>
      <c r="AB567" s="97"/>
      <c r="AC567" s="97"/>
      <c r="AD567" s="97"/>
      <c r="AE567" s="97"/>
      <c r="AF567" s="97"/>
      <c r="AG567" s="97"/>
      <c r="AH567" s="97"/>
      <c r="AI567" s="97"/>
      <c r="AJ567" s="97"/>
      <c r="AK567" s="97"/>
      <c r="AL567" s="97"/>
      <c r="AM567" s="97"/>
      <c r="AN567" s="97"/>
      <c r="AO567" s="97"/>
    </row>
    <row r="568" spans="1:41" ht="16.5" customHeight="1" x14ac:dyDescent="0.3">
      <c r="A568" s="69"/>
      <c r="B568" s="69"/>
      <c r="C568" s="90"/>
      <c r="D568" s="90"/>
      <c r="E568" s="90"/>
      <c r="F568" s="90"/>
      <c r="Z568" s="97"/>
      <c r="AA568" s="97"/>
      <c r="AB568" s="97"/>
      <c r="AC568" s="97"/>
      <c r="AD568" s="97"/>
      <c r="AE568" s="97"/>
      <c r="AF568" s="97"/>
      <c r="AG568" s="97"/>
      <c r="AH568" s="97"/>
      <c r="AI568" s="97"/>
      <c r="AJ568" s="97"/>
      <c r="AK568" s="97"/>
      <c r="AL568" s="97"/>
      <c r="AM568" s="97"/>
      <c r="AN568" s="97"/>
      <c r="AO568" s="97"/>
    </row>
    <row r="569" spans="1:41" ht="16.5" customHeight="1" x14ac:dyDescent="0.3">
      <c r="A569" s="69"/>
      <c r="B569" s="69"/>
      <c r="C569" s="69"/>
      <c r="D569" s="69"/>
      <c r="E569" s="69"/>
      <c r="F569" s="69"/>
      <c r="Z569" s="97"/>
      <c r="AA569" s="97"/>
      <c r="AB569" s="97"/>
      <c r="AC569" s="97"/>
      <c r="AD569" s="97"/>
      <c r="AE569" s="97"/>
      <c r="AF569" s="97"/>
      <c r="AG569" s="97"/>
      <c r="AH569" s="97"/>
      <c r="AI569" s="97"/>
      <c r="AJ569" s="97"/>
      <c r="AK569" s="97"/>
      <c r="AL569" s="97"/>
      <c r="AM569" s="97"/>
      <c r="AN569" s="97"/>
      <c r="AO569" s="97"/>
    </row>
    <row r="570" spans="1:41" ht="16.5" customHeight="1" x14ac:dyDescent="0.3">
      <c r="A570" s="69"/>
      <c r="B570" s="69"/>
      <c r="C570" s="69"/>
      <c r="D570" s="69"/>
      <c r="E570" s="69"/>
      <c r="F570" s="69"/>
      <c r="Z570" s="97"/>
      <c r="AA570" s="97"/>
      <c r="AB570" s="97"/>
      <c r="AC570" s="97"/>
      <c r="AD570" s="97"/>
      <c r="AE570" s="97"/>
      <c r="AF570" s="97"/>
      <c r="AG570" s="97"/>
      <c r="AH570" s="97"/>
      <c r="AI570" s="97"/>
      <c r="AJ570" s="97"/>
      <c r="AK570" s="97"/>
      <c r="AL570" s="97"/>
      <c r="AM570" s="97"/>
      <c r="AN570" s="97"/>
      <c r="AO570" s="97"/>
    </row>
    <row r="571" spans="1:41" ht="16.5" customHeight="1" x14ac:dyDescent="0.3">
      <c r="A571" s="69"/>
      <c r="B571" s="69"/>
      <c r="C571" s="69"/>
      <c r="D571" s="69"/>
      <c r="E571" s="69"/>
      <c r="F571" s="69"/>
      <c r="Z571" s="97"/>
      <c r="AA571" s="97"/>
      <c r="AB571" s="97"/>
      <c r="AC571" s="97"/>
      <c r="AD571" s="97"/>
      <c r="AE571" s="97"/>
      <c r="AF571" s="97"/>
      <c r="AG571" s="97"/>
      <c r="AH571" s="97"/>
      <c r="AI571" s="97"/>
      <c r="AJ571" s="97"/>
      <c r="AK571" s="97"/>
      <c r="AL571" s="97"/>
      <c r="AM571" s="97"/>
      <c r="AN571" s="97"/>
      <c r="AO571" s="97"/>
    </row>
    <row r="572" spans="1:41" ht="16.5" customHeight="1" x14ac:dyDescent="0.3">
      <c r="A572" s="69"/>
      <c r="B572" s="69"/>
      <c r="C572" s="69"/>
      <c r="D572" s="69"/>
      <c r="E572" s="69"/>
      <c r="F572" s="69"/>
      <c r="Z572" s="97"/>
      <c r="AA572" s="97"/>
      <c r="AB572" s="97"/>
      <c r="AC572" s="97"/>
      <c r="AD572" s="97"/>
      <c r="AE572" s="97"/>
      <c r="AF572" s="97"/>
      <c r="AG572" s="97"/>
      <c r="AH572" s="97"/>
      <c r="AI572" s="97"/>
      <c r="AJ572" s="97"/>
      <c r="AK572" s="97"/>
      <c r="AL572" s="97"/>
      <c r="AM572" s="97"/>
      <c r="AN572" s="97"/>
      <c r="AO572" s="97"/>
    </row>
    <row r="573" spans="1:41" ht="16.5" customHeight="1" x14ac:dyDescent="0.3">
      <c r="A573" s="69"/>
      <c r="B573" s="69"/>
      <c r="C573" s="69"/>
      <c r="D573" s="69"/>
      <c r="E573" s="69"/>
      <c r="F573" s="69"/>
      <c r="Z573" s="97"/>
      <c r="AA573" s="97"/>
      <c r="AB573" s="97"/>
      <c r="AC573" s="97"/>
      <c r="AD573" s="97"/>
      <c r="AE573" s="97"/>
      <c r="AF573" s="97"/>
      <c r="AG573" s="97"/>
      <c r="AH573" s="97"/>
      <c r="AI573" s="97"/>
      <c r="AJ573" s="97"/>
      <c r="AK573" s="97"/>
      <c r="AL573" s="97"/>
      <c r="AM573" s="97"/>
      <c r="AN573" s="97"/>
      <c r="AO573" s="97"/>
    </row>
    <row r="574" spans="1:41" ht="16.5" customHeight="1" x14ac:dyDescent="0.3">
      <c r="A574" s="69"/>
      <c r="B574" s="69"/>
      <c r="C574" s="69"/>
      <c r="D574" s="69"/>
      <c r="E574" s="69"/>
      <c r="F574" s="69"/>
      <c r="Z574" s="97"/>
      <c r="AA574" s="97"/>
      <c r="AB574" s="97"/>
      <c r="AC574" s="97"/>
      <c r="AD574" s="97"/>
      <c r="AE574" s="97"/>
      <c r="AF574" s="97"/>
      <c r="AG574" s="97"/>
      <c r="AH574" s="97"/>
      <c r="AI574" s="97"/>
      <c r="AJ574" s="97"/>
      <c r="AK574" s="97"/>
      <c r="AL574" s="97"/>
      <c r="AM574" s="97"/>
      <c r="AN574" s="97"/>
      <c r="AO574" s="97"/>
    </row>
    <row r="575" spans="1:41" ht="16.5" customHeight="1" x14ac:dyDescent="0.3">
      <c r="A575" s="69"/>
      <c r="B575" s="69"/>
      <c r="C575" s="69"/>
      <c r="D575" s="69"/>
      <c r="E575" s="69"/>
      <c r="F575" s="69"/>
      <c r="Z575" s="97"/>
      <c r="AA575" s="97"/>
      <c r="AB575" s="97"/>
      <c r="AC575" s="97"/>
      <c r="AD575" s="97"/>
      <c r="AE575" s="97"/>
      <c r="AF575" s="97"/>
      <c r="AG575" s="97"/>
      <c r="AH575" s="97"/>
      <c r="AI575" s="97"/>
      <c r="AJ575" s="97"/>
      <c r="AK575" s="97"/>
      <c r="AL575" s="97"/>
      <c r="AM575" s="97"/>
      <c r="AN575" s="97"/>
      <c r="AO575" s="97"/>
    </row>
    <row r="576" spans="1:41" ht="16.5" customHeight="1" x14ac:dyDescent="0.3">
      <c r="A576" s="69"/>
      <c r="B576" s="69"/>
      <c r="C576" s="69"/>
      <c r="D576" s="69"/>
      <c r="E576" s="69"/>
      <c r="F576" s="69"/>
      <c r="Z576" s="97"/>
      <c r="AA576" s="97"/>
      <c r="AB576" s="97"/>
      <c r="AC576" s="97"/>
      <c r="AD576" s="97"/>
      <c r="AE576" s="97"/>
      <c r="AF576" s="97"/>
      <c r="AG576" s="97"/>
      <c r="AH576" s="97"/>
      <c r="AI576" s="97"/>
      <c r="AJ576" s="97"/>
      <c r="AK576" s="97"/>
      <c r="AL576" s="97"/>
      <c r="AM576" s="97"/>
      <c r="AN576" s="97"/>
      <c r="AO576" s="97"/>
    </row>
    <row r="577" spans="1:41" ht="16.5" customHeight="1" x14ac:dyDescent="0.3">
      <c r="A577" s="69"/>
      <c r="B577" s="69"/>
      <c r="C577" s="69"/>
      <c r="D577" s="69"/>
      <c r="E577" s="69"/>
      <c r="F577" s="69"/>
      <c r="Z577" s="97"/>
      <c r="AA577" s="97"/>
      <c r="AB577" s="97"/>
      <c r="AC577" s="97"/>
      <c r="AD577" s="97"/>
      <c r="AE577" s="97"/>
      <c r="AF577" s="97"/>
      <c r="AG577" s="97"/>
      <c r="AH577" s="97"/>
      <c r="AI577" s="97"/>
      <c r="AJ577" s="97"/>
      <c r="AK577" s="97"/>
      <c r="AL577" s="97"/>
      <c r="AM577" s="97"/>
      <c r="AN577" s="97"/>
      <c r="AO577" s="97"/>
    </row>
    <row r="578" spans="1:41" ht="16.5" customHeight="1" x14ac:dyDescent="0.3">
      <c r="A578" s="69"/>
      <c r="B578" s="69"/>
      <c r="C578" s="69"/>
      <c r="D578" s="69"/>
      <c r="E578" s="69"/>
      <c r="F578" s="69"/>
      <c r="Z578" s="97"/>
      <c r="AA578" s="97"/>
      <c r="AB578" s="97"/>
      <c r="AC578" s="97"/>
      <c r="AD578" s="97"/>
      <c r="AE578" s="97"/>
      <c r="AF578" s="97"/>
      <c r="AG578" s="97"/>
      <c r="AH578" s="97"/>
      <c r="AI578" s="97"/>
      <c r="AJ578" s="97"/>
      <c r="AK578" s="97"/>
      <c r="AL578" s="97"/>
      <c r="AM578" s="97"/>
      <c r="AN578" s="97"/>
      <c r="AO578" s="97"/>
    </row>
    <row r="579" spans="1:41" ht="16.5" customHeight="1" x14ac:dyDescent="0.3">
      <c r="A579" s="69"/>
      <c r="B579" s="69"/>
      <c r="C579" s="69"/>
      <c r="D579" s="69"/>
      <c r="E579" s="69"/>
      <c r="F579" s="69"/>
      <c r="Z579" s="97"/>
      <c r="AA579" s="97"/>
      <c r="AB579" s="97"/>
      <c r="AC579" s="97"/>
      <c r="AD579" s="97"/>
      <c r="AE579" s="97"/>
      <c r="AF579" s="97"/>
      <c r="AG579" s="97"/>
      <c r="AH579" s="97"/>
      <c r="AI579" s="97"/>
      <c r="AJ579" s="97"/>
      <c r="AK579" s="97"/>
      <c r="AL579" s="97"/>
      <c r="AM579" s="97"/>
      <c r="AN579" s="97"/>
      <c r="AO579" s="97"/>
    </row>
    <row r="580" spans="1:41" ht="16.5" customHeight="1" x14ac:dyDescent="0.3">
      <c r="A580" s="69"/>
      <c r="B580" s="69"/>
      <c r="C580" s="69"/>
      <c r="D580" s="69"/>
      <c r="E580" s="69"/>
      <c r="F580" s="69"/>
      <c r="Z580" s="97"/>
      <c r="AA580" s="97"/>
      <c r="AB580" s="97"/>
      <c r="AC580" s="97"/>
      <c r="AD580" s="97"/>
      <c r="AE580" s="97"/>
      <c r="AF580" s="97"/>
      <c r="AG580" s="97"/>
      <c r="AH580" s="97"/>
      <c r="AI580" s="97"/>
      <c r="AJ580" s="97"/>
      <c r="AK580" s="97"/>
      <c r="AL580" s="97"/>
      <c r="AM580" s="97"/>
      <c r="AN580" s="97"/>
      <c r="AO580" s="97"/>
    </row>
    <row r="581" spans="1:41" ht="16.5" customHeight="1" x14ac:dyDescent="0.3">
      <c r="A581" s="69"/>
      <c r="B581" s="69"/>
      <c r="C581" s="69"/>
      <c r="D581" s="69"/>
      <c r="E581" s="69"/>
      <c r="F581" s="69"/>
      <c r="Z581" s="97"/>
      <c r="AA581" s="97"/>
      <c r="AB581" s="97"/>
      <c r="AC581" s="97"/>
      <c r="AD581" s="97"/>
      <c r="AE581" s="97"/>
      <c r="AF581" s="97"/>
      <c r="AG581" s="97"/>
      <c r="AH581" s="97"/>
      <c r="AI581" s="97"/>
      <c r="AJ581" s="97"/>
      <c r="AK581" s="97"/>
      <c r="AL581" s="97"/>
      <c r="AM581" s="97"/>
      <c r="AN581" s="97"/>
      <c r="AO581" s="97"/>
    </row>
    <row r="582" spans="1:41" ht="16.5" customHeight="1" x14ac:dyDescent="0.3">
      <c r="A582" s="69"/>
      <c r="B582" s="69"/>
      <c r="C582" s="69"/>
      <c r="D582" s="69"/>
      <c r="E582" s="69"/>
      <c r="F582" s="69"/>
      <c r="Z582" s="97"/>
      <c r="AA582" s="97"/>
      <c r="AB582" s="97"/>
      <c r="AC582" s="97"/>
      <c r="AD582" s="97"/>
      <c r="AE582" s="97"/>
      <c r="AF582" s="97"/>
      <c r="AG582" s="97"/>
      <c r="AH582" s="97"/>
      <c r="AI582" s="97"/>
      <c r="AJ582" s="97"/>
      <c r="AK582" s="97"/>
      <c r="AL582" s="97"/>
      <c r="AM582" s="97"/>
      <c r="AN582" s="97"/>
      <c r="AO582" s="97"/>
    </row>
    <row r="583" spans="1:41" ht="16.5" customHeight="1" x14ac:dyDescent="0.3">
      <c r="A583" s="69"/>
      <c r="B583" s="69"/>
      <c r="C583" s="69"/>
      <c r="D583" s="69"/>
      <c r="E583" s="69"/>
      <c r="F583" s="69"/>
      <c r="Z583" s="97"/>
      <c r="AA583" s="97"/>
      <c r="AB583" s="97"/>
      <c r="AC583" s="97"/>
      <c r="AD583" s="97"/>
      <c r="AE583" s="97"/>
      <c r="AF583" s="97"/>
      <c r="AG583" s="97"/>
      <c r="AH583" s="97"/>
      <c r="AI583" s="97"/>
      <c r="AJ583" s="97"/>
      <c r="AK583" s="97"/>
      <c r="AL583" s="97"/>
      <c r="AM583" s="97"/>
      <c r="AN583" s="97"/>
      <c r="AO583" s="97"/>
    </row>
    <row r="584" spans="1:41" ht="16.5" customHeight="1" x14ac:dyDescent="0.3">
      <c r="A584" s="69"/>
      <c r="B584" s="69"/>
      <c r="C584" s="69"/>
      <c r="D584" s="69"/>
      <c r="E584" s="69"/>
      <c r="F584" s="69"/>
      <c r="Z584" s="97"/>
      <c r="AA584" s="97"/>
      <c r="AB584" s="97"/>
      <c r="AC584" s="97"/>
      <c r="AD584" s="97"/>
      <c r="AE584" s="97"/>
      <c r="AF584" s="97"/>
      <c r="AG584" s="97"/>
      <c r="AH584" s="97"/>
      <c r="AI584" s="97"/>
      <c r="AJ584" s="97"/>
      <c r="AK584" s="97"/>
      <c r="AL584" s="97"/>
      <c r="AM584" s="97"/>
      <c r="AN584" s="97"/>
      <c r="AO584" s="97"/>
    </row>
    <row r="585" spans="1:41" ht="16.5" customHeight="1" x14ac:dyDescent="0.3">
      <c r="A585" s="69"/>
      <c r="B585" s="69"/>
      <c r="C585" s="69"/>
      <c r="D585" s="69"/>
      <c r="E585" s="69"/>
      <c r="F585" s="69"/>
      <c r="Z585" s="97"/>
      <c r="AA585" s="97"/>
      <c r="AB585" s="97"/>
      <c r="AC585" s="97"/>
      <c r="AD585" s="97"/>
      <c r="AE585" s="97"/>
      <c r="AF585" s="97"/>
      <c r="AG585" s="97"/>
      <c r="AH585" s="97"/>
      <c r="AI585" s="97"/>
      <c r="AJ585" s="97"/>
      <c r="AK585" s="97"/>
      <c r="AL585" s="97"/>
      <c r="AM585" s="97"/>
      <c r="AN585" s="97"/>
      <c r="AO585" s="97"/>
    </row>
    <row r="586" spans="1:41" ht="16.5" customHeight="1" x14ac:dyDescent="0.3">
      <c r="A586" s="69"/>
      <c r="B586" s="69"/>
      <c r="C586" s="69"/>
      <c r="D586" s="69"/>
      <c r="E586" s="69"/>
      <c r="F586" s="69"/>
      <c r="Z586" s="97"/>
      <c r="AA586" s="97"/>
      <c r="AB586" s="97"/>
      <c r="AC586" s="97"/>
      <c r="AD586" s="97"/>
      <c r="AE586" s="97"/>
      <c r="AF586" s="97"/>
      <c r="AG586" s="97"/>
      <c r="AH586" s="97"/>
      <c r="AI586" s="97"/>
      <c r="AJ586" s="97"/>
      <c r="AK586" s="97"/>
      <c r="AL586" s="97"/>
      <c r="AM586" s="97"/>
      <c r="AN586" s="97"/>
      <c r="AO586" s="97"/>
    </row>
    <row r="587" spans="1:41" ht="16.5" customHeight="1" x14ac:dyDescent="0.3">
      <c r="A587" s="69"/>
      <c r="B587" s="69"/>
      <c r="C587" s="69"/>
      <c r="D587" s="69"/>
      <c r="E587" s="69"/>
      <c r="F587" s="69"/>
      <c r="Z587" s="97"/>
      <c r="AA587" s="97"/>
      <c r="AB587" s="97"/>
      <c r="AC587" s="97"/>
      <c r="AD587" s="97"/>
      <c r="AE587" s="97"/>
      <c r="AF587" s="97"/>
      <c r="AG587" s="97"/>
      <c r="AH587" s="97"/>
      <c r="AI587" s="97"/>
      <c r="AJ587" s="97"/>
      <c r="AK587" s="97"/>
      <c r="AL587" s="97"/>
      <c r="AM587" s="97"/>
      <c r="AN587" s="97"/>
      <c r="AO587" s="97"/>
    </row>
    <row r="588" spans="1:41" ht="16.5" customHeight="1" x14ac:dyDescent="0.3">
      <c r="A588" s="69"/>
      <c r="B588" s="69"/>
      <c r="C588" s="69"/>
      <c r="D588" s="69"/>
      <c r="E588" s="69"/>
      <c r="F588" s="69"/>
      <c r="Z588" s="97"/>
      <c r="AA588" s="97"/>
      <c r="AB588" s="97"/>
      <c r="AC588" s="97"/>
      <c r="AD588" s="97"/>
      <c r="AE588" s="97"/>
      <c r="AF588" s="97"/>
      <c r="AG588" s="97"/>
      <c r="AH588" s="97"/>
      <c r="AI588" s="97"/>
      <c r="AJ588" s="97"/>
      <c r="AK588" s="97"/>
      <c r="AL588" s="97"/>
      <c r="AM588" s="97"/>
      <c r="AN588" s="97"/>
      <c r="AO588" s="97"/>
    </row>
    <row r="589" spans="1:41" ht="16.5" customHeight="1" x14ac:dyDescent="0.3">
      <c r="A589" s="69"/>
      <c r="B589" s="69"/>
      <c r="C589" s="69"/>
      <c r="D589" s="69"/>
      <c r="E589" s="69"/>
      <c r="F589" s="69"/>
      <c r="Z589" s="97"/>
      <c r="AA589" s="97"/>
      <c r="AB589" s="97"/>
      <c r="AC589" s="97"/>
      <c r="AD589" s="97"/>
      <c r="AE589" s="97"/>
      <c r="AF589" s="97"/>
      <c r="AG589" s="97"/>
      <c r="AH589" s="97"/>
      <c r="AI589" s="97"/>
      <c r="AJ589" s="97"/>
      <c r="AK589" s="97"/>
      <c r="AL589" s="97"/>
      <c r="AM589" s="97"/>
      <c r="AN589" s="97"/>
      <c r="AO589" s="97"/>
    </row>
    <row r="590" spans="1:41" ht="16.5" customHeight="1" x14ac:dyDescent="0.3">
      <c r="A590" s="69"/>
      <c r="B590" s="69"/>
      <c r="C590" s="69"/>
      <c r="D590" s="69"/>
      <c r="E590" s="69"/>
      <c r="F590" s="69"/>
      <c r="Z590" s="97"/>
      <c r="AA590" s="97"/>
      <c r="AB590" s="97"/>
      <c r="AC590" s="97"/>
      <c r="AD590" s="97"/>
      <c r="AE590" s="97"/>
      <c r="AF590" s="97"/>
      <c r="AG590" s="97"/>
      <c r="AH590" s="97"/>
      <c r="AI590" s="97"/>
      <c r="AJ590" s="97"/>
      <c r="AK590" s="97"/>
      <c r="AL590" s="97"/>
      <c r="AM590" s="97"/>
      <c r="AN590" s="97"/>
      <c r="AO590" s="97"/>
    </row>
    <row r="591" spans="1:41" ht="16.5" customHeight="1" x14ac:dyDescent="0.3">
      <c r="A591" s="69"/>
      <c r="B591" s="69"/>
      <c r="C591" s="69"/>
      <c r="D591" s="69"/>
      <c r="E591" s="69"/>
      <c r="F591" s="69"/>
      <c r="Z591" s="97"/>
      <c r="AA591" s="97"/>
      <c r="AB591" s="97"/>
      <c r="AC591" s="97"/>
      <c r="AD591" s="97"/>
      <c r="AE591" s="97"/>
      <c r="AF591" s="97"/>
      <c r="AG591" s="97"/>
      <c r="AH591" s="97"/>
      <c r="AI591" s="97"/>
      <c r="AJ591" s="97"/>
      <c r="AK591" s="97"/>
      <c r="AL591" s="97"/>
      <c r="AM591" s="97"/>
      <c r="AN591" s="97"/>
      <c r="AO591" s="97"/>
    </row>
    <row r="592" spans="1:41" ht="16.5" customHeight="1" x14ac:dyDescent="0.3">
      <c r="A592" s="69"/>
      <c r="B592" s="69"/>
      <c r="C592" s="69"/>
      <c r="D592" s="69"/>
      <c r="E592" s="69"/>
      <c r="F592" s="69"/>
      <c r="Z592" s="97"/>
      <c r="AA592" s="97"/>
      <c r="AB592" s="97"/>
      <c r="AC592" s="97"/>
      <c r="AD592" s="97"/>
      <c r="AE592" s="97"/>
      <c r="AF592" s="97"/>
      <c r="AG592" s="97"/>
      <c r="AH592" s="97"/>
      <c r="AI592" s="97"/>
      <c r="AJ592" s="97"/>
      <c r="AK592" s="97"/>
      <c r="AL592" s="97"/>
      <c r="AM592" s="97"/>
      <c r="AN592" s="97"/>
      <c r="AO592" s="97"/>
    </row>
    <row r="593" spans="1:41" ht="16.5" customHeight="1" x14ac:dyDescent="0.3">
      <c r="A593" s="69"/>
      <c r="B593" s="69"/>
      <c r="C593" s="69"/>
      <c r="D593" s="69"/>
      <c r="E593" s="69"/>
      <c r="F593" s="69"/>
      <c r="Z593" s="97"/>
      <c r="AA593" s="97"/>
      <c r="AB593" s="97"/>
      <c r="AC593" s="97"/>
      <c r="AD593" s="97"/>
      <c r="AE593" s="97"/>
      <c r="AF593" s="97"/>
      <c r="AG593" s="97"/>
      <c r="AH593" s="97"/>
      <c r="AI593" s="97"/>
      <c r="AJ593" s="97"/>
      <c r="AK593" s="97"/>
      <c r="AL593" s="97"/>
      <c r="AM593" s="97"/>
      <c r="AN593" s="97"/>
      <c r="AO593" s="97"/>
    </row>
    <row r="594" spans="1:41" ht="16.5" customHeight="1" x14ac:dyDescent="0.3">
      <c r="A594" s="69"/>
      <c r="B594" s="69"/>
      <c r="C594" s="69"/>
      <c r="D594" s="69"/>
      <c r="E594" s="69"/>
      <c r="F594" s="69"/>
      <c r="Z594" s="97"/>
      <c r="AA594" s="97"/>
      <c r="AB594" s="97"/>
      <c r="AC594" s="97"/>
      <c r="AD594" s="97"/>
      <c r="AE594" s="97"/>
      <c r="AF594" s="97"/>
      <c r="AG594" s="97"/>
      <c r="AH594" s="97"/>
      <c r="AI594" s="97"/>
      <c r="AJ594" s="97"/>
      <c r="AK594" s="97"/>
      <c r="AL594" s="97"/>
      <c r="AM594" s="97"/>
      <c r="AN594" s="97"/>
      <c r="AO594" s="97"/>
    </row>
    <row r="595" spans="1:41" ht="16.5" customHeight="1" x14ac:dyDescent="0.3">
      <c r="A595" s="69"/>
      <c r="B595" s="69"/>
      <c r="C595" s="69"/>
      <c r="D595" s="69"/>
      <c r="E595" s="69"/>
      <c r="F595" s="69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O595" s="97"/>
    </row>
    <row r="596" spans="1:41" ht="16.5" customHeight="1" x14ac:dyDescent="0.3">
      <c r="A596" s="69"/>
      <c r="B596" s="69"/>
      <c r="C596" s="69"/>
      <c r="D596" s="69"/>
      <c r="E596" s="69"/>
      <c r="F596" s="69"/>
      <c r="Z596" s="97"/>
      <c r="AA596" s="97"/>
      <c r="AB596" s="97"/>
      <c r="AC596" s="97"/>
      <c r="AD596" s="97"/>
      <c r="AE596" s="97"/>
      <c r="AF596" s="97"/>
      <c r="AG596" s="97"/>
      <c r="AH596" s="97"/>
      <c r="AI596" s="97"/>
      <c r="AJ596" s="97"/>
      <c r="AK596" s="97"/>
      <c r="AL596" s="97"/>
      <c r="AM596" s="97"/>
      <c r="AN596" s="97"/>
      <c r="AO596" s="97"/>
    </row>
    <row r="597" spans="1:41" ht="16.5" customHeight="1" x14ac:dyDescent="0.3">
      <c r="A597" s="69"/>
      <c r="B597" s="69"/>
      <c r="C597" s="69"/>
      <c r="D597" s="69"/>
      <c r="E597" s="69"/>
      <c r="F597" s="69"/>
      <c r="Z597" s="97"/>
      <c r="AA597" s="97"/>
      <c r="AB597" s="97"/>
      <c r="AC597" s="97"/>
      <c r="AD597" s="97"/>
      <c r="AE597" s="97"/>
      <c r="AF597" s="97"/>
      <c r="AG597" s="97"/>
      <c r="AH597" s="97"/>
      <c r="AI597" s="97"/>
      <c r="AJ597" s="97"/>
      <c r="AK597" s="97"/>
      <c r="AL597" s="97"/>
      <c r="AM597" s="97"/>
      <c r="AN597" s="97"/>
      <c r="AO597" s="97"/>
    </row>
    <row r="598" spans="1:41" ht="16.5" customHeight="1" x14ac:dyDescent="0.3">
      <c r="A598" s="69"/>
      <c r="B598" s="69"/>
      <c r="C598" s="69"/>
      <c r="D598" s="69"/>
      <c r="E598" s="69"/>
      <c r="F598" s="69"/>
      <c r="Z598" s="97"/>
      <c r="AA598" s="97"/>
      <c r="AB598" s="97"/>
      <c r="AC598" s="97"/>
      <c r="AD598" s="97"/>
      <c r="AE598" s="97"/>
      <c r="AF598" s="97"/>
      <c r="AG598" s="97"/>
      <c r="AH598" s="97"/>
      <c r="AI598" s="97"/>
      <c r="AJ598" s="97"/>
      <c r="AK598" s="97"/>
      <c r="AL598" s="97"/>
      <c r="AM598" s="97"/>
      <c r="AN598" s="97"/>
      <c r="AO598" s="97"/>
    </row>
    <row r="599" spans="1:41" ht="16.5" customHeight="1" x14ac:dyDescent="0.3">
      <c r="A599" s="69"/>
      <c r="B599" s="69"/>
      <c r="C599" s="69"/>
      <c r="D599" s="69"/>
      <c r="E599" s="69"/>
      <c r="F599" s="69"/>
      <c r="Z599" s="97"/>
      <c r="AA599" s="97"/>
      <c r="AB599" s="97"/>
      <c r="AC599" s="97"/>
      <c r="AD599" s="97"/>
      <c r="AE599" s="97"/>
      <c r="AF599" s="97"/>
      <c r="AG599" s="97"/>
      <c r="AH599" s="97"/>
      <c r="AI599" s="97"/>
      <c r="AJ599" s="97"/>
      <c r="AK599" s="97"/>
      <c r="AL599" s="97"/>
      <c r="AM599" s="97"/>
      <c r="AN599" s="97"/>
      <c r="AO599" s="97"/>
    </row>
    <row r="600" spans="1:41" ht="16.5" customHeight="1" x14ac:dyDescent="0.3">
      <c r="A600" s="69"/>
      <c r="B600" s="69"/>
      <c r="C600" s="69"/>
      <c r="D600" s="69"/>
      <c r="E600" s="69"/>
      <c r="F600" s="69"/>
      <c r="Z600" s="97"/>
      <c r="AA600" s="97"/>
      <c r="AB600" s="97"/>
      <c r="AC600" s="97"/>
      <c r="AD600" s="97"/>
      <c r="AE600" s="97"/>
      <c r="AF600" s="97"/>
      <c r="AG600" s="97"/>
      <c r="AH600" s="97"/>
      <c r="AI600" s="97"/>
      <c r="AJ600" s="97"/>
      <c r="AK600" s="97"/>
      <c r="AL600" s="97"/>
      <c r="AM600" s="97"/>
      <c r="AN600" s="97"/>
      <c r="AO600" s="97"/>
    </row>
    <row r="601" spans="1:41" ht="16.5" customHeight="1" x14ac:dyDescent="0.3">
      <c r="A601" s="69"/>
      <c r="B601" s="69"/>
      <c r="C601" s="69"/>
      <c r="D601" s="69"/>
      <c r="E601" s="69"/>
      <c r="F601" s="69"/>
      <c r="Z601" s="97"/>
      <c r="AA601" s="97"/>
      <c r="AB601" s="97"/>
      <c r="AC601" s="97"/>
      <c r="AD601" s="97"/>
      <c r="AE601" s="97"/>
      <c r="AF601" s="97"/>
      <c r="AG601" s="97"/>
      <c r="AH601" s="97"/>
      <c r="AI601" s="97"/>
      <c r="AJ601" s="97"/>
      <c r="AK601" s="97"/>
      <c r="AL601" s="97"/>
      <c r="AM601" s="97"/>
      <c r="AN601" s="97"/>
      <c r="AO601" s="97"/>
    </row>
    <row r="602" spans="1:41" ht="16.5" customHeight="1" x14ac:dyDescent="0.3">
      <c r="A602" s="69"/>
      <c r="B602" s="69"/>
      <c r="C602" s="69"/>
      <c r="D602" s="69"/>
      <c r="E602" s="69"/>
      <c r="F602" s="69"/>
      <c r="Z602" s="97"/>
      <c r="AA602" s="97"/>
      <c r="AB602" s="97"/>
      <c r="AC602" s="97"/>
      <c r="AD602" s="97"/>
      <c r="AE602" s="97"/>
      <c r="AF602" s="97"/>
      <c r="AG602" s="97"/>
      <c r="AH602" s="97"/>
      <c r="AI602" s="97"/>
      <c r="AJ602" s="97"/>
      <c r="AK602" s="97"/>
      <c r="AL602" s="97"/>
      <c r="AM602" s="97"/>
      <c r="AN602" s="97"/>
      <c r="AO602" s="97"/>
    </row>
    <row r="603" spans="1:41" ht="16.5" customHeight="1" x14ac:dyDescent="0.3">
      <c r="A603" s="74"/>
      <c r="B603" s="74"/>
      <c r="C603" s="74"/>
      <c r="D603" s="74"/>
      <c r="E603" s="74"/>
      <c r="F603" s="74"/>
      <c r="Z603" s="97"/>
      <c r="AA603" s="97"/>
      <c r="AB603" s="97"/>
      <c r="AC603" s="97"/>
      <c r="AD603" s="97"/>
      <c r="AE603" s="97"/>
      <c r="AF603" s="97"/>
      <c r="AG603" s="97"/>
      <c r="AH603" s="97"/>
      <c r="AI603" s="97"/>
      <c r="AJ603" s="97"/>
      <c r="AK603" s="97"/>
      <c r="AL603" s="97"/>
      <c r="AM603" s="97"/>
      <c r="AN603" s="97"/>
      <c r="AO603" s="97"/>
    </row>
    <row r="604" spans="1:41" ht="16.5" customHeight="1" x14ac:dyDescent="0.3">
      <c r="A604" s="145" t="s">
        <v>8953</v>
      </c>
      <c r="B604" s="138"/>
      <c r="C604" s="48">
        <f>E604+D604+F604</f>
        <v>17206</v>
      </c>
      <c r="D604" s="47">
        <f>ROUNDDOWN(SUMIF(N557:N567,M604,D557:D567),0)</f>
        <v>17206</v>
      </c>
      <c r="E604" s="56">
        <f>ROUNDDOWN(SUMIF(N557:N567,M604,E557:E567),0)</f>
        <v>0</v>
      </c>
      <c r="F604" s="48">
        <f>ROUNDDOWN(SUMIF(N557:N567,M604,F557:F567),0)</f>
        <v>0</v>
      </c>
      <c r="M604" s="35" t="s">
        <v>6406</v>
      </c>
      <c r="Z604" s="97"/>
      <c r="AA604" s="97"/>
      <c r="AB604" s="97"/>
      <c r="AC604" s="97"/>
      <c r="AD604" s="97"/>
      <c r="AE604" s="97"/>
      <c r="AF604" s="97"/>
      <c r="AG604" s="97"/>
      <c r="AH604" s="97"/>
      <c r="AI604" s="97"/>
      <c r="AJ604" s="97"/>
      <c r="AK604" s="97"/>
      <c r="AL604" s="97"/>
      <c r="AM604" s="97"/>
      <c r="AN604" s="97"/>
      <c r="AO604" s="97"/>
    </row>
    <row r="605" spans="1:41" ht="16.5" customHeight="1" x14ac:dyDescent="0.3">
      <c r="A605" s="86" t="s">
        <v>43</v>
      </c>
      <c r="B605" s="88" t="s">
        <v>43</v>
      </c>
      <c r="C605" s="146">
        <f>C654</f>
        <v>83748</v>
      </c>
      <c r="D605" s="146">
        <f>D654</f>
        <v>83748</v>
      </c>
      <c r="E605" s="146">
        <f>E654</f>
        <v>0</v>
      </c>
      <c r="F605" s="146">
        <f>F654</f>
        <v>0</v>
      </c>
      <c r="G605" s="84" t="str">
        <f>HYPERLINK("#G"&amp;ROW(G616),"_x0005_`BDCOD|D04120_x0007_`POSS|"&amp;ROW(G607)&amp;"_x0007_`POSE|"&amp;ROW(G616)&amp;"_x0007_`")</f>
        <v>_x0005_`BDCOD|D04120_x0007_`POSS|607_x0007_`POSE|616_x0007_`</v>
      </c>
      <c r="Z605" s="97"/>
      <c r="AA605" s="97"/>
      <c r="AB605" s="97"/>
      <c r="AC605" s="97"/>
      <c r="AD605" s="97"/>
      <c r="AE605" s="97"/>
      <c r="AF605" s="97"/>
      <c r="AG605" s="97"/>
      <c r="AH605" s="97"/>
      <c r="AI605" s="97"/>
      <c r="AJ605" s="97"/>
      <c r="AK605" s="97"/>
      <c r="AL605" s="97"/>
      <c r="AM605" s="97"/>
      <c r="AN605" s="97"/>
      <c r="AO605" s="97"/>
    </row>
    <row r="606" spans="1:41" ht="16.5" customHeight="1" x14ac:dyDescent="0.3">
      <c r="A606" s="87"/>
      <c r="B606" s="88" t="s">
        <v>2004</v>
      </c>
      <c r="C606" s="127"/>
      <c r="D606" s="127"/>
      <c r="E606" s="127"/>
      <c r="F606" s="127"/>
      <c r="M606" s="35" t="s">
        <v>9020</v>
      </c>
      <c r="Z606" s="97"/>
      <c r="AA606" s="97"/>
      <c r="AB606" s="97"/>
      <c r="AC606" s="97"/>
      <c r="AD606" s="97"/>
      <c r="AE606" s="97"/>
      <c r="AF606" s="97"/>
      <c r="AG606" s="97"/>
      <c r="AH606" s="97"/>
      <c r="AI606" s="97"/>
      <c r="AJ606" s="97"/>
      <c r="AK606" s="97"/>
      <c r="AL606" s="97"/>
      <c r="AM606" s="97"/>
      <c r="AN606" s="97"/>
      <c r="AO606" s="97"/>
    </row>
    <row r="607" spans="1:41" ht="16.5" customHeight="1" x14ac:dyDescent="0.3">
      <c r="A607" s="69"/>
      <c r="B607" s="69"/>
      <c r="C607" s="90"/>
      <c r="D607" s="90"/>
      <c r="E607" s="90"/>
      <c r="F607" s="90"/>
      <c r="G607" s="17" t="s">
        <v>8885</v>
      </c>
      <c r="Z607" s="97"/>
      <c r="AA607" s="97"/>
      <c r="AB607" s="97"/>
      <c r="AC607" s="97"/>
      <c r="AD607" s="97"/>
      <c r="AE607" s="97"/>
      <c r="AF607" s="97"/>
      <c r="AG607" s="97"/>
      <c r="AH607" s="97"/>
      <c r="AI607" s="97"/>
      <c r="AJ607" s="97"/>
      <c r="AK607" s="97"/>
      <c r="AL607" s="97"/>
      <c r="AM607" s="97"/>
      <c r="AN607" s="97"/>
      <c r="AO607" s="97"/>
    </row>
    <row r="608" spans="1:41" ht="16.5" customHeight="1" x14ac:dyDescent="0.3">
      <c r="A608" s="59"/>
      <c r="B608" s="68" t="s">
        <v>9010</v>
      </c>
      <c r="C608" s="69"/>
      <c r="D608" s="69"/>
      <c r="E608" s="69"/>
      <c r="F608" s="69"/>
      <c r="G608" s="17" t="s">
        <v>9009</v>
      </c>
      <c r="Z608" s="97"/>
      <c r="AA608" s="97"/>
      <c r="AB608" s="97"/>
      <c r="AC608" s="97"/>
      <c r="AD608" s="97"/>
      <c r="AE608" s="97"/>
      <c r="AF608" s="97"/>
      <c r="AG608" s="97"/>
      <c r="AH608" s="97"/>
      <c r="AI608" s="97"/>
      <c r="AJ608" s="97"/>
      <c r="AK608" s="97"/>
      <c r="AL608" s="97"/>
      <c r="AM608" s="97"/>
      <c r="AN608" s="97"/>
      <c r="AO608" s="97"/>
    </row>
    <row r="609" spans="1:41" ht="16.5" customHeight="1" x14ac:dyDescent="0.3">
      <c r="A609" s="69"/>
      <c r="B609" s="69"/>
      <c r="C609" s="69"/>
      <c r="D609" s="69"/>
      <c r="E609" s="69"/>
      <c r="F609" s="69"/>
      <c r="G609" s="17" t="s">
        <v>8885</v>
      </c>
      <c r="Z609" s="97"/>
      <c r="AA609" s="97"/>
      <c r="AB609" s="97"/>
      <c r="AC609" s="97"/>
      <c r="AD609" s="97"/>
      <c r="AE609" s="97"/>
      <c r="AF609" s="97"/>
      <c r="AG609" s="97"/>
      <c r="AH609" s="97"/>
      <c r="AI609" s="97"/>
      <c r="AJ609" s="97"/>
      <c r="AK609" s="97"/>
      <c r="AL609" s="97"/>
      <c r="AM609" s="97"/>
      <c r="AN609" s="97"/>
      <c r="AO609" s="97"/>
    </row>
    <row r="610" spans="1:41" ht="16.5" customHeight="1" x14ac:dyDescent="0.3">
      <c r="A610" s="59"/>
      <c r="B610" s="68" t="s">
        <v>9022</v>
      </c>
      <c r="C610" s="69"/>
      <c r="D610" s="69"/>
      <c r="E610" s="69"/>
      <c r="F610" s="69"/>
      <c r="G610" s="17" t="s">
        <v>9021</v>
      </c>
      <c r="Z610" s="97"/>
      <c r="AA610" s="97"/>
      <c r="AB610" s="97"/>
      <c r="AC610" s="97"/>
      <c r="AD610" s="97"/>
      <c r="AE610" s="97"/>
      <c r="AF610" s="97"/>
      <c r="AG610" s="97"/>
      <c r="AH610" s="97"/>
      <c r="AI610" s="97"/>
      <c r="AJ610" s="97"/>
      <c r="AK610" s="97"/>
      <c r="AL610" s="97"/>
      <c r="AM610" s="97"/>
      <c r="AN610" s="97"/>
      <c r="AO610" s="97"/>
    </row>
    <row r="611" spans="1:41" ht="16.5" customHeight="1" x14ac:dyDescent="0.3">
      <c r="A611" s="69"/>
      <c r="B611" s="69"/>
      <c r="C611" s="69"/>
      <c r="D611" s="69"/>
      <c r="E611" s="69"/>
      <c r="F611" s="69"/>
      <c r="G611" s="17" t="s">
        <v>8885</v>
      </c>
      <c r="Z611" s="97"/>
      <c r="AA611" s="97"/>
      <c r="AB611" s="97"/>
      <c r="AC611" s="97"/>
      <c r="AD611" s="97"/>
      <c r="AE611" s="97"/>
      <c r="AF611" s="97"/>
      <c r="AG611" s="97"/>
      <c r="AH611" s="97"/>
      <c r="AI611" s="97"/>
      <c r="AJ611" s="97"/>
      <c r="AK611" s="97"/>
      <c r="AL611" s="97"/>
      <c r="AM611" s="97"/>
      <c r="AN611" s="97"/>
      <c r="AO611" s="97"/>
    </row>
    <row r="612" spans="1:41" ht="16.5" customHeight="1" x14ac:dyDescent="0.3">
      <c r="A612" s="59"/>
      <c r="B612" s="68" t="str">
        <f>"      Q = "&amp;Z612&amp;"  hr/일 "</f>
        <v xml:space="preserve">      Q = 2.7  hr/일 </v>
      </c>
      <c r="C612" s="69"/>
      <c r="D612" s="69"/>
      <c r="E612" s="69"/>
      <c r="F612" s="69"/>
      <c r="G612" s="17" t="s">
        <v>9023</v>
      </c>
      <c r="Z612" s="98">
        <v>2.7</v>
      </c>
      <c r="AA612" s="35" t="s">
        <v>8892</v>
      </c>
      <c r="AB612" s="100">
        <f>Z612</f>
        <v>2.7</v>
      </c>
      <c r="AC612" s="97"/>
      <c r="AD612" s="97"/>
      <c r="AE612" s="97"/>
      <c r="AF612" s="97"/>
      <c r="AG612" s="97"/>
      <c r="AH612" s="97"/>
      <c r="AI612" s="97"/>
      <c r="AJ612" s="97"/>
      <c r="AK612" s="97"/>
      <c r="AL612" s="97"/>
      <c r="AM612" s="97"/>
      <c r="AN612" s="97"/>
      <c r="AO612" s="97"/>
    </row>
    <row r="613" spans="1:41" ht="16.5" customHeight="1" x14ac:dyDescent="0.3">
      <c r="A613" s="69"/>
      <c r="B613" s="69"/>
      <c r="C613" s="69"/>
      <c r="D613" s="69"/>
      <c r="E613" s="69"/>
      <c r="F613" s="69"/>
      <c r="G613" s="17" t="s">
        <v>8885</v>
      </c>
      <c r="Z613" s="97"/>
      <c r="AA613" s="97"/>
      <c r="AB613" s="97"/>
      <c r="AC613" s="97"/>
      <c r="AD613" s="97"/>
      <c r="AE613" s="97"/>
      <c r="AF613" s="97"/>
      <c r="AG613" s="97"/>
      <c r="AH613" s="97"/>
      <c r="AI613" s="97"/>
      <c r="AJ613" s="97"/>
      <c r="AK613" s="97"/>
      <c r="AL613" s="97"/>
      <c r="AM613" s="97"/>
      <c r="AN613" s="97"/>
      <c r="AO613" s="97"/>
    </row>
    <row r="614" spans="1:41" ht="16.5" customHeight="1" x14ac:dyDescent="0.3">
      <c r="A614" s="59" t="s">
        <v>8946</v>
      </c>
      <c r="B614" s="89" t="str">
        <f>"    특별인부:   "&amp;TEXT(I614,"#,##0"&amp;IF(I614&lt;&gt;INT(I614),".###",""))&amp;" * "&amp;AA614&amp;" 인  /  Q  인  = "&amp;TEXT(C614,"#,##0.0")&amp;"  ㎥ "</f>
        <v xml:space="preserve">    특별인부:   226,122 * 1 인  /  Q  인  = 83,748.8  ㎥ </v>
      </c>
      <c r="C614" s="91">
        <f>E614+D614+F614</f>
        <v>83748.800000000003</v>
      </c>
      <c r="D614" s="91">
        <f>IF(H614=0,0,ROUNDDOWN(J614*H614,1))</f>
        <v>83748.800000000003</v>
      </c>
      <c r="E614" s="91">
        <f>IF(H614=0,0,ROUNDDOWN(K614*H614,1))</f>
        <v>0</v>
      </c>
      <c r="F614" s="91">
        <f>IF(H614=0,0,ROUNDDOWN(L614*H614,1))</f>
        <v>0</v>
      </c>
      <c r="G614" s="17" t="s">
        <v>9014</v>
      </c>
      <c r="H614" s="94">
        <f>ROUNDUP(AE614,14-LEN(ABS(INT(AE614))))</f>
        <v>0.37037037037039999</v>
      </c>
      <c r="I614" s="95">
        <f>K614+J614+L614</f>
        <v>226122</v>
      </c>
      <c r="J614" s="39">
        <f>노무비목록표!E20</f>
        <v>226122</v>
      </c>
      <c r="M614" s="35" t="s">
        <v>8454</v>
      </c>
      <c r="N614" s="35" t="s">
        <v>8952</v>
      </c>
      <c r="X614" s="96" t="str">
        <f>노무비목록표!B20&amp;" / "&amp;노무비목록표!C20</f>
        <v xml:space="preserve">특별인부 / </v>
      </c>
      <c r="Y614" s="3" t="str">
        <f ca="1">HYPERLINK("#"&amp;노무비목록표!G2&amp;"!A"&amp;ROW(노무비목록표!A20),"노무17 →")</f>
        <v>노무17 →</v>
      </c>
      <c r="Z614" s="35" t="s">
        <v>8947</v>
      </c>
      <c r="AA614" s="99">
        <v>1</v>
      </c>
      <c r="AB614" s="35" t="s">
        <v>8905</v>
      </c>
      <c r="AC614" s="100">
        <f>AB612</f>
        <v>2.7</v>
      </c>
      <c r="AD614" s="35" t="s">
        <v>8892</v>
      </c>
      <c r="AE614" s="100">
        <f>1*AA614/AB612</f>
        <v>0.37037037037037035</v>
      </c>
      <c r="AF614" s="97"/>
      <c r="AG614" s="97"/>
      <c r="AH614" s="97"/>
      <c r="AI614" s="97"/>
      <c r="AJ614" s="97"/>
      <c r="AK614" s="97"/>
      <c r="AL614" s="97"/>
      <c r="AM614" s="97"/>
      <c r="AN614" s="97"/>
      <c r="AO614" s="97"/>
    </row>
    <row r="615" spans="1:41" ht="16.5" customHeight="1" x14ac:dyDescent="0.3">
      <c r="A615" s="69"/>
      <c r="B615" s="69"/>
      <c r="C615" s="69"/>
      <c r="D615" s="69"/>
      <c r="E615" s="69"/>
      <c r="F615" s="69"/>
      <c r="G615" s="17" t="s">
        <v>8885</v>
      </c>
      <c r="Z615" s="97"/>
      <c r="AA615" s="97"/>
      <c r="AB615" s="97"/>
      <c r="AC615" s="97"/>
      <c r="AD615" s="97"/>
      <c r="AE615" s="97"/>
      <c r="AF615" s="97"/>
      <c r="AG615" s="97"/>
      <c r="AH615" s="97"/>
      <c r="AI615" s="97"/>
      <c r="AJ615" s="97"/>
      <c r="AK615" s="97"/>
      <c r="AL615" s="97"/>
      <c r="AM615" s="97"/>
      <c r="AN615" s="97"/>
      <c r="AO615" s="97"/>
    </row>
    <row r="616" spans="1:41" ht="16.5" customHeight="1" x14ac:dyDescent="0.3">
      <c r="A616" s="59"/>
      <c r="B616" s="68" t="s">
        <v>8951</v>
      </c>
      <c r="C616" s="92">
        <f>E616+D616+F616</f>
        <v>83748.800000000003</v>
      </c>
      <c r="D616" s="92">
        <f>SUMIF(N607:N615,M616,D607:D615)</f>
        <v>83748.800000000003</v>
      </c>
      <c r="E616" s="92">
        <f>SUMIF(N607:N615,M616,E607:E615)</f>
        <v>0</v>
      </c>
      <c r="F616" s="92">
        <f>SUMIF(N607:N615,M616,F607:F615)</f>
        <v>0</v>
      </c>
      <c r="G616" s="17" t="s">
        <v>8950</v>
      </c>
      <c r="M616" s="35" t="s">
        <v>8952</v>
      </c>
      <c r="N616" s="35" t="s">
        <v>6406</v>
      </c>
      <c r="Z616" s="97"/>
      <c r="AA616" s="97"/>
      <c r="AB616" s="97"/>
      <c r="AC616" s="97"/>
      <c r="AD616" s="97"/>
      <c r="AE616" s="97"/>
      <c r="AF616" s="97"/>
      <c r="AG616" s="97"/>
      <c r="AH616" s="97"/>
      <c r="AI616" s="97"/>
      <c r="AJ616" s="97"/>
      <c r="AK616" s="97"/>
      <c r="AL616" s="97"/>
      <c r="AM616" s="97"/>
      <c r="AN616" s="97"/>
      <c r="AO616" s="97"/>
    </row>
    <row r="617" spans="1:41" ht="16.5" customHeight="1" x14ac:dyDescent="0.3">
      <c r="A617" s="69"/>
      <c r="B617" s="69"/>
      <c r="C617" s="90"/>
      <c r="D617" s="90"/>
      <c r="E617" s="90"/>
      <c r="F617" s="90"/>
      <c r="Z617" s="97"/>
      <c r="AA617" s="97"/>
      <c r="AB617" s="97"/>
      <c r="AC617" s="97"/>
      <c r="AD617" s="97"/>
      <c r="AE617" s="97"/>
      <c r="AF617" s="97"/>
      <c r="AG617" s="97"/>
      <c r="AH617" s="97"/>
      <c r="AI617" s="97"/>
      <c r="AJ617" s="97"/>
      <c r="AK617" s="97"/>
      <c r="AL617" s="97"/>
      <c r="AM617" s="97"/>
      <c r="AN617" s="97"/>
      <c r="AO617" s="97"/>
    </row>
    <row r="618" spans="1:41" ht="16.5" customHeight="1" x14ac:dyDescent="0.3">
      <c r="A618" s="69"/>
      <c r="B618" s="69"/>
      <c r="C618" s="69"/>
      <c r="D618" s="69"/>
      <c r="E618" s="69"/>
      <c r="F618" s="69"/>
      <c r="Z618" s="97"/>
      <c r="AA618" s="97"/>
      <c r="AB618" s="97"/>
      <c r="AC618" s="97"/>
      <c r="AD618" s="97"/>
      <c r="AE618" s="97"/>
      <c r="AF618" s="97"/>
      <c r="AG618" s="97"/>
      <c r="AH618" s="97"/>
      <c r="AI618" s="97"/>
      <c r="AJ618" s="97"/>
      <c r="AK618" s="97"/>
      <c r="AL618" s="97"/>
      <c r="AM618" s="97"/>
      <c r="AN618" s="97"/>
      <c r="AO618" s="97"/>
    </row>
    <row r="619" spans="1:41" ht="16.5" customHeight="1" x14ac:dyDescent="0.3">
      <c r="A619" s="69"/>
      <c r="B619" s="69"/>
      <c r="C619" s="69"/>
      <c r="D619" s="69"/>
      <c r="E619" s="69"/>
      <c r="F619" s="69"/>
      <c r="Z619" s="97"/>
      <c r="AA619" s="97"/>
      <c r="AB619" s="97"/>
      <c r="AC619" s="97"/>
      <c r="AD619" s="97"/>
      <c r="AE619" s="97"/>
      <c r="AF619" s="97"/>
      <c r="AG619" s="97"/>
      <c r="AH619" s="97"/>
      <c r="AI619" s="97"/>
      <c r="AJ619" s="97"/>
      <c r="AK619" s="97"/>
      <c r="AL619" s="97"/>
      <c r="AM619" s="97"/>
      <c r="AN619" s="97"/>
      <c r="AO619" s="97"/>
    </row>
    <row r="620" spans="1:41" ht="16.5" customHeight="1" x14ac:dyDescent="0.3">
      <c r="A620" s="69"/>
      <c r="B620" s="69"/>
      <c r="C620" s="69"/>
      <c r="D620" s="69"/>
      <c r="E620" s="69"/>
      <c r="F620" s="69"/>
      <c r="Z620" s="97"/>
      <c r="AA620" s="97"/>
      <c r="AB620" s="97"/>
      <c r="AC620" s="97"/>
      <c r="AD620" s="97"/>
      <c r="AE620" s="97"/>
      <c r="AF620" s="97"/>
      <c r="AG620" s="97"/>
      <c r="AH620" s="97"/>
      <c r="AI620" s="97"/>
      <c r="AJ620" s="97"/>
      <c r="AK620" s="97"/>
      <c r="AL620" s="97"/>
      <c r="AM620" s="97"/>
      <c r="AN620" s="97"/>
      <c r="AO620" s="97"/>
    </row>
    <row r="621" spans="1:41" ht="16.5" customHeight="1" x14ac:dyDescent="0.3">
      <c r="A621" s="69"/>
      <c r="B621" s="69"/>
      <c r="C621" s="69"/>
      <c r="D621" s="69"/>
      <c r="E621" s="69"/>
      <c r="F621" s="69"/>
      <c r="Z621" s="97"/>
      <c r="AA621" s="97"/>
      <c r="AB621" s="97"/>
      <c r="AC621" s="97"/>
      <c r="AD621" s="97"/>
      <c r="AE621" s="97"/>
      <c r="AF621" s="97"/>
      <c r="AG621" s="97"/>
      <c r="AH621" s="97"/>
      <c r="AI621" s="97"/>
      <c r="AJ621" s="97"/>
      <c r="AK621" s="97"/>
      <c r="AL621" s="97"/>
      <c r="AM621" s="97"/>
      <c r="AN621" s="97"/>
      <c r="AO621" s="97"/>
    </row>
    <row r="622" spans="1:41" ht="16.5" customHeight="1" x14ac:dyDescent="0.3">
      <c r="A622" s="69"/>
      <c r="B622" s="69"/>
      <c r="C622" s="69"/>
      <c r="D622" s="69"/>
      <c r="E622" s="69"/>
      <c r="F622" s="69"/>
      <c r="Z622" s="97"/>
      <c r="AA622" s="97"/>
      <c r="AB622" s="97"/>
      <c r="AC622" s="97"/>
      <c r="AD622" s="97"/>
      <c r="AE622" s="97"/>
      <c r="AF622" s="97"/>
      <c r="AG622" s="97"/>
      <c r="AH622" s="97"/>
      <c r="AI622" s="97"/>
      <c r="AJ622" s="97"/>
      <c r="AK622" s="97"/>
      <c r="AL622" s="97"/>
      <c r="AM622" s="97"/>
      <c r="AN622" s="97"/>
      <c r="AO622" s="97"/>
    </row>
    <row r="623" spans="1:41" ht="16.5" customHeight="1" x14ac:dyDescent="0.3">
      <c r="A623" s="69"/>
      <c r="B623" s="69"/>
      <c r="C623" s="69"/>
      <c r="D623" s="69"/>
      <c r="E623" s="69"/>
      <c r="F623" s="69"/>
      <c r="Z623" s="97"/>
      <c r="AA623" s="97"/>
      <c r="AB623" s="97"/>
      <c r="AC623" s="97"/>
      <c r="AD623" s="97"/>
      <c r="AE623" s="97"/>
      <c r="AF623" s="97"/>
      <c r="AG623" s="97"/>
      <c r="AH623" s="97"/>
      <c r="AI623" s="97"/>
      <c r="AJ623" s="97"/>
      <c r="AK623" s="97"/>
      <c r="AL623" s="97"/>
      <c r="AM623" s="97"/>
      <c r="AN623" s="97"/>
      <c r="AO623" s="97"/>
    </row>
    <row r="624" spans="1:41" ht="16.5" customHeight="1" x14ac:dyDescent="0.3">
      <c r="A624" s="69"/>
      <c r="B624" s="69"/>
      <c r="C624" s="69"/>
      <c r="D624" s="69"/>
      <c r="E624" s="69"/>
      <c r="F624" s="69"/>
      <c r="Z624" s="97"/>
      <c r="AA624" s="97"/>
      <c r="AB624" s="97"/>
      <c r="AC624" s="97"/>
      <c r="AD624" s="97"/>
      <c r="AE624" s="97"/>
      <c r="AF624" s="97"/>
      <c r="AG624" s="97"/>
      <c r="AH624" s="97"/>
      <c r="AI624" s="97"/>
      <c r="AJ624" s="97"/>
      <c r="AK624" s="97"/>
      <c r="AL624" s="97"/>
      <c r="AM624" s="97"/>
      <c r="AN624" s="97"/>
      <c r="AO624" s="97"/>
    </row>
    <row r="625" spans="1:41" ht="16.5" customHeight="1" x14ac:dyDescent="0.3">
      <c r="A625" s="69"/>
      <c r="B625" s="69"/>
      <c r="C625" s="69"/>
      <c r="D625" s="69"/>
      <c r="E625" s="69"/>
      <c r="F625" s="69"/>
      <c r="Z625" s="97"/>
      <c r="AA625" s="97"/>
      <c r="AB625" s="97"/>
      <c r="AC625" s="97"/>
      <c r="AD625" s="97"/>
      <c r="AE625" s="97"/>
      <c r="AF625" s="97"/>
      <c r="AG625" s="97"/>
      <c r="AH625" s="97"/>
      <c r="AI625" s="97"/>
      <c r="AJ625" s="97"/>
      <c r="AK625" s="97"/>
      <c r="AL625" s="97"/>
      <c r="AM625" s="97"/>
      <c r="AN625" s="97"/>
      <c r="AO625" s="97"/>
    </row>
    <row r="626" spans="1:41" ht="16.5" customHeight="1" x14ac:dyDescent="0.3">
      <c r="A626" s="69"/>
      <c r="B626" s="69"/>
      <c r="C626" s="69"/>
      <c r="D626" s="69"/>
      <c r="E626" s="69"/>
      <c r="F626" s="69"/>
      <c r="Z626" s="97"/>
      <c r="AA626" s="97"/>
      <c r="AB626" s="97"/>
      <c r="AC626" s="97"/>
      <c r="AD626" s="97"/>
      <c r="AE626" s="97"/>
      <c r="AF626" s="97"/>
      <c r="AG626" s="97"/>
      <c r="AH626" s="97"/>
      <c r="AI626" s="97"/>
      <c r="AJ626" s="97"/>
      <c r="AK626" s="97"/>
      <c r="AL626" s="97"/>
      <c r="AM626" s="97"/>
      <c r="AN626" s="97"/>
      <c r="AO626" s="97"/>
    </row>
    <row r="627" spans="1:41" ht="16.5" customHeight="1" x14ac:dyDescent="0.3">
      <c r="A627" s="69"/>
      <c r="B627" s="69"/>
      <c r="C627" s="69"/>
      <c r="D627" s="69"/>
      <c r="E627" s="69"/>
      <c r="F627" s="69"/>
      <c r="Z627" s="97"/>
      <c r="AA627" s="97"/>
      <c r="AB627" s="97"/>
      <c r="AC627" s="97"/>
      <c r="AD627" s="97"/>
      <c r="AE627" s="97"/>
      <c r="AF627" s="97"/>
      <c r="AG627" s="97"/>
      <c r="AH627" s="97"/>
      <c r="AI627" s="97"/>
      <c r="AJ627" s="97"/>
      <c r="AK627" s="97"/>
      <c r="AL627" s="97"/>
      <c r="AM627" s="97"/>
      <c r="AN627" s="97"/>
      <c r="AO627" s="97"/>
    </row>
    <row r="628" spans="1:41" ht="16.5" customHeight="1" x14ac:dyDescent="0.3">
      <c r="A628" s="69"/>
      <c r="B628" s="69"/>
      <c r="C628" s="69"/>
      <c r="D628" s="69"/>
      <c r="E628" s="69"/>
      <c r="F628" s="69"/>
      <c r="Z628" s="97"/>
      <c r="AA628" s="97"/>
      <c r="AB628" s="97"/>
      <c r="AC628" s="97"/>
      <c r="AD628" s="97"/>
      <c r="AE628" s="97"/>
      <c r="AF628" s="97"/>
      <c r="AG628" s="97"/>
      <c r="AH628" s="97"/>
      <c r="AI628" s="97"/>
      <c r="AJ628" s="97"/>
      <c r="AK628" s="97"/>
      <c r="AL628" s="97"/>
      <c r="AM628" s="97"/>
      <c r="AN628" s="97"/>
      <c r="AO628" s="97"/>
    </row>
    <row r="629" spans="1:41" ht="16.5" customHeight="1" x14ac:dyDescent="0.3">
      <c r="A629" s="69"/>
      <c r="B629" s="69"/>
      <c r="C629" s="69"/>
      <c r="D629" s="69"/>
      <c r="E629" s="69"/>
      <c r="F629" s="69"/>
      <c r="Z629" s="97"/>
      <c r="AA629" s="97"/>
      <c r="AB629" s="97"/>
      <c r="AC629" s="97"/>
      <c r="AD629" s="97"/>
      <c r="AE629" s="97"/>
      <c r="AF629" s="97"/>
      <c r="AG629" s="97"/>
      <c r="AH629" s="97"/>
      <c r="AI629" s="97"/>
      <c r="AJ629" s="97"/>
      <c r="AK629" s="97"/>
      <c r="AL629" s="97"/>
      <c r="AM629" s="97"/>
      <c r="AN629" s="97"/>
      <c r="AO629" s="97"/>
    </row>
    <row r="630" spans="1:41" ht="16.5" customHeight="1" x14ac:dyDescent="0.3">
      <c r="A630" s="69"/>
      <c r="B630" s="69"/>
      <c r="C630" s="69"/>
      <c r="D630" s="69"/>
      <c r="E630" s="69"/>
      <c r="F630" s="69"/>
      <c r="Z630" s="97"/>
      <c r="AA630" s="97"/>
      <c r="AB630" s="97"/>
      <c r="AC630" s="97"/>
      <c r="AD630" s="97"/>
      <c r="AE630" s="97"/>
      <c r="AF630" s="97"/>
      <c r="AG630" s="97"/>
      <c r="AH630" s="97"/>
      <c r="AI630" s="97"/>
      <c r="AJ630" s="97"/>
      <c r="AK630" s="97"/>
      <c r="AL630" s="97"/>
      <c r="AM630" s="97"/>
      <c r="AN630" s="97"/>
      <c r="AO630" s="97"/>
    </row>
    <row r="631" spans="1:41" ht="16.5" customHeight="1" x14ac:dyDescent="0.3">
      <c r="A631" s="69"/>
      <c r="B631" s="69"/>
      <c r="C631" s="69"/>
      <c r="D631" s="69"/>
      <c r="E631" s="69"/>
      <c r="F631" s="69"/>
      <c r="Z631" s="97"/>
      <c r="AA631" s="97"/>
      <c r="AB631" s="97"/>
      <c r="AC631" s="97"/>
      <c r="AD631" s="97"/>
      <c r="AE631" s="97"/>
      <c r="AF631" s="97"/>
      <c r="AG631" s="97"/>
      <c r="AH631" s="97"/>
      <c r="AI631" s="97"/>
      <c r="AJ631" s="97"/>
      <c r="AK631" s="97"/>
      <c r="AL631" s="97"/>
      <c r="AM631" s="97"/>
      <c r="AN631" s="97"/>
      <c r="AO631" s="97"/>
    </row>
    <row r="632" spans="1:41" ht="16.5" customHeight="1" x14ac:dyDescent="0.3">
      <c r="A632" s="69"/>
      <c r="B632" s="69"/>
      <c r="C632" s="69"/>
      <c r="D632" s="69"/>
      <c r="E632" s="69"/>
      <c r="F632" s="69"/>
      <c r="Z632" s="97"/>
      <c r="AA632" s="97"/>
      <c r="AB632" s="97"/>
      <c r="AC632" s="97"/>
      <c r="AD632" s="97"/>
      <c r="AE632" s="97"/>
      <c r="AF632" s="97"/>
      <c r="AG632" s="97"/>
      <c r="AH632" s="97"/>
      <c r="AI632" s="97"/>
      <c r="AJ632" s="97"/>
      <c r="AK632" s="97"/>
      <c r="AL632" s="97"/>
      <c r="AM632" s="97"/>
      <c r="AN632" s="97"/>
      <c r="AO632" s="97"/>
    </row>
    <row r="633" spans="1:41" ht="16.5" customHeight="1" x14ac:dyDescent="0.3">
      <c r="A633" s="69"/>
      <c r="B633" s="69"/>
      <c r="C633" s="69"/>
      <c r="D633" s="69"/>
      <c r="E633" s="69"/>
      <c r="F633" s="69"/>
      <c r="Z633" s="97"/>
      <c r="AA633" s="97"/>
      <c r="AB633" s="97"/>
      <c r="AC633" s="97"/>
      <c r="AD633" s="97"/>
      <c r="AE633" s="97"/>
      <c r="AF633" s="97"/>
      <c r="AG633" s="97"/>
      <c r="AH633" s="97"/>
      <c r="AI633" s="97"/>
      <c r="AJ633" s="97"/>
      <c r="AK633" s="97"/>
      <c r="AL633" s="97"/>
      <c r="AM633" s="97"/>
      <c r="AN633" s="97"/>
      <c r="AO633" s="97"/>
    </row>
    <row r="634" spans="1:41" ht="16.5" customHeight="1" x14ac:dyDescent="0.3">
      <c r="A634" s="69"/>
      <c r="B634" s="69"/>
      <c r="C634" s="69"/>
      <c r="D634" s="69"/>
      <c r="E634" s="69"/>
      <c r="F634" s="69"/>
      <c r="Z634" s="97"/>
      <c r="AA634" s="97"/>
      <c r="AB634" s="97"/>
      <c r="AC634" s="97"/>
      <c r="AD634" s="97"/>
      <c r="AE634" s="97"/>
      <c r="AF634" s="97"/>
      <c r="AG634" s="97"/>
      <c r="AH634" s="97"/>
      <c r="AI634" s="97"/>
      <c r="AJ634" s="97"/>
      <c r="AK634" s="97"/>
      <c r="AL634" s="97"/>
      <c r="AM634" s="97"/>
      <c r="AN634" s="97"/>
      <c r="AO634" s="97"/>
    </row>
    <row r="635" spans="1:41" ht="16.5" customHeight="1" x14ac:dyDescent="0.3">
      <c r="A635" s="69"/>
      <c r="B635" s="69"/>
      <c r="C635" s="69"/>
      <c r="D635" s="69"/>
      <c r="E635" s="69"/>
      <c r="F635" s="69"/>
      <c r="Z635" s="97"/>
      <c r="AA635" s="97"/>
      <c r="AB635" s="97"/>
      <c r="AC635" s="97"/>
      <c r="AD635" s="97"/>
      <c r="AE635" s="97"/>
      <c r="AF635" s="97"/>
      <c r="AG635" s="97"/>
      <c r="AH635" s="97"/>
      <c r="AI635" s="97"/>
      <c r="AJ635" s="97"/>
      <c r="AK635" s="97"/>
      <c r="AL635" s="97"/>
      <c r="AM635" s="97"/>
      <c r="AN635" s="97"/>
      <c r="AO635" s="97"/>
    </row>
    <row r="636" spans="1:41" ht="16.5" customHeight="1" x14ac:dyDescent="0.3">
      <c r="A636" s="69"/>
      <c r="B636" s="69"/>
      <c r="C636" s="69"/>
      <c r="D636" s="69"/>
      <c r="E636" s="69"/>
      <c r="F636" s="69"/>
      <c r="Z636" s="97"/>
      <c r="AA636" s="97"/>
      <c r="AB636" s="97"/>
      <c r="AC636" s="97"/>
      <c r="AD636" s="97"/>
      <c r="AE636" s="97"/>
      <c r="AF636" s="97"/>
      <c r="AG636" s="97"/>
      <c r="AH636" s="97"/>
      <c r="AI636" s="97"/>
      <c r="AJ636" s="97"/>
      <c r="AK636" s="97"/>
      <c r="AL636" s="97"/>
      <c r="AM636" s="97"/>
      <c r="AN636" s="97"/>
      <c r="AO636" s="97"/>
    </row>
    <row r="637" spans="1:41" ht="16.5" customHeight="1" x14ac:dyDescent="0.3">
      <c r="A637" s="69"/>
      <c r="B637" s="69"/>
      <c r="C637" s="69"/>
      <c r="D637" s="69"/>
      <c r="E637" s="69"/>
      <c r="F637" s="69"/>
      <c r="Z637" s="97"/>
      <c r="AA637" s="97"/>
      <c r="AB637" s="97"/>
      <c r="AC637" s="97"/>
      <c r="AD637" s="97"/>
      <c r="AE637" s="97"/>
      <c r="AF637" s="97"/>
      <c r="AG637" s="97"/>
      <c r="AH637" s="97"/>
      <c r="AI637" s="97"/>
      <c r="AJ637" s="97"/>
      <c r="AK637" s="97"/>
      <c r="AL637" s="97"/>
      <c r="AM637" s="97"/>
      <c r="AN637" s="97"/>
      <c r="AO637" s="97"/>
    </row>
    <row r="638" spans="1:41" ht="16.5" customHeight="1" x14ac:dyDescent="0.3">
      <c r="A638" s="69"/>
      <c r="B638" s="69"/>
      <c r="C638" s="69"/>
      <c r="D638" s="69"/>
      <c r="E638" s="69"/>
      <c r="F638" s="69"/>
      <c r="Z638" s="97"/>
      <c r="AA638" s="97"/>
      <c r="AB638" s="97"/>
      <c r="AC638" s="97"/>
      <c r="AD638" s="97"/>
      <c r="AE638" s="97"/>
      <c r="AF638" s="97"/>
      <c r="AG638" s="97"/>
      <c r="AH638" s="97"/>
      <c r="AI638" s="97"/>
      <c r="AJ638" s="97"/>
      <c r="AK638" s="97"/>
      <c r="AL638" s="97"/>
      <c r="AM638" s="97"/>
      <c r="AN638" s="97"/>
      <c r="AO638" s="97"/>
    </row>
    <row r="639" spans="1:41" ht="16.5" customHeight="1" x14ac:dyDescent="0.3">
      <c r="A639" s="69"/>
      <c r="B639" s="69"/>
      <c r="C639" s="69"/>
      <c r="D639" s="69"/>
      <c r="E639" s="69"/>
      <c r="F639" s="69"/>
      <c r="Z639" s="97"/>
      <c r="AA639" s="97"/>
      <c r="AB639" s="97"/>
      <c r="AC639" s="97"/>
      <c r="AD639" s="97"/>
      <c r="AE639" s="97"/>
      <c r="AF639" s="97"/>
      <c r="AG639" s="97"/>
      <c r="AH639" s="97"/>
      <c r="AI639" s="97"/>
      <c r="AJ639" s="97"/>
      <c r="AK639" s="97"/>
      <c r="AL639" s="97"/>
      <c r="AM639" s="97"/>
      <c r="AN639" s="97"/>
      <c r="AO639" s="97"/>
    </row>
    <row r="640" spans="1:41" ht="16.5" customHeight="1" x14ac:dyDescent="0.3">
      <c r="A640" s="69"/>
      <c r="B640" s="69"/>
      <c r="C640" s="69"/>
      <c r="D640" s="69"/>
      <c r="E640" s="69"/>
      <c r="F640" s="69"/>
      <c r="Z640" s="97"/>
      <c r="AA640" s="97"/>
      <c r="AB640" s="97"/>
      <c r="AC640" s="97"/>
      <c r="AD640" s="97"/>
      <c r="AE640" s="97"/>
      <c r="AF640" s="97"/>
      <c r="AG640" s="97"/>
      <c r="AH640" s="97"/>
      <c r="AI640" s="97"/>
      <c r="AJ640" s="97"/>
      <c r="AK640" s="97"/>
      <c r="AL640" s="97"/>
      <c r="AM640" s="97"/>
      <c r="AN640" s="97"/>
      <c r="AO640" s="97"/>
    </row>
    <row r="641" spans="1:41" ht="16.5" customHeight="1" x14ac:dyDescent="0.3">
      <c r="A641" s="69"/>
      <c r="B641" s="69"/>
      <c r="C641" s="69"/>
      <c r="D641" s="69"/>
      <c r="E641" s="69"/>
      <c r="F641" s="69"/>
      <c r="Z641" s="97"/>
      <c r="AA641" s="97"/>
      <c r="AB641" s="97"/>
      <c r="AC641" s="97"/>
      <c r="AD641" s="97"/>
      <c r="AE641" s="97"/>
      <c r="AF641" s="97"/>
      <c r="AG641" s="97"/>
      <c r="AH641" s="97"/>
      <c r="AI641" s="97"/>
      <c r="AJ641" s="97"/>
      <c r="AK641" s="97"/>
      <c r="AL641" s="97"/>
      <c r="AM641" s="97"/>
      <c r="AN641" s="97"/>
      <c r="AO641" s="97"/>
    </row>
    <row r="642" spans="1:41" ht="16.5" customHeight="1" x14ac:dyDescent="0.3">
      <c r="A642" s="69"/>
      <c r="B642" s="69"/>
      <c r="C642" s="69"/>
      <c r="D642" s="69"/>
      <c r="E642" s="69"/>
      <c r="F642" s="69"/>
      <c r="Z642" s="97"/>
      <c r="AA642" s="97"/>
      <c r="AB642" s="97"/>
      <c r="AC642" s="97"/>
      <c r="AD642" s="97"/>
      <c r="AE642" s="97"/>
      <c r="AF642" s="97"/>
      <c r="AG642" s="97"/>
      <c r="AH642" s="97"/>
      <c r="AI642" s="97"/>
      <c r="AJ642" s="97"/>
      <c r="AK642" s="97"/>
      <c r="AL642" s="97"/>
      <c r="AM642" s="97"/>
      <c r="AN642" s="97"/>
      <c r="AO642" s="97"/>
    </row>
    <row r="643" spans="1:41" ht="16.5" customHeight="1" x14ac:dyDescent="0.3">
      <c r="A643" s="69"/>
      <c r="B643" s="69"/>
      <c r="C643" s="69"/>
      <c r="D643" s="69"/>
      <c r="E643" s="69"/>
      <c r="F643" s="69"/>
      <c r="Z643" s="97"/>
      <c r="AA643" s="97"/>
      <c r="AB643" s="97"/>
      <c r="AC643" s="97"/>
      <c r="AD643" s="97"/>
      <c r="AE643" s="97"/>
      <c r="AF643" s="97"/>
      <c r="AG643" s="97"/>
      <c r="AH643" s="97"/>
      <c r="AI643" s="97"/>
      <c r="AJ643" s="97"/>
      <c r="AK643" s="97"/>
      <c r="AL643" s="97"/>
      <c r="AM643" s="97"/>
      <c r="AN643" s="97"/>
      <c r="AO643" s="97"/>
    </row>
    <row r="644" spans="1:41" ht="16.5" customHeight="1" x14ac:dyDescent="0.3">
      <c r="A644" s="69"/>
      <c r="B644" s="69"/>
      <c r="C644" s="69"/>
      <c r="D644" s="69"/>
      <c r="E644" s="69"/>
      <c r="F644" s="69"/>
      <c r="Z644" s="97"/>
      <c r="AA644" s="97"/>
      <c r="AB644" s="97"/>
      <c r="AC644" s="97"/>
      <c r="AD644" s="97"/>
      <c r="AE644" s="97"/>
      <c r="AF644" s="97"/>
      <c r="AG644" s="97"/>
      <c r="AH644" s="97"/>
      <c r="AI644" s="97"/>
      <c r="AJ644" s="97"/>
      <c r="AK644" s="97"/>
      <c r="AL644" s="97"/>
      <c r="AM644" s="97"/>
      <c r="AN644" s="97"/>
      <c r="AO644" s="97"/>
    </row>
    <row r="645" spans="1:41" ht="16.5" customHeight="1" x14ac:dyDescent="0.3">
      <c r="A645" s="69"/>
      <c r="B645" s="69"/>
      <c r="C645" s="69"/>
      <c r="D645" s="69"/>
      <c r="E645" s="69"/>
      <c r="F645" s="69"/>
      <c r="Z645" s="97"/>
      <c r="AA645" s="97"/>
      <c r="AB645" s="97"/>
      <c r="AC645" s="97"/>
      <c r="AD645" s="97"/>
      <c r="AE645" s="97"/>
      <c r="AF645" s="97"/>
      <c r="AG645" s="97"/>
      <c r="AH645" s="97"/>
      <c r="AI645" s="97"/>
      <c r="AJ645" s="97"/>
      <c r="AK645" s="97"/>
      <c r="AL645" s="97"/>
      <c r="AM645" s="97"/>
      <c r="AN645" s="97"/>
      <c r="AO645" s="97"/>
    </row>
    <row r="646" spans="1:41" ht="16.5" customHeight="1" x14ac:dyDescent="0.3">
      <c r="A646" s="69"/>
      <c r="B646" s="69"/>
      <c r="C646" s="69"/>
      <c r="D646" s="69"/>
      <c r="E646" s="69"/>
      <c r="F646" s="69"/>
      <c r="Z646" s="97"/>
      <c r="AA646" s="97"/>
      <c r="AB646" s="97"/>
      <c r="AC646" s="97"/>
      <c r="AD646" s="97"/>
      <c r="AE646" s="97"/>
      <c r="AF646" s="97"/>
      <c r="AG646" s="97"/>
      <c r="AH646" s="97"/>
      <c r="AI646" s="97"/>
      <c r="AJ646" s="97"/>
      <c r="AK646" s="97"/>
      <c r="AL646" s="97"/>
      <c r="AM646" s="97"/>
      <c r="AN646" s="97"/>
      <c r="AO646" s="97"/>
    </row>
    <row r="647" spans="1:41" ht="16.5" customHeight="1" x14ac:dyDescent="0.3">
      <c r="A647" s="69"/>
      <c r="B647" s="69"/>
      <c r="C647" s="69"/>
      <c r="D647" s="69"/>
      <c r="E647" s="69"/>
      <c r="F647" s="69"/>
      <c r="Z647" s="97"/>
      <c r="AA647" s="97"/>
      <c r="AB647" s="97"/>
      <c r="AC647" s="97"/>
      <c r="AD647" s="97"/>
      <c r="AE647" s="97"/>
      <c r="AF647" s="97"/>
      <c r="AG647" s="97"/>
      <c r="AH647" s="97"/>
      <c r="AI647" s="97"/>
      <c r="AJ647" s="97"/>
      <c r="AK647" s="97"/>
      <c r="AL647" s="97"/>
      <c r="AM647" s="97"/>
      <c r="AN647" s="97"/>
      <c r="AO647" s="97"/>
    </row>
    <row r="648" spans="1:41" ht="16.5" customHeight="1" x14ac:dyDescent="0.3">
      <c r="A648" s="69"/>
      <c r="B648" s="69"/>
      <c r="C648" s="69"/>
      <c r="D648" s="69"/>
      <c r="E648" s="69"/>
      <c r="F648" s="69"/>
      <c r="Z648" s="97"/>
      <c r="AA648" s="97"/>
      <c r="AB648" s="97"/>
      <c r="AC648" s="97"/>
      <c r="AD648" s="97"/>
      <c r="AE648" s="97"/>
      <c r="AF648" s="97"/>
      <c r="AG648" s="97"/>
      <c r="AH648" s="97"/>
      <c r="AI648" s="97"/>
      <c r="AJ648" s="97"/>
      <c r="AK648" s="97"/>
      <c r="AL648" s="97"/>
      <c r="AM648" s="97"/>
      <c r="AN648" s="97"/>
      <c r="AO648" s="97"/>
    </row>
    <row r="649" spans="1:41" ht="16.5" customHeight="1" x14ac:dyDescent="0.3">
      <c r="A649" s="69"/>
      <c r="B649" s="69"/>
      <c r="C649" s="69"/>
      <c r="D649" s="69"/>
      <c r="E649" s="69"/>
      <c r="F649" s="69"/>
      <c r="Z649" s="97"/>
      <c r="AA649" s="97"/>
      <c r="AB649" s="97"/>
      <c r="AC649" s="97"/>
      <c r="AD649" s="97"/>
      <c r="AE649" s="97"/>
      <c r="AF649" s="97"/>
      <c r="AG649" s="97"/>
      <c r="AH649" s="97"/>
      <c r="AI649" s="97"/>
      <c r="AJ649" s="97"/>
      <c r="AK649" s="97"/>
      <c r="AL649" s="97"/>
      <c r="AM649" s="97"/>
      <c r="AN649" s="97"/>
      <c r="AO649" s="97"/>
    </row>
    <row r="650" spans="1:41" ht="16.5" customHeight="1" x14ac:dyDescent="0.3">
      <c r="A650" s="69"/>
      <c r="B650" s="69"/>
      <c r="C650" s="69"/>
      <c r="D650" s="69"/>
      <c r="E650" s="69"/>
      <c r="F650" s="69"/>
      <c r="Z650" s="97"/>
      <c r="AA650" s="97"/>
      <c r="AB650" s="97"/>
      <c r="AC650" s="97"/>
      <c r="AD650" s="97"/>
      <c r="AE650" s="97"/>
      <c r="AF650" s="97"/>
      <c r="AG650" s="97"/>
      <c r="AH650" s="97"/>
      <c r="AI650" s="97"/>
      <c r="AJ650" s="97"/>
      <c r="AK650" s="97"/>
      <c r="AL650" s="97"/>
      <c r="AM650" s="97"/>
      <c r="AN650" s="97"/>
      <c r="AO650" s="97"/>
    </row>
    <row r="651" spans="1:41" ht="16.5" customHeight="1" x14ac:dyDescent="0.3">
      <c r="A651" s="69"/>
      <c r="B651" s="69"/>
      <c r="C651" s="69"/>
      <c r="D651" s="69"/>
      <c r="E651" s="69"/>
      <c r="F651" s="69"/>
      <c r="Z651" s="97"/>
      <c r="AA651" s="97"/>
      <c r="AB651" s="97"/>
      <c r="AC651" s="97"/>
      <c r="AD651" s="97"/>
      <c r="AE651" s="97"/>
      <c r="AF651" s="97"/>
      <c r="AG651" s="97"/>
      <c r="AH651" s="97"/>
      <c r="AI651" s="97"/>
      <c r="AJ651" s="97"/>
      <c r="AK651" s="97"/>
      <c r="AL651" s="97"/>
      <c r="AM651" s="97"/>
      <c r="AN651" s="97"/>
      <c r="AO651" s="97"/>
    </row>
    <row r="652" spans="1:41" ht="16.5" customHeight="1" x14ac:dyDescent="0.3">
      <c r="A652" s="69"/>
      <c r="B652" s="69"/>
      <c r="C652" s="69"/>
      <c r="D652" s="69"/>
      <c r="E652" s="69"/>
      <c r="F652" s="69"/>
      <c r="Z652" s="97"/>
      <c r="AA652" s="97"/>
      <c r="AB652" s="97"/>
      <c r="AC652" s="97"/>
      <c r="AD652" s="97"/>
      <c r="AE652" s="97"/>
      <c r="AF652" s="97"/>
      <c r="AG652" s="97"/>
      <c r="AH652" s="97"/>
      <c r="AI652" s="97"/>
      <c r="AJ652" s="97"/>
      <c r="AK652" s="97"/>
      <c r="AL652" s="97"/>
      <c r="AM652" s="97"/>
      <c r="AN652" s="97"/>
      <c r="AO652" s="97"/>
    </row>
    <row r="653" spans="1:41" ht="16.5" customHeight="1" x14ac:dyDescent="0.3">
      <c r="A653" s="74"/>
      <c r="B653" s="74"/>
      <c r="C653" s="74"/>
      <c r="D653" s="74"/>
      <c r="E653" s="74"/>
      <c r="F653" s="74"/>
      <c r="Z653" s="97"/>
      <c r="AA653" s="97"/>
      <c r="AB653" s="97"/>
      <c r="AC653" s="97"/>
      <c r="AD653" s="97"/>
      <c r="AE653" s="97"/>
      <c r="AF653" s="97"/>
      <c r="AG653" s="97"/>
      <c r="AH653" s="97"/>
      <c r="AI653" s="97"/>
      <c r="AJ653" s="97"/>
      <c r="AK653" s="97"/>
      <c r="AL653" s="97"/>
      <c r="AM653" s="97"/>
      <c r="AN653" s="97"/>
      <c r="AO653" s="97"/>
    </row>
    <row r="654" spans="1:41" ht="16.5" customHeight="1" x14ac:dyDescent="0.3">
      <c r="A654" s="145" t="s">
        <v>8953</v>
      </c>
      <c r="B654" s="138"/>
      <c r="C654" s="48">
        <f>E654+D654+F654</f>
        <v>83748</v>
      </c>
      <c r="D654" s="47">
        <f>ROUNDDOWN(SUMIF(N607:N616,M654,D607:D616),0)</f>
        <v>83748</v>
      </c>
      <c r="E654" s="56">
        <f>ROUNDDOWN(SUMIF(N607:N616,M654,E607:E616),0)</f>
        <v>0</v>
      </c>
      <c r="F654" s="48">
        <f>ROUNDDOWN(SUMIF(N607:N616,M654,F607:F616),0)</f>
        <v>0</v>
      </c>
      <c r="M654" s="35" t="s">
        <v>6406</v>
      </c>
      <c r="Z654" s="97"/>
      <c r="AA654" s="97"/>
      <c r="AB654" s="97"/>
      <c r="AC654" s="97"/>
      <c r="AD654" s="97"/>
      <c r="AE654" s="97"/>
      <c r="AF654" s="97"/>
      <c r="AG654" s="97"/>
      <c r="AH654" s="97"/>
      <c r="AI654" s="97"/>
      <c r="AJ654" s="97"/>
      <c r="AK654" s="97"/>
      <c r="AL654" s="97"/>
      <c r="AM654" s="97"/>
      <c r="AN654" s="97"/>
      <c r="AO654" s="97"/>
    </row>
    <row r="655" spans="1:41" ht="16.5" customHeight="1" x14ac:dyDescent="0.3">
      <c r="A655" s="86" t="s">
        <v>46</v>
      </c>
      <c r="B655" s="88" t="s">
        <v>46</v>
      </c>
      <c r="C655" s="146">
        <f>C704</f>
        <v>776</v>
      </c>
      <c r="D655" s="146">
        <f>D704</f>
        <v>776</v>
      </c>
      <c r="E655" s="146">
        <f>E704</f>
        <v>0</v>
      </c>
      <c r="F655" s="146">
        <f>F704</f>
        <v>0</v>
      </c>
      <c r="G655" s="84" t="str">
        <f>HYPERLINK("#G"&amp;ROW(G675),"_x0005_`BDCOD|D03779_x0007_`POSS|"&amp;ROW(G657)&amp;"_x0007_`POSE|"&amp;ROW(G675)&amp;"_x0007_`")</f>
        <v>_x0005_`BDCOD|D03779_x0007_`POSS|657_x0007_`POSE|675_x0007_`</v>
      </c>
      <c r="Z655" s="97"/>
      <c r="AA655" s="97"/>
      <c r="AB655" s="97"/>
      <c r="AC655" s="97"/>
      <c r="AD655" s="97"/>
      <c r="AE655" s="97"/>
      <c r="AF655" s="97"/>
      <c r="AG655" s="97"/>
      <c r="AH655" s="97"/>
      <c r="AI655" s="97"/>
      <c r="AJ655" s="97"/>
      <c r="AK655" s="97"/>
      <c r="AL655" s="97"/>
      <c r="AM655" s="97"/>
      <c r="AN655" s="97"/>
      <c r="AO655" s="97"/>
    </row>
    <row r="656" spans="1:41" ht="16.5" customHeight="1" x14ac:dyDescent="0.3">
      <c r="A656" s="87"/>
      <c r="B656" s="88" t="s">
        <v>2006</v>
      </c>
      <c r="C656" s="127"/>
      <c r="D656" s="127"/>
      <c r="E656" s="127"/>
      <c r="F656" s="127"/>
      <c r="M656" s="35" t="s">
        <v>9024</v>
      </c>
      <c r="Z656" s="97"/>
      <c r="AA656" s="97"/>
      <c r="AB656" s="97"/>
      <c r="AC656" s="97"/>
      <c r="AD656" s="97"/>
      <c r="AE656" s="97"/>
      <c r="AF656" s="97"/>
      <c r="AG656" s="97"/>
      <c r="AH656" s="97"/>
      <c r="AI656" s="97"/>
      <c r="AJ656" s="97"/>
      <c r="AK656" s="97"/>
      <c r="AL656" s="97"/>
      <c r="AM656" s="97"/>
      <c r="AN656" s="97"/>
      <c r="AO656" s="97"/>
    </row>
    <row r="657" spans="1:41" ht="16.5" customHeight="1" x14ac:dyDescent="0.3">
      <c r="A657" s="59"/>
      <c r="B657" s="68" t="s">
        <v>9026</v>
      </c>
      <c r="C657" s="90"/>
      <c r="D657" s="90"/>
      <c r="E657" s="90"/>
      <c r="F657" s="90"/>
      <c r="G657" s="17" t="s">
        <v>9025</v>
      </c>
      <c r="Z657" s="97"/>
      <c r="AA657" s="97"/>
      <c r="AB657" s="97"/>
      <c r="AC657" s="97"/>
      <c r="AD657" s="97"/>
      <c r="AE657" s="97"/>
      <c r="AF657" s="97"/>
      <c r="AG657" s="97"/>
      <c r="AH657" s="97"/>
      <c r="AI657" s="97"/>
      <c r="AJ657" s="97"/>
      <c r="AK657" s="97"/>
      <c r="AL657" s="97"/>
      <c r="AM657" s="97"/>
      <c r="AN657" s="97"/>
      <c r="AO657" s="97"/>
    </row>
    <row r="658" spans="1:41" ht="16.5" customHeight="1" x14ac:dyDescent="0.3">
      <c r="A658" s="69"/>
      <c r="B658" s="69"/>
      <c r="C658" s="69"/>
      <c r="D658" s="69"/>
      <c r="E658" s="69"/>
      <c r="F658" s="69"/>
      <c r="G658" s="17" t="s">
        <v>8885</v>
      </c>
      <c r="Z658" s="97"/>
      <c r="AA658" s="97"/>
      <c r="AB658" s="97"/>
      <c r="AC658" s="97"/>
      <c r="AD658" s="97"/>
      <c r="AE658" s="97"/>
      <c r="AF658" s="97"/>
      <c r="AG658" s="97"/>
      <c r="AH658" s="97"/>
      <c r="AI658" s="97"/>
      <c r="AJ658" s="97"/>
      <c r="AK658" s="97"/>
      <c r="AL658" s="97"/>
      <c r="AM658" s="97"/>
      <c r="AN658" s="97"/>
      <c r="AO658" s="97"/>
    </row>
    <row r="659" spans="1:41" ht="16.5" customHeight="1" x14ac:dyDescent="0.3">
      <c r="A659" s="59"/>
      <c r="B659" s="68" t="str">
        <f>" Q1 = "&amp;Z659&amp;" 인 /"&amp;AB659&amp;" hr/일 = "&amp;AD659&amp;" hr/일 "</f>
        <v xml:space="preserve"> Q1 = 1 인 /8 hr/일 = 0.125 hr/일 </v>
      </c>
      <c r="C659" s="69"/>
      <c r="D659" s="69"/>
      <c r="E659" s="69"/>
      <c r="F659" s="69"/>
      <c r="G659" s="17" t="s">
        <v>9027</v>
      </c>
      <c r="Z659" s="99">
        <v>1</v>
      </c>
      <c r="AA659" s="35" t="s">
        <v>8905</v>
      </c>
      <c r="AB659" s="99">
        <v>8</v>
      </c>
      <c r="AC659" s="35" t="s">
        <v>8892</v>
      </c>
      <c r="AD659" s="100" t="str">
        <f>TEXT(ROUND(Z659/AB659,3),"#,0.000")</f>
        <v>0.125</v>
      </c>
      <c r="AE659" s="97"/>
      <c r="AF659" s="97"/>
      <c r="AG659" s="97"/>
      <c r="AH659" s="97"/>
      <c r="AI659" s="97"/>
      <c r="AJ659" s="97"/>
      <c r="AK659" s="97"/>
      <c r="AL659" s="97"/>
      <c r="AM659" s="97"/>
      <c r="AN659" s="97"/>
      <c r="AO659" s="97"/>
    </row>
    <row r="660" spans="1:41" ht="16.5" customHeight="1" x14ac:dyDescent="0.3">
      <c r="A660" s="69"/>
      <c r="B660" s="69"/>
      <c r="C660" s="69"/>
      <c r="D660" s="69"/>
      <c r="E660" s="69"/>
      <c r="F660" s="69"/>
      <c r="G660" s="17" t="s">
        <v>8885</v>
      </c>
      <c r="Z660" s="97"/>
      <c r="AA660" s="97"/>
      <c r="AB660" s="97"/>
      <c r="AC660" s="97"/>
      <c r="AD660" s="97"/>
      <c r="AE660" s="97"/>
      <c r="AF660" s="97"/>
      <c r="AG660" s="97"/>
      <c r="AH660" s="97"/>
      <c r="AI660" s="97"/>
      <c r="AJ660" s="97"/>
      <c r="AK660" s="97"/>
      <c r="AL660" s="97"/>
      <c r="AM660" s="97"/>
      <c r="AN660" s="97"/>
      <c r="AO660" s="97"/>
    </row>
    <row r="661" spans="1:41" ht="16.5" customHeight="1" x14ac:dyDescent="0.3">
      <c r="A661" s="59"/>
      <c r="B661" s="68" t="str">
        <f>" Q2 = "&amp;Z661&amp;" 인 /"&amp;AB661&amp;" hr/일 = "&amp;AD661&amp;" hr/일 "</f>
        <v xml:space="preserve"> Q2 = 5 인 /8 hr/일 = 0.625 hr/일 </v>
      </c>
      <c r="C661" s="69"/>
      <c r="D661" s="69"/>
      <c r="E661" s="69"/>
      <c r="F661" s="69"/>
      <c r="G661" s="17" t="s">
        <v>9028</v>
      </c>
      <c r="Z661" s="99">
        <v>5</v>
      </c>
      <c r="AA661" s="35" t="s">
        <v>8905</v>
      </c>
      <c r="AB661" s="99">
        <v>8</v>
      </c>
      <c r="AC661" s="35" t="s">
        <v>8892</v>
      </c>
      <c r="AD661" s="100" t="str">
        <f>TEXT(ROUND(Z661/AB661,3),"#,0.000")</f>
        <v>0.625</v>
      </c>
      <c r="AE661" s="97"/>
      <c r="AF661" s="97"/>
      <c r="AG661" s="97"/>
      <c r="AH661" s="97"/>
      <c r="AI661" s="97"/>
      <c r="AJ661" s="97"/>
      <c r="AK661" s="97"/>
      <c r="AL661" s="97"/>
      <c r="AM661" s="97"/>
      <c r="AN661" s="97"/>
      <c r="AO661" s="97"/>
    </row>
    <row r="662" spans="1:41" ht="16.5" customHeight="1" x14ac:dyDescent="0.3">
      <c r="A662" s="69"/>
      <c r="B662" s="69"/>
      <c r="C662" s="69"/>
      <c r="D662" s="69"/>
      <c r="E662" s="69"/>
      <c r="F662" s="69"/>
      <c r="G662" s="17" t="s">
        <v>8885</v>
      </c>
      <c r="Z662" s="97"/>
      <c r="AA662" s="97"/>
      <c r="AB662" s="97"/>
      <c r="AC662" s="97"/>
      <c r="AD662" s="97"/>
      <c r="AE662" s="97"/>
      <c r="AF662" s="97"/>
      <c r="AG662" s="97"/>
      <c r="AH662" s="97"/>
      <c r="AI662" s="97"/>
      <c r="AJ662" s="97"/>
      <c r="AK662" s="97"/>
      <c r="AL662" s="97"/>
      <c r="AM662" s="97"/>
      <c r="AN662" s="97"/>
      <c r="AO662" s="97"/>
    </row>
    <row r="663" spans="1:41" ht="16.5" customHeight="1" x14ac:dyDescent="0.3">
      <c r="A663" s="59"/>
      <c r="B663" s="68" t="str">
        <f>" Q = "&amp;Z663&amp;" ㎡/일 /"&amp;AB663&amp;" hr/일 = "&amp;AD663&amp;" ㎡/hr "</f>
        <v xml:space="preserve"> Q = 1400 ㎡/일 /8 hr/일 = 175.000 ㎡/hr </v>
      </c>
      <c r="C663" s="69"/>
      <c r="D663" s="69"/>
      <c r="E663" s="69"/>
      <c r="F663" s="69"/>
      <c r="G663" s="17" t="s">
        <v>9029</v>
      </c>
      <c r="Z663" s="99">
        <v>1400</v>
      </c>
      <c r="AA663" s="35" t="s">
        <v>8905</v>
      </c>
      <c r="AB663" s="99">
        <v>8</v>
      </c>
      <c r="AC663" s="35" t="s">
        <v>8892</v>
      </c>
      <c r="AD663" s="100" t="str">
        <f>TEXT(ROUND(Z663/AB663,3),"#,0.000")</f>
        <v>175.000</v>
      </c>
      <c r="AE663" s="97"/>
      <c r="AF663" s="97"/>
      <c r="AG663" s="97"/>
      <c r="AH663" s="97"/>
      <c r="AI663" s="97"/>
      <c r="AJ663" s="97"/>
      <c r="AK663" s="97"/>
      <c r="AL663" s="97"/>
      <c r="AM663" s="97"/>
      <c r="AN663" s="97"/>
      <c r="AO663" s="97"/>
    </row>
    <row r="664" spans="1:41" ht="16.5" customHeight="1" x14ac:dyDescent="0.3">
      <c r="A664" s="69"/>
      <c r="B664" s="69"/>
      <c r="C664" s="69"/>
      <c r="D664" s="69"/>
      <c r="E664" s="69"/>
      <c r="F664" s="69"/>
      <c r="G664" s="17" t="s">
        <v>8885</v>
      </c>
      <c r="Z664" s="97"/>
      <c r="AA664" s="97"/>
      <c r="AB664" s="97"/>
      <c r="AC664" s="97"/>
      <c r="AD664" s="97"/>
      <c r="AE664" s="97"/>
      <c r="AF664" s="97"/>
      <c r="AG664" s="97"/>
      <c r="AH664" s="97"/>
      <c r="AI664" s="97"/>
      <c r="AJ664" s="97"/>
      <c r="AK664" s="97"/>
      <c r="AL664" s="97"/>
      <c r="AM664" s="97"/>
      <c r="AN664" s="97"/>
      <c r="AO664" s="97"/>
    </row>
    <row r="665" spans="1:41" ht="16.5" customHeight="1" x14ac:dyDescent="0.3">
      <c r="A665" s="69"/>
      <c r="B665" s="69"/>
      <c r="C665" s="69"/>
      <c r="D665" s="69"/>
      <c r="E665" s="69"/>
      <c r="F665" s="69"/>
      <c r="G665" s="17" t="s">
        <v>8885</v>
      </c>
      <c r="Z665" s="97"/>
      <c r="AA665" s="97"/>
      <c r="AB665" s="97"/>
      <c r="AC665" s="97"/>
      <c r="AD665" s="97"/>
      <c r="AE665" s="97"/>
      <c r="AF665" s="97"/>
      <c r="AG665" s="97"/>
      <c r="AH665" s="97"/>
      <c r="AI665" s="97"/>
      <c r="AJ665" s="97"/>
      <c r="AK665" s="97"/>
      <c r="AL665" s="97"/>
      <c r="AM665" s="97"/>
      <c r="AN665" s="97"/>
      <c r="AO665" s="97"/>
    </row>
    <row r="666" spans="1:41" ht="16.5" customHeight="1" x14ac:dyDescent="0.3">
      <c r="A666" s="59"/>
      <c r="B666" s="68" t="s">
        <v>9031</v>
      </c>
      <c r="C666" s="69"/>
      <c r="D666" s="69"/>
      <c r="E666" s="69"/>
      <c r="F666" s="69"/>
      <c r="G666" s="17" t="s">
        <v>9030</v>
      </c>
      <c r="Z666" s="97"/>
      <c r="AA666" s="97"/>
      <c r="AB666" s="97"/>
      <c r="AC666" s="97"/>
      <c r="AD666" s="97"/>
      <c r="AE666" s="97"/>
      <c r="AF666" s="97"/>
      <c r="AG666" s="97"/>
      <c r="AH666" s="97"/>
      <c r="AI666" s="97"/>
      <c r="AJ666" s="97"/>
      <c r="AK666" s="97"/>
      <c r="AL666" s="97"/>
      <c r="AM666" s="97"/>
      <c r="AN666" s="97"/>
      <c r="AO666" s="97"/>
    </row>
    <row r="667" spans="1:41" ht="16.5" customHeight="1" x14ac:dyDescent="0.3">
      <c r="A667" s="69"/>
      <c r="B667" s="69"/>
      <c r="C667" s="69"/>
      <c r="D667" s="69"/>
      <c r="E667" s="69"/>
      <c r="F667" s="69"/>
      <c r="G667" s="17" t="s">
        <v>8885</v>
      </c>
      <c r="Z667" s="97"/>
      <c r="AA667" s="97"/>
      <c r="AB667" s="97"/>
      <c r="AC667" s="97"/>
      <c r="AD667" s="97"/>
      <c r="AE667" s="97"/>
      <c r="AF667" s="97"/>
      <c r="AG667" s="97"/>
      <c r="AH667" s="97"/>
      <c r="AI667" s="97"/>
      <c r="AJ667" s="97"/>
      <c r="AK667" s="97"/>
      <c r="AL667" s="97"/>
      <c r="AM667" s="97"/>
      <c r="AN667" s="97"/>
      <c r="AO667" s="97"/>
    </row>
    <row r="668" spans="1:41" ht="16.5" customHeight="1" x14ac:dyDescent="0.3">
      <c r="A668" s="59" t="s">
        <v>8946</v>
      </c>
      <c r="B668" s="89" t="str">
        <f>"  특별인부 "&amp;TEXT(I668,"#,##0"&amp;IF(I668&lt;&gt;INT(I668),".###",""))&amp;"*Q1/Q = "&amp;TEXT(C668,"#,##0.0")&amp;""</f>
        <v xml:space="preserve">  특별인부 226,122*Q1/Q = 161.5</v>
      </c>
      <c r="C668" s="91">
        <f>E668+D668+F668</f>
        <v>161.5</v>
      </c>
      <c r="D668" s="91">
        <f>IF(H668=0,0,ROUNDDOWN(J668*H668,1))</f>
        <v>161.5</v>
      </c>
      <c r="E668" s="91">
        <f>IF(H668=0,0,ROUNDDOWN(K668*H668,1))</f>
        <v>0</v>
      </c>
      <c r="F668" s="91">
        <f>IF(H668=0,0,ROUNDDOWN(L668*H668,1))</f>
        <v>0</v>
      </c>
      <c r="G668" s="17" t="s">
        <v>9032</v>
      </c>
      <c r="H668" s="94">
        <f>ROUNDUP(AE668,14-LEN(ABS(INT(AE668))))</f>
        <v>7.1428571429999995E-4</v>
      </c>
      <c r="I668" s="95">
        <f>K668+J668+L668</f>
        <v>226122</v>
      </c>
      <c r="J668" s="39">
        <f>노무비목록표!E20</f>
        <v>226122</v>
      </c>
      <c r="M668" s="35" t="s">
        <v>8454</v>
      </c>
      <c r="N668" s="35" t="s">
        <v>8915</v>
      </c>
      <c r="X668" s="96" t="str">
        <f>노무비목록표!B20&amp;" / "&amp;노무비목록표!C20</f>
        <v xml:space="preserve">특별인부 / </v>
      </c>
      <c r="Y668" s="3" t="str">
        <f ca="1">HYPERLINK("#"&amp;노무비목록표!G2&amp;"!A"&amp;ROW(노무비목록표!A20),"노무17 →")</f>
        <v>노무17 →</v>
      </c>
      <c r="Z668" s="35" t="s">
        <v>8947</v>
      </c>
      <c r="AA668" s="100" t="str">
        <f>AD659</f>
        <v>0.125</v>
      </c>
      <c r="AB668" s="35" t="s">
        <v>8905</v>
      </c>
      <c r="AC668" s="100" t="str">
        <f>AD663</f>
        <v>175.000</v>
      </c>
      <c r="AD668" s="35" t="s">
        <v>8892</v>
      </c>
      <c r="AE668" s="100">
        <f>1*AD659/AD663</f>
        <v>7.1428571428571429E-4</v>
      </c>
      <c r="AF668" s="97"/>
      <c r="AG668" s="97"/>
      <c r="AH668" s="97"/>
      <c r="AI668" s="97"/>
      <c r="AJ668" s="97"/>
      <c r="AK668" s="97"/>
      <c r="AL668" s="97"/>
      <c r="AM668" s="97"/>
      <c r="AN668" s="97"/>
      <c r="AO668" s="97"/>
    </row>
    <row r="669" spans="1:41" ht="16.5" customHeight="1" x14ac:dyDescent="0.3">
      <c r="A669" s="69"/>
      <c r="B669" s="69"/>
      <c r="C669" s="69"/>
      <c r="D669" s="69"/>
      <c r="E669" s="69"/>
      <c r="F669" s="69"/>
      <c r="G669" s="17" t="s">
        <v>8885</v>
      </c>
      <c r="Z669" s="97"/>
      <c r="AA669" s="97"/>
      <c r="AB669" s="97"/>
      <c r="AC669" s="97"/>
      <c r="AD669" s="97"/>
      <c r="AE669" s="97"/>
      <c r="AF669" s="97"/>
      <c r="AG669" s="97"/>
      <c r="AH669" s="97"/>
      <c r="AI669" s="97"/>
      <c r="AJ669" s="97"/>
      <c r="AK669" s="97"/>
      <c r="AL669" s="97"/>
      <c r="AM669" s="97"/>
      <c r="AN669" s="97"/>
      <c r="AO669" s="97"/>
    </row>
    <row r="670" spans="1:41" ht="16.5" customHeight="1" x14ac:dyDescent="0.3">
      <c r="A670" s="59" t="s">
        <v>8949</v>
      </c>
      <c r="B670" s="89" t="str">
        <f>"  인    부 "&amp;TEXT(I670,"#,##0"&amp;IF(I670&lt;&gt;INT(I670),".###",""))&amp;" *Q2/Q= "&amp;TEXT(C670,"#,##0.0")&amp;""</f>
        <v xml:space="preserve">  인    부 172,068 *Q2/Q= 614.5</v>
      </c>
      <c r="C670" s="91">
        <f>E670+D670+F670</f>
        <v>614.5</v>
      </c>
      <c r="D670" s="91">
        <f>IF(H670=0,0,ROUNDDOWN(J670*H670,1))</f>
        <v>614.5</v>
      </c>
      <c r="E670" s="91">
        <f>IF(H670=0,0,ROUNDDOWN(K670*H670,1))</f>
        <v>0</v>
      </c>
      <c r="F670" s="91">
        <f>IF(H670=0,0,ROUNDDOWN(L670*H670,1))</f>
        <v>0</v>
      </c>
      <c r="G670" s="17" t="s">
        <v>9033</v>
      </c>
      <c r="H670" s="94">
        <f>ROUNDUP(AE670,14-LEN(ABS(INT(AE670))))</f>
        <v>3.5714285714999999E-3</v>
      </c>
      <c r="I670" s="95">
        <f>K670+J670+L670</f>
        <v>172068</v>
      </c>
      <c r="J670" s="39">
        <f>노무비목록표!E12</f>
        <v>172068</v>
      </c>
      <c r="M670" s="35" t="s">
        <v>8261</v>
      </c>
      <c r="N670" s="35" t="s">
        <v>8915</v>
      </c>
      <c r="X670" s="96" t="str">
        <f>노무비목록표!B12&amp;" / "&amp;노무비목록표!C12</f>
        <v xml:space="preserve">보통인부 / </v>
      </c>
      <c r="Y670" s="3" t="str">
        <f ca="1">HYPERLINK("#"&amp;노무비목록표!G2&amp;"!A"&amp;ROW(노무비목록표!A12),"노무9 →")</f>
        <v>노무9 →</v>
      </c>
      <c r="Z670" s="35" t="s">
        <v>8947</v>
      </c>
      <c r="AA670" s="100" t="str">
        <f>AD661</f>
        <v>0.625</v>
      </c>
      <c r="AB670" s="35" t="s">
        <v>8905</v>
      </c>
      <c r="AC670" s="100" t="str">
        <f>AD663</f>
        <v>175.000</v>
      </c>
      <c r="AD670" s="35" t="s">
        <v>8892</v>
      </c>
      <c r="AE670" s="100">
        <f>1*AD661/AD663</f>
        <v>3.5714285714285713E-3</v>
      </c>
      <c r="AF670" s="97"/>
      <c r="AG670" s="97"/>
      <c r="AH670" s="97"/>
      <c r="AI670" s="97"/>
      <c r="AJ670" s="97"/>
      <c r="AK670" s="97"/>
      <c r="AL670" s="97"/>
      <c r="AM670" s="97"/>
      <c r="AN670" s="97"/>
      <c r="AO670" s="97"/>
    </row>
    <row r="671" spans="1:41" ht="16.5" customHeight="1" x14ac:dyDescent="0.3">
      <c r="A671" s="69"/>
      <c r="B671" s="69"/>
      <c r="C671" s="69"/>
      <c r="D671" s="69"/>
      <c r="E671" s="69"/>
      <c r="F671" s="69"/>
      <c r="G671" s="17" t="s">
        <v>8885</v>
      </c>
      <c r="Z671" s="97"/>
      <c r="AA671" s="97"/>
      <c r="AB671" s="97"/>
      <c r="AC671" s="97"/>
      <c r="AD671" s="97"/>
      <c r="AE671" s="97"/>
      <c r="AF671" s="97"/>
      <c r="AG671" s="97"/>
      <c r="AH671" s="97"/>
      <c r="AI671" s="97"/>
      <c r="AJ671" s="97"/>
      <c r="AK671" s="97"/>
      <c r="AL671" s="97"/>
      <c r="AM671" s="97"/>
      <c r="AN671" s="97"/>
      <c r="AO671" s="97"/>
    </row>
    <row r="672" spans="1:41" ht="16.5" customHeight="1" x14ac:dyDescent="0.3">
      <c r="A672" s="59"/>
      <c r="B672" s="68" t="s">
        <v>8914</v>
      </c>
      <c r="C672" s="92">
        <f>E672+D672+F672</f>
        <v>776</v>
      </c>
      <c r="D672" s="92">
        <f>SUMIF(N657:N671,M672,D657:D671)</f>
        <v>776</v>
      </c>
      <c r="E672" s="92">
        <f>SUMIF(N657:N671,M672,E657:E671)</f>
        <v>0</v>
      </c>
      <c r="F672" s="92">
        <f>SUMIF(N657:N671,M672,F657:F671)</f>
        <v>0</v>
      </c>
      <c r="G672" s="17" t="s">
        <v>8927</v>
      </c>
      <c r="M672" s="35" t="s">
        <v>8915</v>
      </c>
      <c r="N672" s="35" t="s">
        <v>8952</v>
      </c>
      <c r="Z672" s="97"/>
      <c r="AA672" s="97"/>
      <c r="AB672" s="97"/>
      <c r="AC672" s="97"/>
      <c r="AD672" s="97"/>
      <c r="AE672" s="97"/>
      <c r="AF672" s="97"/>
      <c r="AG672" s="97"/>
      <c r="AH672" s="97"/>
      <c r="AI672" s="97"/>
      <c r="AJ672" s="97"/>
      <c r="AK672" s="97"/>
      <c r="AL672" s="97"/>
      <c r="AM672" s="97"/>
      <c r="AN672" s="97"/>
      <c r="AO672" s="97"/>
    </row>
    <row r="673" spans="1:41" ht="16.5" customHeight="1" x14ac:dyDescent="0.3">
      <c r="A673" s="69"/>
      <c r="B673" s="69"/>
      <c r="C673" s="90"/>
      <c r="D673" s="90"/>
      <c r="E673" s="90"/>
      <c r="F673" s="90"/>
      <c r="G673" s="17" t="s">
        <v>8885</v>
      </c>
      <c r="Z673" s="97"/>
      <c r="AA673" s="97"/>
      <c r="AB673" s="97"/>
      <c r="AC673" s="97"/>
      <c r="AD673" s="97"/>
      <c r="AE673" s="97"/>
      <c r="AF673" s="97"/>
      <c r="AG673" s="97"/>
      <c r="AH673" s="97"/>
      <c r="AI673" s="97"/>
      <c r="AJ673" s="97"/>
      <c r="AK673" s="97"/>
      <c r="AL673" s="97"/>
      <c r="AM673" s="97"/>
      <c r="AN673" s="97"/>
      <c r="AO673" s="97"/>
    </row>
    <row r="674" spans="1:41" ht="16.5" customHeight="1" x14ac:dyDescent="0.3">
      <c r="A674" s="59"/>
      <c r="B674" s="68" t="s">
        <v>8951</v>
      </c>
      <c r="C674" s="92">
        <f>E674+D674+F674</f>
        <v>776</v>
      </c>
      <c r="D674" s="92">
        <f>SUMIF(N657:N673,M674,D657:D673)</f>
        <v>776</v>
      </c>
      <c r="E674" s="92">
        <f>SUMIF(N657:N673,M674,E657:E673)</f>
        <v>0</v>
      </c>
      <c r="F674" s="92">
        <f>SUMIF(N657:N673,M674,F657:F673)</f>
        <v>0</v>
      </c>
      <c r="G674" s="17" t="s">
        <v>8950</v>
      </c>
      <c r="M674" s="35" t="s">
        <v>8952</v>
      </c>
      <c r="N674" s="35" t="s">
        <v>6406</v>
      </c>
      <c r="Z674" s="97"/>
      <c r="AA674" s="97"/>
      <c r="AB674" s="97"/>
      <c r="AC674" s="97"/>
      <c r="AD674" s="97"/>
      <c r="AE674" s="97"/>
      <c r="AF674" s="97"/>
      <c r="AG674" s="97"/>
      <c r="AH674" s="97"/>
      <c r="AI674" s="97"/>
      <c r="AJ674" s="97"/>
      <c r="AK674" s="97"/>
      <c r="AL674" s="97"/>
      <c r="AM674" s="97"/>
      <c r="AN674" s="97"/>
      <c r="AO674" s="97"/>
    </row>
    <row r="675" spans="1:41" ht="16.5" customHeight="1" x14ac:dyDescent="0.3">
      <c r="A675" s="69"/>
      <c r="B675" s="69"/>
      <c r="C675" s="90"/>
      <c r="D675" s="90"/>
      <c r="E675" s="90"/>
      <c r="F675" s="90"/>
      <c r="G675" s="17" t="s">
        <v>9034</v>
      </c>
      <c r="Z675" s="97"/>
      <c r="AA675" s="97"/>
      <c r="AB675" s="97"/>
      <c r="AC675" s="97"/>
      <c r="AD675" s="97"/>
      <c r="AE675" s="97"/>
      <c r="AF675" s="97"/>
      <c r="AG675" s="97"/>
      <c r="AH675" s="97"/>
      <c r="AI675" s="97"/>
      <c r="AJ675" s="97"/>
      <c r="AK675" s="97"/>
      <c r="AL675" s="97"/>
      <c r="AM675" s="97"/>
      <c r="AN675" s="97"/>
      <c r="AO675" s="97"/>
    </row>
    <row r="676" spans="1:41" ht="16.5" customHeight="1" x14ac:dyDescent="0.3">
      <c r="A676" s="69"/>
      <c r="B676" s="69"/>
      <c r="C676" s="69"/>
      <c r="D676" s="69"/>
      <c r="E676" s="69"/>
      <c r="F676" s="69"/>
      <c r="Z676" s="97"/>
      <c r="AA676" s="97"/>
      <c r="AB676" s="97"/>
      <c r="AC676" s="97"/>
      <c r="AD676" s="97"/>
      <c r="AE676" s="97"/>
      <c r="AF676" s="97"/>
      <c r="AG676" s="97"/>
      <c r="AH676" s="97"/>
      <c r="AI676" s="97"/>
      <c r="AJ676" s="97"/>
      <c r="AK676" s="97"/>
      <c r="AL676" s="97"/>
      <c r="AM676" s="97"/>
      <c r="AN676" s="97"/>
      <c r="AO676" s="97"/>
    </row>
    <row r="677" spans="1:41" ht="16.5" customHeight="1" x14ac:dyDescent="0.3">
      <c r="A677" s="69"/>
      <c r="B677" s="69"/>
      <c r="C677" s="69"/>
      <c r="D677" s="69"/>
      <c r="E677" s="69"/>
      <c r="F677" s="69"/>
      <c r="Z677" s="97"/>
      <c r="AA677" s="97"/>
      <c r="AB677" s="97"/>
      <c r="AC677" s="97"/>
      <c r="AD677" s="97"/>
      <c r="AE677" s="97"/>
      <c r="AF677" s="97"/>
      <c r="AG677" s="97"/>
      <c r="AH677" s="97"/>
      <c r="AI677" s="97"/>
      <c r="AJ677" s="97"/>
      <c r="AK677" s="97"/>
      <c r="AL677" s="97"/>
      <c r="AM677" s="97"/>
      <c r="AN677" s="97"/>
      <c r="AO677" s="97"/>
    </row>
    <row r="678" spans="1:41" ht="16.5" customHeight="1" x14ac:dyDescent="0.3">
      <c r="A678" s="69"/>
      <c r="B678" s="69"/>
      <c r="C678" s="69"/>
      <c r="D678" s="69"/>
      <c r="E678" s="69"/>
      <c r="F678" s="69"/>
      <c r="Z678" s="97"/>
      <c r="AA678" s="97"/>
      <c r="AB678" s="97"/>
      <c r="AC678" s="97"/>
      <c r="AD678" s="97"/>
      <c r="AE678" s="97"/>
      <c r="AF678" s="97"/>
      <c r="AG678" s="97"/>
      <c r="AH678" s="97"/>
      <c r="AI678" s="97"/>
      <c r="AJ678" s="97"/>
      <c r="AK678" s="97"/>
      <c r="AL678" s="97"/>
      <c r="AM678" s="97"/>
      <c r="AN678" s="97"/>
      <c r="AO678" s="97"/>
    </row>
    <row r="679" spans="1:41" ht="16.5" customHeight="1" x14ac:dyDescent="0.3">
      <c r="A679" s="69"/>
      <c r="B679" s="69"/>
      <c r="C679" s="69"/>
      <c r="D679" s="69"/>
      <c r="E679" s="69"/>
      <c r="F679" s="69"/>
      <c r="Z679" s="97"/>
      <c r="AA679" s="97"/>
      <c r="AB679" s="97"/>
      <c r="AC679" s="97"/>
      <c r="AD679" s="97"/>
      <c r="AE679" s="97"/>
      <c r="AF679" s="97"/>
      <c r="AG679" s="97"/>
      <c r="AH679" s="97"/>
      <c r="AI679" s="97"/>
      <c r="AJ679" s="97"/>
      <c r="AK679" s="97"/>
      <c r="AL679" s="97"/>
      <c r="AM679" s="97"/>
      <c r="AN679" s="97"/>
      <c r="AO679" s="97"/>
    </row>
    <row r="680" spans="1:41" ht="16.5" customHeight="1" x14ac:dyDescent="0.3">
      <c r="A680" s="69"/>
      <c r="B680" s="69"/>
      <c r="C680" s="69"/>
      <c r="D680" s="69"/>
      <c r="E680" s="69"/>
      <c r="F680" s="69"/>
      <c r="Z680" s="97"/>
      <c r="AA680" s="97"/>
      <c r="AB680" s="97"/>
      <c r="AC680" s="97"/>
      <c r="AD680" s="97"/>
      <c r="AE680" s="97"/>
      <c r="AF680" s="97"/>
      <c r="AG680" s="97"/>
      <c r="AH680" s="97"/>
      <c r="AI680" s="97"/>
      <c r="AJ680" s="97"/>
      <c r="AK680" s="97"/>
      <c r="AL680" s="97"/>
      <c r="AM680" s="97"/>
      <c r="AN680" s="97"/>
      <c r="AO680" s="97"/>
    </row>
    <row r="681" spans="1:41" ht="16.5" customHeight="1" x14ac:dyDescent="0.3">
      <c r="A681" s="69"/>
      <c r="B681" s="69"/>
      <c r="C681" s="69"/>
      <c r="D681" s="69"/>
      <c r="E681" s="69"/>
      <c r="F681" s="69"/>
      <c r="Z681" s="97"/>
      <c r="AA681" s="97"/>
      <c r="AB681" s="97"/>
      <c r="AC681" s="97"/>
      <c r="AD681" s="97"/>
      <c r="AE681" s="97"/>
      <c r="AF681" s="97"/>
      <c r="AG681" s="97"/>
      <c r="AH681" s="97"/>
      <c r="AI681" s="97"/>
      <c r="AJ681" s="97"/>
      <c r="AK681" s="97"/>
      <c r="AL681" s="97"/>
      <c r="AM681" s="97"/>
      <c r="AN681" s="97"/>
      <c r="AO681" s="97"/>
    </row>
    <row r="682" spans="1:41" ht="16.5" customHeight="1" x14ac:dyDescent="0.3">
      <c r="A682" s="69"/>
      <c r="B682" s="69"/>
      <c r="C682" s="69"/>
      <c r="D682" s="69"/>
      <c r="E682" s="69"/>
      <c r="F682" s="69"/>
      <c r="Z682" s="97"/>
      <c r="AA682" s="97"/>
      <c r="AB682" s="97"/>
      <c r="AC682" s="97"/>
      <c r="AD682" s="97"/>
      <c r="AE682" s="97"/>
      <c r="AF682" s="97"/>
      <c r="AG682" s="97"/>
      <c r="AH682" s="97"/>
      <c r="AI682" s="97"/>
      <c r="AJ682" s="97"/>
      <c r="AK682" s="97"/>
      <c r="AL682" s="97"/>
      <c r="AM682" s="97"/>
      <c r="AN682" s="97"/>
      <c r="AO682" s="97"/>
    </row>
    <row r="683" spans="1:41" ht="16.5" customHeight="1" x14ac:dyDescent="0.3">
      <c r="A683" s="69"/>
      <c r="B683" s="69"/>
      <c r="C683" s="69"/>
      <c r="D683" s="69"/>
      <c r="E683" s="69"/>
      <c r="F683" s="69"/>
      <c r="Z683" s="97"/>
      <c r="AA683" s="97"/>
      <c r="AB683" s="97"/>
      <c r="AC683" s="97"/>
      <c r="AD683" s="97"/>
      <c r="AE683" s="97"/>
      <c r="AF683" s="97"/>
      <c r="AG683" s="97"/>
      <c r="AH683" s="97"/>
      <c r="AI683" s="97"/>
      <c r="AJ683" s="97"/>
      <c r="AK683" s="97"/>
      <c r="AL683" s="97"/>
      <c r="AM683" s="97"/>
      <c r="AN683" s="97"/>
      <c r="AO683" s="97"/>
    </row>
    <row r="684" spans="1:41" ht="16.5" customHeight="1" x14ac:dyDescent="0.3">
      <c r="A684" s="69"/>
      <c r="B684" s="69"/>
      <c r="C684" s="69"/>
      <c r="D684" s="69"/>
      <c r="E684" s="69"/>
      <c r="F684" s="69"/>
      <c r="Z684" s="97"/>
      <c r="AA684" s="97"/>
      <c r="AB684" s="97"/>
      <c r="AC684" s="97"/>
      <c r="AD684" s="97"/>
      <c r="AE684" s="97"/>
      <c r="AF684" s="97"/>
      <c r="AG684" s="97"/>
      <c r="AH684" s="97"/>
      <c r="AI684" s="97"/>
      <c r="AJ684" s="97"/>
      <c r="AK684" s="97"/>
      <c r="AL684" s="97"/>
      <c r="AM684" s="97"/>
      <c r="AN684" s="97"/>
      <c r="AO684" s="97"/>
    </row>
    <row r="685" spans="1:41" ht="16.5" customHeight="1" x14ac:dyDescent="0.3">
      <c r="A685" s="69"/>
      <c r="B685" s="69"/>
      <c r="C685" s="69"/>
      <c r="D685" s="69"/>
      <c r="E685" s="69"/>
      <c r="F685" s="69"/>
      <c r="Z685" s="97"/>
      <c r="AA685" s="97"/>
      <c r="AB685" s="97"/>
      <c r="AC685" s="97"/>
      <c r="AD685" s="97"/>
      <c r="AE685" s="97"/>
      <c r="AF685" s="97"/>
      <c r="AG685" s="97"/>
      <c r="AH685" s="97"/>
      <c r="AI685" s="97"/>
      <c r="AJ685" s="97"/>
      <c r="AK685" s="97"/>
      <c r="AL685" s="97"/>
      <c r="AM685" s="97"/>
      <c r="AN685" s="97"/>
      <c r="AO685" s="97"/>
    </row>
    <row r="686" spans="1:41" ht="16.5" customHeight="1" x14ac:dyDescent="0.3">
      <c r="A686" s="69"/>
      <c r="B686" s="69"/>
      <c r="C686" s="69"/>
      <c r="D686" s="69"/>
      <c r="E686" s="69"/>
      <c r="F686" s="69"/>
      <c r="Z686" s="97"/>
      <c r="AA686" s="97"/>
      <c r="AB686" s="97"/>
      <c r="AC686" s="97"/>
      <c r="AD686" s="97"/>
      <c r="AE686" s="97"/>
      <c r="AF686" s="97"/>
      <c r="AG686" s="97"/>
      <c r="AH686" s="97"/>
      <c r="AI686" s="97"/>
      <c r="AJ686" s="97"/>
      <c r="AK686" s="97"/>
      <c r="AL686" s="97"/>
      <c r="AM686" s="97"/>
      <c r="AN686" s="97"/>
      <c r="AO686" s="97"/>
    </row>
    <row r="687" spans="1:41" ht="16.5" customHeight="1" x14ac:dyDescent="0.3">
      <c r="A687" s="69"/>
      <c r="B687" s="69"/>
      <c r="C687" s="69"/>
      <c r="D687" s="69"/>
      <c r="E687" s="69"/>
      <c r="F687" s="69"/>
      <c r="Z687" s="97"/>
      <c r="AA687" s="97"/>
      <c r="AB687" s="97"/>
      <c r="AC687" s="97"/>
      <c r="AD687" s="97"/>
      <c r="AE687" s="97"/>
      <c r="AF687" s="97"/>
      <c r="AG687" s="97"/>
      <c r="AH687" s="97"/>
      <c r="AI687" s="97"/>
      <c r="AJ687" s="97"/>
      <c r="AK687" s="97"/>
      <c r="AL687" s="97"/>
      <c r="AM687" s="97"/>
      <c r="AN687" s="97"/>
      <c r="AO687" s="97"/>
    </row>
    <row r="688" spans="1:41" ht="16.5" customHeight="1" x14ac:dyDescent="0.3">
      <c r="A688" s="69"/>
      <c r="B688" s="69"/>
      <c r="C688" s="69"/>
      <c r="D688" s="69"/>
      <c r="E688" s="69"/>
      <c r="F688" s="69"/>
      <c r="Z688" s="97"/>
      <c r="AA688" s="97"/>
      <c r="AB688" s="97"/>
      <c r="AC688" s="97"/>
      <c r="AD688" s="97"/>
      <c r="AE688" s="97"/>
      <c r="AF688" s="97"/>
      <c r="AG688" s="97"/>
      <c r="AH688" s="97"/>
      <c r="AI688" s="97"/>
      <c r="AJ688" s="97"/>
      <c r="AK688" s="97"/>
      <c r="AL688" s="97"/>
      <c r="AM688" s="97"/>
      <c r="AN688" s="97"/>
      <c r="AO688" s="97"/>
    </row>
    <row r="689" spans="1:41" ht="16.5" customHeight="1" x14ac:dyDescent="0.3">
      <c r="A689" s="69"/>
      <c r="B689" s="69"/>
      <c r="C689" s="69"/>
      <c r="D689" s="69"/>
      <c r="E689" s="69"/>
      <c r="F689" s="69"/>
      <c r="Z689" s="97"/>
      <c r="AA689" s="97"/>
      <c r="AB689" s="97"/>
      <c r="AC689" s="97"/>
      <c r="AD689" s="97"/>
      <c r="AE689" s="97"/>
      <c r="AF689" s="97"/>
      <c r="AG689" s="97"/>
      <c r="AH689" s="97"/>
      <c r="AI689" s="97"/>
      <c r="AJ689" s="97"/>
      <c r="AK689" s="97"/>
      <c r="AL689" s="97"/>
      <c r="AM689" s="97"/>
      <c r="AN689" s="97"/>
      <c r="AO689" s="97"/>
    </row>
    <row r="690" spans="1:41" ht="16.5" customHeight="1" x14ac:dyDescent="0.3">
      <c r="A690" s="69"/>
      <c r="B690" s="69"/>
      <c r="C690" s="69"/>
      <c r="D690" s="69"/>
      <c r="E690" s="69"/>
      <c r="F690" s="69"/>
      <c r="Z690" s="97"/>
      <c r="AA690" s="97"/>
      <c r="AB690" s="97"/>
      <c r="AC690" s="97"/>
      <c r="AD690" s="97"/>
      <c r="AE690" s="97"/>
      <c r="AF690" s="97"/>
      <c r="AG690" s="97"/>
      <c r="AH690" s="97"/>
      <c r="AI690" s="97"/>
      <c r="AJ690" s="97"/>
      <c r="AK690" s="97"/>
      <c r="AL690" s="97"/>
      <c r="AM690" s="97"/>
      <c r="AN690" s="97"/>
      <c r="AO690" s="97"/>
    </row>
    <row r="691" spans="1:41" ht="16.5" customHeight="1" x14ac:dyDescent="0.3">
      <c r="A691" s="69"/>
      <c r="B691" s="69"/>
      <c r="C691" s="69"/>
      <c r="D691" s="69"/>
      <c r="E691" s="69"/>
      <c r="F691" s="69"/>
      <c r="Z691" s="97"/>
      <c r="AA691" s="97"/>
      <c r="AB691" s="97"/>
      <c r="AC691" s="97"/>
      <c r="AD691" s="97"/>
      <c r="AE691" s="97"/>
      <c r="AF691" s="97"/>
      <c r="AG691" s="97"/>
      <c r="AH691" s="97"/>
      <c r="AI691" s="97"/>
      <c r="AJ691" s="97"/>
      <c r="AK691" s="97"/>
      <c r="AL691" s="97"/>
      <c r="AM691" s="97"/>
      <c r="AN691" s="97"/>
      <c r="AO691" s="97"/>
    </row>
    <row r="692" spans="1:41" ht="16.5" customHeight="1" x14ac:dyDescent="0.3">
      <c r="A692" s="69"/>
      <c r="B692" s="69"/>
      <c r="C692" s="69"/>
      <c r="D692" s="69"/>
      <c r="E692" s="69"/>
      <c r="F692" s="69"/>
      <c r="Z692" s="97"/>
      <c r="AA692" s="97"/>
      <c r="AB692" s="97"/>
      <c r="AC692" s="97"/>
      <c r="AD692" s="97"/>
      <c r="AE692" s="97"/>
      <c r="AF692" s="97"/>
      <c r="AG692" s="97"/>
      <c r="AH692" s="97"/>
      <c r="AI692" s="97"/>
      <c r="AJ692" s="97"/>
      <c r="AK692" s="97"/>
      <c r="AL692" s="97"/>
      <c r="AM692" s="97"/>
      <c r="AN692" s="97"/>
      <c r="AO692" s="97"/>
    </row>
    <row r="693" spans="1:41" ht="16.5" customHeight="1" x14ac:dyDescent="0.3">
      <c r="A693" s="69"/>
      <c r="B693" s="69"/>
      <c r="C693" s="69"/>
      <c r="D693" s="69"/>
      <c r="E693" s="69"/>
      <c r="F693" s="69"/>
      <c r="Z693" s="97"/>
      <c r="AA693" s="97"/>
      <c r="AB693" s="97"/>
      <c r="AC693" s="97"/>
      <c r="AD693" s="97"/>
      <c r="AE693" s="97"/>
      <c r="AF693" s="97"/>
      <c r="AG693" s="97"/>
      <c r="AH693" s="97"/>
      <c r="AI693" s="97"/>
      <c r="AJ693" s="97"/>
      <c r="AK693" s="97"/>
      <c r="AL693" s="97"/>
      <c r="AM693" s="97"/>
      <c r="AN693" s="97"/>
      <c r="AO693" s="97"/>
    </row>
    <row r="694" spans="1:41" ht="16.5" customHeight="1" x14ac:dyDescent="0.3">
      <c r="A694" s="69"/>
      <c r="B694" s="69"/>
      <c r="C694" s="69"/>
      <c r="D694" s="69"/>
      <c r="E694" s="69"/>
      <c r="F694" s="69"/>
      <c r="Z694" s="97"/>
      <c r="AA694" s="97"/>
      <c r="AB694" s="97"/>
      <c r="AC694" s="97"/>
      <c r="AD694" s="97"/>
      <c r="AE694" s="97"/>
      <c r="AF694" s="97"/>
      <c r="AG694" s="97"/>
      <c r="AH694" s="97"/>
      <c r="AI694" s="97"/>
      <c r="AJ694" s="97"/>
      <c r="AK694" s="97"/>
      <c r="AL694" s="97"/>
      <c r="AM694" s="97"/>
      <c r="AN694" s="97"/>
      <c r="AO694" s="97"/>
    </row>
    <row r="695" spans="1:41" ht="16.5" customHeight="1" x14ac:dyDescent="0.3">
      <c r="A695" s="69"/>
      <c r="B695" s="69"/>
      <c r="C695" s="69"/>
      <c r="D695" s="69"/>
      <c r="E695" s="69"/>
      <c r="F695" s="69"/>
      <c r="Z695" s="97"/>
      <c r="AA695" s="97"/>
      <c r="AB695" s="97"/>
      <c r="AC695" s="97"/>
      <c r="AD695" s="97"/>
      <c r="AE695" s="97"/>
      <c r="AF695" s="97"/>
      <c r="AG695" s="97"/>
      <c r="AH695" s="97"/>
      <c r="AI695" s="97"/>
      <c r="AJ695" s="97"/>
      <c r="AK695" s="97"/>
      <c r="AL695" s="97"/>
      <c r="AM695" s="97"/>
      <c r="AN695" s="97"/>
      <c r="AO695" s="97"/>
    </row>
    <row r="696" spans="1:41" ht="16.5" customHeight="1" x14ac:dyDescent="0.3">
      <c r="A696" s="69"/>
      <c r="B696" s="69"/>
      <c r="C696" s="69"/>
      <c r="D696" s="69"/>
      <c r="E696" s="69"/>
      <c r="F696" s="69"/>
      <c r="Z696" s="97"/>
      <c r="AA696" s="97"/>
      <c r="AB696" s="97"/>
      <c r="AC696" s="97"/>
      <c r="AD696" s="97"/>
      <c r="AE696" s="97"/>
      <c r="AF696" s="97"/>
      <c r="AG696" s="97"/>
      <c r="AH696" s="97"/>
      <c r="AI696" s="97"/>
      <c r="AJ696" s="97"/>
      <c r="AK696" s="97"/>
      <c r="AL696" s="97"/>
      <c r="AM696" s="97"/>
      <c r="AN696" s="97"/>
      <c r="AO696" s="97"/>
    </row>
    <row r="697" spans="1:41" ht="16.5" customHeight="1" x14ac:dyDescent="0.3">
      <c r="A697" s="69"/>
      <c r="B697" s="69"/>
      <c r="C697" s="69"/>
      <c r="D697" s="69"/>
      <c r="E697" s="69"/>
      <c r="F697" s="69"/>
      <c r="Z697" s="97"/>
      <c r="AA697" s="97"/>
      <c r="AB697" s="97"/>
      <c r="AC697" s="97"/>
      <c r="AD697" s="97"/>
      <c r="AE697" s="97"/>
      <c r="AF697" s="97"/>
      <c r="AG697" s="97"/>
      <c r="AH697" s="97"/>
      <c r="AI697" s="97"/>
      <c r="AJ697" s="97"/>
      <c r="AK697" s="97"/>
      <c r="AL697" s="97"/>
      <c r="AM697" s="97"/>
      <c r="AN697" s="97"/>
      <c r="AO697" s="97"/>
    </row>
    <row r="698" spans="1:41" ht="16.5" customHeight="1" x14ac:dyDescent="0.3">
      <c r="A698" s="69"/>
      <c r="B698" s="69"/>
      <c r="C698" s="69"/>
      <c r="D698" s="69"/>
      <c r="E698" s="69"/>
      <c r="F698" s="69"/>
      <c r="Z698" s="97"/>
      <c r="AA698" s="97"/>
      <c r="AB698" s="97"/>
      <c r="AC698" s="97"/>
      <c r="AD698" s="97"/>
      <c r="AE698" s="97"/>
      <c r="AF698" s="97"/>
      <c r="AG698" s="97"/>
      <c r="AH698" s="97"/>
      <c r="AI698" s="97"/>
      <c r="AJ698" s="97"/>
      <c r="AK698" s="97"/>
      <c r="AL698" s="97"/>
      <c r="AM698" s="97"/>
      <c r="AN698" s="97"/>
      <c r="AO698" s="97"/>
    </row>
    <row r="699" spans="1:41" ht="16.5" customHeight="1" x14ac:dyDescent="0.3">
      <c r="A699" s="69"/>
      <c r="B699" s="69"/>
      <c r="C699" s="69"/>
      <c r="D699" s="69"/>
      <c r="E699" s="69"/>
      <c r="F699" s="69"/>
      <c r="Z699" s="97"/>
      <c r="AA699" s="97"/>
      <c r="AB699" s="97"/>
      <c r="AC699" s="97"/>
      <c r="AD699" s="97"/>
      <c r="AE699" s="97"/>
      <c r="AF699" s="97"/>
      <c r="AG699" s="97"/>
      <c r="AH699" s="97"/>
      <c r="AI699" s="97"/>
      <c r="AJ699" s="97"/>
      <c r="AK699" s="97"/>
      <c r="AL699" s="97"/>
      <c r="AM699" s="97"/>
      <c r="AN699" s="97"/>
      <c r="AO699" s="97"/>
    </row>
    <row r="700" spans="1:41" ht="16.5" customHeight="1" x14ac:dyDescent="0.3">
      <c r="A700" s="69"/>
      <c r="B700" s="69"/>
      <c r="C700" s="69"/>
      <c r="D700" s="69"/>
      <c r="E700" s="69"/>
      <c r="F700" s="69"/>
      <c r="Z700" s="97"/>
      <c r="AA700" s="97"/>
      <c r="AB700" s="97"/>
      <c r="AC700" s="97"/>
      <c r="AD700" s="97"/>
      <c r="AE700" s="97"/>
      <c r="AF700" s="97"/>
      <c r="AG700" s="97"/>
      <c r="AH700" s="97"/>
      <c r="AI700" s="97"/>
      <c r="AJ700" s="97"/>
      <c r="AK700" s="97"/>
      <c r="AL700" s="97"/>
      <c r="AM700" s="97"/>
      <c r="AN700" s="97"/>
      <c r="AO700" s="97"/>
    </row>
    <row r="701" spans="1:41" ht="16.5" customHeight="1" x14ac:dyDescent="0.3">
      <c r="A701" s="69"/>
      <c r="B701" s="69"/>
      <c r="C701" s="69"/>
      <c r="D701" s="69"/>
      <c r="E701" s="69"/>
      <c r="F701" s="69"/>
      <c r="Z701" s="97"/>
      <c r="AA701" s="97"/>
      <c r="AB701" s="97"/>
      <c r="AC701" s="97"/>
      <c r="AD701" s="97"/>
      <c r="AE701" s="97"/>
      <c r="AF701" s="97"/>
      <c r="AG701" s="97"/>
      <c r="AH701" s="97"/>
      <c r="AI701" s="97"/>
      <c r="AJ701" s="97"/>
      <c r="AK701" s="97"/>
      <c r="AL701" s="97"/>
      <c r="AM701" s="97"/>
      <c r="AN701" s="97"/>
      <c r="AO701" s="97"/>
    </row>
    <row r="702" spans="1:41" ht="16.5" customHeight="1" x14ac:dyDescent="0.3">
      <c r="A702" s="69"/>
      <c r="B702" s="69"/>
      <c r="C702" s="69"/>
      <c r="D702" s="69"/>
      <c r="E702" s="69"/>
      <c r="F702" s="69"/>
      <c r="Z702" s="97"/>
      <c r="AA702" s="97"/>
      <c r="AB702" s="97"/>
      <c r="AC702" s="97"/>
      <c r="AD702" s="97"/>
      <c r="AE702" s="97"/>
      <c r="AF702" s="97"/>
      <c r="AG702" s="97"/>
      <c r="AH702" s="97"/>
      <c r="AI702" s="97"/>
      <c r="AJ702" s="97"/>
      <c r="AK702" s="97"/>
      <c r="AL702" s="97"/>
      <c r="AM702" s="97"/>
      <c r="AN702" s="97"/>
      <c r="AO702" s="97"/>
    </row>
    <row r="703" spans="1:41" ht="16.5" customHeight="1" x14ac:dyDescent="0.3">
      <c r="A703" s="74"/>
      <c r="B703" s="74"/>
      <c r="C703" s="74"/>
      <c r="D703" s="74"/>
      <c r="E703" s="74"/>
      <c r="F703" s="74"/>
      <c r="Z703" s="97"/>
      <c r="AA703" s="97"/>
      <c r="AB703" s="97"/>
      <c r="AC703" s="97"/>
      <c r="AD703" s="97"/>
      <c r="AE703" s="97"/>
      <c r="AF703" s="97"/>
      <c r="AG703" s="97"/>
      <c r="AH703" s="97"/>
      <c r="AI703" s="97"/>
      <c r="AJ703" s="97"/>
      <c r="AK703" s="97"/>
      <c r="AL703" s="97"/>
      <c r="AM703" s="97"/>
      <c r="AN703" s="97"/>
      <c r="AO703" s="97"/>
    </row>
    <row r="704" spans="1:41" ht="16.5" customHeight="1" x14ac:dyDescent="0.3">
      <c r="A704" s="145" t="s">
        <v>8953</v>
      </c>
      <c r="B704" s="138"/>
      <c r="C704" s="48">
        <f>E704+D704+F704</f>
        <v>776</v>
      </c>
      <c r="D704" s="47">
        <f>ROUNDDOWN(SUMIF(N657:N675,M704,D657:D675),0)</f>
        <v>776</v>
      </c>
      <c r="E704" s="56">
        <f>ROUNDDOWN(SUMIF(N657:N675,M704,E657:E675),0)</f>
        <v>0</v>
      </c>
      <c r="F704" s="48">
        <f>ROUNDDOWN(SUMIF(N657:N675,M704,F657:F675),0)</f>
        <v>0</v>
      </c>
      <c r="M704" s="35" t="s">
        <v>6406</v>
      </c>
      <c r="Z704" s="97"/>
      <c r="AA704" s="97"/>
      <c r="AB704" s="97"/>
      <c r="AC704" s="97"/>
      <c r="AD704" s="97"/>
      <c r="AE704" s="97"/>
      <c r="AF704" s="97"/>
      <c r="AG704" s="97"/>
      <c r="AH704" s="97"/>
      <c r="AI704" s="97"/>
      <c r="AJ704" s="97"/>
      <c r="AK704" s="97"/>
      <c r="AL704" s="97"/>
      <c r="AM704" s="97"/>
      <c r="AN704" s="97"/>
      <c r="AO704" s="97"/>
    </row>
    <row r="705" spans="1:41" ht="16.5" customHeight="1" x14ac:dyDescent="0.3">
      <c r="A705" s="86" t="s">
        <v>49</v>
      </c>
      <c r="B705" s="88" t="s">
        <v>49</v>
      </c>
      <c r="C705" s="146">
        <f>C754</f>
        <v>1086</v>
      </c>
      <c r="D705" s="146">
        <f>D754</f>
        <v>1086</v>
      </c>
      <c r="E705" s="146">
        <f>E754</f>
        <v>0</v>
      </c>
      <c r="F705" s="146">
        <f>F754</f>
        <v>0</v>
      </c>
      <c r="G705" s="84" t="str">
        <f>HYPERLINK("#G"&amp;ROW(G725),"_x0005_`BDCOD|D03780_x0007_`POSS|"&amp;ROW(G707)&amp;"_x0007_`POSE|"&amp;ROW(G725)&amp;"_x0007_`")</f>
        <v>_x0005_`BDCOD|D03780_x0007_`POSS|707_x0007_`POSE|725_x0007_`</v>
      </c>
      <c r="Z705" s="97"/>
      <c r="AA705" s="97"/>
      <c r="AB705" s="97"/>
      <c r="AC705" s="97"/>
      <c r="AD705" s="97"/>
      <c r="AE705" s="97"/>
      <c r="AF705" s="97"/>
      <c r="AG705" s="97"/>
      <c r="AH705" s="97"/>
      <c r="AI705" s="97"/>
      <c r="AJ705" s="97"/>
      <c r="AK705" s="97"/>
      <c r="AL705" s="97"/>
      <c r="AM705" s="97"/>
      <c r="AN705" s="97"/>
      <c r="AO705" s="97"/>
    </row>
    <row r="706" spans="1:41" ht="16.5" customHeight="1" x14ac:dyDescent="0.3">
      <c r="A706" s="87"/>
      <c r="B706" s="88" t="s">
        <v>2009</v>
      </c>
      <c r="C706" s="127"/>
      <c r="D706" s="127"/>
      <c r="E706" s="127"/>
      <c r="F706" s="127"/>
      <c r="M706" s="35" t="s">
        <v>9035</v>
      </c>
      <c r="Z706" s="97"/>
      <c r="AA706" s="97"/>
      <c r="AB706" s="97"/>
      <c r="AC706" s="97"/>
      <c r="AD706" s="97"/>
      <c r="AE706" s="97"/>
      <c r="AF706" s="97"/>
      <c r="AG706" s="97"/>
      <c r="AH706" s="97"/>
      <c r="AI706" s="97"/>
      <c r="AJ706" s="97"/>
      <c r="AK706" s="97"/>
      <c r="AL706" s="97"/>
      <c r="AM706" s="97"/>
      <c r="AN706" s="97"/>
      <c r="AO706" s="97"/>
    </row>
    <row r="707" spans="1:41" ht="16.5" customHeight="1" x14ac:dyDescent="0.3">
      <c r="A707" s="59"/>
      <c r="B707" s="68" t="s">
        <v>9026</v>
      </c>
      <c r="C707" s="90"/>
      <c r="D707" s="90"/>
      <c r="E707" s="90"/>
      <c r="F707" s="90"/>
      <c r="G707" s="17" t="s">
        <v>9025</v>
      </c>
      <c r="Z707" s="97"/>
      <c r="AA707" s="97"/>
      <c r="AB707" s="97"/>
      <c r="AC707" s="97"/>
      <c r="AD707" s="97"/>
      <c r="AE707" s="97"/>
      <c r="AF707" s="97"/>
      <c r="AG707" s="97"/>
      <c r="AH707" s="97"/>
      <c r="AI707" s="97"/>
      <c r="AJ707" s="97"/>
      <c r="AK707" s="97"/>
      <c r="AL707" s="97"/>
      <c r="AM707" s="97"/>
      <c r="AN707" s="97"/>
      <c r="AO707" s="97"/>
    </row>
    <row r="708" spans="1:41" ht="16.5" customHeight="1" x14ac:dyDescent="0.3">
      <c r="A708" s="69"/>
      <c r="B708" s="69"/>
      <c r="C708" s="69"/>
      <c r="D708" s="69"/>
      <c r="E708" s="69"/>
      <c r="F708" s="69"/>
      <c r="G708" s="17" t="s">
        <v>8885</v>
      </c>
      <c r="Z708" s="97"/>
      <c r="AA708" s="97"/>
      <c r="AB708" s="97"/>
      <c r="AC708" s="97"/>
      <c r="AD708" s="97"/>
      <c r="AE708" s="97"/>
      <c r="AF708" s="97"/>
      <c r="AG708" s="97"/>
      <c r="AH708" s="97"/>
      <c r="AI708" s="97"/>
      <c r="AJ708" s="97"/>
      <c r="AK708" s="97"/>
      <c r="AL708" s="97"/>
      <c r="AM708" s="97"/>
      <c r="AN708" s="97"/>
      <c r="AO708" s="97"/>
    </row>
    <row r="709" spans="1:41" ht="16.5" customHeight="1" x14ac:dyDescent="0.3">
      <c r="A709" s="59"/>
      <c r="B709" s="68" t="str">
        <f>" Q1 = "&amp;Z709&amp;" 인 /"&amp;AB709&amp;" hr/일 = "&amp;AD709&amp;" hr/일 "</f>
        <v xml:space="preserve"> Q1 = 1 인 /8 hr/일 = 0.125 hr/일 </v>
      </c>
      <c r="C709" s="69"/>
      <c r="D709" s="69"/>
      <c r="E709" s="69"/>
      <c r="F709" s="69"/>
      <c r="G709" s="17" t="s">
        <v>9027</v>
      </c>
      <c r="Z709" s="99">
        <v>1</v>
      </c>
      <c r="AA709" s="35" t="s">
        <v>8905</v>
      </c>
      <c r="AB709" s="99">
        <v>8</v>
      </c>
      <c r="AC709" s="35" t="s">
        <v>8892</v>
      </c>
      <c r="AD709" s="100" t="str">
        <f>TEXT(ROUND(Z709/AB709,3),"#,0.000")</f>
        <v>0.125</v>
      </c>
      <c r="AE709" s="97"/>
      <c r="AF709" s="97"/>
      <c r="AG709" s="97"/>
      <c r="AH709" s="97"/>
      <c r="AI709" s="97"/>
      <c r="AJ709" s="97"/>
      <c r="AK709" s="97"/>
      <c r="AL709" s="97"/>
      <c r="AM709" s="97"/>
      <c r="AN709" s="97"/>
      <c r="AO709" s="97"/>
    </row>
    <row r="710" spans="1:41" ht="16.5" customHeight="1" x14ac:dyDescent="0.3">
      <c r="A710" s="69"/>
      <c r="B710" s="69"/>
      <c r="C710" s="69"/>
      <c r="D710" s="69"/>
      <c r="E710" s="69"/>
      <c r="F710" s="69"/>
      <c r="G710" s="17" t="s">
        <v>8885</v>
      </c>
      <c r="Z710" s="97"/>
      <c r="AA710" s="97"/>
      <c r="AB710" s="97"/>
      <c r="AC710" s="97"/>
      <c r="AD710" s="97"/>
      <c r="AE710" s="97"/>
      <c r="AF710" s="97"/>
      <c r="AG710" s="97"/>
      <c r="AH710" s="97"/>
      <c r="AI710" s="97"/>
      <c r="AJ710" s="97"/>
      <c r="AK710" s="97"/>
      <c r="AL710" s="97"/>
      <c r="AM710" s="97"/>
      <c r="AN710" s="97"/>
      <c r="AO710" s="97"/>
    </row>
    <row r="711" spans="1:41" ht="16.5" customHeight="1" x14ac:dyDescent="0.3">
      <c r="A711" s="59"/>
      <c r="B711" s="68" t="str">
        <f>" Q2 = "&amp;Z711&amp;" 인 /"&amp;AB711&amp;" hr/일 = "&amp;AD711&amp;" hr/일 "</f>
        <v xml:space="preserve"> Q2 = 5 인 /8 hr/일 = 0.625 hr/일 </v>
      </c>
      <c r="C711" s="69"/>
      <c r="D711" s="69"/>
      <c r="E711" s="69"/>
      <c r="F711" s="69"/>
      <c r="G711" s="17" t="s">
        <v>9028</v>
      </c>
      <c r="Z711" s="99">
        <v>5</v>
      </c>
      <c r="AA711" s="35" t="s">
        <v>8905</v>
      </c>
      <c r="AB711" s="99">
        <v>8</v>
      </c>
      <c r="AC711" s="35" t="s">
        <v>8892</v>
      </c>
      <c r="AD711" s="100" t="str">
        <f>TEXT(ROUND(Z711/AB711,3),"#,0.000")</f>
        <v>0.625</v>
      </c>
      <c r="AE711" s="97"/>
      <c r="AF711" s="97"/>
      <c r="AG711" s="97"/>
      <c r="AH711" s="97"/>
      <c r="AI711" s="97"/>
      <c r="AJ711" s="97"/>
      <c r="AK711" s="97"/>
      <c r="AL711" s="97"/>
      <c r="AM711" s="97"/>
      <c r="AN711" s="97"/>
      <c r="AO711" s="97"/>
    </row>
    <row r="712" spans="1:41" ht="16.5" customHeight="1" x14ac:dyDescent="0.3">
      <c r="A712" s="69"/>
      <c r="B712" s="69"/>
      <c r="C712" s="69"/>
      <c r="D712" s="69"/>
      <c r="E712" s="69"/>
      <c r="F712" s="69"/>
      <c r="G712" s="17" t="s">
        <v>8885</v>
      </c>
      <c r="Z712" s="97"/>
      <c r="AA712" s="97"/>
      <c r="AB712" s="97"/>
      <c r="AC712" s="97"/>
      <c r="AD712" s="97"/>
      <c r="AE712" s="97"/>
      <c r="AF712" s="97"/>
      <c r="AG712" s="97"/>
      <c r="AH712" s="97"/>
      <c r="AI712" s="97"/>
      <c r="AJ712" s="97"/>
      <c r="AK712" s="97"/>
      <c r="AL712" s="97"/>
      <c r="AM712" s="97"/>
      <c r="AN712" s="97"/>
      <c r="AO712" s="97"/>
    </row>
    <row r="713" spans="1:41" ht="16.5" customHeight="1" x14ac:dyDescent="0.3">
      <c r="A713" s="59"/>
      <c r="B713" s="68" t="str">
        <f>" Q = "&amp;Z713&amp;" ㎡/일 /"&amp;AB713&amp;" hr/일 = "&amp;AD713&amp;" ㎡/hr "</f>
        <v xml:space="preserve"> Q = 1000 ㎡/일 /8 hr/일 = 125.000 ㎡/hr </v>
      </c>
      <c r="C713" s="69"/>
      <c r="D713" s="69"/>
      <c r="E713" s="69"/>
      <c r="F713" s="69"/>
      <c r="G713" s="17" t="s">
        <v>9036</v>
      </c>
      <c r="Z713" s="99">
        <v>1000</v>
      </c>
      <c r="AA713" s="35" t="s">
        <v>8905</v>
      </c>
      <c r="AB713" s="99">
        <v>8</v>
      </c>
      <c r="AC713" s="35" t="s">
        <v>8892</v>
      </c>
      <c r="AD713" s="100" t="str">
        <f>TEXT(ROUND(Z713/AB713,3),"#,0.000")</f>
        <v>125.000</v>
      </c>
      <c r="AE713" s="97"/>
      <c r="AF713" s="97"/>
      <c r="AG713" s="97"/>
      <c r="AH713" s="97"/>
      <c r="AI713" s="97"/>
      <c r="AJ713" s="97"/>
      <c r="AK713" s="97"/>
      <c r="AL713" s="97"/>
      <c r="AM713" s="97"/>
      <c r="AN713" s="97"/>
      <c r="AO713" s="97"/>
    </row>
    <row r="714" spans="1:41" ht="16.5" customHeight="1" x14ac:dyDescent="0.3">
      <c r="A714" s="69"/>
      <c r="B714" s="69"/>
      <c r="C714" s="69"/>
      <c r="D714" s="69"/>
      <c r="E714" s="69"/>
      <c r="F714" s="69"/>
      <c r="G714" s="17" t="s">
        <v>8885</v>
      </c>
      <c r="Z714" s="97"/>
      <c r="AA714" s="97"/>
      <c r="AB714" s="97"/>
      <c r="AC714" s="97"/>
      <c r="AD714" s="97"/>
      <c r="AE714" s="97"/>
      <c r="AF714" s="97"/>
      <c r="AG714" s="97"/>
      <c r="AH714" s="97"/>
      <c r="AI714" s="97"/>
      <c r="AJ714" s="97"/>
      <c r="AK714" s="97"/>
      <c r="AL714" s="97"/>
      <c r="AM714" s="97"/>
      <c r="AN714" s="97"/>
      <c r="AO714" s="97"/>
    </row>
    <row r="715" spans="1:41" ht="16.5" customHeight="1" x14ac:dyDescent="0.3">
      <c r="A715" s="69"/>
      <c r="B715" s="69"/>
      <c r="C715" s="69"/>
      <c r="D715" s="69"/>
      <c r="E715" s="69"/>
      <c r="F715" s="69"/>
      <c r="G715" s="17" t="s">
        <v>8885</v>
      </c>
      <c r="Z715" s="97"/>
      <c r="AA715" s="97"/>
      <c r="AB715" s="97"/>
      <c r="AC715" s="97"/>
      <c r="AD715" s="97"/>
      <c r="AE715" s="97"/>
      <c r="AF715" s="97"/>
      <c r="AG715" s="97"/>
      <c r="AH715" s="97"/>
      <c r="AI715" s="97"/>
      <c r="AJ715" s="97"/>
      <c r="AK715" s="97"/>
      <c r="AL715" s="97"/>
      <c r="AM715" s="97"/>
      <c r="AN715" s="97"/>
      <c r="AO715" s="97"/>
    </row>
    <row r="716" spans="1:41" ht="16.5" customHeight="1" x14ac:dyDescent="0.3">
      <c r="A716" s="59"/>
      <c r="B716" s="68" t="s">
        <v>9031</v>
      </c>
      <c r="C716" s="69"/>
      <c r="D716" s="69"/>
      <c r="E716" s="69"/>
      <c r="F716" s="69"/>
      <c r="G716" s="17" t="s">
        <v>9030</v>
      </c>
      <c r="Z716" s="97"/>
      <c r="AA716" s="97"/>
      <c r="AB716" s="97"/>
      <c r="AC716" s="97"/>
      <c r="AD716" s="97"/>
      <c r="AE716" s="97"/>
      <c r="AF716" s="97"/>
      <c r="AG716" s="97"/>
      <c r="AH716" s="97"/>
      <c r="AI716" s="97"/>
      <c r="AJ716" s="97"/>
      <c r="AK716" s="97"/>
      <c r="AL716" s="97"/>
      <c r="AM716" s="97"/>
      <c r="AN716" s="97"/>
      <c r="AO716" s="97"/>
    </row>
    <row r="717" spans="1:41" ht="16.5" customHeight="1" x14ac:dyDescent="0.3">
      <c r="A717" s="69"/>
      <c r="B717" s="69"/>
      <c r="C717" s="69"/>
      <c r="D717" s="69"/>
      <c r="E717" s="69"/>
      <c r="F717" s="69"/>
      <c r="G717" s="17" t="s">
        <v>8885</v>
      </c>
      <c r="Z717" s="97"/>
      <c r="AA717" s="97"/>
      <c r="AB717" s="97"/>
      <c r="AC717" s="97"/>
      <c r="AD717" s="97"/>
      <c r="AE717" s="97"/>
      <c r="AF717" s="97"/>
      <c r="AG717" s="97"/>
      <c r="AH717" s="97"/>
      <c r="AI717" s="97"/>
      <c r="AJ717" s="97"/>
      <c r="AK717" s="97"/>
      <c r="AL717" s="97"/>
      <c r="AM717" s="97"/>
      <c r="AN717" s="97"/>
      <c r="AO717" s="97"/>
    </row>
    <row r="718" spans="1:41" ht="16.5" customHeight="1" x14ac:dyDescent="0.3">
      <c r="A718" s="59" t="s">
        <v>8946</v>
      </c>
      <c r="B718" s="89" t="str">
        <f>"  특별인부 "&amp;TEXT(I718,"#,##0"&amp;IF(I718&lt;&gt;INT(I718),".###",""))&amp;"*Q1/Q = "&amp;TEXT(C718,"#,##0.0")&amp;""</f>
        <v xml:space="preserve">  특별인부 226,122*Q1/Q = 226.1</v>
      </c>
      <c r="C718" s="91">
        <f>E718+D718+F718</f>
        <v>226.1</v>
      </c>
      <c r="D718" s="91">
        <f>IF(H718=0,0,ROUNDDOWN(J718*H718,1))</f>
        <v>226.1</v>
      </c>
      <c r="E718" s="91">
        <f>IF(H718=0,0,ROUNDDOWN(K718*H718,1))</f>
        <v>0</v>
      </c>
      <c r="F718" s="91">
        <f>IF(H718=0,0,ROUNDDOWN(L718*H718,1))</f>
        <v>0</v>
      </c>
      <c r="G718" s="17" t="s">
        <v>9032</v>
      </c>
      <c r="H718" s="94">
        <f>ROUNDUP(AE718,14-LEN(ABS(INT(AE718))))</f>
        <v>1E-3</v>
      </c>
      <c r="I718" s="95">
        <f>K718+J718+L718</f>
        <v>226122</v>
      </c>
      <c r="J718" s="39">
        <f>노무비목록표!E20</f>
        <v>226122</v>
      </c>
      <c r="M718" s="35" t="s">
        <v>8454</v>
      </c>
      <c r="N718" s="35" t="s">
        <v>8915</v>
      </c>
      <c r="X718" s="96" t="str">
        <f>노무비목록표!B20&amp;" / "&amp;노무비목록표!C20</f>
        <v xml:space="preserve">특별인부 / </v>
      </c>
      <c r="Y718" s="3" t="str">
        <f ca="1">HYPERLINK("#"&amp;노무비목록표!G2&amp;"!A"&amp;ROW(노무비목록표!A20),"노무17 →")</f>
        <v>노무17 →</v>
      </c>
      <c r="Z718" s="35" t="s">
        <v>8947</v>
      </c>
      <c r="AA718" s="100" t="str">
        <f>AD709</f>
        <v>0.125</v>
      </c>
      <c r="AB718" s="35" t="s">
        <v>8905</v>
      </c>
      <c r="AC718" s="100" t="str">
        <f>AD713</f>
        <v>125.000</v>
      </c>
      <c r="AD718" s="35" t="s">
        <v>8892</v>
      </c>
      <c r="AE718" s="100">
        <f>1*AD709/AD713</f>
        <v>1E-3</v>
      </c>
      <c r="AF718" s="97"/>
      <c r="AG718" s="97"/>
      <c r="AH718" s="97"/>
      <c r="AI718" s="97"/>
      <c r="AJ718" s="97"/>
      <c r="AK718" s="97"/>
      <c r="AL718" s="97"/>
      <c r="AM718" s="97"/>
      <c r="AN718" s="97"/>
      <c r="AO718" s="97"/>
    </row>
    <row r="719" spans="1:41" ht="16.5" customHeight="1" x14ac:dyDescent="0.3">
      <c r="A719" s="69"/>
      <c r="B719" s="69"/>
      <c r="C719" s="69"/>
      <c r="D719" s="69"/>
      <c r="E719" s="69"/>
      <c r="F719" s="69"/>
      <c r="G719" s="17" t="s">
        <v>8885</v>
      </c>
      <c r="Z719" s="97"/>
      <c r="AA719" s="97"/>
      <c r="AB719" s="97"/>
      <c r="AC719" s="97"/>
      <c r="AD719" s="97"/>
      <c r="AE719" s="97"/>
      <c r="AF719" s="97"/>
      <c r="AG719" s="97"/>
      <c r="AH719" s="97"/>
      <c r="AI719" s="97"/>
      <c r="AJ719" s="97"/>
      <c r="AK719" s="97"/>
      <c r="AL719" s="97"/>
      <c r="AM719" s="97"/>
      <c r="AN719" s="97"/>
      <c r="AO719" s="97"/>
    </row>
    <row r="720" spans="1:41" ht="16.5" customHeight="1" x14ac:dyDescent="0.3">
      <c r="A720" s="59" t="s">
        <v>8949</v>
      </c>
      <c r="B720" s="89" t="str">
        <f>"  인    부 "&amp;TEXT(I720,"#,##0"&amp;IF(I720&lt;&gt;INT(I720),".###",""))&amp;" *Q2/Q= "&amp;TEXT(C720,"#,##0.0")&amp;""</f>
        <v xml:space="preserve">  인    부 172,068 *Q2/Q= 860.3</v>
      </c>
      <c r="C720" s="91">
        <f>E720+D720+F720</f>
        <v>860.3</v>
      </c>
      <c r="D720" s="91">
        <f>IF(H720=0,0,ROUNDDOWN(J720*H720,1))</f>
        <v>860.3</v>
      </c>
      <c r="E720" s="91">
        <f>IF(H720=0,0,ROUNDDOWN(K720*H720,1))</f>
        <v>0</v>
      </c>
      <c r="F720" s="91">
        <f>IF(H720=0,0,ROUNDDOWN(L720*H720,1))</f>
        <v>0</v>
      </c>
      <c r="G720" s="17" t="s">
        <v>9033</v>
      </c>
      <c r="H720" s="94">
        <f>ROUNDUP(AE720,14-LEN(ABS(INT(AE720))))</f>
        <v>5.0000000000000001E-3</v>
      </c>
      <c r="I720" s="95">
        <f>K720+J720+L720</f>
        <v>172068</v>
      </c>
      <c r="J720" s="39">
        <f>노무비목록표!E12</f>
        <v>172068</v>
      </c>
      <c r="M720" s="35" t="s">
        <v>8261</v>
      </c>
      <c r="N720" s="35" t="s">
        <v>8915</v>
      </c>
      <c r="X720" s="96" t="str">
        <f>노무비목록표!B12&amp;" / "&amp;노무비목록표!C12</f>
        <v xml:space="preserve">보통인부 / </v>
      </c>
      <c r="Y720" s="3" t="str">
        <f ca="1">HYPERLINK("#"&amp;노무비목록표!G2&amp;"!A"&amp;ROW(노무비목록표!A12),"노무9 →")</f>
        <v>노무9 →</v>
      </c>
      <c r="Z720" s="35" t="s">
        <v>8947</v>
      </c>
      <c r="AA720" s="100" t="str">
        <f>AD711</f>
        <v>0.625</v>
      </c>
      <c r="AB720" s="35" t="s">
        <v>8905</v>
      </c>
      <c r="AC720" s="100" t="str">
        <f>AD713</f>
        <v>125.000</v>
      </c>
      <c r="AD720" s="35" t="s">
        <v>8892</v>
      </c>
      <c r="AE720" s="100">
        <f>1*AD711/AD713</f>
        <v>5.0000000000000001E-3</v>
      </c>
      <c r="AF720" s="97"/>
      <c r="AG720" s="97"/>
      <c r="AH720" s="97"/>
      <c r="AI720" s="97"/>
      <c r="AJ720" s="97"/>
      <c r="AK720" s="97"/>
      <c r="AL720" s="97"/>
      <c r="AM720" s="97"/>
      <c r="AN720" s="97"/>
      <c r="AO720" s="97"/>
    </row>
    <row r="721" spans="1:41" ht="16.5" customHeight="1" x14ac:dyDescent="0.3">
      <c r="A721" s="69"/>
      <c r="B721" s="69"/>
      <c r="C721" s="69"/>
      <c r="D721" s="69"/>
      <c r="E721" s="69"/>
      <c r="F721" s="69"/>
      <c r="G721" s="17" t="s">
        <v>8885</v>
      </c>
      <c r="Z721" s="97"/>
      <c r="AA721" s="97"/>
      <c r="AB721" s="97"/>
      <c r="AC721" s="97"/>
      <c r="AD721" s="97"/>
      <c r="AE721" s="97"/>
      <c r="AF721" s="97"/>
      <c r="AG721" s="97"/>
      <c r="AH721" s="97"/>
      <c r="AI721" s="97"/>
      <c r="AJ721" s="97"/>
      <c r="AK721" s="97"/>
      <c r="AL721" s="97"/>
      <c r="AM721" s="97"/>
      <c r="AN721" s="97"/>
      <c r="AO721" s="97"/>
    </row>
    <row r="722" spans="1:41" ht="16.5" customHeight="1" x14ac:dyDescent="0.3">
      <c r="A722" s="59"/>
      <c r="B722" s="68" t="s">
        <v>8914</v>
      </c>
      <c r="C722" s="92">
        <f>E722+D722+F722</f>
        <v>1086.3999999999999</v>
      </c>
      <c r="D722" s="92">
        <f>SUMIF(N707:N721,M722,D707:D721)</f>
        <v>1086.3999999999999</v>
      </c>
      <c r="E722" s="92">
        <f>SUMIF(N707:N721,M722,E707:E721)</f>
        <v>0</v>
      </c>
      <c r="F722" s="92">
        <f>SUMIF(N707:N721,M722,F707:F721)</f>
        <v>0</v>
      </c>
      <c r="G722" s="17" t="s">
        <v>8927</v>
      </c>
      <c r="M722" s="35" t="s">
        <v>8915</v>
      </c>
      <c r="N722" s="35" t="s">
        <v>8952</v>
      </c>
      <c r="Z722" s="97"/>
      <c r="AA722" s="97"/>
      <c r="AB722" s="97"/>
      <c r="AC722" s="97"/>
      <c r="AD722" s="97"/>
      <c r="AE722" s="97"/>
      <c r="AF722" s="97"/>
      <c r="AG722" s="97"/>
      <c r="AH722" s="97"/>
      <c r="AI722" s="97"/>
      <c r="AJ722" s="97"/>
      <c r="AK722" s="97"/>
      <c r="AL722" s="97"/>
      <c r="AM722" s="97"/>
      <c r="AN722" s="97"/>
      <c r="AO722" s="97"/>
    </row>
    <row r="723" spans="1:41" ht="16.5" customHeight="1" x14ac:dyDescent="0.3">
      <c r="A723" s="69"/>
      <c r="B723" s="69"/>
      <c r="C723" s="90"/>
      <c r="D723" s="90"/>
      <c r="E723" s="90"/>
      <c r="F723" s="90"/>
      <c r="G723" s="17" t="s">
        <v>8885</v>
      </c>
      <c r="Z723" s="97"/>
      <c r="AA723" s="97"/>
      <c r="AB723" s="97"/>
      <c r="AC723" s="97"/>
      <c r="AD723" s="97"/>
      <c r="AE723" s="97"/>
      <c r="AF723" s="97"/>
      <c r="AG723" s="97"/>
      <c r="AH723" s="97"/>
      <c r="AI723" s="97"/>
      <c r="AJ723" s="97"/>
      <c r="AK723" s="97"/>
      <c r="AL723" s="97"/>
      <c r="AM723" s="97"/>
      <c r="AN723" s="97"/>
      <c r="AO723" s="97"/>
    </row>
    <row r="724" spans="1:41" ht="16.5" customHeight="1" x14ac:dyDescent="0.3">
      <c r="A724" s="59"/>
      <c r="B724" s="68" t="s">
        <v>8951</v>
      </c>
      <c r="C724" s="92">
        <f>E724+D724+F724</f>
        <v>1086.3999999999999</v>
      </c>
      <c r="D724" s="92">
        <f>SUMIF(N707:N723,M724,D707:D723)</f>
        <v>1086.3999999999999</v>
      </c>
      <c r="E724" s="92">
        <f>SUMIF(N707:N723,M724,E707:E723)</f>
        <v>0</v>
      </c>
      <c r="F724" s="92">
        <f>SUMIF(N707:N723,M724,F707:F723)</f>
        <v>0</v>
      </c>
      <c r="G724" s="17" t="s">
        <v>8950</v>
      </c>
      <c r="M724" s="35" t="s">
        <v>8952</v>
      </c>
      <c r="N724" s="35" t="s">
        <v>6406</v>
      </c>
      <c r="Z724" s="97"/>
      <c r="AA724" s="97"/>
      <c r="AB724" s="97"/>
      <c r="AC724" s="97"/>
      <c r="AD724" s="97"/>
      <c r="AE724" s="97"/>
      <c r="AF724" s="97"/>
      <c r="AG724" s="97"/>
      <c r="AH724" s="97"/>
      <c r="AI724" s="97"/>
      <c r="AJ724" s="97"/>
      <c r="AK724" s="97"/>
      <c r="AL724" s="97"/>
      <c r="AM724" s="97"/>
      <c r="AN724" s="97"/>
      <c r="AO724" s="97"/>
    </row>
    <row r="725" spans="1:41" ht="16.5" customHeight="1" x14ac:dyDescent="0.3">
      <c r="A725" s="69"/>
      <c r="B725" s="69"/>
      <c r="C725" s="90"/>
      <c r="D725" s="90"/>
      <c r="E725" s="90"/>
      <c r="F725" s="90"/>
      <c r="G725" s="17" t="s">
        <v>9034</v>
      </c>
      <c r="Z725" s="97"/>
      <c r="AA725" s="97"/>
      <c r="AB725" s="97"/>
      <c r="AC725" s="97"/>
      <c r="AD725" s="97"/>
      <c r="AE725" s="97"/>
      <c r="AF725" s="97"/>
      <c r="AG725" s="97"/>
      <c r="AH725" s="97"/>
      <c r="AI725" s="97"/>
      <c r="AJ725" s="97"/>
      <c r="AK725" s="97"/>
      <c r="AL725" s="97"/>
      <c r="AM725" s="97"/>
      <c r="AN725" s="97"/>
      <c r="AO725" s="97"/>
    </row>
    <row r="726" spans="1:41" ht="16.5" customHeight="1" x14ac:dyDescent="0.3">
      <c r="A726" s="69"/>
      <c r="B726" s="69"/>
      <c r="C726" s="69"/>
      <c r="D726" s="69"/>
      <c r="E726" s="69"/>
      <c r="F726" s="69"/>
      <c r="Z726" s="97"/>
      <c r="AA726" s="97"/>
      <c r="AB726" s="97"/>
      <c r="AC726" s="97"/>
      <c r="AD726" s="97"/>
      <c r="AE726" s="97"/>
      <c r="AF726" s="97"/>
      <c r="AG726" s="97"/>
      <c r="AH726" s="97"/>
      <c r="AI726" s="97"/>
      <c r="AJ726" s="97"/>
      <c r="AK726" s="97"/>
      <c r="AL726" s="97"/>
      <c r="AM726" s="97"/>
      <c r="AN726" s="97"/>
      <c r="AO726" s="97"/>
    </row>
    <row r="727" spans="1:41" ht="16.5" customHeight="1" x14ac:dyDescent="0.3">
      <c r="A727" s="69"/>
      <c r="B727" s="69"/>
      <c r="C727" s="69"/>
      <c r="D727" s="69"/>
      <c r="E727" s="69"/>
      <c r="F727" s="69"/>
      <c r="Z727" s="97"/>
      <c r="AA727" s="97"/>
      <c r="AB727" s="97"/>
      <c r="AC727" s="97"/>
      <c r="AD727" s="97"/>
      <c r="AE727" s="97"/>
      <c r="AF727" s="97"/>
      <c r="AG727" s="97"/>
      <c r="AH727" s="97"/>
      <c r="AI727" s="97"/>
      <c r="AJ727" s="97"/>
      <c r="AK727" s="97"/>
      <c r="AL727" s="97"/>
      <c r="AM727" s="97"/>
      <c r="AN727" s="97"/>
      <c r="AO727" s="97"/>
    </row>
    <row r="728" spans="1:41" ht="16.5" customHeight="1" x14ac:dyDescent="0.3">
      <c r="A728" s="69"/>
      <c r="B728" s="69"/>
      <c r="C728" s="69"/>
      <c r="D728" s="69"/>
      <c r="E728" s="69"/>
      <c r="F728" s="69"/>
      <c r="Z728" s="97"/>
      <c r="AA728" s="97"/>
      <c r="AB728" s="97"/>
      <c r="AC728" s="97"/>
      <c r="AD728" s="97"/>
      <c r="AE728" s="97"/>
      <c r="AF728" s="97"/>
      <c r="AG728" s="97"/>
      <c r="AH728" s="97"/>
      <c r="AI728" s="97"/>
      <c r="AJ728" s="97"/>
      <c r="AK728" s="97"/>
      <c r="AL728" s="97"/>
      <c r="AM728" s="97"/>
      <c r="AN728" s="97"/>
      <c r="AO728" s="97"/>
    </row>
    <row r="729" spans="1:41" ht="16.5" customHeight="1" x14ac:dyDescent="0.3">
      <c r="A729" s="69"/>
      <c r="B729" s="69"/>
      <c r="C729" s="69"/>
      <c r="D729" s="69"/>
      <c r="E729" s="69"/>
      <c r="F729" s="69"/>
      <c r="Z729" s="97"/>
      <c r="AA729" s="97"/>
      <c r="AB729" s="97"/>
      <c r="AC729" s="97"/>
      <c r="AD729" s="97"/>
      <c r="AE729" s="97"/>
      <c r="AF729" s="97"/>
      <c r="AG729" s="97"/>
      <c r="AH729" s="97"/>
      <c r="AI729" s="97"/>
      <c r="AJ729" s="97"/>
      <c r="AK729" s="97"/>
      <c r="AL729" s="97"/>
      <c r="AM729" s="97"/>
      <c r="AN729" s="97"/>
      <c r="AO729" s="97"/>
    </row>
    <row r="730" spans="1:41" ht="16.5" customHeight="1" x14ac:dyDescent="0.3">
      <c r="A730" s="69"/>
      <c r="B730" s="69"/>
      <c r="C730" s="69"/>
      <c r="D730" s="69"/>
      <c r="E730" s="69"/>
      <c r="F730" s="69"/>
      <c r="Z730" s="97"/>
      <c r="AA730" s="97"/>
      <c r="AB730" s="97"/>
      <c r="AC730" s="97"/>
      <c r="AD730" s="97"/>
      <c r="AE730" s="97"/>
      <c r="AF730" s="97"/>
      <c r="AG730" s="97"/>
      <c r="AH730" s="97"/>
      <c r="AI730" s="97"/>
      <c r="AJ730" s="97"/>
      <c r="AK730" s="97"/>
      <c r="AL730" s="97"/>
      <c r="AM730" s="97"/>
      <c r="AN730" s="97"/>
      <c r="AO730" s="97"/>
    </row>
    <row r="731" spans="1:41" ht="16.5" customHeight="1" x14ac:dyDescent="0.3">
      <c r="A731" s="69"/>
      <c r="B731" s="69"/>
      <c r="C731" s="69"/>
      <c r="D731" s="69"/>
      <c r="E731" s="69"/>
      <c r="F731" s="69"/>
      <c r="Z731" s="97"/>
      <c r="AA731" s="97"/>
      <c r="AB731" s="97"/>
      <c r="AC731" s="97"/>
      <c r="AD731" s="97"/>
      <c r="AE731" s="97"/>
      <c r="AF731" s="97"/>
      <c r="AG731" s="97"/>
      <c r="AH731" s="97"/>
      <c r="AI731" s="97"/>
      <c r="AJ731" s="97"/>
      <c r="AK731" s="97"/>
      <c r="AL731" s="97"/>
      <c r="AM731" s="97"/>
      <c r="AN731" s="97"/>
      <c r="AO731" s="97"/>
    </row>
    <row r="732" spans="1:41" ht="16.5" customHeight="1" x14ac:dyDescent="0.3">
      <c r="A732" s="69"/>
      <c r="B732" s="69"/>
      <c r="C732" s="69"/>
      <c r="D732" s="69"/>
      <c r="E732" s="69"/>
      <c r="F732" s="69"/>
      <c r="Z732" s="97"/>
      <c r="AA732" s="97"/>
      <c r="AB732" s="97"/>
      <c r="AC732" s="97"/>
      <c r="AD732" s="97"/>
      <c r="AE732" s="97"/>
      <c r="AF732" s="97"/>
      <c r="AG732" s="97"/>
      <c r="AH732" s="97"/>
      <c r="AI732" s="97"/>
      <c r="AJ732" s="97"/>
      <c r="AK732" s="97"/>
      <c r="AL732" s="97"/>
      <c r="AM732" s="97"/>
      <c r="AN732" s="97"/>
      <c r="AO732" s="97"/>
    </row>
    <row r="733" spans="1:41" ht="16.5" customHeight="1" x14ac:dyDescent="0.3">
      <c r="A733" s="69"/>
      <c r="B733" s="69"/>
      <c r="C733" s="69"/>
      <c r="D733" s="69"/>
      <c r="E733" s="69"/>
      <c r="F733" s="69"/>
      <c r="Z733" s="97"/>
      <c r="AA733" s="97"/>
      <c r="AB733" s="97"/>
      <c r="AC733" s="97"/>
      <c r="AD733" s="97"/>
      <c r="AE733" s="97"/>
      <c r="AF733" s="97"/>
      <c r="AG733" s="97"/>
      <c r="AH733" s="97"/>
      <c r="AI733" s="97"/>
      <c r="AJ733" s="97"/>
      <c r="AK733" s="97"/>
      <c r="AL733" s="97"/>
      <c r="AM733" s="97"/>
      <c r="AN733" s="97"/>
      <c r="AO733" s="97"/>
    </row>
    <row r="734" spans="1:41" ht="16.5" customHeight="1" x14ac:dyDescent="0.3">
      <c r="A734" s="69"/>
      <c r="B734" s="69"/>
      <c r="C734" s="69"/>
      <c r="D734" s="69"/>
      <c r="E734" s="69"/>
      <c r="F734" s="69"/>
      <c r="Z734" s="97"/>
      <c r="AA734" s="97"/>
      <c r="AB734" s="97"/>
      <c r="AC734" s="97"/>
      <c r="AD734" s="97"/>
      <c r="AE734" s="97"/>
      <c r="AF734" s="97"/>
      <c r="AG734" s="97"/>
      <c r="AH734" s="97"/>
      <c r="AI734" s="97"/>
      <c r="AJ734" s="97"/>
      <c r="AK734" s="97"/>
      <c r="AL734" s="97"/>
      <c r="AM734" s="97"/>
      <c r="AN734" s="97"/>
      <c r="AO734" s="97"/>
    </row>
    <row r="735" spans="1:41" ht="16.5" customHeight="1" x14ac:dyDescent="0.3">
      <c r="A735" s="69"/>
      <c r="B735" s="69"/>
      <c r="C735" s="69"/>
      <c r="D735" s="69"/>
      <c r="E735" s="69"/>
      <c r="F735" s="69"/>
      <c r="Z735" s="97"/>
      <c r="AA735" s="97"/>
      <c r="AB735" s="97"/>
      <c r="AC735" s="97"/>
      <c r="AD735" s="97"/>
      <c r="AE735" s="97"/>
      <c r="AF735" s="97"/>
      <c r="AG735" s="97"/>
      <c r="AH735" s="97"/>
      <c r="AI735" s="97"/>
      <c r="AJ735" s="97"/>
      <c r="AK735" s="97"/>
      <c r="AL735" s="97"/>
      <c r="AM735" s="97"/>
      <c r="AN735" s="97"/>
      <c r="AO735" s="97"/>
    </row>
    <row r="736" spans="1:41" ht="16.5" customHeight="1" x14ac:dyDescent="0.3">
      <c r="A736" s="69"/>
      <c r="B736" s="69"/>
      <c r="C736" s="69"/>
      <c r="D736" s="69"/>
      <c r="E736" s="69"/>
      <c r="F736" s="69"/>
      <c r="Z736" s="97"/>
      <c r="AA736" s="97"/>
      <c r="AB736" s="97"/>
      <c r="AC736" s="97"/>
      <c r="AD736" s="97"/>
      <c r="AE736" s="97"/>
      <c r="AF736" s="97"/>
      <c r="AG736" s="97"/>
      <c r="AH736" s="97"/>
      <c r="AI736" s="97"/>
      <c r="AJ736" s="97"/>
      <c r="AK736" s="97"/>
      <c r="AL736" s="97"/>
      <c r="AM736" s="97"/>
      <c r="AN736" s="97"/>
      <c r="AO736" s="97"/>
    </row>
    <row r="737" spans="1:41" ht="16.5" customHeight="1" x14ac:dyDescent="0.3">
      <c r="A737" s="69"/>
      <c r="B737" s="69"/>
      <c r="C737" s="69"/>
      <c r="D737" s="69"/>
      <c r="E737" s="69"/>
      <c r="F737" s="69"/>
      <c r="Z737" s="97"/>
      <c r="AA737" s="97"/>
      <c r="AB737" s="97"/>
      <c r="AC737" s="97"/>
      <c r="AD737" s="97"/>
      <c r="AE737" s="97"/>
      <c r="AF737" s="97"/>
      <c r="AG737" s="97"/>
      <c r="AH737" s="97"/>
      <c r="AI737" s="97"/>
      <c r="AJ737" s="97"/>
      <c r="AK737" s="97"/>
      <c r="AL737" s="97"/>
      <c r="AM737" s="97"/>
      <c r="AN737" s="97"/>
      <c r="AO737" s="97"/>
    </row>
    <row r="738" spans="1:41" ht="16.5" customHeight="1" x14ac:dyDescent="0.3">
      <c r="A738" s="69"/>
      <c r="B738" s="69"/>
      <c r="C738" s="69"/>
      <c r="D738" s="69"/>
      <c r="E738" s="69"/>
      <c r="F738" s="69"/>
      <c r="Z738" s="97"/>
      <c r="AA738" s="97"/>
      <c r="AB738" s="97"/>
      <c r="AC738" s="97"/>
      <c r="AD738" s="97"/>
      <c r="AE738" s="97"/>
      <c r="AF738" s="97"/>
      <c r="AG738" s="97"/>
      <c r="AH738" s="97"/>
      <c r="AI738" s="97"/>
      <c r="AJ738" s="97"/>
      <c r="AK738" s="97"/>
      <c r="AL738" s="97"/>
      <c r="AM738" s="97"/>
      <c r="AN738" s="97"/>
      <c r="AO738" s="97"/>
    </row>
    <row r="739" spans="1:41" ht="16.5" customHeight="1" x14ac:dyDescent="0.3">
      <c r="A739" s="69"/>
      <c r="B739" s="69"/>
      <c r="C739" s="69"/>
      <c r="D739" s="69"/>
      <c r="E739" s="69"/>
      <c r="F739" s="69"/>
      <c r="Z739" s="97"/>
      <c r="AA739" s="97"/>
      <c r="AB739" s="97"/>
      <c r="AC739" s="97"/>
      <c r="AD739" s="97"/>
      <c r="AE739" s="97"/>
      <c r="AF739" s="97"/>
      <c r="AG739" s="97"/>
      <c r="AH739" s="97"/>
      <c r="AI739" s="97"/>
      <c r="AJ739" s="97"/>
      <c r="AK739" s="97"/>
      <c r="AL739" s="97"/>
      <c r="AM739" s="97"/>
      <c r="AN739" s="97"/>
      <c r="AO739" s="97"/>
    </row>
    <row r="740" spans="1:41" ht="16.5" customHeight="1" x14ac:dyDescent="0.3">
      <c r="A740" s="69"/>
      <c r="B740" s="69"/>
      <c r="C740" s="69"/>
      <c r="D740" s="69"/>
      <c r="E740" s="69"/>
      <c r="F740" s="69"/>
      <c r="Z740" s="97"/>
      <c r="AA740" s="97"/>
      <c r="AB740" s="97"/>
      <c r="AC740" s="97"/>
      <c r="AD740" s="97"/>
      <c r="AE740" s="97"/>
      <c r="AF740" s="97"/>
      <c r="AG740" s="97"/>
      <c r="AH740" s="97"/>
      <c r="AI740" s="97"/>
      <c r="AJ740" s="97"/>
      <c r="AK740" s="97"/>
      <c r="AL740" s="97"/>
      <c r="AM740" s="97"/>
      <c r="AN740" s="97"/>
      <c r="AO740" s="97"/>
    </row>
    <row r="741" spans="1:41" ht="16.5" customHeight="1" x14ac:dyDescent="0.3">
      <c r="A741" s="69"/>
      <c r="B741" s="69"/>
      <c r="C741" s="69"/>
      <c r="D741" s="69"/>
      <c r="E741" s="69"/>
      <c r="F741" s="69"/>
      <c r="Z741" s="97"/>
      <c r="AA741" s="97"/>
      <c r="AB741" s="97"/>
      <c r="AC741" s="97"/>
      <c r="AD741" s="97"/>
      <c r="AE741" s="97"/>
      <c r="AF741" s="97"/>
      <c r="AG741" s="97"/>
      <c r="AH741" s="97"/>
      <c r="AI741" s="97"/>
      <c r="AJ741" s="97"/>
      <c r="AK741" s="97"/>
      <c r="AL741" s="97"/>
      <c r="AM741" s="97"/>
      <c r="AN741" s="97"/>
      <c r="AO741" s="97"/>
    </row>
    <row r="742" spans="1:41" ht="16.5" customHeight="1" x14ac:dyDescent="0.3">
      <c r="A742" s="69"/>
      <c r="B742" s="69"/>
      <c r="C742" s="69"/>
      <c r="D742" s="69"/>
      <c r="E742" s="69"/>
      <c r="F742" s="69"/>
      <c r="Z742" s="97"/>
      <c r="AA742" s="97"/>
      <c r="AB742" s="97"/>
      <c r="AC742" s="97"/>
      <c r="AD742" s="97"/>
      <c r="AE742" s="97"/>
      <c r="AF742" s="97"/>
      <c r="AG742" s="97"/>
      <c r="AH742" s="97"/>
      <c r="AI742" s="97"/>
      <c r="AJ742" s="97"/>
      <c r="AK742" s="97"/>
      <c r="AL742" s="97"/>
      <c r="AM742" s="97"/>
      <c r="AN742" s="97"/>
      <c r="AO742" s="97"/>
    </row>
    <row r="743" spans="1:41" ht="16.5" customHeight="1" x14ac:dyDescent="0.3">
      <c r="A743" s="69"/>
      <c r="B743" s="69"/>
      <c r="C743" s="69"/>
      <c r="D743" s="69"/>
      <c r="E743" s="69"/>
      <c r="F743" s="69"/>
      <c r="Z743" s="97"/>
      <c r="AA743" s="97"/>
      <c r="AB743" s="97"/>
      <c r="AC743" s="97"/>
      <c r="AD743" s="97"/>
      <c r="AE743" s="97"/>
      <c r="AF743" s="97"/>
      <c r="AG743" s="97"/>
      <c r="AH743" s="97"/>
      <c r="AI743" s="97"/>
      <c r="AJ743" s="97"/>
      <c r="AK743" s="97"/>
      <c r="AL743" s="97"/>
      <c r="AM743" s="97"/>
      <c r="AN743" s="97"/>
      <c r="AO743" s="97"/>
    </row>
    <row r="744" spans="1:41" ht="16.5" customHeight="1" x14ac:dyDescent="0.3">
      <c r="A744" s="69"/>
      <c r="B744" s="69"/>
      <c r="C744" s="69"/>
      <c r="D744" s="69"/>
      <c r="E744" s="69"/>
      <c r="F744" s="69"/>
      <c r="Z744" s="97"/>
      <c r="AA744" s="97"/>
      <c r="AB744" s="97"/>
      <c r="AC744" s="97"/>
      <c r="AD744" s="97"/>
      <c r="AE744" s="97"/>
      <c r="AF744" s="97"/>
      <c r="AG744" s="97"/>
      <c r="AH744" s="97"/>
      <c r="AI744" s="97"/>
      <c r="AJ744" s="97"/>
      <c r="AK744" s="97"/>
      <c r="AL744" s="97"/>
      <c r="AM744" s="97"/>
      <c r="AN744" s="97"/>
      <c r="AO744" s="97"/>
    </row>
    <row r="745" spans="1:41" ht="16.5" customHeight="1" x14ac:dyDescent="0.3">
      <c r="A745" s="69"/>
      <c r="B745" s="69"/>
      <c r="C745" s="69"/>
      <c r="D745" s="69"/>
      <c r="E745" s="69"/>
      <c r="F745" s="69"/>
      <c r="Z745" s="97"/>
      <c r="AA745" s="97"/>
      <c r="AB745" s="97"/>
      <c r="AC745" s="97"/>
      <c r="AD745" s="97"/>
      <c r="AE745" s="97"/>
      <c r="AF745" s="97"/>
      <c r="AG745" s="97"/>
      <c r="AH745" s="97"/>
      <c r="AI745" s="97"/>
      <c r="AJ745" s="97"/>
      <c r="AK745" s="97"/>
      <c r="AL745" s="97"/>
      <c r="AM745" s="97"/>
      <c r="AN745" s="97"/>
      <c r="AO745" s="97"/>
    </row>
    <row r="746" spans="1:41" ht="16.5" customHeight="1" x14ac:dyDescent="0.3">
      <c r="A746" s="69"/>
      <c r="B746" s="69"/>
      <c r="C746" s="69"/>
      <c r="D746" s="69"/>
      <c r="E746" s="69"/>
      <c r="F746" s="69"/>
      <c r="Z746" s="97"/>
      <c r="AA746" s="97"/>
      <c r="AB746" s="97"/>
      <c r="AC746" s="97"/>
      <c r="AD746" s="97"/>
      <c r="AE746" s="97"/>
      <c r="AF746" s="97"/>
      <c r="AG746" s="97"/>
      <c r="AH746" s="97"/>
      <c r="AI746" s="97"/>
      <c r="AJ746" s="97"/>
      <c r="AK746" s="97"/>
      <c r="AL746" s="97"/>
      <c r="AM746" s="97"/>
      <c r="AN746" s="97"/>
      <c r="AO746" s="97"/>
    </row>
    <row r="747" spans="1:41" ht="16.5" customHeight="1" x14ac:dyDescent="0.3">
      <c r="A747" s="69"/>
      <c r="B747" s="69"/>
      <c r="C747" s="69"/>
      <c r="D747" s="69"/>
      <c r="E747" s="69"/>
      <c r="F747" s="69"/>
      <c r="Z747" s="97"/>
      <c r="AA747" s="97"/>
      <c r="AB747" s="97"/>
      <c r="AC747" s="97"/>
      <c r="AD747" s="97"/>
      <c r="AE747" s="97"/>
      <c r="AF747" s="97"/>
      <c r="AG747" s="97"/>
      <c r="AH747" s="97"/>
      <c r="AI747" s="97"/>
      <c r="AJ747" s="97"/>
      <c r="AK747" s="97"/>
      <c r="AL747" s="97"/>
      <c r="AM747" s="97"/>
      <c r="AN747" s="97"/>
      <c r="AO747" s="97"/>
    </row>
    <row r="748" spans="1:41" ht="16.5" customHeight="1" x14ac:dyDescent="0.3">
      <c r="A748" s="69"/>
      <c r="B748" s="69"/>
      <c r="C748" s="69"/>
      <c r="D748" s="69"/>
      <c r="E748" s="69"/>
      <c r="F748" s="69"/>
      <c r="Z748" s="97"/>
      <c r="AA748" s="97"/>
      <c r="AB748" s="97"/>
      <c r="AC748" s="97"/>
      <c r="AD748" s="97"/>
      <c r="AE748" s="97"/>
      <c r="AF748" s="97"/>
      <c r="AG748" s="97"/>
      <c r="AH748" s="97"/>
      <c r="AI748" s="97"/>
      <c r="AJ748" s="97"/>
      <c r="AK748" s="97"/>
      <c r="AL748" s="97"/>
      <c r="AM748" s="97"/>
      <c r="AN748" s="97"/>
      <c r="AO748" s="97"/>
    </row>
    <row r="749" spans="1:41" ht="16.5" customHeight="1" x14ac:dyDescent="0.3">
      <c r="A749" s="69"/>
      <c r="B749" s="69"/>
      <c r="C749" s="69"/>
      <c r="D749" s="69"/>
      <c r="E749" s="69"/>
      <c r="F749" s="69"/>
      <c r="Z749" s="97"/>
      <c r="AA749" s="97"/>
      <c r="AB749" s="97"/>
      <c r="AC749" s="97"/>
      <c r="AD749" s="97"/>
      <c r="AE749" s="97"/>
      <c r="AF749" s="97"/>
      <c r="AG749" s="97"/>
      <c r="AH749" s="97"/>
      <c r="AI749" s="97"/>
      <c r="AJ749" s="97"/>
      <c r="AK749" s="97"/>
      <c r="AL749" s="97"/>
      <c r="AM749" s="97"/>
      <c r="AN749" s="97"/>
      <c r="AO749" s="97"/>
    </row>
    <row r="750" spans="1:41" ht="16.5" customHeight="1" x14ac:dyDescent="0.3">
      <c r="A750" s="69"/>
      <c r="B750" s="69"/>
      <c r="C750" s="69"/>
      <c r="D750" s="69"/>
      <c r="E750" s="69"/>
      <c r="F750" s="69"/>
      <c r="Z750" s="97"/>
      <c r="AA750" s="97"/>
      <c r="AB750" s="97"/>
      <c r="AC750" s="97"/>
      <c r="AD750" s="97"/>
      <c r="AE750" s="97"/>
      <c r="AF750" s="97"/>
      <c r="AG750" s="97"/>
      <c r="AH750" s="97"/>
      <c r="AI750" s="97"/>
      <c r="AJ750" s="97"/>
      <c r="AK750" s="97"/>
      <c r="AL750" s="97"/>
      <c r="AM750" s="97"/>
      <c r="AN750" s="97"/>
      <c r="AO750" s="97"/>
    </row>
    <row r="751" spans="1:41" ht="16.5" customHeight="1" x14ac:dyDescent="0.3">
      <c r="A751" s="69"/>
      <c r="B751" s="69"/>
      <c r="C751" s="69"/>
      <c r="D751" s="69"/>
      <c r="E751" s="69"/>
      <c r="F751" s="69"/>
      <c r="Z751" s="97"/>
      <c r="AA751" s="97"/>
      <c r="AB751" s="97"/>
      <c r="AC751" s="97"/>
      <c r="AD751" s="97"/>
      <c r="AE751" s="97"/>
      <c r="AF751" s="97"/>
      <c r="AG751" s="97"/>
      <c r="AH751" s="97"/>
      <c r="AI751" s="97"/>
      <c r="AJ751" s="97"/>
      <c r="AK751" s="97"/>
      <c r="AL751" s="97"/>
      <c r="AM751" s="97"/>
      <c r="AN751" s="97"/>
      <c r="AO751" s="97"/>
    </row>
    <row r="752" spans="1:41" ht="16.5" customHeight="1" x14ac:dyDescent="0.3">
      <c r="A752" s="69"/>
      <c r="B752" s="69"/>
      <c r="C752" s="69"/>
      <c r="D752" s="69"/>
      <c r="E752" s="69"/>
      <c r="F752" s="69"/>
      <c r="Z752" s="97"/>
      <c r="AA752" s="97"/>
      <c r="AB752" s="97"/>
      <c r="AC752" s="97"/>
      <c r="AD752" s="97"/>
      <c r="AE752" s="97"/>
      <c r="AF752" s="97"/>
      <c r="AG752" s="97"/>
      <c r="AH752" s="97"/>
      <c r="AI752" s="97"/>
      <c r="AJ752" s="97"/>
      <c r="AK752" s="97"/>
      <c r="AL752" s="97"/>
      <c r="AM752" s="97"/>
      <c r="AN752" s="97"/>
      <c r="AO752" s="97"/>
    </row>
    <row r="753" spans="1:41" ht="16.5" customHeight="1" x14ac:dyDescent="0.3">
      <c r="A753" s="74"/>
      <c r="B753" s="74"/>
      <c r="C753" s="74"/>
      <c r="D753" s="74"/>
      <c r="E753" s="74"/>
      <c r="F753" s="74"/>
      <c r="Z753" s="97"/>
      <c r="AA753" s="97"/>
      <c r="AB753" s="97"/>
      <c r="AC753" s="97"/>
      <c r="AD753" s="97"/>
      <c r="AE753" s="97"/>
      <c r="AF753" s="97"/>
      <c r="AG753" s="97"/>
      <c r="AH753" s="97"/>
      <c r="AI753" s="97"/>
      <c r="AJ753" s="97"/>
      <c r="AK753" s="97"/>
      <c r="AL753" s="97"/>
      <c r="AM753" s="97"/>
      <c r="AN753" s="97"/>
      <c r="AO753" s="97"/>
    </row>
    <row r="754" spans="1:41" ht="16.5" customHeight="1" x14ac:dyDescent="0.3">
      <c r="A754" s="145" t="s">
        <v>8953</v>
      </c>
      <c r="B754" s="138"/>
      <c r="C754" s="48">
        <f>E754+D754+F754</f>
        <v>1086</v>
      </c>
      <c r="D754" s="47">
        <f>ROUNDDOWN(SUMIF(N707:N725,M754,D707:D725),0)</f>
        <v>1086</v>
      </c>
      <c r="E754" s="56">
        <f>ROUNDDOWN(SUMIF(N707:N725,M754,E707:E725),0)</f>
        <v>0</v>
      </c>
      <c r="F754" s="48">
        <f>ROUNDDOWN(SUMIF(N707:N725,M754,F707:F725),0)</f>
        <v>0</v>
      </c>
      <c r="M754" s="35" t="s">
        <v>6406</v>
      </c>
      <c r="Z754" s="97"/>
      <c r="AA754" s="97"/>
      <c r="AB754" s="97"/>
      <c r="AC754" s="97"/>
      <c r="AD754" s="97"/>
      <c r="AE754" s="97"/>
      <c r="AF754" s="97"/>
      <c r="AG754" s="97"/>
      <c r="AH754" s="97"/>
      <c r="AI754" s="97"/>
      <c r="AJ754" s="97"/>
      <c r="AK754" s="97"/>
      <c r="AL754" s="97"/>
      <c r="AM754" s="97"/>
      <c r="AN754" s="97"/>
      <c r="AO754" s="97"/>
    </row>
  </sheetData>
  <mergeCells count="73">
    <mergeCell ref="A154:B154"/>
    <mergeCell ref="A1:F1"/>
    <mergeCell ref="A3:A4"/>
    <mergeCell ref="B3:B4"/>
    <mergeCell ref="C3:C4"/>
    <mergeCell ref="D3:D4"/>
    <mergeCell ref="E3:E4"/>
    <mergeCell ref="F3:F4"/>
    <mergeCell ref="Z3:AO4"/>
    <mergeCell ref="C5:C6"/>
    <mergeCell ref="D5:D6"/>
    <mergeCell ref="E5:E6"/>
    <mergeCell ref="F5:F6"/>
    <mergeCell ref="A304:B304"/>
    <mergeCell ref="C155:C156"/>
    <mergeCell ref="D155:D156"/>
    <mergeCell ref="E155:E156"/>
    <mergeCell ref="F155:F156"/>
    <mergeCell ref="A204:B204"/>
    <mergeCell ref="C205:C206"/>
    <mergeCell ref="D205:D206"/>
    <mergeCell ref="E205:E206"/>
    <mergeCell ref="F205:F206"/>
    <mergeCell ref="A254:B254"/>
    <mergeCell ref="C255:C256"/>
    <mergeCell ref="D255:D256"/>
    <mergeCell ref="E255:E256"/>
    <mergeCell ref="F255:F256"/>
    <mergeCell ref="A454:B454"/>
    <mergeCell ref="C305:C306"/>
    <mergeCell ref="D305:D306"/>
    <mergeCell ref="E305:E306"/>
    <mergeCell ref="F305:F306"/>
    <mergeCell ref="A354:B354"/>
    <mergeCell ref="C355:C356"/>
    <mergeCell ref="D355:D356"/>
    <mergeCell ref="E355:E356"/>
    <mergeCell ref="F355:F356"/>
    <mergeCell ref="A404:B404"/>
    <mergeCell ref="C405:C406"/>
    <mergeCell ref="D405:D406"/>
    <mergeCell ref="E405:E406"/>
    <mergeCell ref="F405:F406"/>
    <mergeCell ref="A604:B604"/>
    <mergeCell ref="C455:C456"/>
    <mergeCell ref="D455:D456"/>
    <mergeCell ref="E455:E456"/>
    <mergeCell ref="F455:F456"/>
    <mergeCell ref="A504:B504"/>
    <mergeCell ref="C505:C506"/>
    <mergeCell ref="D505:D506"/>
    <mergeCell ref="E505:E506"/>
    <mergeCell ref="F505:F506"/>
    <mergeCell ref="A554:B554"/>
    <mergeCell ref="C555:C556"/>
    <mergeCell ref="D555:D556"/>
    <mergeCell ref="E555:E556"/>
    <mergeCell ref="F555:F556"/>
    <mergeCell ref="A754:B754"/>
    <mergeCell ref="C605:C606"/>
    <mergeCell ref="D605:D606"/>
    <mergeCell ref="E605:E606"/>
    <mergeCell ref="F605:F606"/>
    <mergeCell ref="A654:B654"/>
    <mergeCell ref="C655:C656"/>
    <mergeCell ref="D655:D656"/>
    <mergeCell ref="E655:E656"/>
    <mergeCell ref="F655:F656"/>
    <mergeCell ref="A704:B704"/>
    <mergeCell ref="C705:C706"/>
    <mergeCell ref="D705:D706"/>
    <mergeCell ref="E705:E706"/>
    <mergeCell ref="F705:F706"/>
  </mergeCells>
  <phoneticPr fontId="25" type="noConversion"/>
  <conditionalFormatting sqref="C5:F754">
    <cfRule type="expression" dxfId="2" priority="1" stopIfTrue="1">
      <formula>AND(C5&lt;&gt;0,INT(C5)=C5)</formula>
    </cfRule>
  </conditionalFormatting>
  <hyperlinks>
    <hyperlink ref="Y1" r:id="rId1" tooltip="설계예산시스템(STmate w26.07)으로 작성 하였으며,_x000a_엑셀 인쇄품질 600 dpi에 최적화 되어 있습니다._x000a_경영정보(주) http://www.stma.co.kr_x000a_Tel) 070-4350-0040_x000a_Fax) 0505-300-3948" xr:uid="{58824E03-BA4F-4031-8D03-0DBB34CB2456}"/>
    <hyperlink ref="G1" r:id="rId2" tooltip="설계예산시스템(STmate w26.07)으로 작성 하였으며,_x000a_엑셀 인쇄품질 600 dpi에 최적화 되어 있습니다._x000a_경영정보(주) http://www.stma.co.kr_x000a_Tel) 070-4350-0040_x000a_Fax) 0505-300-3948" xr:uid="{D33297AA-8869-4718-9890-F7025CCCA112}"/>
  </hyperlinks>
  <printOptions horizontalCentered="1"/>
  <pageMargins left="0.39370078740157483" right="0.78740157480314954" top="0.78740157480314965" bottom="0.86614173228346447" header="0" footer="0.66929133858267709"/>
  <pageSetup paperSize="9" scale="79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12E14-E895-4BDE-BD0D-A7DB7F12E375}">
  <dimension ref="A1:J14"/>
  <sheetViews>
    <sheetView workbookViewId="0">
      <selection sqref="A1:H1"/>
    </sheetView>
  </sheetViews>
  <sheetFormatPr defaultColWidth="9.125" defaultRowHeight="16.5" x14ac:dyDescent="0.3"/>
  <cols>
    <col min="1" max="1" width="4" style="6" customWidth="1"/>
    <col min="2" max="2" width="5.5" style="6" customWidth="1"/>
    <col min="3" max="4" width="16" style="6" customWidth="1"/>
    <col min="5" max="5" width="5.5" style="6" customWidth="1"/>
    <col min="6" max="6" width="16" style="6" customWidth="1"/>
    <col min="7" max="7" width="11.5" style="6" customWidth="1"/>
    <col min="8" max="8" width="10" style="6" customWidth="1"/>
    <col min="9" max="9" width="9.125" style="6" hidden="1" customWidth="1"/>
    <col min="10" max="10" width="9.125" style="18" customWidth="1"/>
    <col min="11" max="16384" width="9.125" style="6"/>
  </cols>
  <sheetData>
    <row r="1" spans="1:10" ht="18.2" customHeight="1" x14ac:dyDescent="0.3">
      <c r="A1" s="151" t="s">
        <v>3156</v>
      </c>
      <c r="B1" s="121"/>
      <c r="C1" s="138"/>
      <c r="D1" s="138"/>
      <c r="E1" s="138"/>
      <c r="F1" s="138"/>
      <c r="G1" s="138"/>
      <c r="H1" s="138"/>
      <c r="I1" s="5" t="s">
        <v>1982</v>
      </c>
      <c r="J1" s="19" t="s">
        <v>1982</v>
      </c>
    </row>
    <row r="2" spans="1:10" ht="18.2" customHeight="1" x14ac:dyDescent="0.3">
      <c r="C2" s="24" t="s">
        <v>3157</v>
      </c>
      <c r="D2" s="24" t="s">
        <v>3158</v>
      </c>
      <c r="E2" s="149" t="s">
        <v>3159</v>
      </c>
      <c r="F2" s="150"/>
      <c r="G2" s="149" t="s">
        <v>3160</v>
      </c>
      <c r="H2" s="150"/>
      <c r="I2" s="20" t="str">
        <f ca="1">MID(CELL("filename",$A$1),FIND("]",CELL("filename",$A$1))+1,LEN(CELL("filename",$A$1)))</f>
        <v>환율및기초자료</v>
      </c>
    </row>
    <row r="3" spans="1:10" ht="18.2" customHeight="1" x14ac:dyDescent="0.3">
      <c r="C3" s="26">
        <v>1507</v>
      </c>
      <c r="D3" s="26">
        <v>1507</v>
      </c>
      <c r="E3" s="152">
        <v>1717.96</v>
      </c>
      <c r="F3" s="150"/>
      <c r="G3" s="153">
        <v>952</v>
      </c>
      <c r="H3" s="150"/>
    </row>
    <row r="4" spans="1:10" ht="18.2" customHeight="1" x14ac:dyDescent="0.3">
      <c r="C4" s="25"/>
      <c r="D4" s="25"/>
      <c r="E4" s="25"/>
      <c r="F4" s="25"/>
      <c r="G4" s="25"/>
      <c r="H4" s="25"/>
    </row>
    <row r="5" spans="1:10" ht="18.2" customHeight="1" x14ac:dyDescent="0.3">
      <c r="A5" s="151" t="s">
        <v>3161</v>
      </c>
      <c r="B5" s="121"/>
      <c r="C5" s="121"/>
      <c r="D5" s="121"/>
      <c r="E5" s="121"/>
      <c r="F5" s="121"/>
      <c r="G5" s="121"/>
      <c r="H5" s="121"/>
    </row>
    <row r="6" spans="1:10" ht="18.2" customHeight="1" x14ac:dyDescent="0.3">
      <c r="C6" s="27" t="s">
        <v>3073</v>
      </c>
      <c r="D6" s="29">
        <f>노무비목록표!E4</f>
        <v>283297</v>
      </c>
      <c r="E6" s="148" t="s">
        <v>3162</v>
      </c>
      <c r="F6" s="138"/>
      <c r="G6" s="29">
        <f>ROUNDDOWN(D6*0.20833333334,1)</f>
        <v>59020.2</v>
      </c>
      <c r="H6" s="31" t="s">
        <v>3163</v>
      </c>
      <c r="J6" s="3" t="str">
        <f ca="1">HYPERLINK("#"&amp;노무비목록표!G2&amp;"!A"&amp;ROW(노무비목록표!A4),"노무1 →")</f>
        <v>노무1 →</v>
      </c>
    </row>
    <row r="7" spans="1:10" ht="18.2" customHeight="1" x14ac:dyDescent="0.3">
      <c r="C7" s="28" t="s">
        <v>3113</v>
      </c>
      <c r="D7" s="30">
        <f>노무비목록표!E24</f>
        <v>238936</v>
      </c>
      <c r="E7" s="149" t="s">
        <v>3162</v>
      </c>
      <c r="F7" s="150"/>
      <c r="G7" s="30">
        <f>ROUNDDOWN(D7*0.20833333334,1)</f>
        <v>49778.3</v>
      </c>
      <c r="H7" s="24" t="s">
        <v>3164</v>
      </c>
      <c r="J7" s="3" t="str">
        <f ca="1">HYPERLINK("#"&amp;노무비목록표!G2&amp;"!A"&amp;ROW(노무비목록표!A24),"노무21 →")</f>
        <v>노무21 →</v>
      </c>
    </row>
    <row r="8" spans="1:10" ht="18.2" customHeight="1" x14ac:dyDescent="0.3">
      <c r="C8" s="25"/>
      <c r="D8" s="25"/>
      <c r="E8" s="25"/>
      <c r="F8" s="25"/>
      <c r="G8" s="25"/>
      <c r="H8" s="25"/>
    </row>
    <row r="9" spans="1:10" ht="18.2" customHeight="1" x14ac:dyDescent="0.3">
      <c r="A9" s="151" t="s">
        <v>3165</v>
      </c>
      <c r="B9" s="138"/>
      <c r="C9" s="138"/>
      <c r="D9" s="138"/>
      <c r="E9" s="138"/>
      <c r="F9" s="138"/>
      <c r="G9" s="138"/>
      <c r="H9" s="138"/>
    </row>
    <row r="10" spans="1:10" ht="18.2" customHeight="1" x14ac:dyDescent="0.3">
      <c r="B10" s="24" t="s">
        <v>3166</v>
      </c>
      <c r="C10" s="24" t="s">
        <v>3167</v>
      </c>
      <c r="D10" s="24" t="s">
        <v>3168</v>
      </c>
      <c r="E10" s="24" t="s">
        <v>5</v>
      </c>
      <c r="F10" s="24" t="s">
        <v>3169</v>
      </c>
      <c r="G10" s="24"/>
      <c r="H10" s="24" t="s">
        <v>10</v>
      </c>
    </row>
    <row r="11" spans="1:10" ht="18.2" customHeight="1" x14ac:dyDescent="0.3">
      <c r="B11" s="24" t="s">
        <v>3170</v>
      </c>
      <c r="C11" s="28" t="s">
        <v>3073</v>
      </c>
      <c r="D11" s="24"/>
      <c r="E11" s="24" t="s">
        <v>3074</v>
      </c>
      <c r="F11" s="30">
        <f>노무비목록표!E4</f>
        <v>283297</v>
      </c>
      <c r="G11" s="28"/>
      <c r="H11" s="24" t="s">
        <v>3163</v>
      </c>
      <c r="J11" s="3" t="str">
        <f ca="1">HYPERLINK("#"&amp;노무비목록표!G2&amp;"!A"&amp;ROW(노무비목록표!A4),"노무1 →")</f>
        <v>노무1 →</v>
      </c>
    </row>
    <row r="12" spans="1:10" ht="18.2" customHeight="1" x14ac:dyDescent="0.3">
      <c r="B12" s="24" t="s">
        <v>3171</v>
      </c>
      <c r="C12" s="28" t="s">
        <v>3113</v>
      </c>
      <c r="D12" s="24"/>
      <c r="E12" s="24" t="s">
        <v>3074</v>
      </c>
      <c r="F12" s="30">
        <f>노무비목록표!E24</f>
        <v>238936</v>
      </c>
      <c r="G12" s="28"/>
      <c r="H12" s="24" t="s">
        <v>3164</v>
      </c>
      <c r="J12" s="3" t="str">
        <f ca="1">HYPERLINK("#"&amp;노무비목록표!G2&amp;"!A"&amp;ROW(노무비목록표!A24),"노무21 →")</f>
        <v>노무21 →</v>
      </c>
    </row>
    <row r="13" spans="1:10" ht="18.2" customHeight="1" x14ac:dyDescent="0.3">
      <c r="B13" s="24" t="s">
        <v>3172</v>
      </c>
      <c r="C13" s="28" t="s">
        <v>2066</v>
      </c>
      <c r="D13" s="24" t="s">
        <v>2067</v>
      </c>
      <c r="E13" s="24" t="s">
        <v>2068</v>
      </c>
      <c r="F13" s="30">
        <f>재료비목록표!E13</f>
        <v>1817</v>
      </c>
      <c r="G13" s="28"/>
      <c r="H13" s="24" t="s">
        <v>3173</v>
      </c>
      <c r="J13" s="3" t="str">
        <f ca="1">HYPERLINK("#"&amp;재료비목록표!G2&amp;"!A"&amp;ROW(재료비목록표!A13),"자재10 →")</f>
        <v>자재10 →</v>
      </c>
    </row>
    <row r="14" spans="1:10" ht="18.2" customHeight="1" x14ac:dyDescent="0.3">
      <c r="B14" s="25"/>
      <c r="C14" s="25"/>
      <c r="D14" s="25"/>
      <c r="E14" s="25"/>
      <c r="F14" s="25"/>
      <c r="G14" s="25"/>
      <c r="H14" s="25"/>
    </row>
  </sheetData>
  <mergeCells count="9">
    <mergeCell ref="E6:F6"/>
    <mergeCell ref="E7:F7"/>
    <mergeCell ref="A9:H9"/>
    <mergeCell ref="A1:H1"/>
    <mergeCell ref="E2:F2"/>
    <mergeCell ref="G2:H2"/>
    <mergeCell ref="E3:F3"/>
    <mergeCell ref="G3:H3"/>
    <mergeCell ref="A5:H5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 xr:uid="{854BF759-0ADC-40D8-B926-5A801EB0F9B1}"/>
    <hyperlink ref="I1" r:id="rId2" tooltip="설계예산시스템(STmate w26.07)으로 작성 하였으며,_x000a_엑셀 인쇄품질 600 dpi에 최적화 되어 있습니다._x000a_경영정보(주) http://www.stma.co.kr_x000a_Tel) 070-4350-0040_x000a_Fax) 0505-300-3948" xr:uid="{8685CF88-E7F3-41A9-B694-0EAAB3BF732C}"/>
  </hyperlinks>
  <printOptions horizontalCentered="1"/>
  <pageMargins left="0.39370078740157483" right="0.78740157480314954" top="0.78740157480314965" bottom="0.78740157480314965" header="0" footer="0.59055118110236227"/>
  <pageSetup paperSize="9" scale="97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B9CA9-07CE-46B6-BEBD-7830E0701438}">
  <dimension ref="A1:K8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1" t="s">
        <v>2012</v>
      </c>
      <c r="B1" s="121"/>
      <c r="C1" s="121"/>
      <c r="D1" s="121"/>
      <c r="E1" s="121"/>
      <c r="F1" s="121"/>
      <c r="G1" s="121"/>
      <c r="H1" s="121"/>
      <c r="I1" s="121"/>
      <c r="J1" s="5" t="s">
        <v>1982</v>
      </c>
      <c r="K1" s="19" t="s">
        <v>1982</v>
      </c>
    </row>
    <row r="2" spans="1:11" ht="23.1" customHeight="1" x14ac:dyDescent="0.3">
      <c r="A2" s="1" t="s">
        <v>1</v>
      </c>
      <c r="J2" s="20" t="str">
        <f ca="1">MID(CELL("filename",$A$1),FIND("]",CELL("filename",$A$1))+1,LEN(CELL("filename",$A$1)))</f>
        <v>중기목록표</v>
      </c>
    </row>
    <row r="3" spans="1:11" ht="23.1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3.1" customHeight="1" x14ac:dyDescent="0.3">
      <c r="A4" s="9" t="s">
        <v>11</v>
      </c>
      <c r="B4" s="10" t="s">
        <v>2013</v>
      </c>
      <c r="C4" s="10" t="s">
        <v>2014</v>
      </c>
      <c r="D4" s="9" t="s">
        <v>2015</v>
      </c>
      <c r="E4" s="48">
        <f>중기사용료!F11</f>
        <v>98479</v>
      </c>
      <c r="F4" s="47">
        <f>중기사용료!H11</f>
        <v>59020</v>
      </c>
      <c r="G4" s="56">
        <f>중기사용료!J11</f>
        <v>21945</v>
      </c>
      <c r="H4" s="48">
        <f>중기사용료!L11</f>
        <v>17514</v>
      </c>
      <c r="I4" s="15" t="s">
        <v>2016</v>
      </c>
      <c r="J4" s="17" t="str">
        <f>"_x0007_`COD|X00108_x0005_`QTY1|1_x0005_`BQC|_x0005_`EQC|03020100400_x0005_`JDC|00000201004000000_x0005_`WQC|_x0005_`EDT|2026_x0005_`ADJ|F_x0005_`RXX|0_x0005_`DET|"&amp;ROW(중기사용료!A6)&amp;"_x0005_`"</f>
        <v>_x0007_`COD|X00108_x0005_`QTY1|1_x0005_`BQC|_x0005_`EQC|03020100400_x0005_`JDC|00000201004000000_x0005_`WQC|_x0005_`EDT|2026_x0005_`ADJ|F_x0005_`RXX|0_x0005_`DET|6_x0005_`</v>
      </c>
      <c r="K4" s="3" t="str">
        <f ca="1">HYPERLINK("#"&amp;중기사용료!N2&amp;"!A"&amp;ROW(중기사용료!A6),"중기1 →")</f>
        <v>중기1 →</v>
      </c>
    </row>
    <row r="5" spans="1:11" ht="23.1" customHeight="1" x14ac:dyDescent="0.3">
      <c r="A5" s="9" t="s">
        <v>16</v>
      </c>
      <c r="B5" s="10" t="s">
        <v>2018</v>
      </c>
      <c r="C5" s="10" t="s">
        <v>2019</v>
      </c>
      <c r="D5" s="9" t="s">
        <v>2015</v>
      </c>
      <c r="E5" s="48">
        <f>중기사용료!F18</f>
        <v>81731</v>
      </c>
      <c r="F5" s="47">
        <f>중기사용료!H18</f>
        <v>49778</v>
      </c>
      <c r="G5" s="56">
        <f>중기사용료!J18</f>
        <v>21967</v>
      </c>
      <c r="H5" s="48">
        <f>중기사용료!L18</f>
        <v>9986</v>
      </c>
      <c r="I5" s="15" t="s">
        <v>2020</v>
      </c>
      <c r="J5" s="17" t="str">
        <f>"_x0007_`COD|X00051_x0005_`QTY1|1_x0005_`BQC|_x0005_`EQC|03720400550_x0005_`JDC|00007204005500000_x0005_`WQC|_x0005_`EDT|2026_x0005_`ADJ|F_x0005_`RXX|0_x0005_`DET|"&amp;ROW(중기사용료!A13)&amp;"_x0005_`"</f>
        <v>_x0007_`COD|X00051_x0005_`QTY1|1_x0005_`BQC|_x0005_`EQC|03720400550_x0005_`JDC|00007204005500000_x0005_`WQC|_x0005_`EDT|2026_x0005_`ADJ|F_x0005_`RXX|0_x0005_`DET|13_x0005_`</v>
      </c>
      <c r="K5" s="3" t="str">
        <f ca="1">HYPERLINK("#"&amp;중기사용료!N2&amp;"!A"&amp;ROW(중기사용료!A13),"중기2 →")</f>
        <v>중기2 →</v>
      </c>
    </row>
    <row r="6" spans="1:11" ht="23.1" customHeight="1" x14ac:dyDescent="0.3">
      <c r="A6" s="9" t="s">
        <v>19</v>
      </c>
      <c r="B6" s="10" t="s">
        <v>2022</v>
      </c>
      <c r="C6" s="10" t="s">
        <v>2023</v>
      </c>
      <c r="D6" s="9" t="s">
        <v>2015</v>
      </c>
      <c r="E6" s="48">
        <f>중기사용료!F25</f>
        <v>202263</v>
      </c>
      <c r="F6" s="47">
        <f>중기사용료!H25</f>
        <v>59020</v>
      </c>
      <c r="G6" s="56">
        <f>중기사용료!J25</f>
        <v>70208</v>
      </c>
      <c r="H6" s="48">
        <f>중기사용료!L25</f>
        <v>73035</v>
      </c>
      <c r="I6" s="15" t="s">
        <v>2024</v>
      </c>
      <c r="J6" s="17" t="str">
        <f>"_x0007_`COD|X00114_x0005_`QTY1|1_x0005_`BQC|08하' 신규_x0005_`EQC|03711000250_x0005_`JDC|00007110002500000_x0005_`WQC|_x0005_`EDT|2026_x0005_`ADJ|F_x0005_`RXX|0_x0005_`DET|"&amp;ROW(중기사용료!A20)&amp;"_x0005_`"</f>
        <v>_x0007_`COD|X00114_x0005_`QTY1|1_x0005_`BQC|08하' 신규_x0005_`EQC|03711000250_x0005_`JDC|00007110002500000_x0005_`WQC|_x0005_`EDT|2026_x0005_`ADJ|F_x0005_`RXX|0_x0005_`DET|20_x0005_`</v>
      </c>
      <c r="K6" s="3" t="str">
        <f ca="1">HYPERLINK("#"&amp;중기사용료!N2&amp;"!A"&amp;ROW(중기사용료!A20),"중기3 →")</f>
        <v>중기3 →</v>
      </c>
    </row>
    <row r="7" spans="1:11" ht="23.1" customHeight="1" x14ac:dyDescent="0.3">
      <c r="A7" s="9" t="s">
        <v>22</v>
      </c>
      <c r="B7" s="10" t="s">
        <v>2026</v>
      </c>
      <c r="C7" s="10" t="s">
        <v>2027</v>
      </c>
      <c r="D7" s="9" t="s">
        <v>2015</v>
      </c>
      <c r="E7" s="48">
        <f>중기사용료!F29</f>
        <v>472</v>
      </c>
      <c r="F7" s="47">
        <f>중기사용료!H29</f>
        <v>0</v>
      </c>
      <c r="G7" s="56">
        <f>중기사용료!J29</f>
        <v>0</v>
      </c>
      <c r="H7" s="48">
        <f>중기사용료!L29</f>
        <v>472</v>
      </c>
      <c r="I7" s="15" t="s">
        <v>2028</v>
      </c>
      <c r="J7" s="17" t="str">
        <f>"_x0007_`COD|X00127_x0005_`QTY1|1_x0005_`BQC|_x0005_`EQC|03590100060_x0005_`JDC|00005901000600000_x0005_`WQC|_x0005_`EDT|2026_x0005_`ADJ|F_x0005_`RXX|0_x0005_`DET|"&amp;ROW(중기사용료!A27)&amp;"_x0005_`"</f>
        <v>_x0007_`COD|X00127_x0005_`QTY1|1_x0005_`BQC|_x0005_`EQC|03590100060_x0005_`JDC|00005901000600000_x0005_`WQC|_x0005_`EDT|2026_x0005_`ADJ|F_x0005_`RXX|0_x0005_`DET|27_x0005_`</v>
      </c>
      <c r="K7" s="3" t="str">
        <f ca="1">HYPERLINK("#"&amp;중기사용료!N2&amp;"!A"&amp;ROW(중기사용료!A27),"중기4 →")</f>
        <v>중기4 →</v>
      </c>
    </row>
    <row r="8" spans="1:11" ht="23.1" customHeight="1" x14ac:dyDescent="0.3">
      <c r="A8" s="9" t="s">
        <v>25</v>
      </c>
      <c r="B8" s="10" t="s">
        <v>2030</v>
      </c>
      <c r="C8" s="10" t="s">
        <v>2031</v>
      </c>
      <c r="D8" s="9" t="s">
        <v>2015</v>
      </c>
      <c r="E8" s="48">
        <f>중기사용료!F36</f>
        <v>99961</v>
      </c>
      <c r="F8" s="47">
        <f>중기사용료!H36</f>
        <v>59020</v>
      </c>
      <c r="G8" s="56">
        <f>중기사용료!J36</f>
        <v>9597</v>
      </c>
      <c r="H8" s="48">
        <f>중기사용료!L36</f>
        <v>31344</v>
      </c>
      <c r="I8" s="15" t="s">
        <v>2032</v>
      </c>
      <c r="J8" s="17" t="str">
        <f>"_x0007_`COD|X00031_x0005_`QTY1|1_x0005_`BQC|_x0005_`EQC|03210400100_x0005_`JDC|00002104001000000_x0005_`WQC|_x0005_`EDT|2026_x0005_`ADJ|F_x0005_`RXX|0_x0005_`DET|"&amp;ROW(중기사용료!A31)&amp;"_x0005_`"</f>
        <v>_x0007_`COD|X00031_x0005_`QTY1|1_x0005_`BQC|_x0005_`EQC|03210400100_x0005_`JDC|00002104001000000_x0005_`WQC|_x0005_`EDT|2026_x0005_`ADJ|F_x0005_`RXX|0_x0005_`DET|31_x0005_`</v>
      </c>
      <c r="K8" s="3" t="str">
        <f ca="1">HYPERLINK("#"&amp;중기사용료!N2&amp;"!A"&amp;ROW(중기사용료!A31),"중기5 →")</f>
        <v>중기5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 xr:uid="{AC310CD6-7C8F-4C90-AD16-4FBDA13790FA}"/>
    <hyperlink ref="J1" r:id="rId2" tooltip="설계예산시스템(STmate w26.07)으로 작성 하였으며,_x000a_엑셀 인쇄품질 600 dpi에 최적화 되어 있습니다._x000a_경영정보(주) http://www.stma.co.kr_x000a_Tel) 070-4350-0040_x000a_Fax) 0505-300-3948" xr:uid="{ECD5342E-ADB3-4FE5-85B6-B9F511DDCAED}"/>
  </hyperlinks>
  <printOptions horizontalCentered="1"/>
  <pageMargins left="0.39370078740157483" right="0.78740157480314954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6BDF0-EF59-4AA4-9EA3-A571502C7381}">
  <dimension ref="A1:Z36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83" hidden="1" customWidth="1"/>
    <col min="15" max="25" width="2.125" style="6" customWidth="1"/>
    <col min="26" max="26" width="9.125" style="18" customWidth="1"/>
    <col min="27" max="16384" width="9.125" style="6"/>
  </cols>
  <sheetData>
    <row r="1" spans="1:26" ht="24.95" customHeight="1" x14ac:dyDescent="0.3">
      <c r="A1" s="131" t="s">
        <v>9037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5" t="s">
        <v>1982</v>
      </c>
      <c r="Z1" s="19" t="s">
        <v>1982</v>
      </c>
    </row>
    <row r="2" spans="1:26" ht="28.7" customHeight="1" x14ac:dyDescent="0.3">
      <c r="A2" s="1" t="s">
        <v>1</v>
      </c>
      <c r="N2" s="20" t="str">
        <f ca="1">MID(CELL("filename",$A$1),FIND("]",CELL("filename",$A$1))+1,LEN(CELL("filename",$A$1)))</f>
        <v>중기사용료</v>
      </c>
    </row>
    <row r="3" spans="1:26" ht="28.7" customHeight="1" x14ac:dyDescent="0.3">
      <c r="A3" s="142" t="s">
        <v>3</v>
      </c>
      <c r="B3" s="142" t="s">
        <v>4</v>
      </c>
      <c r="C3" s="142" t="s">
        <v>3334</v>
      </c>
      <c r="D3" s="142" t="s">
        <v>5</v>
      </c>
      <c r="E3" s="134" t="s">
        <v>6</v>
      </c>
      <c r="F3" s="143"/>
      <c r="G3" s="134" t="s">
        <v>7</v>
      </c>
      <c r="H3" s="143"/>
      <c r="I3" s="134" t="s">
        <v>8</v>
      </c>
      <c r="J3" s="143"/>
      <c r="K3" s="134" t="s">
        <v>9</v>
      </c>
      <c r="L3" s="143"/>
      <c r="M3" s="134" t="s">
        <v>10</v>
      </c>
    </row>
    <row r="4" spans="1:26" ht="28.7" customHeight="1" x14ac:dyDescent="0.3">
      <c r="A4" s="143"/>
      <c r="B4" s="143"/>
      <c r="C4" s="143"/>
      <c r="D4" s="143"/>
      <c r="E4" s="9" t="s">
        <v>2035</v>
      </c>
      <c r="F4" s="9" t="s">
        <v>3335</v>
      </c>
      <c r="G4" s="9" t="s">
        <v>2035</v>
      </c>
      <c r="H4" s="9" t="s">
        <v>3335</v>
      </c>
      <c r="I4" s="9" t="s">
        <v>2035</v>
      </c>
      <c r="J4" s="9" t="s">
        <v>3335</v>
      </c>
      <c r="K4" s="9" t="s">
        <v>2035</v>
      </c>
      <c r="L4" s="9" t="s">
        <v>3335</v>
      </c>
      <c r="M4" s="135"/>
      <c r="Z4" s="3" t="str">
        <f>HYPERLINK("#'〓 목 차 〓'!B2","목차 →")</f>
        <v>목차 →</v>
      </c>
    </row>
    <row r="5" spans="1:26" ht="28.7" customHeight="1" x14ac:dyDescent="0.3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26" ht="28.7" customHeight="1" x14ac:dyDescent="0.3">
      <c r="A6" s="136" t="s">
        <v>9038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44"/>
      <c r="M6" s="22" t="s">
        <v>2016</v>
      </c>
      <c r="N6" s="84" t="str">
        <f>HYPERLINK("#N"&amp;ROW(N10),"_x0005_`BDCOD|X00108_x0007_`POSS|"&amp;ROW(N7)&amp;"_x0007_`POSE|"&amp;ROW(N10)&amp;"_x0007_`")</f>
        <v>_x0005_`BDCOD|X00108_x0007_`POSS|7_x0007_`POSE|10_x0007_`</v>
      </c>
      <c r="O6" s="7" t="s">
        <v>9039</v>
      </c>
    </row>
    <row r="7" spans="1:26" ht="28.7" customHeight="1" x14ac:dyDescent="0.3">
      <c r="A7" s="10" t="s">
        <v>2013</v>
      </c>
      <c r="B7" s="10" t="s">
        <v>2014</v>
      </c>
      <c r="C7" s="75">
        <v>0.20849999999999999</v>
      </c>
      <c r="D7" s="31" t="s">
        <v>3116</v>
      </c>
      <c r="E7" s="55">
        <f t="shared" ref="E7:F10" si="0">I7+G7+K7</f>
        <v>84000</v>
      </c>
      <c r="F7" s="77">
        <f t="shared" si="0"/>
        <v>17514</v>
      </c>
      <c r="G7" s="51">
        <v>0</v>
      </c>
      <c r="H7" s="77">
        <f>IF(C7=0,0,ROUNDDOWN(G7*C7,1))</f>
        <v>0</v>
      </c>
      <c r="I7" s="51">
        <v>0</v>
      </c>
      <c r="J7" s="76">
        <f>IF(C7=0,0,ROUNDDOWN(I7*C7,1))</f>
        <v>0</v>
      </c>
      <c r="K7" s="78">
        <f>경비목록표!E4</f>
        <v>84000</v>
      </c>
      <c r="L7" s="80">
        <f>IF(C7=0,0,ROUNDDOWN(K7*C7,1))</f>
        <v>17514</v>
      </c>
      <c r="M7" s="22" t="s">
        <v>9042</v>
      </c>
      <c r="N7" s="17" t="s">
        <v>9040</v>
      </c>
      <c r="O7" s="7" t="s">
        <v>9041</v>
      </c>
      <c r="P7" s="7" t="s">
        <v>6406</v>
      </c>
      <c r="Z7" s="3" t="str">
        <f ca="1">HYPERLINK("#"&amp;경비목록표!G2&amp;"!A"&amp;ROW(경비목록표!A4),"경비1 →")</f>
        <v>경비1 →</v>
      </c>
    </row>
    <row r="8" spans="1:26" ht="28.7" customHeight="1" x14ac:dyDescent="0.3">
      <c r="A8" s="10" t="s">
        <v>3073</v>
      </c>
      <c r="B8" s="10"/>
      <c r="C8" s="75">
        <v>1</v>
      </c>
      <c r="D8" s="31" t="s">
        <v>3074</v>
      </c>
      <c r="E8" s="55">
        <f t="shared" si="0"/>
        <v>59020.2</v>
      </c>
      <c r="F8" s="76">
        <f t="shared" si="0"/>
        <v>59020.2</v>
      </c>
      <c r="G8" s="78">
        <f>환율및기초자료!G6</f>
        <v>59020.2</v>
      </c>
      <c r="H8" s="81">
        <f>IF(C8=0,0,ROUNDDOWN(G8*C8,1))</f>
        <v>59020.2</v>
      </c>
      <c r="I8" s="51">
        <v>0</v>
      </c>
      <c r="J8" s="77">
        <f>IF(C8=0,0,ROUNDDOWN(I8*C8,1))</f>
        <v>0</v>
      </c>
      <c r="K8" s="51">
        <v>0</v>
      </c>
      <c r="L8" s="76">
        <f>IF(C8=0,0,ROUNDDOWN(K8*C8,1))</f>
        <v>0</v>
      </c>
      <c r="M8" s="22" t="s">
        <v>9045</v>
      </c>
      <c r="N8" s="17" t="s">
        <v>9043</v>
      </c>
      <c r="O8" s="7" t="s">
        <v>9044</v>
      </c>
      <c r="P8" s="7" t="s">
        <v>6406</v>
      </c>
      <c r="Z8" s="3" t="str">
        <f ca="1">HYPERLINK("#"&amp;환율및기초자료!I2&amp;"!A"&amp;ROW(환율및기초자료!A6),"노무1 →")</f>
        <v>노무1 →</v>
      </c>
    </row>
    <row r="9" spans="1:26" ht="28.7" customHeight="1" x14ac:dyDescent="0.3">
      <c r="A9" s="10" t="s">
        <v>2066</v>
      </c>
      <c r="B9" s="10" t="s">
        <v>2067</v>
      </c>
      <c r="C9" s="75">
        <v>9.9</v>
      </c>
      <c r="D9" s="31" t="s">
        <v>2068</v>
      </c>
      <c r="E9" s="55">
        <f t="shared" si="0"/>
        <v>1817</v>
      </c>
      <c r="F9" s="77">
        <f t="shared" si="0"/>
        <v>17988.3</v>
      </c>
      <c r="G9" s="51">
        <v>0</v>
      </c>
      <c r="H9" s="76">
        <f>IF(C9=0,0,ROUNDDOWN(G9*C9,1))</f>
        <v>0</v>
      </c>
      <c r="I9" s="78">
        <f>재료비목록표!E13</f>
        <v>1817</v>
      </c>
      <c r="J9" s="81">
        <f>IF(C9=0,0,ROUNDDOWN(I9*C9,1))</f>
        <v>17988.3</v>
      </c>
      <c r="K9" s="51">
        <v>0</v>
      </c>
      <c r="L9" s="76">
        <f>IF(C9=0,0,ROUNDDOWN(K9*C9,1))</f>
        <v>0</v>
      </c>
      <c r="M9" s="22" t="s">
        <v>9048</v>
      </c>
      <c r="N9" s="17" t="s">
        <v>9046</v>
      </c>
      <c r="O9" s="7" t="s">
        <v>9047</v>
      </c>
      <c r="P9" s="7" t="s">
        <v>6406</v>
      </c>
      <c r="Q9" s="7" t="s">
        <v>7061</v>
      </c>
      <c r="Z9" s="3" t="str">
        <f ca="1">HYPERLINK("#"&amp;재료비목록표!G2&amp;"!A"&amp;ROW(재료비목록표!A13),"자재10 →")</f>
        <v>자재10 →</v>
      </c>
    </row>
    <row r="10" spans="1:26" ht="28.7" customHeight="1" x14ac:dyDescent="0.3">
      <c r="A10" s="10" t="s">
        <v>9049</v>
      </c>
      <c r="B10" s="10" t="s">
        <v>9050</v>
      </c>
      <c r="C10" s="75">
        <v>22</v>
      </c>
      <c r="D10" s="31" t="s">
        <v>7064</v>
      </c>
      <c r="E10" s="55">
        <f t="shared" si="0"/>
        <v>17988.3</v>
      </c>
      <c r="F10" s="77">
        <f t="shared" si="0"/>
        <v>3957.4</v>
      </c>
      <c r="G10" s="13">
        <v>0</v>
      </c>
      <c r="H10" s="77">
        <f>IF(C10=0,0,ROUNDDOWN(G10*C10/100,1))</f>
        <v>0</v>
      </c>
      <c r="I10" s="79">
        <f>J9</f>
        <v>17988.3</v>
      </c>
      <c r="J10" s="76">
        <f>IF(C10=0,0,ROUNDDOWN(I10*C10/100,1))</f>
        <v>3957.4</v>
      </c>
      <c r="K10" s="33">
        <v>0</v>
      </c>
      <c r="L10" s="76">
        <f>IF(C10=0,0,ROUNDDOWN(K10*C10/100,1))</f>
        <v>0</v>
      </c>
      <c r="M10" s="22"/>
      <c r="N10" s="17" t="s">
        <v>9051</v>
      </c>
      <c r="O10" s="7" t="s">
        <v>7066</v>
      </c>
      <c r="P10" s="7" t="s">
        <v>6406</v>
      </c>
    </row>
    <row r="11" spans="1:26" ht="28.7" customHeight="1" x14ac:dyDescent="0.3">
      <c r="A11" s="22" t="s">
        <v>6</v>
      </c>
      <c r="B11" s="74"/>
      <c r="C11" s="74"/>
      <c r="D11" s="74"/>
      <c r="E11" s="74"/>
      <c r="F11" s="48">
        <f>J11+H11+L11</f>
        <v>98479</v>
      </c>
      <c r="G11" s="74"/>
      <c r="H11" s="48">
        <f>ROUNDDOWN(SUMIF(P7:P10,O11,H7:H10),0)</f>
        <v>59020</v>
      </c>
      <c r="I11" s="74"/>
      <c r="J11" s="48">
        <f>ROUNDDOWN(SUMIF(P7:P10,O11,J7:J10),0)</f>
        <v>21945</v>
      </c>
      <c r="K11" s="74"/>
      <c r="L11" s="48">
        <f>ROUNDDOWN(SUMIF(P7:P10,O11,L7:L10),0)</f>
        <v>17514</v>
      </c>
      <c r="M11" s="74"/>
      <c r="O11" s="7" t="s">
        <v>6406</v>
      </c>
    </row>
    <row r="12" spans="1:26" ht="28.7" customHeight="1" x14ac:dyDescent="0.3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</row>
    <row r="13" spans="1:26" ht="28.7" customHeight="1" x14ac:dyDescent="0.3">
      <c r="A13" s="136" t="s">
        <v>2017</v>
      </c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44"/>
      <c r="M13" s="22" t="s">
        <v>2020</v>
      </c>
      <c r="N13" s="84" t="str">
        <f>HYPERLINK("#N"&amp;ROW(N17),"_x0005_`BDCOD|X00051_x0007_`POSS|"&amp;ROW(N14)&amp;"_x0007_`POSE|"&amp;ROW(N17)&amp;"_x0007_`")</f>
        <v>_x0005_`BDCOD|X00051_x0007_`POSS|14_x0007_`POSE|17_x0007_`</v>
      </c>
      <c r="O13" s="7" t="s">
        <v>9052</v>
      </c>
    </row>
    <row r="14" spans="1:26" ht="28.7" customHeight="1" x14ac:dyDescent="0.3">
      <c r="A14" s="10" t="s">
        <v>2018</v>
      </c>
      <c r="B14" s="10" t="s">
        <v>2019</v>
      </c>
      <c r="C14" s="75">
        <v>0.21129999999999999</v>
      </c>
      <c r="D14" s="31" t="s">
        <v>3116</v>
      </c>
      <c r="E14" s="55">
        <f t="shared" ref="E14:F17" si="1">I14+G14+K14</f>
        <v>47263</v>
      </c>
      <c r="F14" s="77">
        <f t="shared" si="1"/>
        <v>9986.6</v>
      </c>
      <c r="G14" s="51">
        <v>0</v>
      </c>
      <c r="H14" s="77">
        <f>IF(C14=0,0,ROUNDDOWN(G14*C14,1))</f>
        <v>0</v>
      </c>
      <c r="I14" s="51">
        <v>0</v>
      </c>
      <c r="J14" s="76">
        <f>IF(C14=0,0,ROUNDDOWN(I14*C14,1))</f>
        <v>0</v>
      </c>
      <c r="K14" s="78">
        <f>경비목록표!E5</f>
        <v>47263</v>
      </c>
      <c r="L14" s="80">
        <f>IF(C14=0,0,ROUNDDOWN(K14*C14,1))</f>
        <v>9986.6</v>
      </c>
      <c r="M14" s="22" t="s">
        <v>9055</v>
      </c>
      <c r="N14" s="17" t="s">
        <v>9053</v>
      </c>
      <c r="O14" s="7" t="s">
        <v>9054</v>
      </c>
      <c r="P14" s="7" t="s">
        <v>6406</v>
      </c>
      <c r="Z14" s="3" t="str">
        <f ca="1">HYPERLINK("#"&amp;경비목록표!G2&amp;"!A"&amp;ROW(경비목록표!A5),"경비2 →")</f>
        <v>경비2 →</v>
      </c>
    </row>
    <row r="15" spans="1:26" ht="28.7" customHeight="1" x14ac:dyDescent="0.3">
      <c r="A15" s="10" t="s">
        <v>3113</v>
      </c>
      <c r="B15" s="10"/>
      <c r="C15" s="75">
        <v>1</v>
      </c>
      <c r="D15" s="31" t="s">
        <v>3074</v>
      </c>
      <c r="E15" s="55">
        <f t="shared" si="1"/>
        <v>49778.3</v>
      </c>
      <c r="F15" s="76">
        <f t="shared" si="1"/>
        <v>49778.3</v>
      </c>
      <c r="G15" s="78">
        <f>환율및기초자료!G7</f>
        <v>49778.3</v>
      </c>
      <c r="H15" s="81">
        <f>IF(C15=0,0,ROUNDDOWN(G15*C15,1))</f>
        <v>49778.3</v>
      </c>
      <c r="I15" s="51">
        <v>0</v>
      </c>
      <c r="J15" s="77">
        <f>IF(C15=0,0,ROUNDDOWN(I15*C15,1))</f>
        <v>0</v>
      </c>
      <c r="K15" s="51">
        <v>0</v>
      </c>
      <c r="L15" s="76">
        <f>IF(C15=0,0,ROUNDDOWN(K15*C15,1))</f>
        <v>0</v>
      </c>
      <c r="M15" s="22" t="s">
        <v>9058</v>
      </c>
      <c r="N15" s="17" t="s">
        <v>9056</v>
      </c>
      <c r="O15" s="7" t="s">
        <v>9057</v>
      </c>
      <c r="P15" s="7" t="s">
        <v>6406</v>
      </c>
      <c r="Z15" s="3" t="str">
        <f ca="1">HYPERLINK("#"&amp;환율및기초자료!I2&amp;"!A"&amp;ROW(환율및기초자료!A7),"노무21 →")</f>
        <v>노무21 →</v>
      </c>
    </row>
    <row r="16" spans="1:26" ht="28.7" customHeight="1" x14ac:dyDescent="0.3">
      <c r="A16" s="10" t="s">
        <v>2066</v>
      </c>
      <c r="B16" s="10" t="s">
        <v>2067</v>
      </c>
      <c r="C16" s="75">
        <v>9.3000000000000007</v>
      </c>
      <c r="D16" s="31" t="s">
        <v>2068</v>
      </c>
      <c r="E16" s="55">
        <f t="shared" si="1"/>
        <v>1817</v>
      </c>
      <c r="F16" s="77">
        <f t="shared" si="1"/>
        <v>16898.099999999999</v>
      </c>
      <c r="G16" s="51">
        <v>0</v>
      </c>
      <c r="H16" s="76">
        <f>IF(C16=0,0,ROUNDDOWN(G16*C16,1))</f>
        <v>0</v>
      </c>
      <c r="I16" s="78">
        <f>재료비목록표!E13</f>
        <v>1817</v>
      </c>
      <c r="J16" s="81">
        <f>IF(C16=0,0,ROUNDDOWN(I16*C16,1))</f>
        <v>16898.099999999999</v>
      </c>
      <c r="K16" s="51">
        <v>0</v>
      </c>
      <c r="L16" s="76">
        <f>IF(C16=0,0,ROUNDDOWN(K16*C16,1))</f>
        <v>0</v>
      </c>
      <c r="M16" s="22" t="s">
        <v>9048</v>
      </c>
      <c r="N16" s="17" t="s">
        <v>9046</v>
      </c>
      <c r="O16" s="7" t="s">
        <v>9047</v>
      </c>
      <c r="P16" s="7" t="s">
        <v>6406</v>
      </c>
      <c r="Q16" s="7" t="s">
        <v>7061</v>
      </c>
      <c r="Z16" s="3" t="str">
        <f ca="1">HYPERLINK("#"&amp;재료비목록표!G2&amp;"!A"&amp;ROW(재료비목록표!A13),"자재10 →")</f>
        <v>자재10 →</v>
      </c>
    </row>
    <row r="17" spans="1:26" ht="28.7" customHeight="1" x14ac:dyDescent="0.3">
      <c r="A17" s="10" t="s">
        <v>9049</v>
      </c>
      <c r="B17" s="10" t="s">
        <v>9050</v>
      </c>
      <c r="C17" s="75">
        <v>30</v>
      </c>
      <c r="D17" s="31" t="s">
        <v>7064</v>
      </c>
      <c r="E17" s="55">
        <f t="shared" si="1"/>
        <v>16898.099999999999</v>
      </c>
      <c r="F17" s="77">
        <f t="shared" si="1"/>
        <v>5069.3999999999996</v>
      </c>
      <c r="G17" s="13">
        <v>0</v>
      </c>
      <c r="H17" s="77">
        <f>IF(C17=0,0,ROUNDDOWN(G17*C17/100,1))</f>
        <v>0</v>
      </c>
      <c r="I17" s="79">
        <f>J16</f>
        <v>16898.099999999999</v>
      </c>
      <c r="J17" s="76">
        <f>IF(C17=0,0,ROUNDDOWN(I17*C17/100,1))</f>
        <v>5069.3999999999996</v>
      </c>
      <c r="K17" s="33">
        <v>0</v>
      </c>
      <c r="L17" s="76">
        <f>IF(C17=0,0,ROUNDDOWN(K17*C17/100,1))</f>
        <v>0</v>
      </c>
      <c r="M17" s="22"/>
      <c r="N17" s="17" t="s">
        <v>9051</v>
      </c>
      <c r="O17" s="7" t="s">
        <v>7066</v>
      </c>
      <c r="P17" s="7" t="s">
        <v>6406</v>
      </c>
    </row>
    <row r="18" spans="1:26" ht="28.7" customHeight="1" x14ac:dyDescent="0.3">
      <c r="A18" s="22" t="s">
        <v>6</v>
      </c>
      <c r="B18" s="74"/>
      <c r="C18" s="74"/>
      <c r="D18" s="74"/>
      <c r="E18" s="74"/>
      <c r="F18" s="48">
        <f>J18+H18+L18</f>
        <v>81731</v>
      </c>
      <c r="G18" s="74"/>
      <c r="H18" s="48">
        <f>ROUNDDOWN(SUMIF(P14:P17,O18,H14:H17),0)</f>
        <v>49778</v>
      </c>
      <c r="I18" s="74"/>
      <c r="J18" s="48">
        <f>ROUNDDOWN(SUMIF(P14:P17,O18,J14:J17),0)</f>
        <v>21967</v>
      </c>
      <c r="K18" s="74"/>
      <c r="L18" s="48">
        <f>ROUNDDOWN(SUMIF(P14:P17,O18,L14:L17),0)</f>
        <v>9986</v>
      </c>
      <c r="M18" s="74"/>
      <c r="O18" s="7" t="s">
        <v>6406</v>
      </c>
    </row>
    <row r="19" spans="1:26" ht="28.7" customHeight="1" x14ac:dyDescent="0.3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</row>
    <row r="20" spans="1:26" ht="28.7" customHeight="1" x14ac:dyDescent="0.3">
      <c r="A20" s="136" t="s">
        <v>2021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44"/>
      <c r="M20" s="22" t="s">
        <v>2024</v>
      </c>
      <c r="N20" s="84" t="str">
        <f>HYPERLINK("#N"&amp;ROW(N24),"_x0005_`BDCOD|X00114_x0007_`POSS|"&amp;ROW(N21)&amp;"_x0007_`POSE|"&amp;ROW(N24)&amp;"_x0007_`")</f>
        <v>_x0005_`BDCOD|X00114_x0007_`POSS|21_x0007_`POSE|24_x0007_`</v>
      </c>
      <c r="O20" s="7" t="s">
        <v>9059</v>
      </c>
    </row>
    <row r="21" spans="1:26" ht="28.7" customHeight="1" x14ac:dyDescent="0.3">
      <c r="A21" s="10" t="s">
        <v>2022</v>
      </c>
      <c r="B21" s="10" t="s">
        <v>2023</v>
      </c>
      <c r="C21" s="75">
        <v>0.24129999999999999</v>
      </c>
      <c r="D21" s="31" t="s">
        <v>3116</v>
      </c>
      <c r="E21" s="55">
        <f t="shared" ref="E21:F24" si="2">I21+G21+K21</f>
        <v>302677</v>
      </c>
      <c r="F21" s="77">
        <f t="shared" si="2"/>
        <v>73035.899999999994</v>
      </c>
      <c r="G21" s="51">
        <v>0</v>
      </c>
      <c r="H21" s="77">
        <f>IF(C21=0,0,ROUNDDOWN(G21*C21,1))</f>
        <v>0</v>
      </c>
      <c r="I21" s="51">
        <v>0</v>
      </c>
      <c r="J21" s="76">
        <f>IF(C21=0,0,ROUNDDOWN(I21*C21,1))</f>
        <v>0</v>
      </c>
      <c r="K21" s="78">
        <f>경비목록표!E6</f>
        <v>302677</v>
      </c>
      <c r="L21" s="80">
        <f>IF(C21=0,0,ROUNDDOWN(K21*C21,1))</f>
        <v>73035.899999999994</v>
      </c>
      <c r="M21" s="22" t="s">
        <v>9062</v>
      </c>
      <c r="N21" s="17" t="s">
        <v>9060</v>
      </c>
      <c r="O21" s="7" t="s">
        <v>9061</v>
      </c>
      <c r="P21" s="7" t="s">
        <v>6406</v>
      </c>
      <c r="Z21" s="3" t="str">
        <f ca="1">HYPERLINK("#"&amp;경비목록표!G2&amp;"!A"&amp;ROW(경비목록표!A6),"경비3 →")</f>
        <v>경비3 →</v>
      </c>
    </row>
    <row r="22" spans="1:26" ht="28.7" customHeight="1" x14ac:dyDescent="0.3">
      <c r="A22" s="10" t="s">
        <v>3073</v>
      </c>
      <c r="B22" s="10"/>
      <c r="C22" s="75">
        <v>1</v>
      </c>
      <c r="D22" s="31" t="s">
        <v>3074</v>
      </c>
      <c r="E22" s="55">
        <f t="shared" si="2"/>
        <v>59020.2</v>
      </c>
      <c r="F22" s="76">
        <f t="shared" si="2"/>
        <v>59020.2</v>
      </c>
      <c r="G22" s="78">
        <f>환율및기초자료!G6</f>
        <v>59020.2</v>
      </c>
      <c r="H22" s="81">
        <f>IF(C22=0,0,ROUNDDOWN(G22*C22,1))</f>
        <v>59020.2</v>
      </c>
      <c r="I22" s="51">
        <v>0</v>
      </c>
      <c r="J22" s="77">
        <f>IF(C22=0,0,ROUNDDOWN(I22*C22,1))</f>
        <v>0</v>
      </c>
      <c r="K22" s="51">
        <v>0</v>
      </c>
      <c r="L22" s="76">
        <f>IF(C22=0,0,ROUNDDOWN(K22*C22,1))</f>
        <v>0</v>
      </c>
      <c r="M22" s="22" t="s">
        <v>9045</v>
      </c>
      <c r="N22" s="17" t="s">
        <v>9043</v>
      </c>
      <c r="O22" s="7" t="s">
        <v>9044</v>
      </c>
      <c r="P22" s="7" t="s">
        <v>6406</v>
      </c>
      <c r="Z22" s="3" t="str">
        <f ca="1">HYPERLINK("#"&amp;환율및기초자료!I2&amp;"!A"&amp;ROW(환율및기초자료!A6),"노무1 →")</f>
        <v>노무1 →</v>
      </c>
    </row>
    <row r="23" spans="1:26" ht="28.7" customHeight="1" x14ac:dyDescent="0.3">
      <c r="A23" s="10" t="s">
        <v>2066</v>
      </c>
      <c r="B23" s="10" t="s">
        <v>2067</v>
      </c>
      <c r="C23" s="75">
        <v>27.6</v>
      </c>
      <c r="D23" s="31" t="s">
        <v>2068</v>
      </c>
      <c r="E23" s="55">
        <f t="shared" si="2"/>
        <v>1817</v>
      </c>
      <c r="F23" s="77">
        <f t="shared" si="2"/>
        <v>50149.2</v>
      </c>
      <c r="G23" s="51">
        <v>0</v>
      </c>
      <c r="H23" s="76">
        <f>IF(C23=0,0,ROUNDDOWN(G23*C23,1))</f>
        <v>0</v>
      </c>
      <c r="I23" s="78">
        <f>재료비목록표!E13</f>
        <v>1817</v>
      </c>
      <c r="J23" s="81">
        <f>IF(C23=0,0,ROUNDDOWN(I23*C23,1))</f>
        <v>50149.2</v>
      </c>
      <c r="K23" s="51">
        <v>0</v>
      </c>
      <c r="L23" s="76">
        <f>IF(C23=0,0,ROUNDDOWN(K23*C23,1))</f>
        <v>0</v>
      </c>
      <c r="M23" s="22" t="s">
        <v>9048</v>
      </c>
      <c r="N23" s="17" t="s">
        <v>9046</v>
      </c>
      <c r="O23" s="7" t="s">
        <v>9047</v>
      </c>
      <c r="P23" s="7" t="s">
        <v>6406</v>
      </c>
      <c r="Q23" s="7" t="s">
        <v>7061</v>
      </c>
      <c r="Z23" s="3" t="str">
        <f ca="1">HYPERLINK("#"&amp;재료비목록표!G2&amp;"!A"&amp;ROW(재료비목록표!A13),"자재10 →")</f>
        <v>자재10 →</v>
      </c>
    </row>
    <row r="24" spans="1:26" ht="28.7" customHeight="1" x14ac:dyDescent="0.3">
      <c r="A24" s="10" t="s">
        <v>9049</v>
      </c>
      <c r="B24" s="10" t="s">
        <v>9050</v>
      </c>
      <c r="C24" s="75">
        <v>40</v>
      </c>
      <c r="D24" s="31" t="s">
        <v>7064</v>
      </c>
      <c r="E24" s="55">
        <f t="shared" si="2"/>
        <v>50149.2</v>
      </c>
      <c r="F24" s="77">
        <f t="shared" si="2"/>
        <v>20059.599999999999</v>
      </c>
      <c r="G24" s="13">
        <v>0</v>
      </c>
      <c r="H24" s="77">
        <f>IF(C24=0,0,ROUNDDOWN(G24*C24/100,1))</f>
        <v>0</v>
      </c>
      <c r="I24" s="79">
        <f>J23</f>
        <v>50149.2</v>
      </c>
      <c r="J24" s="76">
        <f>IF(C24=0,0,ROUNDDOWN(I24*C24/100,1))</f>
        <v>20059.599999999999</v>
      </c>
      <c r="K24" s="33">
        <v>0</v>
      </c>
      <c r="L24" s="76">
        <f>IF(C24=0,0,ROUNDDOWN(K24*C24/100,1))</f>
        <v>0</v>
      </c>
      <c r="M24" s="22"/>
      <c r="N24" s="17" t="s">
        <v>9051</v>
      </c>
      <c r="O24" s="7" t="s">
        <v>7066</v>
      </c>
      <c r="P24" s="7" t="s">
        <v>6406</v>
      </c>
    </row>
    <row r="25" spans="1:26" ht="28.7" customHeight="1" x14ac:dyDescent="0.3">
      <c r="A25" s="22" t="s">
        <v>6</v>
      </c>
      <c r="B25" s="74"/>
      <c r="C25" s="74"/>
      <c r="D25" s="74"/>
      <c r="E25" s="74"/>
      <c r="F25" s="48">
        <f>J25+H25+L25</f>
        <v>202263</v>
      </c>
      <c r="G25" s="74"/>
      <c r="H25" s="48">
        <f>ROUNDDOWN(SUMIF(P21:P24,O25,H21:H24),0)</f>
        <v>59020</v>
      </c>
      <c r="I25" s="74"/>
      <c r="J25" s="48">
        <f>ROUNDDOWN(SUMIF(P21:P24,O25,J21:J24),0)</f>
        <v>70208</v>
      </c>
      <c r="K25" s="74"/>
      <c r="L25" s="48">
        <f>ROUNDDOWN(SUMIF(P21:P24,O25,L21:L24),0)</f>
        <v>73035</v>
      </c>
      <c r="M25" s="74"/>
      <c r="O25" s="7" t="s">
        <v>6406</v>
      </c>
    </row>
    <row r="26" spans="1:26" ht="28.7" customHeight="1" x14ac:dyDescent="0.3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</row>
    <row r="27" spans="1:26" ht="28.7" customHeight="1" x14ac:dyDescent="0.3">
      <c r="A27" s="136" t="s">
        <v>2025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44"/>
      <c r="M27" s="22" t="s">
        <v>2028</v>
      </c>
      <c r="N27" s="84" t="str">
        <f>HYPERLINK("#N"&amp;ROW(N28),"_x0005_`BDCOD|X00127_x0007_`POSS|"&amp;ROW(N28)&amp;"_x0007_`POSE|"&amp;ROW(N28)&amp;"_x0007_`")</f>
        <v>_x0005_`BDCOD|X00127_x0007_`POSS|28_x0007_`POSE|28_x0007_`</v>
      </c>
      <c r="O27" s="7" t="s">
        <v>9063</v>
      </c>
    </row>
    <row r="28" spans="1:26" ht="28.7" customHeight="1" x14ac:dyDescent="0.3">
      <c r="A28" s="10" t="s">
        <v>2026</v>
      </c>
      <c r="B28" s="10" t="s">
        <v>2027</v>
      </c>
      <c r="C28" s="75">
        <v>0.52680000000000005</v>
      </c>
      <c r="D28" s="31" t="s">
        <v>3116</v>
      </c>
      <c r="E28" s="55">
        <f>I28+G28+K28</f>
        <v>896</v>
      </c>
      <c r="F28" s="77">
        <f>J28+H28+L28</f>
        <v>472</v>
      </c>
      <c r="G28" s="51">
        <v>0</v>
      </c>
      <c r="H28" s="77">
        <f>IF(C28=0,0,ROUNDDOWN(G28*C28,1))</f>
        <v>0</v>
      </c>
      <c r="I28" s="51">
        <v>0</v>
      </c>
      <c r="J28" s="76">
        <f>IF(C28=0,0,ROUNDDOWN(I28*C28,1))</f>
        <v>0</v>
      </c>
      <c r="K28" s="78">
        <f>경비목록표!E7</f>
        <v>896</v>
      </c>
      <c r="L28" s="80">
        <f>IF(C28=0,0,ROUNDDOWN(K28*C28,1))</f>
        <v>472</v>
      </c>
      <c r="M28" s="22" t="s">
        <v>9066</v>
      </c>
      <c r="N28" s="17" t="s">
        <v>9064</v>
      </c>
      <c r="O28" s="7" t="s">
        <v>9065</v>
      </c>
      <c r="P28" s="7" t="s">
        <v>6406</v>
      </c>
      <c r="Z28" s="3" t="str">
        <f ca="1">HYPERLINK("#"&amp;경비목록표!G2&amp;"!A"&amp;ROW(경비목록표!A7),"경비4 →")</f>
        <v>경비4 →</v>
      </c>
    </row>
    <row r="29" spans="1:26" ht="28.7" customHeight="1" x14ac:dyDescent="0.3">
      <c r="A29" s="22" t="s">
        <v>6</v>
      </c>
      <c r="B29" s="74"/>
      <c r="C29" s="74"/>
      <c r="D29" s="74"/>
      <c r="E29" s="74"/>
      <c r="F29" s="48">
        <f>J29+H29+L29</f>
        <v>472</v>
      </c>
      <c r="G29" s="74"/>
      <c r="H29" s="48">
        <f>ROUNDDOWN(SUMIF(P28:P28,O29,H28:H28),0)</f>
        <v>0</v>
      </c>
      <c r="I29" s="74"/>
      <c r="J29" s="48">
        <f>ROUNDDOWN(SUMIF(P28:P28,O29,J28:J28),0)</f>
        <v>0</v>
      </c>
      <c r="K29" s="74"/>
      <c r="L29" s="48">
        <f>ROUNDDOWN(SUMIF(P28:P28,O29,L28:L28),0)</f>
        <v>472</v>
      </c>
      <c r="M29" s="74"/>
      <c r="O29" s="7" t="s">
        <v>6406</v>
      </c>
    </row>
    <row r="30" spans="1:26" ht="28.7" customHeight="1" x14ac:dyDescent="0.3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</row>
    <row r="31" spans="1:26" ht="28.7" customHeight="1" x14ac:dyDescent="0.3">
      <c r="A31" s="136" t="s">
        <v>2029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44"/>
      <c r="M31" s="22" t="s">
        <v>2032</v>
      </c>
      <c r="N31" s="84" t="str">
        <f>HYPERLINK("#N"&amp;ROW(N35),"_x0005_`BDCOD|X00031_x0007_`POSS|"&amp;ROW(N32)&amp;"_x0007_`POSE|"&amp;ROW(N35)&amp;"_x0007_`")</f>
        <v>_x0005_`BDCOD|X00031_x0007_`POSS|32_x0007_`POSE|35_x0007_`</v>
      </c>
      <c r="O31" s="7" t="s">
        <v>9067</v>
      </c>
    </row>
    <row r="32" spans="1:26" ht="28.7" customHeight="1" x14ac:dyDescent="0.3">
      <c r="A32" s="10" t="s">
        <v>2030</v>
      </c>
      <c r="B32" s="10" t="s">
        <v>2031</v>
      </c>
      <c r="C32" s="75">
        <v>0.2298</v>
      </c>
      <c r="D32" s="31" t="s">
        <v>3116</v>
      </c>
      <c r="E32" s="55">
        <f t="shared" ref="E32:F35" si="3">I32+G32+K32</f>
        <v>136400</v>
      </c>
      <c r="F32" s="77">
        <f t="shared" si="3"/>
        <v>31344.7</v>
      </c>
      <c r="G32" s="51">
        <v>0</v>
      </c>
      <c r="H32" s="77">
        <f>IF(C32=0,0,ROUNDDOWN(G32*C32,1))</f>
        <v>0</v>
      </c>
      <c r="I32" s="51">
        <v>0</v>
      </c>
      <c r="J32" s="76">
        <f>IF(C32=0,0,ROUNDDOWN(I32*C32,1))</f>
        <v>0</v>
      </c>
      <c r="K32" s="78">
        <f>경비목록표!E8</f>
        <v>136400</v>
      </c>
      <c r="L32" s="80">
        <f>IF(C32=0,0,ROUNDDOWN(K32*C32,1))</f>
        <v>31344.7</v>
      </c>
      <c r="M32" s="22" t="s">
        <v>9070</v>
      </c>
      <c r="N32" s="17" t="s">
        <v>9068</v>
      </c>
      <c r="O32" s="7" t="s">
        <v>9069</v>
      </c>
      <c r="P32" s="7" t="s">
        <v>6406</v>
      </c>
      <c r="Z32" s="3" t="str">
        <f ca="1">HYPERLINK("#"&amp;경비목록표!G2&amp;"!A"&amp;ROW(경비목록표!A8),"경비5 →")</f>
        <v>경비5 →</v>
      </c>
    </row>
    <row r="33" spans="1:26" ht="28.7" customHeight="1" x14ac:dyDescent="0.3">
      <c r="A33" s="10" t="s">
        <v>3073</v>
      </c>
      <c r="B33" s="10"/>
      <c r="C33" s="75">
        <v>1</v>
      </c>
      <c r="D33" s="31" t="s">
        <v>3074</v>
      </c>
      <c r="E33" s="55">
        <f t="shared" si="3"/>
        <v>59020.2</v>
      </c>
      <c r="F33" s="76">
        <f t="shared" si="3"/>
        <v>59020.2</v>
      </c>
      <c r="G33" s="78">
        <f>환율및기초자료!G6</f>
        <v>59020.2</v>
      </c>
      <c r="H33" s="81">
        <f>IF(C33=0,0,ROUNDDOWN(G33*C33,1))</f>
        <v>59020.2</v>
      </c>
      <c r="I33" s="51">
        <v>0</v>
      </c>
      <c r="J33" s="77">
        <f>IF(C33=0,0,ROUNDDOWN(I33*C33,1))</f>
        <v>0</v>
      </c>
      <c r="K33" s="51">
        <v>0</v>
      </c>
      <c r="L33" s="76">
        <f>IF(C33=0,0,ROUNDDOWN(K33*C33,1))</f>
        <v>0</v>
      </c>
      <c r="M33" s="22" t="s">
        <v>9045</v>
      </c>
      <c r="N33" s="17" t="s">
        <v>9043</v>
      </c>
      <c r="O33" s="7" t="s">
        <v>9044</v>
      </c>
      <c r="P33" s="7" t="s">
        <v>6406</v>
      </c>
      <c r="Z33" s="3" t="str">
        <f ca="1">HYPERLINK("#"&amp;환율및기초자료!I2&amp;"!A"&amp;ROW(환율및기초자료!A6),"노무1 →")</f>
        <v>노무1 →</v>
      </c>
    </row>
    <row r="34" spans="1:26" ht="28.7" customHeight="1" x14ac:dyDescent="0.3">
      <c r="A34" s="10" t="s">
        <v>2066</v>
      </c>
      <c r="B34" s="10" t="s">
        <v>2067</v>
      </c>
      <c r="C34" s="75">
        <v>3.8</v>
      </c>
      <c r="D34" s="31" t="s">
        <v>2068</v>
      </c>
      <c r="E34" s="55">
        <f t="shared" si="3"/>
        <v>1817</v>
      </c>
      <c r="F34" s="77">
        <f t="shared" si="3"/>
        <v>6904.6</v>
      </c>
      <c r="G34" s="51">
        <v>0</v>
      </c>
      <c r="H34" s="76">
        <f>IF(C34=0,0,ROUNDDOWN(G34*C34,1))</f>
        <v>0</v>
      </c>
      <c r="I34" s="78">
        <f>재료비목록표!E13</f>
        <v>1817</v>
      </c>
      <c r="J34" s="81">
        <f>IF(C34=0,0,ROUNDDOWN(I34*C34,1))</f>
        <v>6904.6</v>
      </c>
      <c r="K34" s="51">
        <v>0</v>
      </c>
      <c r="L34" s="76">
        <f>IF(C34=0,0,ROUNDDOWN(K34*C34,1))</f>
        <v>0</v>
      </c>
      <c r="M34" s="22" t="s">
        <v>9048</v>
      </c>
      <c r="N34" s="17" t="s">
        <v>9046</v>
      </c>
      <c r="O34" s="7" t="s">
        <v>9047</v>
      </c>
      <c r="P34" s="7" t="s">
        <v>6406</v>
      </c>
      <c r="Q34" s="7" t="s">
        <v>7061</v>
      </c>
      <c r="Z34" s="3" t="str">
        <f ca="1">HYPERLINK("#"&amp;재료비목록표!G2&amp;"!A"&amp;ROW(재료비목록표!A13),"자재10 →")</f>
        <v>자재10 →</v>
      </c>
    </row>
    <row r="35" spans="1:26" ht="28.7" customHeight="1" x14ac:dyDescent="0.3">
      <c r="A35" s="10" t="s">
        <v>9049</v>
      </c>
      <c r="B35" s="10" t="s">
        <v>9050</v>
      </c>
      <c r="C35" s="75">
        <v>39</v>
      </c>
      <c r="D35" s="31" t="s">
        <v>7064</v>
      </c>
      <c r="E35" s="55">
        <f t="shared" si="3"/>
        <v>6904.6</v>
      </c>
      <c r="F35" s="77">
        <f t="shared" si="3"/>
        <v>2692.7</v>
      </c>
      <c r="G35" s="13">
        <v>0</v>
      </c>
      <c r="H35" s="77">
        <f>IF(C35=0,0,ROUNDDOWN(G35*C35/100,1))</f>
        <v>0</v>
      </c>
      <c r="I35" s="79">
        <f>J34</f>
        <v>6904.6</v>
      </c>
      <c r="J35" s="76">
        <f>IF(C35=0,0,ROUNDDOWN(I35*C35/100,1))</f>
        <v>2692.7</v>
      </c>
      <c r="K35" s="33">
        <v>0</v>
      </c>
      <c r="L35" s="76">
        <f>IF(C35=0,0,ROUNDDOWN(K35*C35/100,1))</f>
        <v>0</v>
      </c>
      <c r="M35" s="22"/>
      <c r="N35" s="17" t="s">
        <v>9051</v>
      </c>
      <c r="O35" s="7" t="s">
        <v>7066</v>
      </c>
      <c r="P35" s="7" t="s">
        <v>6406</v>
      </c>
    </row>
    <row r="36" spans="1:26" ht="28.7" customHeight="1" x14ac:dyDescent="0.3">
      <c r="A36" s="22" t="s">
        <v>6</v>
      </c>
      <c r="B36" s="74"/>
      <c r="C36" s="74"/>
      <c r="D36" s="74"/>
      <c r="E36" s="74"/>
      <c r="F36" s="48">
        <f>J36+H36+L36</f>
        <v>99961</v>
      </c>
      <c r="G36" s="74"/>
      <c r="H36" s="48">
        <f>ROUNDDOWN(SUMIF(P32:P35,O36,H32:H35),0)</f>
        <v>59020</v>
      </c>
      <c r="I36" s="74"/>
      <c r="J36" s="48">
        <f>ROUNDDOWN(SUMIF(P32:P35,O36,J32:J35),0)</f>
        <v>9597</v>
      </c>
      <c r="K36" s="74"/>
      <c r="L36" s="48">
        <f>ROUNDDOWN(SUMIF(P32:P35,O36,L32:L35),0)</f>
        <v>31344</v>
      </c>
      <c r="M36" s="74"/>
      <c r="O36" s="7" t="s">
        <v>6406</v>
      </c>
    </row>
  </sheetData>
  <mergeCells count="15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6:L6"/>
    <mergeCell ref="A13:L13"/>
    <mergeCell ref="A20:L20"/>
    <mergeCell ref="A27:L27"/>
    <mergeCell ref="A31:L31"/>
  </mergeCells>
  <phoneticPr fontId="25" type="noConversion"/>
  <conditionalFormatting sqref="C5:M36">
    <cfRule type="expression" dxfId="1" priority="1" stopIfTrue="1">
      <formula>AND(C5&lt;&gt;0,INT(C5)=C5)</formula>
    </cfRule>
  </conditionalFormatting>
  <hyperlinks>
    <hyperlink ref="Z1" r:id="rId1" tooltip="설계예산시스템(STmate w26.07)으로 작성 하였으며,_x000a_엑셀 인쇄품질 600 dpi에 최적화 되어 있습니다._x000a_경영정보(주) http://www.stma.co.kr_x000a_Tel) 070-4350-0040_x000a_Fax) 0505-300-3948" xr:uid="{16DEB75F-0770-4B70-99D2-6D7FF853B9A9}"/>
    <hyperlink ref="N1" r:id="rId2" tooltip="설계예산시스템(STmate w26.07)으로 작성 하였으며,_x000a_엑셀 인쇄품질 600 dpi에 최적화 되어 있습니다._x000a_경영정보(주) http://www.stma.co.kr_x000a_Tel) 070-4350-0040_x000a_Fax) 0505-300-3948" xr:uid="{D064CDBE-F07F-4BEB-87DF-DB1F5B6A8A15}"/>
  </hyperlinks>
  <printOptions horizontalCentered="1"/>
  <pageMargins left="0.78740157480314965" right="0.78740157480314965" top="0.59055118110236215" bottom="0.59055118110236215" header="0" footer="0.39370078740157477"/>
  <pageSetup paperSize="9" scale="73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96278-DDC2-4EE1-AF0D-98E9130F02D5}">
  <dimension ref="A1:H370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1" t="s">
        <v>2034</v>
      </c>
      <c r="B1" s="121"/>
      <c r="C1" s="121"/>
      <c r="D1" s="121"/>
      <c r="E1" s="121"/>
      <c r="F1" s="121"/>
      <c r="G1" s="5" t="s">
        <v>1982</v>
      </c>
      <c r="H1" s="19" t="s">
        <v>1982</v>
      </c>
    </row>
    <row r="2" spans="1:8" ht="17.45" customHeight="1" x14ac:dyDescent="0.3">
      <c r="A2" s="1" t="s">
        <v>1</v>
      </c>
      <c r="G2" s="20" t="str">
        <f ca="1">MID(CELL("filename",$A$1),FIND("]",CELL("filename",$A$1))+1,LEN(CELL("filename",$A$1)))</f>
        <v>재료비목록표</v>
      </c>
    </row>
    <row r="3" spans="1:8" ht="17.4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2035</v>
      </c>
      <c r="F3" s="14" t="s">
        <v>10</v>
      </c>
      <c r="H3" s="3" t="str">
        <f>HYPERLINK("#'〓 목 차 〓'!B2","목차 →")</f>
        <v>목차 →</v>
      </c>
    </row>
    <row r="4" spans="1:8" ht="17.45" customHeight="1" x14ac:dyDescent="0.3">
      <c r="A4" s="9" t="s">
        <v>2036</v>
      </c>
      <c r="B4" s="10" t="s">
        <v>2037</v>
      </c>
      <c r="C4" s="10" t="s">
        <v>2038</v>
      </c>
      <c r="D4" s="9" t="s">
        <v>2039</v>
      </c>
      <c r="E4" s="32">
        <f>자재단가대비표!O5</f>
        <v>1030</v>
      </c>
      <c r="F4" s="22" t="s">
        <v>2036</v>
      </c>
      <c r="G4" s="17" t="str">
        <f>"_x0007_`COD|M06627_x0005_`QTY1|1_x0005_`BQC|_x0005_`EQC|_x0005_`JDC|_x0005_`WQC|_x0005_`EDT|_x0005_`DET|"&amp;ROW(자재단가대비표!A5)&amp;"_x0005_`"</f>
        <v>_x0007_`COD|M06627_x0005_`QTY1|1_x0005_`BQC|_x0005_`EQC|_x0005_`JDC|_x0005_`WQC|_x0005_`EDT|_x0005_`DET|5_x0005_`</v>
      </c>
      <c r="H4" s="3" t="str">
        <f ca="1">HYPERLINK("#"&amp;자재단가대비표!R2&amp;"!A"&amp;ROW(자재단가대비표!A5),"자재1 →")</f>
        <v>자재1 →</v>
      </c>
    </row>
    <row r="5" spans="1:8" ht="17.45" customHeight="1" x14ac:dyDescent="0.3">
      <c r="A5" s="9" t="s">
        <v>2041</v>
      </c>
      <c r="B5" s="10" t="s">
        <v>457</v>
      </c>
      <c r="C5" s="10" t="s">
        <v>2042</v>
      </c>
      <c r="D5" s="9" t="s">
        <v>14</v>
      </c>
      <c r="E5" s="32">
        <f>자재단가대비표!O6</f>
        <v>450000</v>
      </c>
      <c r="F5" s="22" t="s">
        <v>2041</v>
      </c>
      <c r="G5" s="17" t="str">
        <f>"_x0007_`COD|M06844_x0005_`QTY1|1_x0005_`BQC|_x0005_`EQC|_x0005_`JDC|_x0005_`WQC|_x0005_`EDT|_x0005_`DET|"&amp;ROW(자재단가대비표!A6)&amp;"_x0005_`"</f>
        <v>_x0007_`COD|M06844_x0005_`QTY1|1_x0005_`BQC|_x0005_`EQC|_x0005_`JDC|_x0005_`WQC|_x0005_`EDT|_x0005_`DET|6_x0005_`</v>
      </c>
      <c r="H5" s="3" t="str">
        <f ca="1">HYPERLINK("#"&amp;자재단가대비표!R2&amp;"!A"&amp;ROW(자재단가대비표!A6),"자재2 →")</f>
        <v>자재2 →</v>
      </c>
    </row>
    <row r="6" spans="1:8" ht="17.45" customHeight="1" x14ac:dyDescent="0.3">
      <c r="A6" s="9" t="s">
        <v>2044</v>
      </c>
      <c r="B6" s="10" t="s">
        <v>457</v>
      </c>
      <c r="C6" s="10" t="s">
        <v>2045</v>
      </c>
      <c r="D6" s="9" t="s">
        <v>14</v>
      </c>
      <c r="E6" s="32">
        <f>자재단가대비표!O7</f>
        <v>1280000</v>
      </c>
      <c r="F6" s="22" t="s">
        <v>2044</v>
      </c>
      <c r="G6" s="17" t="str">
        <f>"_x0007_`COD|M06686_x0005_`QTY1|1_x0005_`BQC|_x0005_`EQC|_x0005_`JDC|_x0005_`WQC|_x0005_`EDT|_x0005_`DET|"&amp;ROW(자재단가대비표!A7)&amp;"_x0005_`"</f>
        <v>_x0007_`COD|M06686_x0005_`QTY1|1_x0005_`BQC|_x0005_`EQC|_x0005_`JDC|_x0005_`WQC|_x0005_`EDT|_x0005_`DET|7_x0005_`</v>
      </c>
      <c r="H6" s="3" t="str">
        <f ca="1">HYPERLINK("#"&amp;자재단가대비표!R2&amp;"!A"&amp;ROW(자재단가대비표!A7),"자재3 →")</f>
        <v>자재3 →</v>
      </c>
    </row>
    <row r="7" spans="1:8" ht="17.45" customHeight="1" x14ac:dyDescent="0.3">
      <c r="A7" s="9" t="s">
        <v>2047</v>
      </c>
      <c r="B7" s="10" t="s">
        <v>457</v>
      </c>
      <c r="C7" s="10" t="s">
        <v>2048</v>
      </c>
      <c r="D7" s="9" t="s">
        <v>14</v>
      </c>
      <c r="E7" s="32">
        <f>자재단가대비표!O8</f>
        <v>930000</v>
      </c>
      <c r="F7" s="22" t="s">
        <v>2047</v>
      </c>
      <c r="G7" s="17" t="str">
        <f>"_x0007_`COD|M06505_x0005_`QTY1|1_x0005_`BQC|_x0005_`EQC|_x0005_`JDC|_x0005_`WQC|_x0005_`EDT|_x0005_`DET|"&amp;ROW(자재단가대비표!A8)&amp;"_x0005_`"</f>
        <v>_x0007_`COD|M06505_x0005_`QTY1|1_x0005_`BQC|_x0005_`EQC|_x0005_`JDC|_x0005_`WQC|_x0005_`EDT|_x0005_`DET|8_x0005_`</v>
      </c>
      <c r="H7" s="3" t="str">
        <f ca="1">HYPERLINK("#"&amp;자재단가대비표!R2&amp;"!A"&amp;ROW(자재단가대비표!A8),"자재4 →")</f>
        <v>자재4 →</v>
      </c>
    </row>
    <row r="8" spans="1:8" ht="17.45" customHeight="1" x14ac:dyDescent="0.3">
      <c r="A8" s="9" t="s">
        <v>2050</v>
      </c>
      <c r="B8" s="10" t="s">
        <v>2051</v>
      </c>
      <c r="C8" s="10" t="s">
        <v>2052</v>
      </c>
      <c r="D8" s="9" t="s">
        <v>1603</v>
      </c>
      <c r="E8" s="32">
        <f>자재단가대비표!O9</f>
        <v>581559</v>
      </c>
      <c r="F8" s="22" t="s">
        <v>2050</v>
      </c>
      <c r="G8" s="17" t="str">
        <f>"_x0007_`COD|M05530_x0005_`QTY1|1_x0005_`BQC|건축분야_x0005_`EQC|_x0005_`JDC|3010369820141038_x0005_`WQC|_x0005_`EDT|_x0005_`DET|"&amp;ROW(자재단가대비표!A9)&amp;"_x0005_`"</f>
        <v>_x0007_`COD|M05530_x0005_`QTY1|1_x0005_`BQC|건축분야_x0005_`EQC|_x0005_`JDC|3010369820141038_x0005_`WQC|_x0005_`EDT|_x0005_`DET|9_x0005_`</v>
      </c>
      <c r="H8" s="3" t="str">
        <f ca="1">HYPERLINK("#"&amp;자재단가대비표!R2&amp;"!A"&amp;ROW(자재단가대비표!A9),"자재5 →")</f>
        <v>자재5 →</v>
      </c>
    </row>
    <row r="9" spans="1:8" ht="17.45" customHeight="1" x14ac:dyDescent="0.3">
      <c r="A9" s="9" t="s">
        <v>2054</v>
      </c>
      <c r="B9" s="10" t="s">
        <v>2055</v>
      </c>
      <c r="C9" s="10" t="s">
        <v>2056</v>
      </c>
      <c r="D9" s="9" t="s">
        <v>1010</v>
      </c>
      <c r="E9" s="32">
        <f>자재단가대비표!O10</f>
        <v>47900</v>
      </c>
      <c r="F9" s="22" t="s">
        <v>2054</v>
      </c>
      <c r="G9" s="17" t="str">
        <f>"_x0007_`COD|M05093_x0005_`QTY1|1_x0005_`BQC|_x0005_`EQC|_x0005_`JDC|_x0005_`WQC|_x0005_`EDT|_x0005_`DET|"&amp;ROW(자재단가대비표!A10)&amp;"_x0005_`"</f>
        <v>_x0007_`COD|M05093_x0005_`QTY1|1_x0005_`BQC|_x0005_`EQC|_x0005_`JDC|_x0005_`WQC|_x0005_`EDT|_x0005_`DET|10_x0005_`</v>
      </c>
      <c r="H9" s="3" t="str">
        <f ca="1">HYPERLINK("#"&amp;자재단가대비표!R2&amp;"!A"&amp;ROW(자재단가대비표!A10),"자재6 →")</f>
        <v>자재6 →</v>
      </c>
    </row>
    <row r="10" spans="1:8" ht="17.45" customHeight="1" x14ac:dyDescent="0.3">
      <c r="A10" s="9" t="s">
        <v>2058</v>
      </c>
      <c r="B10" s="10" t="s">
        <v>2055</v>
      </c>
      <c r="C10" s="10" t="s">
        <v>1553</v>
      </c>
      <c r="D10" s="9" t="s">
        <v>1010</v>
      </c>
      <c r="E10" s="32">
        <f>자재단가대비표!O11</f>
        <v>50000</v>
      </c>
      <c r="F10" s="22" t="s">
        <v>2058</v>
      </c>
      <c r="G10" s="17" t="str">
        <f>"_x0007_`COD|M05094_x0005_`QTY1|1_x0005_`BQC|_x0005_`EQC|_x0005_`JDC|_x0005_`WQC|_x0005_`EDT|_x0005_`DET|"&amp;ROW(자재단가대비표!A11)&amp;"_x0005_`"</f>
        <v>_x0007_`COD|M05094_x0005_`QTY1|1_x0005_`BQC|_x0005_`EQC|_x0005_`JDC|_x0005_`WQC|_x0005_`EDT|_x0005_`DET|11_x0005_`</v>
      </c>
      <c r="H10" s="3" t="str">
        <f ca="1">HYPERLINK("#"&amp;자재단가대비표!R2&amp;"!A"&amp;ROW(자재단가대비표!A11),"자재7 →")</f>
        <v>자재7 →</v>
      </c>
    </row>
    <row r="11" spans="1:8" ht="17.45" customHeight="1" x14ac:dyDescent="0.3">
      <c r="A11" s="9" t="s">
        <v>2060</v>
      </c>
      <c r="B11" s="10" t="s">
        <v>2055</v>
      </c>
      <c r="C11" s="10" t="s">
        <v>2061</v>
      </c>
      <c r="D11" s="9" t="s">
        <v>1010</v>
      </c>
      <c r="E11" s="32">
        <f>자재단가대비표!O12</f>
        <v>274000</v>
      </c>
      <c r="F11" s="22" t="s">
        <v>2060</v>
      </c>
      <c r="G11" s="17" t="str">
        <f>"_x0007_`COD|M05095_x0005_`QTY1|1_x0005_`BQC|_x0005_`EQC|_x0005_`JDC|_x0005_`WQC|_x0005_`EDT|_x0005_`DET|"&amp;ROW(자재단가대비표!A12)&amp;"_x0005_`"</f>
        <v>_x0007_`COD|M05095_x0005_`QTY1|1_x0005_`BQC|_x0005_`EQC|_x0005_`JDC|_x0005_`WQC|_x0005_`EDT|_x0005_`DET|12_x0005_`</v>
      </c>
      <c r="H11" s="3" t="str">
        <f ca="1">HYPERLINK("#"&amp;자재단가대비표!R2&amp;"!A"&amp;ROW(자재단가대비표!A12),"자재8 →")</f>
        <v>자재8 →</v>
      </c>
    </row>
    <row r="12" spans="1:8" ht="17.45" customHeight="1" x14ac:dyDescent="0.3">
      <c r="A12" s="9" t="s">
        <v>2063</v>
      </c>
      <c r="B12" s="10" t="s">
        <v>2055</v>
      </c>
      <c r="C12" s="10" t="s">
        <v>1556</v>
      </c>
      <c r="D12" s="9" t="s">
        <v>1010</v>
      </c>
      <c r="E12" s="32">
        <f>자재단가대비표!O13</f>
        <v>319929</v>
      </c>
      <c r="F12" s="22" t="s">
        <v>2063</v>
      </c>
      <c r="G12" s="17" t="str">
        <f>"_x0007_`COD|M05265_x0005_`QTY1|1_x0005_`BQC|_x0005_`EQC|_x0005_`JDC|_x0005_`WQC|_x0005_`EDT|_x0005_`DET|"&amp;ROW(자재단가대비표!A13)&amp;"_x0005_`"</f>
        <v>_x0007_`COD|M05265_x0005_`QTY1|1_x0005_`BQC|_x0005_`EQC|_x0005_`JDC|_x0005_`WQC|_x0005_`EDT|_x0005_`DET|13_x0005_`</v>
      </c>
      <c r="H12" s="3" t="str">
        <f ca="1">HYPERLINK("#"&amp;자재단가대비표!R2&amp;"!A"&amp;ROW(자재단가대비표!A13),"자재9 →")</f>
        <v>자재9 →</v>
      </c>
    </row>
    <row r="13" spans="1:8" ht="17.45" customHeight="1" x14ac:dyDescent="0.3">
      <c r="A13" s="9" t="s">
        <v>2065</v>
      </c>
      <c r="B13" s="10" t="s">
        <v>2066</v>
      </c>
      <c r="C13" s="10" t="s">
        <v>2067</v>
      </c>
      <c r="D13" s="9" t="s">
        <v>2068</v>
      </c>
      <c r="E13" s="32">
        <f>자재단가대비표!O14</f>
        <v>1817</v>
      </c>
      <c r="F13" s="22" t="s">
        <v>2065</v>
      </c>
      <c r="G13" s="17" t="str">
        <f>"_x0007_`COD|M00258_x0005_`QTY1|1_x0005_`BQC|_x0005_`EQC|_x0005_`JDC|1510150520282163_x0005_`WQC|_x0005_`EDT|2026.01.06_x0005_`DET|"&amp;ROW(자재단가대비표!A14)&amp;"_x0005_`"</f>
        <v>_x0007_`COD|M00258_x0005_`QTY1|1_x0005_`BQC|_x0005_`EQC|_x0005_`JDC|1510150520282163_x0005_`WQC|_x0005_`EDT|2026.01.06_x0005_`DET|14_x0005_`</v>
      </c>
      <c r="H13" s="3" t="str">
        <f ca="1">HYPERLINK("#"&amp;자재단가대비표!R2&amp;"!A"&amp;ROW(자재단가대비표!A14),"자재10 →")</f>
        <v>자재10 →</v>
      </c>
    </row>
    <row r="14" spans="1:8" ht="17.45" customHeight="1" x14ac:dyDescent="0.3">
      <c r="A14" s="9" t="s">
        <v>2070</v>
      </c>
      <c r="B14" s="10" t="s">
        <v>2071</v>
      </c>
      <c r="C14" s="10" t="s">
        <v>2072</v>
      </c>
      <c r="D14" s="9" t="s">
        <v>1010</v>
      </c>
      <c r="E14" s="32">
        <f>자재단가대비표!O15</f>
        <v>19670</v>
      </c>
      <c r="F14" s="22" t="s">
        <v>2070</v>
      </c>
      <c r="G14" s="17" t="str">
        <f>"_x0007_`COD|M04153_x0005_`QTY1|1_x0005_`BQC|_x0005_`EQC|_x0005_`JDC|_x0005_`WQC|_x0005_`EDT|_x0005_`DET|"&amp;ROW(자재단가대비표!A15)&amp;"_x0005_`"</f>
        <v>_x0007_`COD|M04153_x0005_`QTY1|1_x0005_`BQC|_x0005_`EQC|_x0005_`JDC|_x0005_`WQC|_x0005_`EDT|_x0005_`DET|15_x0005_`</v>
      </c>
      <c r="H14" s="3" t="str">
        <f ca="1">HYPERLINK("#"&amp;자재단가대비표!R2&amp;"!A"&amp;ROW(자재단가대비표!A15),"자재11 →")</f>
        <v>자재11 →</v>
      </c>
    </row>
    <row r="15" spans="1:8" ht="17.45" customHeight="1" x14ac:dyDescent="0.3">
      <c r="A15" s="9" t="s">
        <v>2074</v>
      </c>
      <c r="B15" s="10" t="s">
        <v>2075</v>
      </c>
      <c r="C15" s="10" t="s">
        <v>2076</v>
      </c>
      <c r="D15" s="9" t="s">
        <v>1010</v>
      </c>
      <c r="E15" s="32">
        <f>자재단가대비표!O16</f>
        <v>1680</v>
      </c>
      <c r="F15" s="22" t="s">
        <v>2074</v>
      </c>
      <c r="G15" s="17" t="str">
        <f>"_x0007_`COD|M05321_x0005_`QTY1|1_x0005_`BQC|_x0005_`EQC|_x0005_`JDC|_x0005_`WQC|_x0005_`EDT|_x0005_`DET|"&amp;ROW(자재단가대비표!A16)&amp;"_x0005_`"</f>
        <v>_x0007_`COD|M05321_x0005_`QTY1|1_x0005_`BQC|_x0005_`EQC|_x0005_`JDC|_x0005_`WQC|_x0005_`EDT|_x0005_`DET|16_x0005_`</v>
      </c>
      <c r="H15" s="3" t="str">
        <f ca="1">HYPERLINK("#"&amp;자재단가대비표!R2&amp;"!A"&amp;ROW(자재단가대비표!A16),"자재12 →")</f>
        <v>자재12 →</v>
      </c>
    </row>
    <row r="16" spans="1:8" ht="17.45" customHeight="1" x14ac:dyDescent="0.3">
      <c r="A16" s="9" t="s">
        <v>2078</v>
      </c>
      <c r="B16" s="10" t="s">
        <v>2075</v>
      </c>
      <c r="C16" s="10" t="s">
        <v>2079</v>
      </c>
      <c r="D16" s="9" t="s">
        <v>1010</v>
      </c>
      <c r="E16" s="32">
        <f>자재단가대비표!O17</f>
        <v>2520</v>
      </c>
      <c r="F16" s="22" t="s">
        <v>2078</v>
      </c>
      <c r="G16" s="17" t="str">
        <f>"_x0007_`COD|M05377_x0005_`QTY1|1_x0005_`BQC|_x0005_`EQC|_x0005_`JDC|_x0005_`WQC|_x0005_`EDT|_x0005_`DET|"&amp;ROW(자재단가대비표!A17)&amp;"_x0005_`"</f>
        <v>_x0007_`COD|M05377_x0005_`QTY1|1_x0005_`BQC|_x0005_`EQC|_x0005_`JDC|_x0005_`WQC|_x0005_`EDT|_x0005_`DET|17_x0005_`</v>
      </c>
      <c r="H16" s="3" t="str">
        <f ca="1">HYPERLINK("#"&amp;자재단가대비표!R2&amp;"!A"&amp;ROW(자재단가대비표!A17),"자재13 →")</f>
        <v>자재13 →</v>
      </c>
    </row>
    <row r="17" spans="1:8" ht="17.45" customHeight="1" x14ac:dyDescent="0.3">
      <c r="A17" s="9" t="s">
        <v>2081</v>
      </c>
      <c r="B17" s="10" t="s">
        <v>2075</v>
      </c>
      <c r="C17" s="10" t="s">
        <v>2082</v>
      </c>
      <c r="D17" s="9" t="s">
        <v>1010</v>
      </c>
      <c r="E17" s="32">
        <f>자재단가대비표!O18</f>
        <v>3000</v>
      </c>
      <c r="F17" s="22" t="s">
        <v>2081</v>
      </c>
      <c r="G17" s="17" t="str">
        <f>"_x0007_`COD|M06575_x0005_`QTY1|1_x0005_`BQC|_x0005_`EQC|_x0005_`JDC|_x0005_`WQC|_x0005_`EDT|_x0005_`DET|"&amp;ROW(자재단가대비표!A18)&amp;"_x0005_`"</f>
        <v>_x0007_`COD|M06575_x0005_`QTY1|1_x0005_`BQC|_x0005_`EQC|_x0005_`JDC|_x0005_`WQC|_x0005_`EDT|_x0005_`DET|18_x0005_`</v>
      </c>
      <c r="H17" s="3" t="str">
        <f ca="1">HYPERLINK("#"&amp;자재단가대비표!R2&amp;"!A"&amp;ROW(자재단가대비표!A18),"자재14 →")</f>
        <v>자재14 →</v>
      </c>
    </row>
    <row r="18" spans="1:8" ht="17.45" customHeight="1" x14ac:dyDescent="0.3">
      <c r="A18" s="9" t="s">
        <v>2084</v>
      </c>
      <c r="B18" s="10" t="s">
        <v>2075</v>
      </c>
      <c r="C18" s="10" t="s">
        <v>2085</v>
      </c>
      <c r="D18" s="9" t="s">
        <v>1010</v>
      </c>
      <c r="E18" s="32">
        <f>자재단가대비표!O19</f>
        <v>3900</v>
      </c>
      <c r="F18" s="22" t="s">
        <v>2084</v>
      </c>
      <c r="G18" s="17" t="str">
        <f>"_x0007_`COD|M05376_x0005_`QTY1|1_x0005_`BQC|_x0005_`EQC|_x0005_`JDC|_x0005_`WQC|_x0005_`EDT|_x0005_`DET|"&amp;ROW(자재단가대비표!A19)&amp;"_x0005_`"</f>
        <v>_x0007_`COD|M05376_x0005_`QTY1|1_x0005_`BQC|_x0005_`EQC|_x0005_`JDC|_x0005_`WQC|_x0005_`EDT|_x0005_`DET|19_x0005_`</v>
      </c>
      <c r="H18" s="3" t="str">
        <f ca="1">HYPERLINK("#"&amp;자재단가대비표!R2&amp;"!A"&amp;ROW(자재단가대비표!A19),"자재15 →")</f>
        <v>자재15 →</v>
      </c>
    </row>
    <row r="19" spans="1:8" ht="17.45" customHeight="1" x14ac:dyDescent="0.3">
      <c r="A19" s="9" t="s">
        <v>2087</v>
      </c>
      <c r="B19" s="10" t="s">
        <v>2075</v>
      </c>
      <c r="C19" s="10" t="s">
        <v>2088</v>
      </c>
      <c r="D19" s="9" t="s">
        <v>1010</v>
      </c>
      <c r="E19" s="32">
        <f>자재단가대비표!O20</f>
        <v>4980</v>
      </c>
      <c r="F19" s="22" t="s">
        <v>2087</v>
      </c>
      <c r="G19" s="17" t="str">
        <f>"_x0007_`COD|M05882_x0005_`QTY1|1_x0005_`BQC|_x0005_`EQC|_x0005_`JDC|_x0005_`WQC|_x0005_`EDT|_x0005_`DET|"&amp;ROW(자재단가대비표!A20)&amp;"_x0005_`"</f>
        <v>_x0007_`COD|M05882_x0005_`QTY1|1_x0005_`BQC|_x0005_`EQC|_x0005_`JDC|_x0005_`WQC|_x0005_`EDT|_x0005_`DET|20_x0005_`</v>
      </c>
      <c r="H19" s="3" t="str">
        <f ca="1">HYPERLINK("#"&amp;자재단가대비표!R2&amp;"!A"&amp;ROW(자재단가대비표!A20),"자재16 →")</f>
        <v>자재16 →</v>
      </c>
    </row>
    <row r="20" spans="1:8" ht="17.45" customHeight="1" x14ac:dyDescent="0.3">
      <c r="A20" s="9" t="s">
        <v>2090</v>
      </c>
      <c r="B20" s="10" t="s">
        <v>2075</v>
      </c>
      <c r="C20" s="10" t="s">
        <v>2091</v>
      </c>
      <c r="D20" s="9" t="s">
        <v>1010</v>
      </c>
      <c r="E20" s="32">
        <f>자재단가대비표!O21</f>
        <v>850</v>
      </c>
      <c r="F20" s="22" t="s">
        <v>2090</v>
      </c>
      <c r="G20" s="17" t="str">
        <f>"_x0007_`COD|M05521_x0005_`QTY1|1_x0005_`BQC|_x0005_`EQC|_x0005_`JDC|_x0005_`WQC|_x0005_`EDT|_x0005_`DET|"&amp;ROW(자재단가대비표!A21)&amp;"_x0005_`"</f>
        <v>_x0007_`COD|M05521_x0005_`QTY1|1_x0005_`BQC|_x0005_`EQC|_x0005_`JDC|_x0005_`WQC|_x0005_`EDT|_x0005_`DET|21_x0005_`</v>
      </c>
      <c r="H20" s="3" t="str">
        <f ca="1">HYPERLINK("#"&amp;자재단가대비표!R2&amp;"!A"&amp;ROW(자재단가대비표!A21),"자재17 →")</f>
        <v>자재17 →</v>
      </c>
    </row>
    <row r="21" spans="1:8" ht="17.45" customHeight="1" x14ac:dyDescent="0.3">
      <c r="A21" s="9" t="s">
        <v>2093</v>
      </c>
      <c r="B21" s="10" t="s">
        <v>2075</v>
      </c>
      <c r="C21" s="10" t="s">
        <v>2094</v>
      </c>
      <c r="D21" s="9" t="s">
        <v>1010</v>
      </c>
      <c r="E21" s="32">
        <f>자재단가대비표!O22</f>
        <v>1250</v>
      </c>
      <c r="F21" s="22" t="s">
        <v>2093</v>
      </c>
      <c r="G21" s="17" t="str">
        <f>"_x0007_`COD|M05522_x0005_`QTY1|1_x0005_`BQC|_x0005_`EQC|_x0005_`JDC|_x0005_`WQC|_x0005_`EDT|_x0005_`DET|"&amp;ROW(자재단가대비표!A22)&amp;"_x0005_`"</f>
        <v>_x0007_`COD|M05522_x0005_`QTY1|1_x0005_`BQC|_x0005_`EQC|_x0005_`JDC|_x0005_`WQC|_x0005_`EDT|_x0005_`DET|22_x0005_`</v>
      </c>
      <c r="H21" s="3" t="str">
        <f ca="1">HYPERLINK("#"&amp;자재단가대비표!R2&amp;"!A"&amp;ROW(자재단가대비표!A22),"자재18 →")</f>
        <v>자재18 →</v>
      </c>
    </row>
    <row r="22" spans="1:8" ht="17.45" customHeight="1" x14ac:dyDescent="0.3">
      <c r="A22" s="9" t="s">
        <v>2096</v>
      </c>
      <c r="B22" s="10" t="s">
        <v>2097</v>
      </c>
      <c r="C22" s="10" t="s">
        <v>2098</v>
      </c>
      <c r="D22" s="9" t="s">
        <v>2099</v>
      </c>
      <c r="E22" s="32">
        <f>자재단가대비표!O23</f>
        <v>-435</v>
      </c>
      <c r="F22" s="22" t="s">
        <v>2096</v>
      </c>
      <c r="G22" s="17" t="str">
        <f>"_x0007_`COD|M05532_x0005_`QTY1|1_x0005_`BQC|_x0005_`EQC|도로_x0005_`JDC|_x0005_`WQC|_x0005_`EDT|_x0005_`DET|"&amp;ROW(자재단가대비표!A23)&amp;"_x0005_`"</f>
        <v>_x0007_`COD|M05532_x0005_`QTY1|1_x0005_`BQC|_x0005_`EQC|도로_x0005_`JDC|_x0005_`WQC|_x0005_`EDT|_x0005_`DET|23_x0005_`</v>
      </c>
      <c r="H22" s="3" t="str">
        <f ca="1">HYPERLINK("#"&amp;자재단가대비표!R2&amp;"!A"&amp;ROW(자재단가대비표!A23),"자재19 →")</f>
        <v>자재19 →</v>
      </c>
    </row>
    <row r="23" spans="1:8" ht="17.45" customHeight="1" x14ac:dyDescent="0.3">
      <c r="A23" s="9" t="s">
        <v>2101</v>
      </c>
      <c r="B23" s="10" t="s">
        <v>2102</v>
      </c>
      <c r="C23" s="10"/>
      <c r="D23" s="9" t="s">
        <v>2039</v>
      </c>
      <c r="E23" s="32">
        <f>자재단가대비표!O24</f>
        <v>-1850</v>
      </c>
      <c r="F23" s="22" t="s">
        <v>2101</v>
      </c>
      <c r="G23" s="17" t="str">
        <f>"_x0007_`COD|M05883_x0005_`QTY1|1_x0005_`BQC|_x0005_`EQC|_x0005_`JDC|_x0005_`WQC|_x0005_`EDT|_x0005_`DET|"&amp;ROW(자재단가대비표!A24)&amp;"_x0005_`"</f>
        <v>_x0007_`COD|M05883_x0005_`QTY1|1_x0005_`BQC|_x0005_`EQC|_x0005_`JDC|_x0005_`WQC|_x0005_`EDT|_x0005_`DET|24_x0005_`</v>
      </c>
      <c r="H23" s="3" t="str">
        <f ca="1">HYPERLINK("#"&amp;자재단가대비표!R2&amp;"!A"&amp;ROW(자재단가대비표!A24),"자재20 →")</f>
        <v>자재20 →</v>
      </c>
    </row>
    <row r="24" spans="1:8" ht="17.45" customHeight="1" x14ac:dyDescent="0.3">
      <c r="A24" s="9" t="s">
        <v>2104</v>
      </c>
      <c r="B24" s="10" t="s">
        <v>1488</v>
      </c>
      <c r="C24" s="10" t="s">
        <v>1496</v>
      </c>
      <c r="D24" s="9" t="s">
        <v>1490</v>
      </c>
      <c r="E24" s="32">
        <f>자재단가대비표!O25</f>
        <v>45700</v>
      </c>
      <c r="F24" s="22" t="s">
        <v>2104</v>
      </c>
      <c r="G24" s="17" t="str">
        <f>"_x0007_`COD|M06701_x0005_`QTY1|1_x0005_`BQC|_x0005_`EQC|_x0005_`JDC|_x0005_`WQC|_x0005_`EDT|_x0005_`DET|"&amp;ROW(자재단가대비표!A25)&amp;"_x0005_`"</f>
        <v>_x0007_`COD|M06701_x0005_`QTY1|1_x0005_`BQC|_x0005_`EQC|_x0005_`JDC|_x0005_`WQC|_x0005_`EDT|_x0005_`DET|25_x0005_`</v>
      </c>
      <c r="H24" s="3" t="str">
        <f ca="1">HYPERLINK("#"&amp;자재단가대비표!R2&amp;"!A"&amp;ROW(자재단가대비표!A25),"자재21 →")</f>
        <v>자재21 →</v>
      </c>
    </row>
    <row r="25" spans="1:8" ht="17.45" customHeight="1" x14ac:dyDescent="0.3">
      <c r="A25" s="9" t="s">
        <v>2106</v>
      </c>
      <c r="B25" s="10" t="s">
        <v>1488</v>
      </c>
      <c r="C25" s="10" t="s">
        <v>2107</v>
      </c>
      <c r="D25" s="9" t="s">
        <v>1490</v>
      </c>
      <c r="E25" s="32">
        <f>자재단가대비표!O26</f>
        <v>60410</v>
      </c>
      <c r="F25" s="22" t="s">
        <v>2106</v>
      </c>
      <c r="G25" s="17" t="str">
        <f>"_x0007_`COD|M06571_x0005_`QTY1|1_x0005_`BQC|_x0005_`EQC|_x0005_`JDC|_x0005_`WQC|_x0005_`EDT|_x0005_`DET|"&amp;ROW(자재단가대비표!A26)&amp;"_x0005_`"</f>
        <v>_x0007_`COD|M06571_x0005_`QTY1|1_x0005_`BQC|_x0005_`EQC|_x0005_`JDC|_x0005_`WQC|_x0005_`EDT|_x0005_`DET|26_x0005_`</v>
      </c>
      <c r="H25" s="3" t="str">
        <f ca="1">HYPERLINK("#"&amp;자재단가대비표!R2&amp;"!A"&amp;ROW(자재단가대비표!A26),"자재22 →")</f>
        <v>자재22 →</v>
      </c>
    </row>
    <row r="26" spans="1:8" ht="17.45" customHeight="1" x14ac:dyDescent="0.3">
      <c r="A26" s="9" t="s">
        <v>2109</v>
      </c>
      <c r="B26" s="10" t="s">
        <v>1488</v>
      </c>
      <c r="C26" s="10" t="s">
        <v>2110</v>
      </c>
      <c r="D26" s="9" t="s">
        <v>1490</v>
      </c>
      <c r="E26" s="32">
        <f>자재단가대비표!O27</f>
        <v>77440</v>
      </c>
      <c r="F26" s="22" t="s">
        <v>2109</v>
      </c>
      <c r="G26" s="17" t="str">
        <f>"_x0007_`COD|M06702_x0005_`QTY1|1_x0005_`BQC|_x0005_`EQC|_x0005_`JDC|_x0005_`WQC|_x0005_`EDT|_x0005_`DET|"&amp;ROW(자재단가대비표!A27)&amp;"_x0005_`"</f>
        <v>_x0007_`COD|M06702_x0005_`QTY1|1_x0005_`BQC|_x0005_`EQC|_x0005_`JDC|_x0005_`WQC|_x0005_`EDT|_x0005_`DET|27_x0005_`</v>
      </c>
      <c r="H26" s="3" t="str">
        <f ca="1">HYPERLINK("#"&amp;자재단가대비표!R2&amp;"!A"&amp;ROW(자재단가대비표!A27),"자재23 →")</f>
        <v>자재23 →</v>
      </c>
    </row>
    <row r="27" spans="1:8" ht="17.45" customHeight="1" x14ac:dyDescent="0.3">
      <c r="A27" s="9" t="s">
        <v>2112</v>
      </c>
      <c r="B27" s="10" t="s">
        <v>1488</v>
      </c>
      <c r="C27" s="10" t="s">
        <v>1508</v>
      </c>
      <c r="D27" s="9" t="s">
        <v>1490</v>
      </c>
      <c r="E27" s="32">
        <f>자재단가대비표!O28</f>
        <v>172830</v>
      </c>
      <c r="F27" s="22" t="s">
        <v>2112</v>
      </c>
      <c r="G27" s="17" t="str">
        <f>"_x0007_`COD|M06697_x0005_`QTY1|1_x0005_`BQC|_x0005_`EQC|_x0005_`JDC|_x0005_`WQC|_x0005_`EDT|_x0005_`DET|"&amp;ROW(자재단가대비표!A28)&amp;"_x0005_`"</f>
        <v>_x0007_`COD|M06697_x0005_`QTY1|1_x0005_`BQC|_x0005_`EQC|_x0005_`JDC|_x0005_`WQC|_x0005_`EDT|_x0005_`DET|28_x0005_`</v>
      </c>
      <c r="H27" s="3" t="str">
        <f ca="1">HYPERLINK("#"&amp;자재단가대비표!R2&amp;"!A"&amp;ROW(자재단가대비표!A28),"자재24 →")</f>
        <v>자재24 →</v>
      </c>
    </row>
    <row r="28" spans="1:8" ht="17.45" customHeight="1" x14ac:dyDescent="0.3">
      <c r="A28" s="9" t="s">
        <v>2114</v>
      </c>
      <c r="B28" s="10" t="s">
        <v>1488</v>
      </c>
      <c r="C28" s="10" t="s">
        <v>1489</v>
      </c>
      <c r="D28" s="9" t="s">
        <v>1490</v>
      </c>
      <c r="E28" s="32">
        <f>자재단가대비표!O29</f>
        <v>23120</v>
      </c>
      <c r="F28" s="22" t="s">
        <v>2114</v>
      </c>
      <c r="G28" s="17" t="str">
        <f>"_x0007_`COD|M06699_x0005_`QTY1|1_x0005_`BQC|_x0005_`EQC|_x0005_`JDC|_x0005_`WQC|_x0005_`EDT|_x0005_`DET|"&amp;ROW(자재단가대비표!A29)&amp;"_x0005_`"</f>
        <v>_x0007_`COD|M06699_x0005_`QTY1|1_x0005_`BQC|_x0005_`EQC|_x0005_`JDC|_x0005_`WQC|_x0005_`EDT|_x0005_`DET|29_x0005_`</v>
      </c>
      <c r="H28" s="3" t="str">
        <f ca="1">HYPERLINK("#"&amp;자재단가대비표!R2&amp;"!A"&amp;ROW(자재단가대비표!A29),"자재25 →")</f>
        <v>자재25 →</v>
      </c>
    </row>
    <row r="29" spans="1:8" ht="17.45" customHeight="1" x14ac:dyDescent="0.3">
      <c r="A29" s="9" t="s">
        <v>2116</v>
      </c>
      <c r="B29" s="10" t="s">
        <v>1488</v>
      </c>
      <c r="C29" s="10" t="s">
        <v>1493</v>
      </c>
      <c r="D29" s="9" t="s">
        <v>1490</v>
      </c>
      <c r="E29" s="32">
        <f>자재단가대비표!O30</f>
        <v>35310</v>
      </c>
      <c r="F29" s="22" t="s">
        <v>2116</v>
      </c>
      <c r="G29" s="17" t="str">
        <f>"_x0007_`COD|M06700_x0005_`QTY1|1_x0005_`BQC|_x0005_`EQC|_x0005_`JDC|_x0005_`WQC|_x0005_`EDT|_x0005_`DET|"&amp;ROW(자재단가대비표!A30)&amp;"_x0005_`"</f>
        <v>_x0007_`COD|M06700_x0005_`QTY1|1_x0005_`BQC|_x0005_`EQC|_x0005_`JDC|_x0005_`WQC|_x0005_`EDT|_x0005_`DET|30_x0005_`</v>
      </c>
      <c r="H29" s="3" t="str">
        <f ca="1">HYPERLINK("#"&amp;자재단가대비표!R2&amp;"!A"&amp;ROW(자재단가대비표!A30),"자재26 →")</f>
        <v>자재26 →</v>
      </c>
    </row>
    <row r="30" spans="1:8" ht="17.45" customHeight="1" x14ac:dyDescent="0.3">
      <c r="A30" s="9" t="s">
        <v>2118</v>
      </c>
      <c r="B30" s="10" t="s">
        <v>2119</v>
      </c>
      <c r="C30" s="10" t="s">
        <v>2120</v>
      </c>
      <c r="D30" s="9" t="s">
        <v>2121</v>
      </c>
      <c r="E30" s="32">
        <f>자재단가대비표!O31</f>
        <v>65000</v>
      </c>
      <c r="F30" s="22" t="s">
        <v>2118</v>
      </c>
      <c r="G30" s="17" t="str">
        <f>"_x0007_`COD|M06738_x0005_`QTY1|1_x0005_`BQC|_x0005_`EQC|_x0005_`JDC|_x0005_`WQC|_x0005_`EDT|_x0005_`DET|"&amp;ROW(자재단가대비표!A31)&amp;"_x0005_`"</f>
        <v>_x0007_`COD|M06738_x0005_`QTY1|1_x0005_`BQC|_x0005_`EQC|_x0005_`JDC|_x0005_`WQC|_x0005_`EDT|_x0005_`DET|31_x0005_`</v>
      </c>
      <c r="H30" s="3" t="str">
        <f ca="1">HYPERLINK("#"&amp;자재단가대비표!R2&amp;"!A"&amp;ROW(자재단가대비표!A31),"자재27 →")</f>
        <v>자재27 →</v>
      </c>
    </row>
    <row r="31" spans="1:8" ht="17.45" customHeight="1" x14ac:dyDescent="0.3">
      <c r="A31" s="9" t="s">
        <v>2123</v>
      </c>
      <c r="B31" s="10" t="s">
        <v>2124</v>
      </c>
      <c r="C31" s="10" t="s">
        <v>546</v>
      </c>
      <c r="D31" s="9" t="s">
        <v>14</v>
      </c>
      <c r="E31" s="32">
        <f>자재단가대비표!O32</f>
        <v>5802100</v>
      </c>
      <c r="F31" s="22" t="s">
        <v>2123</v>
      </c>
      <c r="G31" s="17" t="str">
        <f>"_x0007_`COD|M06538_x0005_`QTY1|1_x0005_`BQC|_x0005_`EQC|_x0005_`JDC|_x0005_`WQC|_x0005_`EDT|_x0005_`DET|"&amp;ROW(자재단가대비표!A32)&amp;"_x0005_`"</f>
        <v>_x0007_`COD|M06538_x0005_`QTY1|1_x0005_`BQC|_x0005_`EQC|_x0005_`JDC|_x0005_`WQC|_x0005_`EDT|_x0005_`DET|32_x0005_`</v>
      </c>
      <c r="H31" s="3" t="str">
        <f ca="1">HYPERLINK("#"&amp;자재단가대비표!R2&amp;"!A"&amp;ROW(자재단가대비표!A32),"자재28 →")</f>
        <v>자재28 →</v>
      </c>
    </row>
    <row r="32" spans="1:8" ht="17.45" customHeight="1" x14ac:dyDescent="0.3">
      <c r="A32" s="9" t="s">
        <v>2126</v>
      </c>
      <c r="B32" s="10" t="s">
        <v>2127</v>
      </c>
      <c r="C32" s="10" t="s">
        <v>2128</v>
      </c>
      <c r="D32" s="9" t="s">
        <v>14</v>
      </c>
      <c r="E32" s="32">
        <f>자재단가대비표!O33</f>
        <v>5463900</v>
      </c>
      <c r="F32" s="22" t="s">
        <v>2126</v>
      </c>
      <c r="G32" s="17" t="str">
        <f>"_x0007_`COD|M06665_x0005_`QTY1|1_x0005_`BQC|_x0005_`EQC|_x0005_`JDC|_x0005_`WQC|_x0005_`EDT|_x0005_`DET|"&amp;ROW(자재단가대비표!A33)&amp;"_x0005_`"</f>
        <v>_x0007_`COD|M06665_x0005_`QTY1|1_x0005_`BQC|_x0005_`EQC|_x0005_`JDC|_x0005_`WQC|_x0005_`EDT|_x0005_`DET|33_x0005_`</v>
      </c>
      <c r="H32" s="3" t="str">
        <f ca="1">HYPERLINK("#"&amp;자재단가대비표!R2&amp;"!A"&amp;ROW(자재단가대비표!A33),"자재29 →")</f>
        <v>자재29 →</v>
      </c>
    </row>
    <row r="33" spans="1:8" ht="17.45" customHeight="1" x14ac:dyDescent="0.3">
      <c r="A33" s="9" t="s">
        <v>2130</v>
      </c>
      <c r="B33" s="10" t="s">
        <v>683</v>
      </c>
      <c r="C33" s="10" t="s">
        <v>2131</v>
      </c>
      <c r="D33" s="9" t="s">
        <v>14</v>
      </c>
      <c r="E33" s="32">
        <f>자재단가대비표!O34</f>
        <v>305000</v>
      </c>
      <c r="F33" s="22" t="s">
        <v>2130</v>
      </c>
      <c r="G33" s="17" t="str">
        <f>"_x0007_`COD|M06688_x0005_`QTY1|1_x0005_`BQC|_x0005_`EQC|_x0005_`JDC|_x0005_`WQC|_x0005_`EDT|_x0005_`DET|"&amp;ROW(자재단가대비표!A34)&amp;"_x0005_`"</f>
        <v>_x0007_`COD|M06688_x0005_`QTY1|1_x0005_`BQC|_x0005_`EQC|_x0005_`JDC|_x0005_`WQC|_x0005_`EDT|_x0005_`DET|34_x0005_`</v>
      </c>
      <c r="H33" s="3" t="str">
        <f ca="1">HYPERLINK("#"&amp;자재단가대비표!R2&amp;"!A"&amp;ROW(자재단가대비표!A34),"자재30 →")</f>
        <v>자재30 →</v>
      </c>
    </row>
    <row r="34" spans="1:8" ht="17.45" customHeight="1" x14ac:dyDescent="0.3">
      <c r="A34" s="9" t="s">
        <v>2133</v>
      </c>
      <c r="B34" s="10" t="s">
        <v>2134</v>
      </c>
      <c r="C34" s="10" t="s">
        <v>2135</v>
      </c>
      <c r="D34" s="9" t="s">
        <v>1010</v>
      </c>
      <c r="E34" s="32">
        <f>자재단가대비표!O35</f>
        <v>219920</v>
      </c>
      <c r="F34" s="22" t="s">
        <v>2133</v>
      </c>
      <c r="G34" s="17" t="str">
        <f>"_x0007_`COD|M06581_x0005_`QTY1|1_x0005_`BQC|_x0005_`EQC|_x0005_`JDC|_x0005_`WQC|_x0005_`EDT|_x0005_`DET|"&amp;ROW(자재단가대비표!A35)&amp;"_x0005_`"</f>
        <v>_x0007_`COD|M06581_x0005_`QTY1|1_x0005_`BQC|_x0005_`EQC|_x0005_`JDC|_x0005_`WQC|_x0005_`EDT|_x0005_`DET|35_x0005_`</v>
      </c>
      <c r="H34" s="3" t="str">
        <f ca="1">HYPERLINK("#"&amp;자재단가대비표!R2&amp;"!A"&amp;ROW(자재단가대비표!A35),"자재31 →")</f>
        <v>자재31 →</v>
      </c>
    </row>
    <row r="35" spans="1:8" ht="17.45" customHeight="1" x14ac:dyDescent="0.3">
      <c r="A35" s="9" t="s">
        <v>2137</v>
      </c>
      <c r="B35" s="10" t="s">
        <v>2134</v>
      </c>
      <c r="C35" s="10" t="s">
        <v>2138</v>
      </c>
      <c r="D35" s="9" t="s">
        <v>1010</v>
      </c>
      <c r="E35" s="32">
        <f>자재단가대비표!O36</f>
        <v>284090</v>
      </c>
      <c r="F35" s="22" t="s">
        <v>2137</v>
      </c>
      <c r="G35" s="17" t="str">
        <f>"_x0007_`COD|M06582_x0005_`QTY1|1_x0005_`BQC|_x0005_`EQC|_x0005_`JDC|_x0005_`WQC|_x0005_`EDT|_x0005_`DET|"&amp;ROW(자재단가대비표!A36)&amp;"_x0005_`"</f>
        <v>_x0007_`COD|M06582_x0005_`QTY1|1_x0005_`BQC|_x0005_`EQC|_x0005_`JDC|_x0005_`WQC|_x0005_`EDT|_x0005_`DET|36_x0005_`</v>
      </c>
      <c r="H35" s="3" t="str">
        <f ca="1">HYPERLINK("#"&amp;자재단가대비표!R2&amp;"!A"&amp;ROW(자재단가대비표!A36),"자재32 →")</f>
        <v>자재32 →</v>
      </c>
    </row>
    <row r="36" spans="1:8" ht="17.45" customHeight="1" x14ac:dyDescent="0.3">
      <c r="A36" s="9" t="s">
        <v>2140</v>
      </c>
      <c r="B36" s="10" t="s">
        <v>2134</v>
      </c>
      <c r="C36" s="10" t="s">
        <v>2141</v>
      </c>
      <c r="D36" s="9" t="s">
        <v>1010</v>
      </c>
      <c r="E36" s="32">
        <f>자재단가대비표!O37</f>
        <v>399990</v>
      </c>
      <c r="F36" s="22" t="s">
        <v>2140</v>
      </c>
      <c r="G36" s="17" t="str">
        <f>"_x0007_`COD|M06583_x0005_`QTY1|1_x0005_`BQC|_x0005_`EQC|_x0005_`JDC|_x0005_`WQC|_x0005_`EDT|_x0005_`DET|"&amp;ROW(자재단가대비표!A37)&amp;"_x0005_`"</f>
        <v>_x0007_`COD|M06583_x0005_`QTY1|1_x0005_`BQC|_x0005_`EQC|_x0005_`JDC|_x0005_`WQC|_x0005_`EDT|_x0005_`DET|37_x0005_`</v>
      </c>
      <c r="H36" s="3" t="str">
        <f ca="1">HYPERLINK("#"&amp;자재단가대비표!R2&amp;"!A"&amp;ROW(자재단가대비표!A37),"자재33 →")</f>
        <v>자재33 →</v>
      </c>
    </row>
    <row r="37" spans="1:8" ht="17.45" customHeight="1" x14ac:dyDescent="0.3">
      <c r="A37" s="9" t="s">
        <v>2143</v>
      </c>
      <c r="B37" s="10" t="s">
        <v>2134</v>
      </c>
      <c r="C37" s="10" t="s">
        <v>2144</v>
      </c>
      <c r="D37" s="9" t="s">
        <v>1010</v>
      </c>
      <c r="E37" s="32">
        <f>자재단가대비표!O38</f>
        <v>516740</v>
      </c>
      <c r="F37" s="22" t="s">
        <v>2143</v>
      </c>
      <c r="G37" s="17" t="str">
        <f>"_x0007_`COD|M06584_x0005_`QTY1|1_x0005_`BQC|_x0005_`EQC|_x0005_`JDC|_x0005_`WQC|_x0005_`EDT|_x0005_`DET|"&amp;ROW(자재단가대비표!A38)&amp;"_x0005_`"</f>
        <v>_x0007_`COD|M06584_x0005_`QTY1|1_x0005_`BQC|_x0005_`EQC|_x0005_`JDC|_x0005_`WQC|_x0005_`EDT|_x0005_`DET|38_x0005_`</v>
      </c>
      <c r="H37" s="3" t="str">
        <f ca="1">HYPERLINK("#"&amp;자재단가대비표!R2&amp;"!A"&amp;ROW(자재단가대비표!A38),"자재34 →")</f>
        <v>자재34 →</v>
      </c>
    </row>
    <row r="38" spans="1:8" ht="17.45" customHeight="1" x14ac:dyDescent="0.3">
      <c r="A38" s="9" t="s">
        <v>2146</v>
      </c>
      <c r="B38" s="10" t="s">
        <v>12</v>
      </c>
      <c r="C38" s="10" t="s">
        <v>2147</v>
      </c>
      <c r="D38" s="9" t="s">
        <v>14</v>
      </c>
      <c r="E38" s="32">
        <f>자재단가대비표!O39</f>
        <v>14000000</v>
      </c>
      <c r="F38" s="22" t="s">
        <v>2146</v>
      </c>
      <c r="G38" s="17" t="str">
        <f>"_x0007_`COD|M06655_x0005_`QTY1|1_x0005_`BQC|_x0005_`EQC|_x0005_`JDC|_x0005_`WQC|_x0005_`EDT|_x0005_`DET|"&amp;ROW(자재단가대비표!A39)&amp;"_x0005_`"</f>
        <v>_x0007_`COD|M06655_x0005_`QTY1|1_x0005_`BQC|_x0005_`EQC|_x0005_`JDC|_x0005_`WQC|_x0005_`EDT|_x0005_`DET|39_x0005_`</v>
      </c>
      <c r="H38" s="3" t="str">
        <f ca="1">HYPERLINK("#"&amp;자재단가대비표!R2&amp;"!A"&amp;ROW(자재단가대비표!A39),"자재35 →")</f>
        <v>자재35 →</v>
      </c>
    </row>
    <row r="39" spans="1:8" ht="17.45" customHeight="1" x14ac:dyDescent="0.3">
      <c r="A39" s="9" t="s">
        <v>2149</v>
      </c>
      <c r="B39" s="10" t="s">
        <v>12</v>
      </c>
      <c r="C39" s="10" t="s">
        <v>47</v>
      </c>
      <c r="D39" s="9" t="s">
        <v>14</v>
      </c>
      <c r="E39" s="32">
        <f>자재단가대비표!O40</f>
        <v>99500000</v>
      </c>
      <c r="F39" s="22" t="s">
        <v>2149</v>
      </c>
      <c r="G39" s="17" t="str">
        <f>"_x0007_`COD|M06663_x0005_`QTY1|1_x0005_`BQC|_x0005_`EQC|_x0005_`JDC|_x0005_`WQC|_x0005_`EDT|_x0005_`DET|"&amp;ROW(자재단가대비표!A40)&amp;"_x0005_`"</f>
        <v>_x0007_`COD|M06663_x0005_`QTY1|1_x0005_`BQC|_x0005_`EQC|_x0005_`JDC|_x0005_`WQC|_x0005_`EDT|_x0005_`DET|40_x0005_`</v>
      </c>
      <c r="H39" s="3" t="str">
        <f ca="1">HYPERLINK("#"&amp;자재단가대비표!R2&amp;"!A"&amp;ROW(자재단가대비표!A40),"자재36 →")</f>
        <v>자재36 →</v>
      </c>
    </row>
    <row r="40" spans="1:8" ht="17.45" customHeight="1" x14ac:dyDescent="0.3">
      <c r="A40" s="9" t="s">
        <v>2151</v>
      </c>
      <c r="B40" s="10" t="s">
        <v>12</v>
      </c>
      <c r="C40" s="10" t="s">
        <v>2152</v>
      </c>
      <c r="D40" s="9" t="s">
        <v>14</v>
      </c>
      <c r="E40" s="32">
        <f>자재단가대비표!O41</f>
        <v>16000000</v>
      </c>
      <c r="F40" s="22" t="s">
        <v>2151</v>
      </c>
      <c r="G40" s="17" t="str">
        <f>"_x0007_`COD|M06656_x0005_`QTY1|1_x0005_`BQC|_x0005_`EQC|_x0005_`JDC|_x0005_`WQC|_x0005_`EDT|_x0005_`DET|"&amp;ROW(자재단가대비표!A41)&amp;"_x0005_`"</f>
        <v>_x0007_`COD|M06656_x0005_`QTY1|1_x0005_`BQC|_x0005_`EQC|_x0005_`JDC|_x0005_`WQC|_x0005_`EDT|_x0005_`DET|41_x0005_`</v>
      </c>
      <c r="H40" s="3" t="str">
        <f ca="1">HYPERLINK("#"&amp;자재단가대비표!R2&amp;"!A"&amp;ROW(자재단가대비표!A41),"자재37 →")</f>
        <v>자재37 →</v>
      </c>
    </row>
    <row r="41" spans="1:8" ht="17.45" customHeight="1" x14ac:dyDescent="0.3">
      <c r="A41" s="9" t="s">
        <v>2154</v>
      </c>
      <c r="B41" s="10" t="s">
        <v>12</v>
      </c>
      <c r="C41" s="10" t="s">
        <v>2155</v>
      </c>
      <c r="D41" s="9" t="s">
        <v>14</v>
      </c>
      <c r="E41" s="32">
        <f>자재단가대비표!O42</f>
        <v>18500000</v>
      </c>
      <c r="F41" s="22" t="s">
        <v>2154</v>
      </c>
      <c r="G41" s="17" t="str">
        <f>"_x0007_`COD|M06657_x0005_`QTY1|1_x0005_`BQC|_x0005_`EQC|_x0005_`JDC|_x0005_`WQC|_x0005_`EDT|_x0005_`DET|"&amp;ROW(자재단가대비표!A42)&amp;"_x0005_`"</f>
        <v>_x0007_`COD|M06657_x0005_`QTY1|1_x0005_`BQC|_x0005_`EQC|_x0005_`JDC|_x0005_`WQC|_x0005_`EDT|_x0005_`DET|42_x0005_`</v>
      </c>
      <c r="H41" s="3" t="str">
        <f ca="1">HYPERLINK("#"&amp;자재단가대비표!R2&amp;"!A"&amp;ROW(자재단가대비표!A42),"자재38 →")</f>
        <v>자재38 →</v>
      </c>
    </row>
    <row r="42" spans="1:8" ht="17.45" customHeight="1" x14ac:dyDescent="0.3">
      <c r="A42" s="9" t="s">
        <v>2157</v>
      </c>
      <c r="B42" s="10" t="s">
        <v>12</v>
      </c>
      <c r="C42" s="10" t="s">
        <v>2158</v>
      </c>
      <c r="D42" s="9" t="s">
        <v>14</v>
      </c>
      <c r="E42" s="32">
        <f>자재단가대비표!O43</f>
        <v>21000000</v>
      </c>
      <c r="F42" s="22" t="s">
        <v>2157</v>
      </c>
      <c r="G42" s="17" t="str">
        <f>"_x0007_`COD|M06658_x0005_`QTY1|1_x0005_`BQC|_x0005_`EQC|_x0005_`JDC|_x0005_`WQC|_x0005_`EDT|_x0005_`DET|"&amp;ROW(자재단가대비표!A43)&amp;"_x0005_`"</f>
        <v>_x0007_`COD|M06658_x0005_`QTY1|1_x0005_`BQC|_x0005_`EQC|_x0005_`JDC|_x0005_`WQC|_x0005_`EDT|_x0005_`DET|43_x0005_`</v>
      </c>
      <c r="H42" s="3" t="str">
        <f ca="1">HYPERLINK("#"&amp;자재단가대비표!R2&amp;"!A"&amp;ROW(자재단가대비표!A43),"자재39 →")</f>
        <v>자재39 →</v>
      </c>
    </row>
    <row r="43" spans="1:8" ht="17.45" customHeight="1" x14ac:dyDescent="0.3">
      <c r="A43" s="9" t="s">
        <v>2160</v>
      </c>
      <c r="B43" s="10" t="s">
        <v>12</v>
      </c>
      <c r="C43" s="10" t="s">
        <v>2161</v>
      </c>
      <c r="D43" s="9" t="s">
        <v>14</v>
      </c>
      <c r="E43" s="32">
        <f>자재단가대비표!O44</f>
        <v>8000000</v>
      </c>
      <c r="F43" s="22" t="s">
        <v>2160</v>
      </c>
      <c r="G43" s="17" t="str">
        <f>"_x0007_`COD|M06651_x0005_`QTY1|1_x0005_`BQC|_x0005_`EQC|_x0005_`JDC|_x0005_`WQC|_x0005_`EDT|_x0005_`DET|"&amp;ROW(자재단가대비표!A44)&amp;"_x0005_`"</f>
        <v>_x0007_`COD|M06651_x0005_`QTY1|1_x0005_`BQC|_x0005_`EQC|_x0005_`JDC|_x0005_`WQC|_x0005_`EDT|_x0005_`DET|44_x0005_`</v>
      </c>
      <c r="H43" s="3" t="str">
        <f ca="1">HYPERLINK("#"&amp;자재단가대비표!R2&amp;"!A"&amp;ROW(자재단가대비표!A44),"자재40 →")</f>
        <v>자재40 →</v>
      </c>
    </row>
    <row r="44" spans="1:8" ht="17.45" customHeight="1" x14ac:dyDescent="0.3">
      <c r="A44" s="9" t="s">
        <v>2163</v>
      </c>
      <c r="B44" s="10" t="s">
        <v>12</v>
      </c>
      <c r="C44" s="10" t="s">
        <v>2164</v>
      </c>
      <c r="D44" s="9" t="s">
        <v>14</v>
      </c>
      <c r="E44" s="32">
        <f>자재단가대비표!O45</f>
        <v>21177000</v>
      </c>
      <c r="F44" s="22" t="s">
        <v>2163</v>
      </c>
      <c r="G44" s="17" t="str">
        <f>"_x0007_`COD|M06659_x0005_`QTY1|1_x0005_`BQC|_x0005_`EQC|_x0005_`JDC|_x0005_`WQC|_x0005_`EDT|_x0005_`DET|"&amp;ROW(자재단가대비표!A45)&amp;"_x0005_`"</f>
        <v>_x0007_`COD|M06659_x0005_`QTY1|1_x0005_`BQC|_x0005_`EQC|_x0005_`JDC|_x0005_`WQC|_x0005_`EDT|_x0005_`DET|45_x0005_`</v>
      </c>
      <c r="H44" s="3" t="str">
        <f ca="1">HYPERLINK("#"&amp;자재단가대비표!R2&amp;"!A"&amp;ROW(자재단가대비표!A45),"자재41 →")</f>
        <v>자재41 →</v>
      </c>
    </row>
    <row r="45" spans="1:8" ht="17.45" customHeight="1" x14ac:dyDescent="0.3">
      <c r="A45" s="9" t="s">
        <v>2166</v>
      </c>
      <c r="B45" s="10" t="s">
        <v>12</v>
      </c>
      <c r="C45" s="10" t="s">
        <v>17</v>
      </c>
      <c r="D45" s="9" t="s">
        <v>14</v>
      </c>
      <c r="E45" s="32">
        <f>자재단가대비표!O46</f>
        <v>9500000</v>
      </c>
      <c r="F45" s="22" t="s">
        <v>2166</v>
      </c>
      <c r="G45" s="17" t="str">
        <f>"_x0007_`COD|M06652_x0005_`QTY1|1_x0005_`BQC|_x0005_`EQC|_x0005_`JDC|_x0005_`WQC|_x0005_`EDT|_x0005_`DET|"&amp;ROW(자재단가대비표!A46)&amp;"_x0005_`"</f>
        <v>_x0007_`COD|M06652_x0005_`QTY1|1_x0005_`BQC|_x0005_`EQC|_x0005_`JDC|_x0005_`WQC|_x0005_`EDT|_x0005_`DET|46_x0005_`</v>
      </c>
      <c r="H45" s="3" t="str">
        <f ca="1">HYPERLINK("#"&amp;자재단가대비표!R2&amp;"!A"&amp;ROW(자재단가대비표!A46),"자재42 →")</f>
        <v>자재42 →</v>
      </c>
    </row>
    <row r="46" spans="1:8" ht="17.45" customHeight="1" x14ac:dyDescent="0.3">
      <c r="A46" s="9" t="s">
        <v>2168</v>
      </c>
      <c r="B46" s="10" t="s">
        <v>12</v>
      </c>
      <c r="C46" s="10" t="s">
        <v>2169</v>
      </c>
      <c r="D46" s="9" t="s">
        <v>14</v>
      </c>
      <c r="E46" s="32">
        <f>자재단가대비표!O47</f>
        <v>26000000</v>
      </c>
      <c r="F46" s="22" t="s">
        <v>2168</v>
      </c>
      <c r="G46" s="17" t="str">
        <f>"_x0007_`COD|M06660_x0005_`QTY1|1_x0005_`BQC|_x0005_`EQC|_x0005_`JDC|_x0005_`WQC|_x0005_`EDT|_x0005_`DET|"&amp;ROW(자재단가대비표!A47)&amp;"_x0005_`"</f>
        <v>_x0007_`COD|M06660_x0005_`QTY1|1_x0005_`BQC|_x0005_`EQC|_x0005_`JDC|_x0005_`WQC|_x0005_`EDT|_x0005_`DET|47_x0005_`</v>
      </c>
      <c r="H46" s="3" t="str">
        <f ca="1">HYPERLINK("#"&amp;자재단가대비표!R2&amp;"!A"&amp;ROW(자재단가대비표!A47),"자재43 →")</f>
        <v>자재43 →</v>
      </c>
    </row>
    <row r="47" spans="1:8" ht="17.45" customHeight="1" x14ac:dyDescent="0.3">
      <c r="A47" s="9" t="s">
        <v>2171</v>
      </c>
      <c r="B47" s="10" t="s">
        <v>12</v>
      </c>
      <c r="C47" s="10" t="s">
        <v>2172</v>
      </c>
      <c r="D47" s="9" t="s">
        <v>14</v>
      </c>
      <c r="E47" s="32">
        <f>자재단가대비표!O48</f>
        <v>32000000</v>
      </c>
      <c r="F47" s="22" t="s">
        <v>2171</v>
      </c>
      <c r="G47" s="17" t="str">
        <f>"_x0007_`COD|M06661_x0005_`QTY1|1_x0005_`BQC|_x0005_`EQC|_x0005_`JDC|_x0005_`WQC|_x0005_`EDT|_x0005_`DET|"&amp;ROW(자재단가대비표!A48)&amp;"_x0005_`"</f>
        <v>_x0007_`COD|M06661_x0005_`QTY1|1_x0005_`BQC|_x0005_`EQC|_x0005_`JDC|_x0005_`WQC|_x0005_`EDT|_x0005_`DET|48_x0005_`</v>
      </c>
      <c r="H47" s="3" t="str">
        <f ca="1">HYPERLINK("#"&amp;자재단가대비표!R2&amp;"!A"&amp;ROW(자재단가대비표!A48),"자재44 →")</f>
        <v>자재44 →</v>
      </c>
    </row>
    <row r="48" spans="1:8" ht="17.45" customHeight="1" x14ac:dyDescent="0.3">
      <c r="A48" s="9" t="s">
        <v>2174</v>
      </c>
      <c r="B48" s="10" t="s">
        <v>12</v>
      </c>
      <c r="C48" s="10" t="s">
        <v>2175</v>
      </c>
      <c r="D48" s="9" t="s">
        <v>14</v>
      </c>
      <c r="E48" s="32">
        <f>자재단가대비표!O49</f>
        <v>11000000</v>
      </c>
      <c r="F48" s="22" t="s">
        <v>2174</v>
      </c>
      <c r="G48" s="17" t="str">
        <f>"_x0007_`COD|M06653_x0005_`QTY1|1_x0005_`BQC|_x0005_`EQC|_x0005_`JDC|_x0005_`WQC|_x0005_`EDT|_x0005_`DET|"&amp;ROW(자재단가대비표!A49)&amp;"_x0005_`"</f>
        <v>_x0007_`COD|M06653_x0005_`QTY1|1_x0005_`BQC|_x0005_`EQC|_x0005_`JDC|_x0005_`WQC|_x0005_`EDT|_x0005_`DET|49_x0005_`</v>
      </c>
      <c r="H48" s="3" t="str">
        <f ca="1">HYPERLINK("#"&amp;자재단가대비표!R2&amp;"!A"&amp;ROW(자재단가대비표!A49),"자재45 →")</f>
        <v>자재45 →</v>
      </c>
    </row>
    <row r="49" spans="1:8" ht="17.45" customHeight="1" x14ac:dyDescent="0.3">
      <c r="A49" s="9" t="s">
        <v>2177</v>
      </c>
      <c r="B49" s="10" t="s">
        <v>12</v>
      </c>
      <c r="C49" s="10" t="s">
        <v>2178</v>
      </c>
      <c r="D49" s="9" t="s">
        <v>14</v>
      </c>
      <c r="E49" s="32">
        <f>자재단가대비표!O50</f>
        <v>39000000</v>
      </c>
      <c r="F49" s="22" t="s">
        <v>2177</v>
      </c>
      <c r="G49" s="17" t="str">
        <f>"_x0007_`COD|M06662_x0005_`QTY1|1_x0005_`BQC|_x0005_`EQC|_x0005_`JDC|_x0005_`WQC|_x0005_`EDT|_x0005_`DET|"&amp;ROW(자재단가대비표!A50)&amp;"_x0005_`"</f>
        <v>_x0007_`COD|M06662_x0005_`QTY1|1_x0005_`BQC|_x0005_`EQC|_x0005_`JDC|_x0005_`WQC|_x0005_`EDT|_x0005_`DET|50_x0005_`</v>
      </c>
      <c r="H49" s="3" t="str">
        <f ca="1">HYPERLINK("#"&amp;자재단가대비표!R2&amp;"!A"&amp;ROW(자재단가대비표!A50),"자재46 →")</f>
        <v>자재46 →</v>
      </c>
    </row>
    <row r="50" spans="1:8" ht="17.45" customHeight="1" x14ac:dyDescent="0.3">
      <c r="A50" s="9" t="s">
        <v>2180</v>
      </c>
      <c r="B50" s="10" t="s">
        <v>12</v>
      </c>
      <c r="C50" s="10" t="s">
        <v>2181</v>
      </c>
      <c r="D50" s="9" t="s">
        <v>14</v>
      </c>
      <c r="E50" s="32">
        <f>자재단가대비표!O51</f>
        <v>12500000</v>
      </c>
      <c r="F50" s="22" t="s">
        <v>2180</v>
      </c>
      <c r="G50" s="17" t="str">
        <f>"_x0007_`COD|M06654_x0005_`QTY1|1_x0005_`BQC|_x0005_`EQC|_x0005_`JDC|_x0005_`WQC|_x0005_`EDT|_x0005_`DET|"&amp;ROW(자재단가대비표!A51)&amp;"_x0005_`"</f>
        <v>_x0007_`COD|M06654_x0005_`QTY1|1_x0005_`BQC|_x0005_`EQC|_x0005_`JDC|_x0005_`WQC|_x0005_`EDT|_x0005_`DET|51_x0005_`</v>
      </c>
      <c r="H50" s="3" t="str">
        <f ca="1">HYPERLINK("#"&amp;자재단가대비표!R2&amp;"!A"&amp;ROW(자재단가대비표!A51),"자재47 →")</f>
        <v>자재47 →</v>
      </c>
    </row>
    <row r="51" spans="1:8" ht="17.45" customHeight="1" x14ac:dyDescent="0.3">
      <c r="A51" s="9" t="s">
        <v>2183</v>
      </c>
      <c r="B51" s="10" t="s">
        <v>123</v>
      </c>
      <c r="C51" s="10" t="s">
        <v>2147</v>
      </c>
      <c r="D51" s="9" t="s">
        <v>14</v>
      </c>
      <c r="E51" s="32">
        <f>자재단가대비표!O52</f>
        <v>7500000</v>
      </c>
      <c r="F51" s="22" t="s">
        <v>2183</v>
      </c>
      <c r="G51" s="17" t="str">
        <f>"_x0007_`COD|M06471_x0005_`QTY1|1_x0005_`BQC|_x0005_`EQC|_x0005_`JDC|_x0005_`WQC|_x0005_`EDT|_x0005_`DET|"&amp;ROW(자재단가대비표!A52)&amp;"_x0005_`"</f>
        <v>_x0007_`COD|M06471_x0005_`QTY1|1_x0005_`BQC|_x0005_`EQC|_x0005_`JDC|_x0005_`WQC|_x0005_`EDT|_x0005_`DET|52_x0005_`</v>
      </c>
      <c r="H51" s="3" t="str">
        <f ca="1">HYPERLINK("#"&amp;자재단가대비표!R2&amp;"!A"&amp;ROW(자재단가대비표!A52),"자재48 →")</f>
        <v>자재48 →</v>
      </c>
    </row>
    <row r="52" spans="1:8" ht="17.45" customHeight="1" x14ac:dyDescent="0.3">
      <c r="A52" s="9" t="s">
        <v>2185</v>
      </c>
      <c r="B52" s="10" t="s">
        <v>123</v>
      </c>
      <c r="C52" s="10" t="s">
        <v>47</v>
      </c>
      <c r="D52" s="9" t="s">
        <v>14</v>
      </c>
      <c r="E52" s="32">
        <f>자재단가대비표!O53</f>
        <v>62000000</v>
      </c>
      <c r="F52" s="22" t="s">
        <v>2185</v>
      </c>
      <c r="G52" s="17" t="str">
        <f>"_x0007_`COD|M06479_x0005_`QTY1|1_x0005_`BQC|_x0005_`EQC|_x0005_`JDC|_x0005_`WQC|_x0005_`EDT|_x0005_`DET|"&amp;ROW(자재단가대비표!A53)&amp;"_x0005_`"</f>
        <v>_x0007_`COD|M06479_x0005_`QTY1|1_x0005_`BQC|_x0005_`EQC|_x0005_`JDC|_x0005_`WQC|_x0005_`EDT|_x0005_`DET|53_x0005_`</v>
      </c>
      <c r="H52" s="3" t="str">
        <f ca="1">HYPERLINK("#"&amp;자재단가대비표!R2&amp;"!A"&amp;ROW(자재단가대비표!A53),"자재49 →")</f>
        <v>자재49 →</v>
      </c>
    </row>
    <row r="53" spans="1:8" ht="17.45" customHeight="1" x14ac:dyDescent="0.3">
      <c r="A53" s="9" t="s">
        <v>2187</v>
      </c>
      <c r="B53" s="10" t="s">
        <v>123</v>
      </c>
      <c r="C53" s="10" t="s">
        <v>2152</v>
      </c>
      <c r="D53" s="9" t="s">
        <v>14</v>
      </c>
      <c r="E53" s="32">
        <f>자재단가대비표!O54</f>
        <v>9600000</v>
      </c>
      <c r="F53" s="22" t="s">
        <v>2187</v>
      </c>
      <c r="G53" s="17" t="str">
        <f>"_x0007_`COD|M06472_x0005_`QTY1|1_x0005_`BQC|_x0005_`EQC|_x0005_`JDC|_x0005_`WQC|_x0005_`EDT|_x0005_`DET|"&amp;ROW(자재단가대비표!A54)&amp;"_x0005_`"</f>
        <v>_x0007_`COD|M06472_x0005_`QTY1|1_x0005_`BQC|_x0005_`EQC|_x0005_`JDC|_x0005_`WQC|_x0005_`EDT|_x0005_`DET|54_x0005_`</v>
      </c>
      <c r="H53" s="3" t="str">
        <f ca="1">HYPERLINK("#"&amp;자재단가대비표!R2&amp;"!A"&amp;ROW(자재단가대비표!A54),"자재50 →")</f>
        <v>자재50 →</v>
      </c>
    </row>
    <row r="54" spans="1:8" ht="17.45" customHeight="1" x14ac:dyDescent="0.3">
      <c r="A54" s="9" t="s">
        <v>2189</v>
      </c>
      <c r="B54" s="10" t="s">
        <v>123</v>
      </c>
      <c r="C54" s="10" t="s">
        <v>2155</v>
      </c>
      <c r="D54" s="9" t="s">
        <v>14</v>
      </c>
      <c r="E54" s="32">
        <f>자재단가대비표!O55</f>
        <v>12000000</v>
      </c>
      <c r="F54" s="22" t="s">
        <v>2189</v>
      </c>
      <c r="G54" s="17" t="str">
        <f>"_x0007_`COD|M06473_x0005_`QTY1|1_x0005_`BQC|_x0005_`EQC|_x0005_`JDC|_x0005_`WQC|_x0005_`EDT|_x0005_`DET|"&amp;ROW(자재단가대비표!A55)&amp;"_x0005_`"</f>
        <v>_x0007_`COD|M06473_x0005_`QTY1|1_x0005_`BQC|_x0005_`EQC|_x0005_`JDC|_x0005_`WQC|_x0005_`EDT|_x0005_`DET|55_x0005_`</v>
      </c>
      <c r="H54" s="3" t="str">
        <f ca="1">HYPERLINK("#"&amp;자재단가대비표!R2&amp;"!A"&amp;ROW(자재단가대비표!A55),"자재51 →")</f>
        <v>자재51 →</v>
      </c>
    </row>
    <row r="55" spans="1:8" ht="17.45" customHeight="1" x14ac:dyDescent="0.3">
      <c r="A55" s="9" t="s">
        <v>2191</v>
      </c>
      <c r="B55" s="10" t="s">
        <v>123</v>
      </c>
      <c r="C55" s="10" t="s">
        <v>2158</v>
      </c>
      <c r="D55" s="9" t="s">
        <v>14</v>
      </c>
      <c r="E55" s="32">
        <f>자재단가대비표!O56</f>
        <v>12500000</v>
      </c>
      <c r="F55" s="22" t="s">
        <v>2191</v>
      </c>
      <c r="G55" s="17" t="str">
        <f>"_x0007_`COD|M06474_x0005_`QTY1|1_x0005_`BQC|_x0005_`EQC|_x0005_`JDC|_x0005_`WQC|_x0005_`EDT|_x0005_`DET|"&amp;ROW(자재단가대비표!A56)&amp;"_x0005_`"</f>
        <v>_x0007_`COD|M06474_x0005_`QTY1|1_x0005_`BQC|_x0005_`EQC|_x0005_`JDC|_x0005_`WQC|_x0005_`EDT|_x0005_`DET|56_x0005_`</v>
      </c>
      <c r="H55" s="3" t="str">
        <f ca="1">HYPERLINK("#"&amp;자재단가대비표!R2&amp;"!A"&amp;ROW(자재단가대비표!A56),"자재52 →")</f>
        <v>자재52 →</v>
      </c>
    </row>
    <row r="56" spans="1:8" ht="17.45" customHeight="1" x14ac:dyDescent="0.3">
      <c r="A56" s="9" t="s">
        <v>2193</v>
      </c>
      <c r="B56" s="10" t="s">
        <v>123</v>
      </c>
      <c r="C56" s="10" t="s">
        <v>2161</v>
      </c>
      <c r="D56" s="9" t="s">
        <v>14</v>
      </c>
      <c r="E56" s="32">
        <f>자재단가대비표!O57</f>
        <v>1900000</v>
      </c>
      <c r="F56" s="22" t="s">
        <v>2193</v>
      </c>
      <c r="G56" s="17" t="str">
        <f>"_x0007_`COD|M06467_x0005_`QTY1|1_x0005_`BQC|_x0005_`EQC|_x0005_`JDC|_x0005_`WQC|_x0005_`EDT|_x0005_`DET|"&amp;ROW(자재단가대비표!A57)&amp;"_x0005_`"</f>
        <v>_x0007_`COD|M06467_x0005_`QTY1|1_x0005_`BQC|_x0005_`EQC|_x0005_`JDC|_x0005_`WQC|_x0005_`EDT|_x0005_`DET|57_x0005_`</v>
      </c>
      <c r="H56" s="3" t="str">
        <f ca="1">HYPERLINK("#"&amp;자재단가대비표!R2&amp;"!A"&amp;ROW(자재단가대비표!A57),"자재53 →")</f>
        <v>자재53 →</v>
      </c>
    </row>
    <row r="57" spans="1:8" ht="17.45" customHeight="1" x14ac:dyDescent="0.3">
      <c r="A57" s="9" t="s">
        <v>2195</v>
      </c>
      <c r="B57" s="10" t="s">
        <v>123</v>
      </c>
      <c r="C57" s="10" t="s">
        <v>2164</v>
      </c>
      <c r="D57" s="9" t="s">
        <v>14</v>
      </c>
      <c r="E57" s="32">
        <f>자재단가대비표!O58</f>
        <v>13500000</v>
      </c>
      <c r="F57" s="22" t="s">
        <v>2195</v>
      </c>
      <c r="G57" s="17" t="str">
        <f>"_x0007_`COD|M06475_x0005_`QTY1|1_x0005_`BQC|_x0005_`EQC|_x0005_`JDC|_x0005_`WQC|_x0005_`EDT|_x0005_`DET|"&amp;ROW(자재단가대비표!A58)&amp;"_x0005_`"</f>
        <v>_x0007_`COD|M06475_x0005_`QTY1|1_x0005_`BQC|_x0005_`EQC|_x0005_`JDC|_x0005_`WQC|_x0005_`EDT|_x0005_`DET|58_x0005_`</v>
      </c>
      <c r="H57" s="3" t="str">
        <f ca="1">HYPERLINK("#"&amp;자재단가대비표!R2&amp;"!A"&amp;ROW(자재단가대비표!A58),"자재54 →")</f>
        <v>자재54 →</v>
      </c>
    </row>
    <row r="58" spans="1:8" ht="17.45" customHeight="1" x14ac:dyDescent="0.3">
      <c r="A58" s="9" t="s">
        <v>2197</v>
      </c>
      <c r="B58" s="10" t="s">
        <v>123</v>
      </c>
      <c r="C58" s="10" t="s">
        <v>17</v>
      </c>
      <c r="D58" s="9" t="s">
        <v>14</v>
      </c>
      <c r="E58" s="32">
        <f>자재단가대비표!O59</f>
        <v>2800000</v>
      </c>
      <c r="F58" s="22" t="s">
        <v>2197</v>
      </c>
      <c r="G58" s="17" t="str">
        <f>"_x0007_`COD|M06468_x0005_`QTY1|1_x0005_`BQC|_x0005_`EQC|_x0005_`JDC|_x0005_`WQC|_x0005_`EDT|_x0005_`DET|"&amp;ROW(자재단가대비표!A59)&amp;"_x0005_`"</f>
        <v>_x0007_`COD|M06468_x0005_`QTY1|1_x0005_`BQC|_x0005_`EQC|_x0005_`JDC|_x0005_`WQC|_x0005_`EDT|_x0005_`DET|59_x0005_`</v>
      </c>
      <c r="H58" s="3" t="str">
        <f ca="1">HYPERLINK("#"&amp;자재단가대비표!R2&amp;"!A"&amp;ROW(자재단가대비표!A59),"자재55 →")</f>
        <v>자재55 →</v>
      </c>
    </row>
    <row r="59" spans="1:8" ht="17.45" customHeight="1" x14ac:dyDescent="0.3">
      <c r="A59" s="9" t="s">
        <v>2199</v>
      </c>
      <c r="B59" s="10" t="s">
        <v>123</v>
      </c>
      <c r="C59" s="10" t="s">
        <v>2169</v>
      </c>
      <c r="D59" s="9" t="s">
        <v>14</v>
      </c>
      <c r="E59" s="32">
        <f>자재단가대비표!O60</f>
        <v>15000000</v>
      </c>
      <c r="F59" s="22" t="s">
        <v>2199</v>
      </c>
      <c r="G59" s="17" t="str">
        <f>"_x0007_`COD|M06476_x0005_`QTY1|1_x0005_`BQC|_x0005_`EQC|_x0005_`JDC|_x0005_`WQC|_x0005_`EDT|_x0005_`DET|"&amp;ROW(자재단가대비표!A60)&amp;"_x0005_`"</f>
        <v>_x0007_`COD|M06476_x0005_`QTY1|1_x0005_`BQC|_x0005_`EQC|_x0005_`JDC|_x0005_`WQC|_x0005_`EDT|_x0005_`DET|60_x0005_`</v>
      </c>
      <c r="H59" s="3" t="str">
        <f ca="1">HYPERLINK("#"&amp;자재단가대비표!R2&amp;"!A"&amp;ROW(자재단가대비표!A60),"자재56 →")</f>
        <v>자재56 →</v>
      </c>
    </row>
    <row r="60" spans="1:8" ht="17.45" customHeight="1" x14ac:dyDescent="0.3">
      <c r="A60" s="9" t="s">
        <v>2201</v>
      </c>
      <c r="B60" s="10" t="s">
        <v>123</v>
      </c>
      <c r="C60" s="10" t="s">
        <v>2172</v>
      </c>
      <c r="D60" s="9" t="s">
        <v>14</v>
      </c>
      <c r="E60" s="32">
        <f>자재단가대비표!O61</f>
        <v>17000000</v>
      </c>
      <c r="F60" s="22" t="s">
        <v>2201</v>
      </c>
      <c r="G60" s="17" t="str">
        <f>"_x0007_`COD|M06477_x0005_`QTY1|1_x0005_`BQC|_x0005_`EQC|_x0005_`JDC|_x0005_`WQC|_x0005_`EDT|_x0005_`DET|"&amp;ROW(자재단가대비표!A61)&amp;"_x0005_`"</f>
        <v>_x0007_`COD|M06477_x0005_`QTY1|1_x0005_`BQC|_x0005_`EQC|_x0005_`JDC|_x0005_`WQC|_x0005_`EDT|_x0005_`DET|61_x0005_`</v>
      </c>
      <c r="H60" s="3" t="str">
        <f ca="1">HYPERLINK("#"&amp;자재단가대비표!R2&amp;"!A"&amp;ROW(자재단가대비표!A61),"자재57 →")</f>
        <v>자재57 →</v>
      </c>
    </row>
    <row r="61" spans="1:8" ht="17.45" customHeight="1" x14ac:dyDescent="0.3">
      <c r="A61" s="9" t="s">
        <v>2203</v>
      </c>
      <c r="B61" s="10" t="s">
        <v>123</v>
      </c>
      <c r="C61" s="10" t="s">
        <v>2204</v>
      </c>
      <c r="D61" s="9" t="s">
        <v>14</v>
      </c>
      <c r="E61" s="32">
        <f>자재단가대비표!O62</f>
        <v>4700000</v>
      </c>
      <c r="F61" s="22" t="s">
        <v>2203</v>
      </c>
      <c r="G61" s="17" t="str">
        <f>"_x0007_`COD|M06469_x0005_`QTY1|1_x0005_`BQC|_x0005_`EQC|_x0005_`JDC|_x0005_`WQC|_x0005_`EDT|_x0005_`DET|"&amp;ROW(자재단가대비표!A62)&amp;"_x0005_`"</f>
        <v>_x0007_`COD|M06469_x0005_`QTY1|1_x0005_`BQC|_x0005_`EQC|_x0005_`JDC|_x0005_`WQC|_x0005_`EDT|_x0005_`DET|62_x0005_`</v>
      </c>
      <c r="H61" s="3" t="str">
        <f ca="1">HYPERLINK("#"&amp;자재단가대비표!R2&amp;"!A"&amp;ROW(자재단가대비표!A62),"자재58 →")</f>
        <v>자재58 →</v>
      </c>
    </row>
    <row r="62" spans="1:8" ht="17.45" customHeight="1" x14ac:dyDescent="0.3">
      <c r="A62" s="9" t="s">
        <v>2206</v>
      </c>
      <c r="B62" s="10" t="s">
        <v>123</v>
      </c>
      <c r="C62" s="10" t="s">
        <v>2178</v>
      </c>
      <c r="D62" s="9" t="s">
        <v>14</v>
      </c>
      <c r="E62" s="32">
        <f>자재단가대비표!O63</f>
        <v>17700000</v>
      </c>
      <c r="F62" s="22" t="s">
        <v>2206</v>
      </c>
      <c r="G62" s="17" t="str">
        <f>"_x0007_`COD|M06478_x0005_`QTY1|1_x0005_`BQC|_x0005_`EQC|_x0005_`JDC|_x0005_`WQC|_x0005_`EDT|_x0005_`DET|"&amp;ROW(자재단가대비표!A63)&amp;"_x0005_`"</f>
        <v>_x0007_`COD|M06478_x0005_`QTY1|1_x0005_`BQC|_x0005_`EQC|_x0005_`JDC|_x0005_`WQC|_x0005_`EDT|_x0005_`DET|63_x0005_`</v>
      </c>
      <c r="H62" s="3" t="str">
        <f ca="1">HYPERLINK("#"&amp;자재단가대비표!R2&amp;"!A"&amp;ROW(자재단가대비표!A63),"자재59 →")</f>
        <v>자재59 →</v>
      </c>
    </row>
    <row r="63" spans="1:8" ht="17.45" customHeight="1" x14ac:dyDescent="0.3">
      <c r="A63" s="9" t="s">
        <v>2208</v>
      </c>
      <c r="B63" s="10" t="s">
        <v>123</v>
      </c>
      <c r="C63" s="10" t="s">
        <v>2181</v>
      </c>
      <c r="D63" s="9" t="s">
        <v>14</v>
      </c>
      <c r="E63" s="32">
        <f>자재단가대비표!O64</f>
        <v>6700000</v>
      </c>
      <c r="F63" s="22" t="s">
        <v>2208</v>
      </c>
      <c r="G63" s="17" t="str">
        <f>"_x0007_`COD|M06470_x0005_`QTY1|1_x0005_`BQC|_x0005_`EQC|_x0005_`JDC|_x0005_`WQC|_x0005_`EDT|_x0005_`DET|"&amp;ROW(자재단가대비표!A64)&amp;"_x0005_`"</f>
        <v>_x0007_`COD|M06470_x0005_`QTY1|1_x0005_`BQC|_x0005_`EQC|_x0005_`JDC|_x0005_`WQC|_x0005_`EDT|_x0005_`DET|64_x0005_`</v>
      </c>
      <c r="H63" s="3" t="str">
        <f ca="1">HYPERLINK("#"&amp;자재단가대비표!R2&amp;"!A"&amp;ROW(자재단가대비표!A64),"자재60 →")</f>
        <v>자재60 →</v>
      </c>
    </row>
    <row r="64" spans="1:8" ht="17.45" customHeight="1" x14ac:dyDescent="0.3">
      <c r="A64" s="9" t="s">
        <v>2210</v>
      </c>
      <c r="B64" s="10" t="s">
        <v>2211</v>
      </c>
      <c r="C64" s="10"/>
      <c r="D64" s="9" t="s">
        <v>2212</v>
      </c>
      <c r="E64" s="32">
        <f>자재단가대비표!O65</f>
        <v>788000</v>
      </c>
      <c r="F64" s="22" t="s">
        <v>2210</v>
      </c>
      <c r="G64" s="17" t="str">
        <f>"_x0007_`COD|M06634_x0005_`QTY1|1_x0005_`BQC|_x0005_`EQC|_x0005_`JDC|_x0005_`WQC|_x0005_`EDT|_x0005_`DET|"&amp;ROW(자재단가대비표!A65)&amp;"_x0005_`"</f>
        <v>_x0007_`COD|M06634_x0005_`QTY1|1_x0005_`BQC|_x0005_`EQC|_x0005_`JDC|_x0005_`WQC|_x0005_`EDT|_x0005_`DET|65_x0005_`</v>
      </c>
      <c r="H64" s="3" t="str">
        <f ca="1">HYPERLINK("#"&amp;자재단가대비표!R2&amp;"!A"&amp;ROW(자재단가대비표!A65),"자재61 →")</f>
        <v>자재61 →</v>
      </c>
    </row>
    <row r="65" spans="1:8" ht="17.45" customHeight="1" x14ac:dyDescent="0.3">
      <c r="A65" s="9" t="s">
        <v>2214</v>
      </c>
      <c r="B65" s="10" t="s">
        <v>2215</v>
      </c>
      <c r="C65" s="10"/>
      <c r="D65" s="9" t="s">
        <v>1010</v>
      </c>
      <c r="E65" s="32">
        <f>자재단가대비표!O66</f>
        <v>128000</v>
      </c>
      <c r="F65" s="22" t="s">
        <v>2214</v>
      </c>
      <c r="G65" s="17" t="str">
        <f>"_x0007_`COD|M06722_x0005_`QTY1|1_x0005_`BQC|_x0005_`EQC|_x0005_`JDC|_x0005_`WQC|_x0005_`EDT|_x0005_`DET|"&amp;ROW(자재단가대비표!A66)&amp;"_x0005_`"</f>
        <v>_x0007_`COD|M06722_x0005_`QTY1|1_x0005_`BQC|_x0005_`EQC|_x0005_`JDC|_x0005_`WQC|_x0005_`EDT|_x0005_`DET|66_x0005_`</v>
      </c>
      <c r="H65" s="3" t="str">
        <f ca="1">HYPERLINK("#"&amp;자재단가대비표!R2&amp;"!A"&amp;ROW(자재단가대비표!A66),"자재62 →")</f>
        <v>자재62 →</v>
      </c>
    </row>
    <row r="66" spans="1:8" ht="17.45" customHeight="1" x14ac:dyDescent="0.3">
      <c r="A66" s="9" t="s">
        <v>2217</v>
      </c>
      <c r="B66" s="10" t="s">
        <v>2218</v>
      </c>
      <c r="C66" s="10" t="s">
        <v>2219</v>
      </c>
      <c r="D66" s="9" t="s">
        <v>1010</v>
      </c>
      <c r="E66" s="32">
        <f>자재단가대비표!O67</f>
        <v>54000</v>
      </c>
      <c r="F66" s="22" t="s">
        <v>2217</v>
      </c>
      <c r="G66" s="17" t="str">
        <f>"_x0007_`COD|M06730_x0005_`QTY1|1_x0005_`BQC|_x0005_`EQC|_x0005_`JDC|_x0005_`WQC|_x0005_`EDT|_x0005_`DET|"&amp;ROW(자재단가대비표!A67)&amp;"_x0005_`"</f>
        <v>_x0007_`COD|M06730_x0005_`QTY1|1_x0005_`BQC|_x0005_`EQC|_x0005_`JDC|_x0005_`WQC|_x0005_`EDT|_x0005_`DET|67_x0005_`</v>
      </c>
      <c r="H66" s="3" t="str">
        <f ca="1">HYPERLINK("#"&amp;자재단가대비표!R2&amp;"!A"&amp;ROW(자재단가대비표!A67),"자재63 →")</f>
        <v>자재63 →</v>
      </c>
    </row>
    <row r="67" spans="1:8" ht="17.45" customHeight="1" x14ac:dyDescent="0.3">
      <c r="A67" s="9" t="s">
        <v>2221</v>
      </c>
      <c r="B67" s="10" t="s">
        <v>2218</v>
      </c>
      <c r="C67" s="10" t="s">
        <v>2222</v>
      </c>
      <c r="D67" s="9" t="s">
        <v>1010</v>
      </c>
      <c r="E67" s="32">
        <f>자재단가대비표!O68</f>
        <v>76000</v>
      </c>
      <c r="F67" s="22" t="s">
        <v>2221</v>
      </c>
      <c r="G67" s="17" t="str">
        <f>"_x0007_`COD|M06731_x0005_`QTY1|1_x0005_`BQC|_x0005_`EQC|_x0005_`JDC|_x0005_`WQC|_x0005_`EDT|_x0005_`DET|"&amp;ROW(자재단가대비표!A68)&amp;"_x0005_`"</f>
        <v>_x0007_`COD|M06731_x0005_`QTY1|1_x0005_`BQC|_x0005_`EQC|_x0005_`JDC|_x0005_`WQC|_x0005_`EDT|_x0005_`DET|68_x0005_`</v>
      </c>
      <c r="H67" s="3" t="str">
        <f ca="1">HYPERLINK("#"&amp;자재단가대비표!R2&amp;"!A"&amp;ROW(자재단가대비표!A68),"자재64 →")</f>
        <v>자재64 →</v>
      </c>
    </row>
    <row r="68" spans="1:8" ht="17.45" customHeight="1" x14ac:dyDescent="0.3">
      <c r="A68" s="9" t="s">
        <v>2224</v>
      </c>
      <c r="B68" s="10" t="s">
        <v>2218</v>
      </c>
      <c r="C68" s="10" t="s">
        <v>2225</v>
      </c>
      <c r="D68" s="9" t="s">
        <v>1010</v>
      </c>
      <c r="E68" s="32">
        <f>자재단가대비표!O69</f>
        <v>13500</v>
      </c>
      <c r="F68" s="22" t="s">
        <v>2224</v>
      </c>
      <c r="G68" s="17" t="str">
        <f>"_x0007_`COD|M06723_x0005_`QTY1|1_x0005_`BQC|_x0005_`EQC|_x0005_`JDC|_x0005_`WQC|_x0005_`EDT|_x0005_`DET|"&amp;ROW(자재단가대비표!A69)&amp;"_x0005_`"</f>
        <v>_x0007_`COD|M06723_x0005_`QTY1|1_x0005_`BQC|_x0005_`EQC|_x0005_`JDC|_x0005_`WQC|_x0005_`EDT|_x0005_`DET|69_x0005_`</v>
      </c>
      <c r="H68" s="3" t="str">
        <f ca="1">HYPERLINK("#"&amp;자재단가대비표!R2&amp;"!A"&amp;ROW(자재단가대비표!A69),"자재65 →")</f>
        <v>자재65 →</v>
      </c>
    </row>
    <row r="69" spans="1:8" ht="17.45" customHeight="1" x14ac:dyDescent="0.3">
      <c r="A69" s="9" t="s">
        <v>2227</v>
      </c>
      <c r="B69" s="10" t="s">
        <v>2218</v>
      </c>
      <c r="C69" s="10" t="s">
        <v>2228</v>
      </c>
      <c r="D69" s="9" t="s">
        <v>1010</v>
      </c>
      <c r="E69" s="32">
        <f>자재단가대비표!O70</f>
        <v>141000</v>
      </c>
      <c r="F69" s="22" t="s">
        <v>2227</v>
      </c>
      <c r="G69" s="17" t="str">
        <f>"_x0007_`COD|M06732_x0005_`QTY1|1_x0005_`BQC|_x0005_`EQC|_x0005_`JDC|_x0005_`WQC|_x0005_`EDT|_x0005_`DET|"&amp;ROW(자재단가대비표!A70)&amp;"_x0005_`"</f>
        <v>_x0007_`COD|M06732_x0005_`QTY1|1_x0005_`BQC|_x0005_`EQC|_x0005_`JDC|_x0005_`WQC|_x0005_`EDT|_x0005_`DET|70_x0005_`</v>
      </c>
      <c r="H69" s="3" t="str">
        <f ca="1">HYPERLINK("#"&amp;자재단가대비표!R2&amp;"!A"&amp;ROW(자재단가대비표!A70),"자재66 →")</f>
        <v>자재66 →</v>
      </c>
    </row>
    <row r="70" spans="1:8" ht="17.45" customHeight="1" x14ac:dyDescent="0.3">
      <c r="A70" s="9" t="s">
        <v>2230</v>
      </c>
      <c r="B70" s="10" t="s">
        <v>2218</v>
      </c>
      <c r="C70" s="10" t="s">
        <v>1416</v>
      </c>
      <c r="D70" s="9" t="s">
        <v>1010</v>
      </c>
      <c r="E70" s="32">
        <f>자재단가대비표!O71</f>
        <v>14500</v>
      </c>
      <c r="F70" s="22" t="s">
        <v>2230</v>
      </c>
      <c r="G70" s="17" t="str">
        <f>"_x0007_`COD|M06724_x0005_`QTY1|1_x0005_`BQC|_x0005_`EQC|_x0005_`JDC|_x0005_`WQC|_x0005_`EDT|_x0005_`DET|"&amp;ROW(자재단가대비표!A71)&amp;"_x0005_`"</f>
        <v>_x0007_`COD|M06724_x0005_`QTY1|1_x0005_`BQC|_x0005_`EQC|_x0005_`JDC|_x0005_`WQC|_x0005_`EDT|_x0005_`DET|71_x0005_`</v>
      </c>
      <c r="H70" s="3" t="str">
        <f ca="1">HYPERLINK("#"&amp;자재단가대비표!R2&amp;"!A"&amp;ROW(자재단가대비표!A71),"자재67 →")</f>
        <v>자재67 →</v>
      </c>
    </row>
    <row r="71" spans="1:8" ht="17.45" customHeight="1" x14ac:dyDescent="0.3">
      <c r="A71" s="9" t="s">
        <v>2232</v>
      </c>
      <c r="B71" s="10" t="s">
        <v>2218</v>
      </c>
      <c r="C71" s="10" t="s">
        <v>2233</v>
      </c>
      <c r="D71" s="9" t="s">
        <v>1010</v>
      </c>
      <c r="E71" s="32">
        <f>자재단가대비표!O72</f>
        <v>16000</v>
      </c>
      <c r="F71" s="22" t="s">
        <v>2232</v>
      </c>
      <c r="G71" s="17" t="str">
        <f>"_x0007_`COD|M06725_x0005_`QTY1|1_x0005_`BQC|_x0005_`EQC|_x0005_`JDC|_x0005_`WQC|_x0005_`EDT|_x0005_`DET|"&amp;ROW(자재단가대비표!A72)&amp;"_x0005_`"</f>
        <v>_x0007_`COD|M06725_x0005_`QTY1|1_x0005_`BQC|_x0005_`EQC|_x0005_`JDC|_x0005_`WQC|_x0005_`EDT|_x0005_`DET|72_x0005_`</v>
      </c>
      <c r="H71" s="3" t="str">
        <f ca="1">HYPERLINK("#"&amp;자재단가대비표!R2&amp;"!A"&amp;ROW(자재단가대비표!A72),"자재68 →")</f>
        <v>자재68 →</v>
      </c>
    </row>
    <row r="72" spans="1:8" ht="17.45" customHeight="1" x14ac:dyDescent="0.3">
      <c r="A72" s="9" t="s">
        <v>2235</v>
      </c>
      <c r="B72" s="10" t="s">
        <v>2218</v>
      </c>
      <c r="C72" s="10" t="s">
        <v>1419</v>
      </c>
      <c r="D72" s="9" t="s">
        <v>1010</v>
      </c>
      <c r="E72" s="32">
        <f>자재단가대비표!O73</f>
        <v>17000</v>
      </c>
      <c r="F72" s="22" t="s">
        <v>2235</v>
      </c>
      <c r="G72" s="17" t="str">
        <f>"_x0007_`COD|M06726_x0005_`QTY1|1_x0005_`BQC|_x0005_`EQC|_x0005_`JDC|_x0005_`WQC|_x0005_`EDT|_x0005_`DET|"&amp;ROW(자재단가대비표!A73)&amp;"_x0005_`"</f>
        <v>_x0007_`COD|M06726_x0005_`QTY1|1_x0005_`BQC|_x0005_`EQC|_x0005_`JDC|_x0005_`WQC|_x0005_`EDT|_x0005_`DET|73_x0005_`</v>
      </c>
      <c r="H72" s="3" t="str">
        <f ca="1">HYPERLINK("#"&amp;자재단가대비표!R2&amp;"!A"&amp;ROW(자재단가대비표!A73),"자재69 →")</f>
        <v>자재69 →</v>
      </c>
    </row>
    <row r="73" spans="1:8" ht="17.45" customHeight="1" x14ac:dyDescent="0.3">
      <c r="A73" s="9" t="s">
        <v>2237</v>
      </c>
      <c r="B73" s="10" t="s">
        <v>2218</v>
      </c>
      <c r="C73" s="10" t="s">
        <v>2238</v>
      </c>
      <c r="D73" s="9" t="s">
        <v>1010</v>
      </c>
      <c r="E73" s="32">
        <f>자재단가대비표!O74</f>
        <v>18000</v>
      </c>
      <c r="F73" s="22" t="s">
        <v>2237</v>
      </c>
      <c r="G73" s="17" t="str">
        <f>"_x0007_`COD|M06727_x0005_`QTY1|1_x0005_`BQC|_x0005_`EQC|_x0005_`JDC|_x0005_`WQC|_x0005_`EDT|_x0005_`DET|"&amp;ROW(자재단가대비표!A74)&amp;"_x0005_`"</f>
        <v>_x0007_`COD|M06727_x0005_`QTY1|1_x0005_`BQC|_x0005_`EQC|_x0005_`JDC|_x0005_`WQC|_x0005_`EDT|_x0005_`DET|74_x0005_`</v>
      </c>
      <c r="H73" s="3" t="str">
        <f ca="1">HYPERLINK("#"&amp;자재단가대비표!R2&amp;"!A"&amp;ROW(자재단가대비표!A74),"자재70 →")</f>
        <v>자재70 →</v>
      </c>
    </row>
    <row r="74" spans="1:8" ht="17.45" customHeight="1" x14ac:dyDescent="0.3">
      <c r="A74" s="9" t="s">
        <v>2240</v>
      </c>
      <c r="B74" s="10" t="s">
        <v>2218</v>
      </c>
      <c r="C74" s="10" t="s">
        <v>2241</v>
      </c>
      <c r="D74" s="9" t="s">
        <v>1010</v>
      </c>
      <c r="E74" s="32">
        <f>자재단가대비표!O75</f>
        <v>27000</v>
      </c>
      <c r="F74" s="22" t="s">
        <v>2240</v>
      </c>
      <c r="G74" s="17" t="str">
        <f>"_x0007_`COD|M06728_x0005_`QTY1|1_x0005_`BQC|_x0005_`EQC|_x0005_`JDC|_x0005_`WQC|_x0005_`EDT|_x0005_`DET|"&amp;ROW(자재단가대비표!A75)&amp;"_x0005_`"</f>
        <v>_x0007_`COD|M06728_x0005_`QTY1|1_x0005_`BQC|_x0005_`EQC|_x0005_`JDC|_x0005_`WQC|_x0005_`EDT|_x0005_`DET|75_x0005_`</v>
      </c>
      <c r="H74" s="3" t="str">
        <f ca="1">HYPERLINK("#"&amp;자재단가대비표!R2&amp;"!A"&amp;ROW(자재단가대비표!A75),"자재71 →")</f>
        <v>자재71 →</v>
      </c>
    </row>
    <row r="75" spans="1:8" ht="17.45" customHeight="1" x14ac:dyDescent="0.3">
      <c r="A75" s="9" t="s">
        <v>2243</v>
      </c>
      <c r="B75" s="10" t="s">
        <v>2218</v>
      </c>
      <c r="C75" s="10" t="s">
        <v>2244</v>
      </c>
      <c r="D75" s="9" t="s">
        <v>1010</v>
      </c>
      <c r="E75" s="32">
        <f>자재단가대비표!O76</f>
        <v>47000</v>
      </c>
      <c r="F75" s="22" t="s">
        <v>2243</v>
      </c>
      <c r="G75" s="17" t="str">
        <f>"_x0007_`COD|M06729_x0005_`QTY1|1_x0005_`BQC|_x0005_`EQC|_x0005_`JDC|_x0005_`WQC|_x0005_`EDT|_x0005_`DET|"&amp;ROW(자재단가대비표!A76)&amp;"_x0005_`"</f>
        <v>_x0007_`COD|M06729_x0005_`QTY1|1_x0005_`BQC|_x0005_`EQC|_x0005_`JDC|_x0005_`WQC|_x0005_`EDT|_x0005_`DET|76_x0005_`</v>
      </c>
      <c r="H75" s="3" t="str">
        <f ca="1">HYPERLINK("#"&amp;자재단가대비표!R2&amp;"!A"&amp;ROW(자재단가대비표!A76),"자재72 →")</f>
        <v>자재72 →</v>
      </c>
    </row>
    <row r="76" spans="1:8" ht="17.45" customHeight="1" x14ac:dyDescent="0.3">
      <c r="A76" s="9" t="s">
        <v>2246</v>
      </c>
      <c r="B76" s="10" t="s">
        <v>2247</v>
      </c>
      <c r="C76" s="10" t="s">
        <v>2248</v>
      </c>
      <c r="D76" s="9" t="s">
        <v>1676</v>
      </c>
      <c r="E76" s="32">
        <f>자재단가대비표!O77</f>
        <v>22000</v>
      </c>
      <c r="F76" s="22" t="s">
        <v>2246</v>
      </c>
      <c r="G76" s="17" t="str">
        <f>"_x0007_`COD|M06644_x0005_`QTY1|1_x0005_`BQC|_x0005_`EQC|_x0005_`JDC|_x0005_`WQC|_x0005_`EDT|_x0005_`DET|"&amp;ROW(자재단가대비표!A77)&amp;"_x0005_`"</f>
        <v>_x0007_`COD|M06644_x0005_`QTY1|1_x0005_`BQC|_x0005_`EQC|_x0005_`JDC|_x0005_`WQC|_x0005_`EDT|_x0005_`DET|77_x0005_`</v>
      </c>
      <c r="H76" s="3" t="str">
        <f ca="1">HYPERLINK("#"&amp;자재단가대비표!R2&amp;"!A"&amp;ROW(자재단가대비표!A77),"자재73 →")</f>
        <v>자재73 →</v>
      </c>
    </row>
    <row r="77" spans="1:8" ht="17.45" customHeight="1" x14ac:dyDescent="0.3">
      <c r="A77" s="9" t="s">
        <v>2250</v>
      </c>
      <c r="B77" s="10" t="s">
        <v>2251</v>
      </c>
      <c r="C77" s="10" t="s">
        <v>2252</v>
      </c>
      <c r="D77" s="9" t="s">
        <v>1010</v>
      </c>
      <c r="E77" s="32">
        <f>자재단가대비표!O78</f>
        <v>120000</v>
      </c>
      <c r="F77" s="22" t="s">
        <v>2250</v>
      </c>
      <c r="G77" s="17" t="str">
        <f>"_x0007_`COD|M06585_x0005_`QTY1|1_x0005_`BQC|_x0005_`EQC|_x0005_`JDC|_x0005_`WQC|_x0005_`EDT|_x0005_`DET|"&amp;ROW(자재단가대비표!A78)&amp;"_x0005_`"</f>
        <v>_x0007_`COD|M06585_x0005_`QTY1|1_x0005_`BQC|_x0005_`EQC|_x0005_`JDC|_x0005_`WQC|_x0005_`EDT|_x0005_`DET|78_x0005_`</v>
      </c>
      <c r="H77" s="3" t="str">
        <f ca="1">HYPERLINK("#"&amp;자재단가대비표!R2&amp;"!A"&amp;ROW(자재단가대비표!A78),"자재74 →")</f>
        <v>자재74 →</v>
      </c>
    </row>
    <row r="78" spans="1:8" ht="17.45" customHeight="1" x14ac:dyDescent="0.3">
      <c r="A78" s="9" t="s">
        <v>2254</v>
      </c>
      <c r="B78" s="10" t="s">
        <v>2251</v>
      </c>
      <c r="C78" s="10" t="s">
        <v>2255</v>
      </c>
      <c r="D78" s="9" t="s">
        <v>1010</v>
      </c>
      <c r="E78" s="32">
        <f>자재단가대비표!O79</f>
        <v>160000</v>
      </c>
      <c r="F78" s="22" t="s">
        <v>2254</v>
      </c>
      <c r="G78" s="17" t="str">
        <f>"_x0007_`COD|M06586_x0005_`QTY1|1_x0005_`BQC|_x0005_`EQC|_x0005_`JDC|_x0005_`WQC|_x0005_`EDT|_x0005_`DET|"&amp;ROW(자재단가대비표!A79)&amp;"_x0005_`"</f>
        <v>_x0007_`COD|M06586_x0005_`QTY1|1_x0005_`BQC|_x0005_`EQC|_x0005_`JDC|_x0005_`WQC|_x0005_`EDT|_x0005_`DET|79_x0005_`</v>
      </c>
      <c r="H78" s="3" t="str">
        <f ca="1">HYPERLINK("#"&amp;자재단가대비표!R2&amp;"!A"&amp;ROW(자재단가대비표!A79),"자재75 →")</f>
        <v>자재75 →</v>
      </c>
    </row>
    <row r="79" spans="1:8" ht="17.45" customHeight="1" x14ac:dyDescent="0.3">
      <c r="A79" s="9" t="s">
        <v>2257</v>
      </c>
      <c r="B79" s="10" t="s">
        <v>2251</v>
      </c>
      <c r="C79" s="10" t="s">
        <v>1895</v>
      </c>
      <c r="D79" s="9" t="s">
        <v>1010</v>
      </c>
      <c r="E79" s="32">
        <f>자재단가대비표!O80</f>
        <v>200000</v>
      </c>
      <c r="F79" s="22" t="s">
        <v>2257</v>
      </c>
      <c r="G79" s="17" t="str">
        <f>"_x0007_`COD|M06587_x0005_`QTY1|1_x0005_`BQC|_x0005_`EQC|_x0005_`JDC|_x0005_`WQC|_x0005_`EDT|_x0005_`DET|"&amp;ROW(자재단가대비표!A80)&amp;"_x0005_`"</f>
        <v>_x0007_`COD|M06587_x0005_`QTY1|1_x0005_`BQC|_x0005_`EQC|_x0005_`JDC|_x0005_`WQC|_x0005_`EDT|_x0005_`DET|80_x0005_`</v>
      </c>
      <c r="H79" s="3" t="str">
        <f ca="1">HYPERLINK("#"&amp;자재단가대비표!R2&amp;"!A"&amp;ROW(자재단가대비표!A80),"자재76 →")</f>
        <v>자재76 →</v>
      </c>
    </row>
    <row r="80" spans="1:8" ht="17.45" customHeight="1" x14ac:dyDescent="0.3">
      <c r="A80" s="9" t="s">
        <v>2259</v>
      </c>
      <c r="B80" s="10" t="s">
        <v>2251</v>
      </c>
      <c r="C80" s="10" t="s">
        <v>2260</v>
      </c>
      <c r="D80" s="9" t="s">
        <v>1010</v>
      </c>
      <c r="E80" s="32">
        <f>자재단가대비표!O81</f>
        <v>240000</v>
      </c>
      <c r="F80" s="22" t="s">
        <v>2259</v>
      </c>
      <c r="G80" s="17" t="str">
        <f>"_x0007_`COD|M06588_x0005_`QTY1|1_x0005_`BQC|_x0005_`EQC|_x0005_`JDC|_x0005_`WQC|_x0005_`EDT|_x0005_`DET|"&amp;ROW(자재단가대비표!A81)&amp;"_x0005_`"</f>
        <v>_x0007_`COD|M06588_x0005_`QTY1|1_x0005_`BQC|_x0005_`EQC|_x0005_`JDC|_x0005_`WQC|_x0005_`EDT|_x0005_`DET|81_x0005_`</v>
      </c>
      <c r="H80" s="3" t="str">
        <f ca="1">HYPERLINK("#"&amp;자재단가대비표!R2&amp;"!A"&amp;ROW(자재단가대비표!A81),"자재77 →")</f>
        <v>자재77 →</v>
      </c>
    </row>
    <row r="81" spans="1:8" ht="17.45" customHeight="1" x14ac:dyDescent="0.3">
      <c r="A81" s="9" t="s">
        <v>2262</v>
      </c>
      <c r="B81" s="10" t="s">
        <v>2263</v>
      </c>
      <c r="C81" s="10" t="s">
        <v>2264</v>
      </c>
      <c r="D81" s="9" t="s">
        <v>1603</v>
      </c>
      <c r="E81" s="32">
        <f>자재단가대비표!O82</f>
        <v>37000</v>
      </c>
      <c r="F81" s="22" t="s">
        <v>2262</v>
      </c>
      <c r="G81" s="17" t="str">
        <f>"_x0007_`COD|M03575_x0005_`QTY1|1_x0005_`BQC|_x0005_`EQC|_x0005_`JDC|_x0005_`WQC|_x0005_`EDT|_x0005_`DET|"&amp;ROW(자재단가대비표!A82)&amp;"_x0005_`"</f>
        <v>_x0007_`COD|M03575_x0005_`QTY1|1_x0005_`BQC|_x0005_`EQC|_x0005_`JDC|_x0005_`WQC|_x0005_`EDT|_x0005_`DET|82_x0005_`</v>
      </c>
      <c r="H81" s="3" t="str">
        <f ca="1">HYPERLINK("#"&amp;자재단가대비표!R2&amp;"!A"&amp;ROW(자재단가대비표!A82),"자재78 →")</f>
        <v>자재78 →</v>
      </c>
    </row>
    <row r="82" spans="1:8" ht="17.45" customHeight="1" x14ac:dyDescent="0.3">
      <c r="A82" s="9" t="s">
        <v>2266</v>
      </c>
      <c r="B82" s="10" t="s">
        <v>2267</v>
      </c>
      <c r="C82" s="10" t="s">
        <v>2268</v>
      </c>
      <c r="D82" s="9" t="s">
        <v>1010</v>
      </c>
      <c r="E82" s="32">
        <f>자재단가대비표!O83</f>
        <v>400000</v>
      </c>
      <c r="F82" s="22" t="s">
        <v>2266</v>
      </c>
      <c r="G82" s="17" t="str">
        <f>"_x0007_`COD|M05489_x0005_`QTY1|1_x0005_`BQC|_x0005_`EQC|_x0005_`JDC|_x0005_`WQC|_x0005_`EDT|_x0005_`DET|"&amp;ROW(자재단가대비표!A83)&amp;"_x0005_`"</f>
        <v>_x0007_`COD|M05489_x0005_`QTY1|1_x0005_`BQC|_x0005_`EQC|_x0005_`JDC|_x0005_`WQC|_x0005_`EDT|_x0005_`DET|83_x0005_`</v>
      </c>
      <c r="H82" s="3" t="str">
        <f ca="1">HYPERLINK("#"&amp;자재단가대비표!R2&amp;"!A"&amp;ROW(자재단가대비표!A83),"자재79 →")</f>
        <v>자재79 →</v>
      </c>
    </row>
    <row r="83" spans="1:8" ht="17.45" customHeight="1" x14ac:dyDescent="0.3">
      <c r="A83" s="9" t="s">
        <v>2270</v>
      </c>
      <c r="B83" s="10" t="s">
        <v>2267</v>
      </c>
      <c r="C83" s="10" t="s">
        <v>2271</v>
      </c>
      <c r="D83" s="9" t="s">
        <v>1010</v>
      </c>
      <c r="E83" s="32">
        <f>자재단가대비표!O84</f>
        <v>400000</v>
      </c>
      <c r="F83" s="22" t="s">
        <v>2270</v>
      </c>
      <c r="G83" s="17" t="str">
        <f>"_x0007_`COD|M06573_x0005_`QTY1|1_x0005_`BQC|_x0005_`EQC|_x0005_`JDC|_x0005_`WQC|_x0005_`EDT|_x0005_`DET|"&amp;ROW(자재단가대비표!A84)&amp;"_x0005_`"</f>
        <v>_x0007_`COD|M06573_x0005_`QTY1|1_x0005_`BQC|_x0005_`EQC|_x0005_`JDC|_x0005_`WQC|_x0005_`EDT|_x0005_`DET|84_x0005_`</v>
      </c>
      <c r="H83" s="3" t="str">
        <f ca="1">HYPERLINK("#"&amp;자재단가대비표!R2&amp;"!A"&amp;ROW(자재단가대비표!A84),"자재80 →")</f>
        <v>자재80 →</v>
      </c>
    </row>
    <row r="84" spans="1:8" ht="17.45" customHeight="1" x14ac:dyDescent="0.3">
      <c r="A84" s="9" t="s">
        <v>2273</v>
      </c>
      <c r="B84" s="10" t="s">
        <v>2274</v>
      </c>
      <c r="C84" s="10"/>
      <c r="D84" s="9" t="s">
        <v>1010</v>
      </c>
      <c r="E84" s="32">
        <f>자재단가대비표!O85</f>
        <v>53000</v>
      </c>
      <c r="F84" s="22" t="s">
        <v>2273</v>
      </c>
      <c r="G84" s="17" t="str">
        <f>"_x0007_`COD|M06636_x0005_`QTY1|1_x0005_`BQC|_x0005_`EQC|_x0005_`JDC|_x0005_`WQC|_x0005_`EDT|_x0005_`DET|"&amp;ROW(자재단가대비표!A85)&amp;"_x0005_`"</f>
        <v>_x0007_`COD|M06636_x0005_`QTY1|1_x0005_`BQC|_x0005_`EQC|_x0005_`JDC|_x0005_`WQC|_x0005_`EDT|_x0005_`DET|85_x0005_`</v>
      </c>
      <c r="H84" s="3" t="str">
        <f ca="1">HYPERLINK("#"&amp;자재단가대비표!R2&amp;"!A"&amp;ROW(자재단가대비표!A85),"자재81 →")</f>
        <v>자재81 →</v>
      </c>
    </row>
    <row r="85" spans="1:8" ht="17.45" customHeight="1" x14ac:dyDescent="0.3">
      <c r="A85" s="9" t="s">
        <v>2276</v>
      </c>
      <c r="B85" s="10" t="s">
        <v>2277</v>
      </c>
      <c r="C85" s="10" t="s">
        <v>2278</v>
      </c>
      <c r="D85" s="9" t="s">
        <v>2279</v>
      </c>
      <c r="E85" s="32">
        <f>자재단가대비표!O86</f>
        <v>5600</v>
      </c>
      <c r="F85" s="22" t="s">
        <v>2276</v>
      </c>
      <c r="G85" s="17" t="str">
        <f>"_x0007_`COD|M06734_x0005_`QTY1|1_x0005_`BQC|_x0005_`EQC|_x0005_`JDC|_x0005_`WQC|_x0005_`EDT|_x0005_`DET|"&amp;ROW(자재단가대비표!A86)&amp;"_x0005_`"</f>
        <v>_x0007_`COD|M06734_x0005_`QTY1|1_x0005_`BQC|_x0005_`EQC|_x0005_`JDC|_x0005_`WQC|_x0005_`EDT|_x0005_`DET|86_x0005_`</v>
      </c>
      <c r="H85" s="3" t="str">
        <f ca="1">HYPERLINK("#"&amp;자재단가대비표!R2&amp;"!A"&amp;ROW(자재단가대비표!A86),"자재82 →")</f>
        <v>자재82 →</v>
      </c>
    </row>
    <row r="86" spans="1:8" ht="17.45" customHeight="1" x14ac:dyDescent="0.3">
      <c r="A86" s="9" t="s">
        <v>2281</v>
      </c>
      <c r="B86" s="10" t="s">
        <v>2282</v>
      </c>
      <c r="C86" s="10" t="s">
        <v>2283</v>
      </c>
      <c r="D86" s="9" t="s">
        <v>1010</v>
      </c>
      <c r="E86" s="32">
        <f>자재단가대비표!O87</f>
        <v>587000</v>
      </c>
      <c r="F86" s="22" t="s">
        <v>2281</v>
      </c>
      <c r="G86" s="17" t="str">
        <f>"_x0007_`COD|M06676_x0005_`QTY1|1_x0005_`BQC|_x0005_`EQC|_x0005_`JDC|_x0005_`WQC|_x0005_`EDT|_x0005_`DET|"&amp;ROW(자재단가대비표!A87)&amp;"_x0005_`"</f>
        <v>_x0007_`COD|M06676_x0005_`QTY1|1_x0005_`BQC|_x0005_`EQC|_x0005_`JDC|_x0005_`WQC|_x0005_`EDT|_x0005_`DET|87_x0005_`</v>
      </c>
      <c r="H86" s="3" t="str">
        <f ca="1">HYPERLINK("#"&amp;자재단가대비표!R2&amp;"!A"&amp;ROW(자재단가대비표!A87),"자재83 →")</f>
        <v>자재83 →</v>
      </c>
    </row>
    <row r="87" spans="1:8" ht="17.45" customHeight="1" x14ac:dyDescent="0.3">
      <c r="A87" s="9" t="s">
        <v>2285</v>
      </c>
      <c r="B87" s="10" t="s">
        <v>2282</v>
      </c>
      <c r="C87" s="10" t="s">
        <v>2286</v>
      </c>
      <c r="D87" s="9" t="s">
        <v>1010</v>
      </c>
      <c r="E87" s="32">
        <f>자재단가대비표!O88</f>
        <v>1628000</v>
      </c>
      <c r="F87" s="22" t="s">
        <v>2285</v>
      </c>
      <c r="G87" s="17" t="str">
        <f>"_x0007_`COD|M06677_x0005_`QTY1|1_x0005_`BQC|_x0005_`EQC|_x0005_`JDC|_x0005_`WQC|_x0005_`EDT|_x0005_`DET|"&amp;ROW(자재단가대비표!A88)&amp;"_x0005_`"</f>
        <v>_x0007_`COD|M06677_x0005_`QTY1|1_x0005_`BQC|_x0005_`EQC|_x0005_`JDC|_x0005_`WQC|_x0005_`EDT|_x0005_`DET|88_x0005_`</v>
      </c>
      <c r="H87" s="3" t="str">
        <f ca="1">HYPERLINK("#"&amp;자재단가대비표!R2&amp;"!A"&amp;ROW(자재단가대비표!A88),"자재84 →")</f>
        <v>자재84 →</v>
      </c>
    </row>
    <row r="88" spans="1:8" ht="17.45" customHeight="1" x14ac:dyDescent="0.3">
      <c r="A88" s="9" t="s">
        <v>2288</v>
      </c>
      <c r="B88" s="10" t="s">
        <v>2282</v>
      </c>
      <c r="C88" s="10" t="s">
        <v>2289</v>
      </c>
      <c r="D88" s="9" t="s">
        <v>1010</v>
      </c>
      <c r="E88" s="32">
        <f>자재단가대비표!O89</f>
        <v>2054000</v>
      </c>
      <c r="F88" s="22" t="s">
        <v>2288</v>
      </c>
      <c r="G88" s="17" t="str">
        <f>"_x0007_`COD|M06678_x0005_`QTY1|1_x0005_`BQC|_x0005_`EQC|_x0005_`JDC|_x0005_`WQC|_x0005_`EDT|_x0005_`DET|"&amp;ROW(자재단가대비표!A89)&amp;"_x0005_`"</f>
        <v>_x0007_`COD|M06678_x0005_`QTY1|1_x0005_`BQC|_x0005_`EQC|_x0005_`JDC|_x0005_`WQC|_x0005_`EDT|_x0005_`DET|89_x0005_`</v>
      </c>
      <c r="H88" s="3" t="str">
        <f ca="1">HYPERLINK("#"&amp;자재단가대비표!R2&amp;"!A"&amp;ROW(자재단가대비표!A89),"자재85 →")</f>
        <v>자재85 →</v>
      </c>
    </row>
    <row r="89" spans="1:8" ht="17.45" customHeight="1" x14ac:dyDescent="0.3">
      <c r="A89" s="9" t="s">
        <v>2291</v>
      </c>
      <c r="B89" s="10" t="s">
        <v>2282</v>
      </c>
      <c r="C89" s="10" t="s">
        <v>2292</v>
      </c>
      <c r="D89" s="9" t="s">
        <v>1010</v>
      </c>
      <c r="E89" s="32">
        <f>자재단가대비표!O90</f>
        <v>2700000</v>
      </c>
      <c r="F89" s="22" t="s">
        <v>2291</v>
      </c>
      <c r="G89" s="17" t="str">
        <f>"_x0007_`COD|M06680_x0005_`QTY1|1_x0005_`BQC|_x0005_`EQC|_x0005_`JDC|_x0005_`WQC|_x0005_`EDT|_x0005_`DET|"&amp;ROW(자재단가대비표!A90)&amp;"_x0005_`"</f>
        <v>_x0007_`COD|M06680_x0005_`QTY1|1_x0005_`BQC|_x0005_`EQC|_x0005_`JDC|_x0005_`WQC|_x0005_`EDT|_x0005_`DET|90_x0005_`</v>
      </c>
      <c r="H89" s="3" t="str">
        <f ca="1">HYPERLINK("#"&amp;자재단가대비표!R2&amp;"!A"&amp;ROW(자재단가대비표!A90),"자재86 →")</f>
        <v>자재86 →</v>
      </c>
    </row>
    <row r="90" spans="1:8" ht="17.45" customHeight="1" x14ac:dyDescent="0.3">
      <c r="A90" s="9" t="s">
        <v>2294</v>
      </c>
      <c r="B90" s="10" t="s">
        <v>2282</v>
      </c>
      <c r="C90" s="10" t="s">
        <v>2295</v>
      </c>
      <c r="D90" s="9" t="s">
        <v>1010</v>
      </c>
      <c r="E90" s="32">
        <f>자재단가대비표!O91</f>
        <v>3384000</v>
      </c>
      <c r="F90" s="22" t="s">
        <v>2294</v>
      </c>
      <c r="G90" s="17" t="str">
        <f>"_x0007_`COD|M06679_x0005_`QTY1|1_x0005_`BQC|_x0005_`EQC|_x0005_`JDC|_x0005_`WQC|_x0005_`EDT|_x0005_`DET|"&amp;ROW(자재단가대비표!A91)&amp;"_x0005_`"</f>
        <v>_x0007_`COD|M06679_x0005_`QTY1|1_x0005_`BQC|_x0005_`EQC|_x0005_`JDC|_x0005_`WQC|_x0005_`EDT|_x0005_`DET|91_x0005_`</v>
      </c>
      <c r="H90" s="3" t="str">
        <f ca="1">HYPERLINK("#"&amp;자재단가대비표!R2&amp;"!A"&amp;ROW(자재단가대비표!A91),"자재87 →")</f>
        <v>자재87 →</v>
      </c>
    </row>
    <row r="91" spans="1:8" ht="17.45" customHeight="1" x14ac:dyDescent="0.3">
      <c r="A91" s="9" t="s">
        <v>2297</v>
      </c>
      <c r="B91" s="10" t="s">
        <v>2282</v>
      </c>
      <c r="C91" s="10" t="s">
        <v>2298</v>
      </c>
      <c r="D91" s="9" t="s">
        <v>1010</v>
      </c>
      <c r="E91" s="32">
        <f>자재단가대비표!O92</f>
        <v>416000</v>
      </c>
      <c r="F91" s="22" t="s">
        <v>2297</v>
      </c>
      <c r="G91" s="17" t="str">
        <f>"_x0007_`COD|M06675_x0005_`QTY1|1_x0005_`BQC|_x0005_`EQC|_x0005_`JDC|_x0005_`WQC|_x0005_`EDT|_x0005_`DET|"&amp;ROW(자재단가대비표!A92)&amp;"_x0005_`"</f>
        <v>_x0007_`COD|M06675_x0005_`QTY1|1_x0005_`BQC|_x0005_`EQC|_x0005_`JDC|_x0005_`WQC|_x0005_`EDT|_x0005_`DET|92_x0005_`</v>
      </c>
      <c r="H91" s="3" t="str">
        <f ca="1">HYPERLINK("#"&amp;자재단가대비표!R2&amp;"!A"&amp;ROW(자재단가대비표!A92),"자재88 →")</f>
        <v>자재88 →</v>
      </c>
    </row>
    <row r="92" spans="1:8" ht="17.45" customHeight="1" x14ac:dyDescent="0.3">
      <c r="A92" s="9" t="s">
        <v>2300</v>
      </c>
      <c r="B92" s="10" t="s">
        <v>2301</v>
      </c>
      <c r="C92" s="10"/>
      <c r="D92" s="9" t="s">
        <v>2302</v>
      </c>
      <c r="E92" s="32">
        <f>자재단가대비표!O93</f>
        <v>7200</v>
      </c>
      <c r="F92" s="22" t="s">
        <v>2300</v>
      </c>
      <c r="G92" s="17" t="str">
        <f>"_x0007_`COD|M06736_x0005_`QTY1|1_x0005_`BQC|_x0005_`EQC|_x0005_`JDC|_x0005_`WQC|_x0005_`EDT|_x0005_`DET|"&amp;ROW(자재단가대비표!A93)&amp;"_x0005_`"</f>
        <v>_x0007_`COD|M06736_x0005_`QTY1|1_x0005_`BQC|_x0005_`EQC|_x0005_`JDC|_x0005_`WQC|_x0005_`EDT|_x0005_`DET|93_x0005_`</v>
      </c>
      <c r="H92" s="3" t="str">
        <f ca="1">HYPERLINK("#"&amp;자재단가대비표!R2&amp;"!A"&amp;ROW(자재단가대비표!A93),"자재89 →")</f>
        <v>자재89 →</v>
      </c>
    </row>
    <row r="93" spans="1:8" ht="17.45" customHeight="1" x14ac:dyDescent="0.3">
      <c r="A93" s="9" t="s">
        <v>2304</v>
      </c>
      <c r="B93" s="10" t="s">
        <v>2305</v>
      </c>
      <c r="C93" s="10" t="s">
        <v>2306</v>
      </c>
      <c r="D93" s="9" t="s">
        <v>2307</v>
      </c>
      <c r="E93" s="32">
        <f>자재단가대비표!O94</f>
        <v>2944</v>
      </c>
      <c r="F93" s="22" t="s">
        <v>2304</v>
      </c>
      <c r="G93" s="17" t="str">
        <f>"_x0007_`COD|M06737_x0005_`QTY1|1_x0005_`BQC|_x0005_`EQC|_x0005_`JDC|_x0005_`WQC|_x0005_`EDT|_x0005_`DET|"&amp;ROW(자재단가대비표!A94)&amp;"_x0005_`"</f>
        <v>_x0007_`COD|M06737_x0005_`QTY1|1_x0005_`BQC|_x0005_`EQC|_x0005_`JDC|_x0005_`WQC|_x0005_`EDT|_x0005_`DET|94_x0005_`</v>
      </c>
      <c r="H93" s="3" t="str">
        <f ca="1">HYPERLINK("#"&amp;자재단가대비표!R2&amp;"!A"&amp;ROW(자재단가대비표!A94),"자재90 →")</f>
        <v>자재90 →</v>
      </c>
    </row>
    <row r="94" spans="1:8" ht="17.45" customHeight="1" x14ac:dyDescent="0.3">
      <c r="A94" s="9" t="s">
        <v>2309</v>
      </c>
      <c r="B94" s="10" t="s">
        <v>2310</v>
      </c>
      <c r="C94" s="10" t="s">
        <v>2311</v>
      </c>
      <c r="D94" s="9" t="s">
        <v>2212</v>
      </c>
      <c r="E94" s="32">
        <f>자재단가대비표!O95</f>
        <v>396000</v>
      </c>
      <c r="F94" s="22" t="s">
        <v>2309</v>
      </c>
      <c r="G94" s="17" t="str">
        <f>"_x0007_`COD|M06383_x0005_`QTY1|1_x0005_`BQC|_x0005_`EQC|_x0005_`JDC|_x0005_`WQC|_x0005_`EDT|_x0005_`DET|"&amp;ROW(자재단가대비표!A95)&amp;"_x0005_`"</f>
        <v>_x0007_`COD|M06383_x0005_`QTY1|1_x0005_`BQC|_x0005_`EQC|_x0005_`JDC|_x0005_`WQC|_x0005_`EDT|_x0005_`DET|95_x0005_`</v>
      </c>
      <c r="H94" s="3" t="str">
        <f ca="1">HYPERLINK("#"&amp;자재단가대비표!R2&amp;"!A"&amp;ROW(자재단가대비표!A95),"자재91 →")</f>
        <v>자재91 →</v>
      </c>
    </row>
    <row r="95" spans="1:8" ht="17.45" customHeight="1" x14ac:dyDescent="0.3">
      <c r="A95" s="9" t="s">
        <v>2313</v>
      </c>
      <c r="B95" s="10" t="s">
        <v>2310</v>
      </c>
      <c r="C95" s="10" t="s">
        <v>2314</v>
      </c>
      <c r="D95" s="9" t="s">
        <v>2212</v>
      </c>
      <c r="E95" s="32">
        <f>자재단가대비표!O96</f>
        <v>528000</v>
      </c>
      <c r="F95" s="22" t="s">
        <v>2313</v>
      </c>
      <c r="G95" s="17" t="str">
        <f>"_x0007_`COD|M06572_x0005_`QTY1|1_x0005_`BQC|_x0005_`EQC|_x0005_`JDC|_x0005_`WQC|_x0005_`EDT|_x0005_`DET|"&amp;ROW(자재단가대비표!A96)&amp;"_x0005_`"</f>
        <v>_x0007_`COD|M06572_x0005_`QTY1|1_x0005_`BQC|_x0005_`EQC|_x0005_`JDC|_x0005_`WQC|_x0005_`EDT|_x0005_`DET|96_x0005_`</v>
      </c>
      <c r="H95" s="3" t="str">
        <f ca="1">HYPERLINK("#"&amp;자재단가대비표!R2&amp;"!A"&amp;ROW(자재단가대비표!A96),"자재92 →")</f>
        <v>자재92 →</v>
      </c>
    </row>
    <row r="96" spans="1:8" ht="17.45" customHeight="1" x14ac:dyDescent="0.3">
      <c r="A96" s="9" t="s">
        <v>2316</v>
      </c>
      <c r="B96" s="10" t="s">
        <v>705</v>
      </c>
      <c r="C96" s="10" t="s">
        <v>2317</v>
      </c>
      <c r="D96" s="9" t="s">
        <v>14</v>
      </c>
      <c r="E96" s="32">
        <f>자재단가대비표!O97</f>
        <v>3662000</v>
      </c>
      <c r="F96" s="22" t="s">
        <v>2316</v>
      </c>
      <c r="G96" s="17" t="str">
        <f>"_x0007_`COD|M06668_x0005_`QTY1|1_x0005_`BQC|_x0005_`EQC|_x0005_`JDC|_x0005_`WQC|_x0005_`EDT|_x0005_`DET|"&amp;ROW(자재단가대비표!A97)&amp;"_x0005_`"</f>
        <v>_x0007_`COD|M06668_x0005_`QTY1|1_x0005_`BQC|_x0005_`EQC|_x0005_`JDC|_x0005_`WQC|_x0005_`EDT|_x0005_`DET|97_x0005_`</v>
      </c>
      <c r="H96" s="3" t="str">
        <f ca="1">HYPERLINK("#"&amp;자재단가대비표!R2&amp;"!A"&amp;ROW(자재단가대비표!A97),"자재93 →")</f>
        <v>자재93 →</v>
      </c>
    </row>
    <row r="97" spans="1:8" ht="17.45" customHeight="1" x14ac:dyDescent="0.3">
      <c r="A97" s="9" t="s">
        <v>2319</v>
      </c>
      <c r="B97" s="10" t="s">
        <v>705</v>
      </c>
      <c r="C97" s="10" t="s">
        <v>2320</v>
      </c>
      <c r="D97" s="9" t="s">
        <v>14</v>
      </c>
      <c r="E97" s="32">
        <f>자재단가대비표!O98</f>
        <v>970000</v>
      </c>
      <c r="F97" s="22" t="s">
        <v>2319</v>
      </c>
      <c r="G97" s="17" t="str">
        <f>"_x0007_`COD|M06522_x0005_`QTY1|1_x0005_`BQC|_x0005_`EQC|_x0005_`JDC|_x0005_`WQC|_x0005_`EDT|_x0005_`DET|"&amp;ROW(자재단가대비표!A98)&amp;"_x0005_`"</f>
        <v>_x0007_`COD|M06522_x0005_`QTY1|1_x0005_`BQC|_x0005_`EQC|_x0005_`JDC|_x0005_`WQC|_x0005_`EDT|_x0005_`DET|98_x0005_`</v>
      </c>
      <c r="H97" s="3" t="str">
        <f ca="1">HYPERLINK("#"&amp;자재단가대비표!R2&amp;"!A"&amp;ROW(자재단가대비표!A98),"자재94 →")</f>
        <v>자재94 →</v>
      </c>
    </row>
    <row r="98" spans="1:8" ht="17.45" customHeight="1" x14ac:dyDescent="0.3">
      <c r="A98" s="9" t="s">
        <v>2322</v>
      </c>
      <c r="B98" s="10" t="s">
        <v>705</v>
      </c>
      <c r="C98" s="10" t="s">
        <v>2323</v>
      </c>
      <c r="D98" s="9" t="s">
        <v>14</v>
      </c>
      <c r="E98" s="32">
        <f>자재단가대비표!O99</f>
        <v>1050000</v>
      </c>
      <c r="F98" s="22" t="s">
        <v>2322</v>
      </c>
      <c r="G98" s="17" t="str">
        <f>"_x0007_`COD|M06523_x0005_`QTY1|1_x0005_`BQC|_x0005_`EQC|_x0005_`JDC|_x0005_`WQC|_x0005_`EDT|_x0005_`DET|"&amp;ROW(자재단가대비표!A99)&amp;"_x0005_`"</f>
        <v>_x0007_`COD|M06523_x0005_`QTY1|1_x0005_`BQC|_x0005_`EQC|_x0005_`JDC|_x0005_`WQC|_x0005_`EDT|_x0005_`DET|99_x0005_`</v>
      </c>
      <c r="H98" s="3" t="str">
        <f ca="1">HYPERLINK("#"&amp;자재단가대비표!R2&amp;"!A"&amp;ROW(자재단가대비표!A99),"자재95 →")</f>
        <v>자재95 →</v>
      </c>
    </row>
    <row r="99" spans="1:8" ht="17.45" customHeight="1" x14ac:dyDescent="0.3">
      <c r="A99" s="9" t="s">
        <v>2325</v>
      </c>
      <c r="B99" s="10" t="s">
        <v>705</v>
      </c>
      <c r="C99" s="10" t="s">
        <v>2326</v>
      </c>
      <c r="D99" s="9" t="s">
        <v>14</v>
      </c>
      <c r="E99" s="32">
        <f>자재단가대비표!O100</f>
        <v>1500000</v>
      </c>
      <c r="F99" s="22" t="s">
        <v>2325</v>
      </c>
      <c r="G99" s="17" t="str">
        <f>"_x0007_`COD|M06524_x0005_`QTY1|1_x0005_`BQC|_x0005_`EQC|_x0005_`JDC|_x0005_`WQC|_x0005_`EDT|_x0005_`DET|"&amp;ROW(자재단가대비표!A100)&amp;"_x0005_`"</f>
        <v>_x0007_`COD|M06524_x0005_`QTY1|1_x0005_`BQC|_x0005_`EQC|_x0005_`JDC|_x0005_`WQC|_x0005_`EDT|_x0005_`DET|100_x0005_`</v>
      </c>
      <c r="H99" s="3" t="str">
        <f ca="1">HYPERLINK("#"&amp;자재단가대비표!R2&amp;"!A"&amp;ROW(자재단가대비표!A100),"자재96 →")</f>
        <v>자재96 →</v>
      </c>
    </row>
    <row r="100" spans="1:8" ht="17.45" customHeight="1" x14ac:dyDescent="0.3">
      <c r="A100" s="9" t="s">
        <v>2328</v>
      </c>
      <c r="B100" s="10" t="s">
        <v>705</v>
      </c>
      <c r="C100" s="10" t="s">
        <v>2329</v>
      </c>
      <c r="D100" s="9" t="s">
        <v>14</v>
      </c>
      <c r="E100" s="32">
        <f>자재단가대비표!O101</f>
        <v>1800000</v>
      </c>
      <c r="F100" s="22" t="s">
        <v>2328</v>
      </c>
      <c r="G100" s="17" t="str">
        <f>"_x0007_`COD|M06666_x0005_`QTY1|1_x0005_`BQC|_x0005_`EQC|_x0005_`JDC|_x0005_`WQC|_x0005_`EDT|_x0005_`DET|"&amp;ROW(자재단가대비표!A101)&amp;"_x0005_`"</f>
        <v>_x0007_`COD|M06666_x0005_`QTY1|1_x0005_`BQC|_x0005_`EQC|_x0005_`JDC|_x0005_`WQC|_x0005_`EDT|_x0005_`DET|101_x0005_`</v>
      </c>
      <c r="H100" s="3" t="str">
        <f ca="1">HYPERLINK("#"&amp;자재단가대비표!R2&amp;"!A"&amp;ROW(자재단가대비표!A101),"자재97 →")</f>
        <v>자재97 →</v>
      </c>
    </row>
    <row r="101" spans="1:8" ht="17.45" customHeight="1" x14ac:dyDescent="0.3">
      <c r="A101" s="9" t="s">
        <v>2331</v>
      </c>
      <c r="B101" s="10" t="s">
        <v>705</v>
      </c>
      <c r="C101" s="10" t="s">
        <v>2332</v>
      </c>
      <c r="D101" s="9" t="s">
        <v>14</v>
      </c>
      <c r="E101" s="32">
        <f>자재단가대비표!O102</f>
        <v>2300000</v>
      </c>
      <c r="F101" s="22" t="s">
        <v>2331</v>
      </c>
      <c r="G101" s="17" t="str">
        <f>"_x0007_`COD|M06667_x0005_`QTY1|1_x0005_`BQC|_x0005_`EQC|_x0005_`JDC|_x0005_`WQC|_x0005_`EDT|_x0005_`DET|"&amp;ROW(자재단가대비표!A102)&amp;"_x0005_`"</f>
        <v>_x0007_`COD|M06667_x0005_`QTY1|1_x0005_`BQC|_x0005_`EQC|_x0005_`JDC|_x0005_`WQC|_x0005_`EDT|_x0005_`DET|102_x0005_`</v>
      </c>
      <c r="H101" s="3" t="str">
        <f ca="1">HYPERLINK("#"&amp;자재단가대비표!R2&amp;"!A"&amp;ROW(자재단가대비표!A102),"자재98 →")</f>
        <v>자재98 →</v>
      </c>
    </row>
    <row r="102" spans="1:8" ht="17.45" customHeight="1" x14ac:dyDescent="0.3">
      <c r="A102" s="9" t="s">
        <v>2334</v>
      </c>
      <c r="B102" s="10" t="s">
        <v>724</v>
      </c>
      <c r="C102" s="10" t="s">
        <v>2335</v>
      </c>
      <c r="D102" s="9" t="s">
        <v>14</v>
      </c>
      <c r="E102" s="32">
        <f>자재단가대비표!O103</f>
        <v>6500000</v>
      </c>
      <c r="F102" s="22" t="s">
        <v>2334</v>
      </c>
      <c r="G102" s="17" t="str">
        <f>"_x0007_`COD|M06669_x0005_`QTY1|1_x0005_`BQC|_x0005_`EQC|_x0005_`JDC|_x0005_`WQC|_x0005_`EDT|_x0005_`DET|"&amp;ROW(자재단가대비표!A103)&amp;"_x0005_`"</f>
        <v>_x0007_`COD|M06669_x0005_`QTY1|1_x0005_`BQC|_x0005_`EQC|_x0005_`JDC|_x0005_`WQC|_x0005_`EDT|_x0005_`DET|103_x0005_`</v>
      </c>
      <c r="H102" s="3" t="str">
        <f ca="1">HYPERLINK("#"&amp;자재단가대비표!R2&amp;"!A"&amp;ROW(자재단가대비표!A103),"자재99 →")</f>
        <v>자재99 →</v>
      </c>
    </row>
    <row r="103" spans="1:8" ht="17.45" customHeight="1" x14ac:dyDescent="0.3">
      <c r="A103" s="9" t="s">
        <v>2337</v>
      </c>
      <c r="B103" s="10" t="s">
        <v>724</v>
      </c>
      <c r="C103" s="10" t="s">
        <v>2338</v>
      </c>
      <c r="D103" s="9" t="s">
        <v>14</v>
      </c>
      <c r="E103" s="32">
        <f>자재단가대비표!O104</f>
        <v>10500000</v>
      </c>
      <c r="F103" s="22" t="s">
        <v>2337</v>
      </c>
      <c r="G103" s="17" t="str">
        <f>"_x0007_`COD|M06670_x0005_`QTY1|1_x0005_`BQC|_x0005_`EQC|_x0005_`JDC|_x0005_`WQC|_x0005_`EDT|_x0005_`DET|"&amp;ROW(자재단가대비표!A104)&amp;"_x0005_`"</f>
        <v>_x0007_`COD|M06670_x0005_`QTY1|1_x0005_`BQC|_x0005_`EQC|_x0005_`JDC|_x0005_`WQC|_x0005_`EDT|_x0005_`DET|104_x0005_`</v>
      </c>
      <c r="H103" s="3" t="str">
        <f ca="1">HYPERLINK("#"&amp;자재단가대비표!R2&amp;"!A"&amp;ROW(자재단가대비표!A104),"자재100 →")</f>
        <v>자재100 →</v>
      </c>
    </row>
    <row r="104" spans="1:8" ht="17.45" customHeight="1" x14ac:dyDescent="0.3">
      <c r="A104" s="9" t="s">
        <v>2340</v>
      </c>
      <c r="B104" s="10" t="s">
        <v>724</v>
      </c>
      <c r="C104" s="10" t="s">
        <v>2341</v>
      </c>
      <c r="D104" s="9" t="s">
        <v>14</v>
      </c>
      <c r="E104" s="32">
        <f>자재단가대비표!O105</f>
        <v>12500000</v>
      </c>
      <c r="F104" s="22" t="s">
        <v>2340</v>
      </c>
      <c r="G104" s="17" t="str">
        <f>"_x0007_`COD|M06671_x0005_`QTY1|1_x0005_`BQC|_x0005_`EQC|_x0005_`JDC|_x0005_`WQC|_x0005_`EDT|_x0005_`DET|"&amp;ROW(자재단가대비표!A105)&amp;"_x0005_`"</f>
        <v>_x0007_`COD|M06671_x0005_`QTY1|1_x0005_`BQC|_x0005_`EQC|_x0005_`JDC|_x0005_`WQC|_x0005_`EDT|_x0005_`DET|105_x0005_`</v>
      </c>
      <c r="H104" s="3" t="str">
        <f ca="1">HYPERLINK("#"&amp;자재단가대비표!R2&amp;"!A"&amp;ROW(자재단가대비표!A105),"자재101 →")</f>
        <v>자재101 →</v>
      </c>
    </row>
    <row r="105" spans="1:8" ht="17.45" customHeight="1" x14ac:dyDescent="0.3">
      <c r="A105" s="9" t="s">
        <v>2343</v>
      </c>
      <c r="B105" s="10" t="s">
        <v>724</v>
      </c>
      <c r="C105" s="10" t="s">
        <v>2344</v>
      </c>
      <c r="D105" s="9" t="s">
        <v>14</v>
      </c>
      <c r="E105" s="32">
        <f>자재단가대비표!O106</f>
        <v>15000000</v>
      </c>
      <c r="F105" s="22" t="s">
        <v>2343</v>
      </c>
      <c r="G105" s="17" t="str">
        <f>"_x0007_`COD|M06672_x0005_`QTY1|1_x0005_`BQC|_x0005_`EQC|_x0005_`JDC|_x0005_`WQC|_x0005_`EDT|_x0005_`DET|"&amp;ROW(자재단가대비표!A106)&amp;"_x0005_`"</f>
        <v>_x0007_`COD|M06672_x0005_`QTY1|1_x0005_`BQC|_x0005_`EQC|_x0005_`JDC|_x0005_`WQC|_x0005_`EDT|_x0005_`DET|106_x0005_`</v>
      </c>
      <c r="H105" s="3" t="str">
        <f ca="1">HYPERLINK("#"&amp;자재단가대비표!R2&amp;"!A"&amp;ROW(자재단가대비표!A106),"자재102 →")</f>
        <v>자재102 →</v>
      </c>
    </row>
    <row r="106" spans="1:8" ht="17.45" customHeight="1" x14ac:dyDescent="0.3">
      <c r="A106" s="9" t="s">
        <v>2346</v>
      </c>
      <c r="B106" s="10" t="s">
        <v>982</v>
      </c>
      <c r="C106" s="10" t="s">
        <v>2347</v>
      </c>
      <c r="D106" s="9" t="s">
        <v>1010</v>
      </c>
      <c r="E106" s="32">
        <f>자재단가대비표!O107</f>
        <v>3600000</v>
      </c>
      <c r="F106" s="22" t="s">
        <v>2346</v>
      </c>
      <c r="G106" s="17" t="str">
        <f>"_x0007_`COD|M06535_x0005_`QTY1|1_x0005_`BQC|_x0005_`EQC|_x0005_`JDC|_x0005_`WQC|_x0005_`EDT|_x0005_`DET|"&amp;ROW(자재단가대비표!A107)&amp;"_x0005_`"</f>
        <v>_x0007_`COD|M06535_x0005_`QTY1|1_x0005_`BQC|_x0005_`EQC|_x0005_`JDC|_x0005_`WQC|_x0005_`EDT|_x0005_`DET|107_x0005_`</v>
      </c>
      <c r="H106" s="3" t="str">
        <f ca="1">HYPERLINK("#"&amp;자재단가대비표!R2&amp;"!A"&amp;ROW(자재단가대비표!A107),"자재103 →")</f>
        <v>자재103 →</v>
      </c>
    </row>
    <row r="107" spans="1:8" ht="17.45" customHeight="1" x14ac:dyDescent="0.3">
      <c r="A107" s="9" t="s">
        <v>2349</v>
      </c>
      <c r="B107" s="10" t="s">
        <v>982</v>
      </c>
      <c r="C107" s="10" t="s">
        <v>2350</v>
      </c>
      <c r="D107" s="9" t="s">
        <v>1010</v>
      </c>
      <c r="E107" s="32">
        <f>자재단가대비표!O108</f>
        <v>4200000</v>
      </c>
      <c r="F107" s="22" t="s">
        <v>2349</v>
      </c>
      <c r="G107" s="17" t="str">
        <f>"_x0007_`COD|M06536_x0005_`QTY1|1_x0005_`BQC|_x0005_`EQC|_x0005_`JDC|_x0005_`WQC|_x0005_`EDT|_x0005_`DET|"&amp;ROW(자재단가대비표!A108)&amp;"_x0005_`"</f>
        <v>_x0007_`COD|M06536_x0005_`QTY1|1_x0005_`BQC|_x0005_`EQC|_x0005_`JDC|_x0005_`WQC|_x0005_`EDT|_x0005_`DET|108_x0005_`</v>
      </c>
      <c r="H107" s="3" t="str">
        <f ca="1">HYPERLINK("#"&amp;자재단가대비표!R2&amp;"!A"&amp;ROW(자재단가대비표!A108),"자재104 →")</f>
        <v>자재104 →</v>
      </c>
    </row>
    <row r="108" spans="1:8" ht="17.45" customHeight="1" x14ac:dyDescent="0.3">
      <c r="A108" s="9" t="s">
        <v>2352</v>
      </c>
      <c r="B108" s="10" t="s">
        <v>982</v>
      </c>
      <c r="C108" s="10" t="s">
        <v>2353</v>
      </c>
      <c r="D108" s="9" t="s">
        <v>1010</v>
      </c>
      <c r="E108" s="32">
        <f>자재단가대비표!O109</f>
        <v>4550000</v>
      </c>
      <c r="F108" s="22" t="s">
        <v>2352</v>
      </c>
      <c r="G108" s="17" t="str">
        <f>"_x0007_`COD|M06537_x0005_`QTY1|1_x0005_`BQC|_x0005_`EQC|_x0005_`JDC|_x0005_`WQC|_x0005_`EDT|_x0005_`DET|"&amp;ROW(자재단가대비표!A109)&amp;"_x0005_`"</f>
        <v>_x0007_`COD|M06537_x0005_`QTY1|1_x0005_`BQC|_x0005_`EQC|_x0005_`JDC|_x0005_`WQC|_x0005_`EDT|_x0005_`DET|109_x0005_`</v>
      </c>
      <c r="H108" s="3" t="str">
        <f ca="1">HYPERLINK("#"&amp;자재단가대비표!R2&amp;"!A"&amp;ROW(자재단가대비표!A109),"자재105 →")</f>
        <v>자재105 →</v>
      </c>
    </row>
    <row r="109" spans="1:8" ht="17.45" customHeight="1" x14ac:dyDescent="0.3">
      <c r="A109" s="9" t="s">
        <v>2355</v>
      </c>
      <c r="B109" s="10" t="s">
        <v>982</v>
      </c>
      <c r="C109" s="10" t="s">
        <v>2356</v>
      </c>
      <c r="D109" s="9" t="s">
        <v>1010</v>
      </c>
      <c r="E109" s="32">
        <f>자재단가대비표!O110</f>
        <v>5680000</v>
      </c>
      <c r="F109" s="22" t="s">
        <v>2355</v>
      </c>
      <c r="G109" s="17" t="str">
        <f>"_x0007_`COD|M06681_x0005_`QTY1|1_x0005_`BQC|_x0005_`EQC|_x0005_`JDC|_x0005_`WQC|_x0005_`EDT|_x0005_`DET|"&amp;ROW(자재단가대비표!A110)&amp;"_x0005_`"</f>
        <v>_x0007_`COD|M06681_x0005_`QTY1|1_x0005_`BQC|_x0005_`EQC|_x0005_`JDC|_x0005_`WQC|_x0005_`EDT|_x0005_`DET|110_x0005_`</v>
      </c>
      <c r="H109" s="3" t="str">
        <f ca="1">HYPERLINK("#"&amp;자재단가대비표!R2&amp;"!A"&amp;ROW(자재단가대비표!A110),"자재106 →")</f>
        <v>자재106 →</v>
      </c>
    </row>
    <row r="110" spans="1:8" ht="17.45" customHeight="1" x14ac:dyDescent="0.3">
      <c r="A110" s="9" t="s">
        <v>2358</v>
      </c>
      <c r="B110" s="10" t="s">
        <v>2359</v>
      </c>
      <c r="C110" s="10" t="s">
        <v>2360</v>
      </c>
      <c r="D110" s="9" t="s">
        <v>1010</v>
      </c>
      <c r="E110" s="32">
        <f>자재단가대비표!O111</f>
        <v>254500</v>
      </c>
      <c r="F110" s="22" t="s">
        <v>2358</v>
      </c>
      <c r="G110" s="17" t="str">
        <f>"_x0007_`COD|M06559_x0005_`QTY1|1_x0005_`BQC|_x0005_`EQC|_x0005_`JDC|_x0005_`WQC|_x0005_`EDT|_x0005_`DET|"&amp;ROW(자재단가대비표!A111)&amp;"_x0005_`"</f>
        <v>_x0007_`COD|M06559_x0005_`QTY1|1_x0005_`BQC|_x0005_`EQC|_x0005_`JDC|_x0005_`WQC|_x0005_`EDT|_x0005_`DET|111_x0005_`</v>
      </c>
      <c r="H110" s="3" t="str">
        <f ca="1">HYPERLINK("#"&amp;자재단가대비표!R2&amp;"!A"&amp;ROW(자재단가대비표!A111),"자재107 →")</f>
        <v>자재107 →</v>
      </c>
    </row>
    <row r="111" spans="1:8" ht="17.45" customHeight="1" x14ac:dyDescent="0.3">
      <c r="A111" s="9" t="s">
        <v>2362</v>
      </c>
      <c r="B111" s="10" t="s">
        <v>2359</v>
      </c>
      <c r="C111" s="10" t="s">
        <v>2363</v>
      </c>
      <c r="D111" s="9" t="s">
        <v>1010</v>
      </c>
      <c r="E111" s="32">
        <f>자재단가대비표!O112</f>
        <v>418900</v>
      </c>
      <c r="F111" s="22" t="s">
        <v>2362</v>
      </c>
      <c r="G111" s="17" t="str">
        <f>"_x0007_`COD|M06560_x0005_`QTY1|1_x0005_`BQC|_x0005_`EQC|_x0005_`JDC|_x0005_`WQC|_x0005_`EDT|_x0005_`DET|"&amp;ROW(자재단가대비표!A112)&amp;"_x0005_`"</f>
        <v>_x0007_`COD|M06560_x0005_`QTY1|1_x0005_`BQC|_x0005_`EQC|_x0005_`JDC|_x0005_`WQC|_x0005_`EDT|_x0005_`DET|112_x0005_`</v>
      </c>
      <c r="H111" s="3" t="str">
        <f ca="1">HYPERLINK("#"&amp;자재단가대비표!R2&amp;"!A"&amp;ROW(자재단가대비표!A112),"자재108 →")</f>
        <v>자재108 →</v>
      </c>
    </row>
    <row r="112" spans="1:8" ht="17.45" customHeight="1" x14ac:dyDescent="0.3">
      <c r="A112" s="9" t="s">
        <v>2365</v>
      </c>
      <c r="B112" s="10" t="s">
        <v>2359</v>
      </c>
      <c r="C112" s="10" t="s">
        <v>2366</v>
      </c>
      <c r="D112" s="9" t="s">
        <v>1010</v>
      </c>
      <c r="E112" s="32">
        <f>자재단가대비표!O113</f>
        <v>650300</v>
      </c>
      <c r="F112" s="22" t="s">
        <v>2365</v>
      </c>
      <c r="G112" s="17" t="str">
        <f>"_x0007_`COD|M06561_x0005_`QTY1|1_x0005_`BQC|_x0005_`EQC|_x0005_`JDC|_x0005_`WQC|_x0005_`EDT|_x0005_`DET|"&amp;ROW(자재단가대비표!A113)&amp;"_x0005_`"</f>
        <v>_x0007_`COD|M06561_x0005_`QTY1|1_x0005_`BQC|_x0005_`EQC|_x0005_`JDC|_x0005_`WQC|_x0005_`EDT|_x0005_`DET|113_x0005_`</v>
      </c>
      <c r="H112" s="3" t="str">
        <f ca="1">HYPERLINK("#"&amp;자재단가대비표!R2&amp;"!A"&amp;ROW(자재단가대비표!A113),"자재109 →")</f>
        <v>자재109 →</v>
      </c>
    </row>
    <row r="113" spans="1:8" ht="17.45" customHeight="1" x14ac:dyDescent="0.3">
      <c r="A113" s="9" t="s">
        <v>2368</v>
      </c>
      <c r="B113" s="10" t="s">
        <v>2359</v>
      </c>
      <c r="C113" s="10" t="s">
        <v>2369</v>
      </c>
      <c r="D113" s="9" t="s">
        <v>1010</v>
      </c>
      <c r="E113" s="32">
        <f>자재단가대비표!O114</f>
        <v>114700</v>
      </c>
      <c r="F113" s="22" t="s">
        <v>2368</v>
      </c>
      <c r="G113" s="17" t="str">
        <f>"_x0007_`COD|M06557_x0005_`QTY1|1_x0005_`BQC|_x0005_`EQC|_x0005_`JDC|_x0005_`WQC|_x0005_`EDT|_x0005_`DET|"&amp;ROW(자재단가대비표!A114)&amp;"_x0005_`"</f>
        <v>_x0007_`COD|M06557_x0005_`QTY1|1_x0005_`BQC|_x0005_`EQC|_x0005_`JDC|_x0005_`WQC|_x0005_`EDT|_x0005_`DET|114_x0005_`</v>
      </c>
      <c r="H113" s="3" t="str">
        <f ca="1">HYPERLINK("#"&amp;자재단가대비표!R2&amp;"!A"&amp;ROW(자재단가대비표!A114),"자재110 →")</f>
        <v>자재110 →</v>
      </c>
    </row>
    <row r="114" spans="1:8" ht="17.45" customHeight="1" x14ac:dyDescent="0.3">
      <c r="A114" s="9" t="s">
        <v>2371</v>
      </c>
      <c r="B114" s="10" t="s">
        <v>2359</v>
      </c>
      <c r="C114" s="10" t="s">
        <v>2372</v>
      </c>
      <c r="D114" s="9" t="s">
        <v>1010</v>
      </c>
      <c r="E114" s="32">
        <f>자재단가대비표!O115</f>
        <v>148900</v>
      </c>
      <c r="F114" s="22" t="s">
        <v>2371</v>
      </c>
      <c r="G114" s="17" t="str">
        <f>"_x0007_`COD|M06558_x0005_`QTY1|1_x0005_`BQC|_x0005_`EQC|_x0005_`JDC|_x0005_`WQC|_x0005_`EDT|_x0005_`DET|"&amp;ROW(자재단가대비표!A115)&amp;"_x0005_`"</f>
        <v>_x0007_`COD|M06558_x0005_`QTY1|1_x0005_`BQC|_x0005_`EQC|_x0005_`JDC|_x0005_`WQC|_x0005_`EDT|_x0005_`DET|115_x0005_`</v>
      </c>
      <c r="H114" s="3" t="str">
        <f ca="1">HYPERLINK("#"&amp;자재단가대비표!R2&amp;"!A"&amp;ROW(자재단가대비표!A115),"자재111 →")</f>
        <v>자재111 →</v>
      </c>
    </row>
    <row r="115" spans="1:8" ht="17.45" customHeight="1" x14ac:dyDescent="0.3">
      <c r="A115" s="9" t="s">
        <v>2374</v>
      </c>
      <c r="B115" s="10" t="s">
        <v>2375</v>
      </c>
      <c r="C115" s="10" t="s">
        <v>2376</v>
      </c>
      <c r="D115" s="9" t="s">
        <v>1010</v>
      </c>
      <c r="E115" s="32">
        <f>자재단가대비표!O116</f>
        <v>2500</v>
      </c>
      <c r="F115" s="22" t="s">
        <v>2374</v>
      </c>
      <c r="G115" s="17" t="str">
        <f>"_x0007_`COD|M06649_x0005_`QTY1|1_x0005_`BQC|_x0005_`EQC|_x0005_`JDC|_x0005_`WQC|_x0005_`EDT|_x0005_`DET|"&amp;ROW(자재단가대비표!A116)&amp;"_x0005_`"</f>
        <v>_x0007_`COD|M06649_x0005_`QTY1|1_x0005_`BQC|_x0005_`EQC|_x0005_`JDC|_x0005_`WQC|_x0005_`EDT|_x0005_`DET|116_x0005_`</v>
      </c>
      <c r="H115" s="3" t="str">
        <f ca="1">HYPERLINK("#"&amp;자재단가대비표!R2&amp;"!A"&amp;ROW(자재단가대비표!A116),"자재112 →")</f>
        <v>자재112 →</v>
      </c>
    </row>
    <row r="116" spans="1:8" ht="17.45" customHeight="1" x14ac:dyDescent="0.3">
      <c r="A116" s="9" t="s">
        <v>2378</v>
      </c>
      <c r="B116" s="10" t="s">
        <v>2379</v>
      </c>
      <c r="C116" s="10" t="s">
        <v>2380</v>
      </c>
      <c r="D116" s="9" t="s">
        <v>1010</v>
      </c>
      <c r="E116" s="32">
        <f>자재단가대비표!O117</f>
        <v>1400</v>
      </c>
      <c r="F116" s="22" t="s">
        <v>2378</v>
      </c>
      <c r="G116" s="17" t="str">
        <f>"_x0007_`COD|M06650_x0005_`QTY1|1_x0005_`BQC|_x0005_`EQC|_x0005_`JDC|_x0005_`WQC|_x0005_`EDT|_x0005_`DET|"&amp;ROW(자재단가대비표!A117)&amp;"_x0005_`"</f>
        <v>_x0007_`COD|M06650_x0005_`QTY1|1_x0005_`BQC|_x0005_`EQC|_x0005_`JDC|_x0005_`WQC|_x0005_`EDT|_x0005_`DET|117_x0005_`</v>
      </c>
      <c r="H116" s="3" t="str">
        <f ca="1">HYPERLINK("#"&amp;자재단가대비표!R2&amp;"!A"&amp;ROW(자재단가대비표!A117),"자재113 →")</f>
        <v>자재113 →</v>
      </c>
    </row>
    <row r="117" spans="1:8" ht="17.45" customHeight="1" x14ac:dyDescent="0.3">
      <c r="A117" s="9" t="s">
        <v>2382</v>
      </c>
      <c r="B117" s="10" t="s">
        <v>2383</v>
      </c>
      <c r="C117" s="10" t="s">
        <v>2376</v>
      </c>
      <c r="D117" s="9" t="s">
        <v>1010</v>
      </c>
      <c r="E117" s="32">
        <f>자재단가대비표!O118</f>
        <v>16000</v>
      </c>
      <c r="F117" s="22" t="s">
        <v>2382</v>
      </c>
      <c r="G117" s="17" t="str">
        <f>"_x0007_`COD|M06648_x0005_`QTY1|1_x0005_`BQC|_x0005_`EQC|_x0005_`JDC|_x0005_`WQC|_x0005_`EDT|_x0005_`DET|"&amp;ROW(자재단가대비표!A118)&amp;"_x0005_`"</f>
        <v>_x0007_`COD|M06648_x0005_`QTY1|1_x0005_`BQC|_x0005_`EQC|_x0005_`JDC|_x0005_`WQC|_x0005_`EDT|_x0005_`DET|118_x0005_`</v>
      </c>
      <c r="H117" s="3" t="str">
        <f ca="1">HYPERLINK("#"&amp;자재단가대비표!R2&amp;"!A"&amp;ROW(자재단가대비표!A118),"자재114 →")</f>
        <v>자재114 →</v>
      </c>
    </row>
    <row r="118" spans="1:8" ht="17.45" customHeight="1" x14ac:dyDescent="0.3">
      <c r="A118" s="9" t="s">
        <v>2385</v>
      </c>
      <c r="B118" s="10" t="s">
        <v>2386</v>
      </c>
      <c r="C118" s="10" t="s">
        <v>2387</v>
      </c>
      <c r="D118" s="9" t="s">
        <v>1010</v>
      </c>
      <c r="E118" s="32">
        <f>자재단가대비표!O119</f>
        <v>138100</v>
      </c>
      <c r="F118" s="22" t="s">
        <v>2385</v>
      </c>
      <c r="G118" s="17" t="str">
        <f>"_x0007_`COD|M06579_x0005_`QTY1|1_x0005_`BQC|_x0005_`EQC|_x0005_`JDC|_x0005_`WQC|_x0005_`EDT|_x0005_`DET|"&amp;ROW(자재단가대비표!A119)&amp;"_x0005_`"</f>
        <v>_x0007_`COD|M06579_x0005_`QTY1|1_x0005_`BQC|_x0005_`EQC|_x0005_`JDC|_x0005_`WQC|_x0005_`EDT|_x0005_`DET|119_x0005_`</v>
      </c>
      <c r="H118" s="3" t="str">
        <f ca="1">HYPERLINK("#"&amp;자재단가대비표!R2&amp;"!A"&amp;ROW(자재단가대비표!A119),"자재115 →")</f>
        <v>자재115 →</v>
      </c>
    </row>
    <row r="119" spans="1:8" ht="17.45" customHeight="1" x14ac:dyDescent="0.3">
      <c r="A119" s="9" t="s">
        <v>2389</v>
      </c>
      <c r="B119" s="10" t="s">
        <v>2386</v>
      </c>
      <c r="C119" s="10" t="s">
        <v>2390</v>
      </c>
      <c r="D119" s="9" t="s">
        <v>1010</v>
      </c>
      <c r="E119" s="32">
        <f>자재단가대비표!O120</f>
        <v>181900</v>
      </c>
      <c r="F119" s="22" t="s">
        <v>2389</v>
      </c>
      <c r="G119" s="17" t="str">
        <f>"_x0007_`COD|M06580_x0005_`QTY1|1_x0005_`BQC|_x0005_`EQC|_x0005_`JDC|_x0005_`WQC|_x0005_`EDT|_x0005_`DET|"&amp;ROW(자재단가대비표!A120)&amp;"_x0005_`"</f>
        <v>_x0007_`COD|M06580_x0005_`QTY1|1_x0005_`BQC|_x0005_`EQC|_x0005_`JDC|_x0005_`WQC|_x0005_`EDT|_x0005_`DET|120_x0005_`</v>
      </c>
      <c r="H119" s="3" t="str">
        <f ca="1">HYPERLINK("#"&amp;자재단가대비표!R2&amp;"!A"&amp;ROW(자재단가대비표!A120),"자재116 →")</f>
        <v>자재116 →</v>
      </c>
    </row>
    <row r="120" spans="1:8" ht="17.45" customHeight="1" x14ac:dyDescent="0.3">
      <c r="A120" s="9" t="s">
        <v>2392</v>
      </c>
      <c r="B120" s="10" t="s">
        <v>2393</v>
      </c>
      <c r="C120" s="10" t="s">
        <v>2394</v>
      </c>
      <c r="D120" s="9" t="s">
        <v>1010</v>
      </c>
      <c r="E120" s="32">
        <f>자재단가대비표!O121</f>
        <v>20000</v>
      </c>
      <c r="F120" s="22" t="s">
        <v>2392</v>
      </c>
      <c r="G120" s="17" t="str">
        <f>"_x0007_`COD|M03058_x0005_`QTY1|1_x0005_`BQC|_x0005_`EQC|_x0005_`JDC|_x0005_`WQC|_x0005_`EDT|_x0005_`DET|"&amp;ROW(자재단가대비표!A121)&amp;"_x0005_`"</f>
        <v>_x0007_`COD|M03058_x0005_`QTY1|1_x0005_`BQC|_x0005_`EQC|_x0005_`JDC|_x0005_`WQC|_x0005_`EDT|_x0005_`DET|121_x0005_`</v>
      </c>
      <c r="H120" s="3" t="str">
        <f ca="1">HYPERLINK("#"&amp;자재단가대비표!R2&amp;"!A"&amp;ROW(자재단가대비표!A121),"자재117 →")</f>
        <v>자재117 →</v>
      </c>
    </row>
    <row r="121" spans="1:8" ht="17.45" customHeight="1" x14ac:dyDescent="0.3">
      <c r="A121" s="9" t="s">
        <v>2396</v>
      </c>
      <c r="B121" s="10" t="s">
        <v>2393</v>
      </c>
      <c r="C121" s="10" t="s">
        <v>2397</v>
      </c>
      <c r="D121" s="9" t="s">
        <v>1010</v>
      </c>
      <c r="E121" s="32">
        <f>자재단가대비표!O122</f>
        <v>23000</v>
      </c>
      <c r="F121" s="22" t="s">
        <v>2396</v>
      </c>
      <c r="G121" s="17" t="str">
        <f>"_x0007_`COD|M01440_x0005_`QTY1|1_x0005_`BQC|_x0005_`EQC|_x0005_`JDC|_x0005_`WQC|_x0005_`EDT|_x0005_`DET|"&amp;ROW(자재단가대비표!A122)&amp;"_x0005_`"</f>
        <v>_x0007_`COD|M01440_x0005_`QTY1|1_x0005_`BQC|_x0005_`EQC|_x0005_`JDC|_x0005_`WQC|_x0005_`EDT|_x0005_`DET|122_x0005_`</v>
      </c>
      <c r="H121" s="3" t="str">
        <f ca="1">HYPERLINK("#"&amp;자재단가대비표!R2&amp;"!A"&amp;ROW(자재단가대비표!A122),"자재118 →")</f>
        <v>자재118 →</v>
      </c>
    </row>
    <row r="122" spans="1:8" ht="17.45" customHeight="1" x14ac:dyDescent="0.3">
      <c r="A122" s="9" t="s">
        <v>2399</v>
      </c>
      <c r="B122" s="10" t="s">
        <v>2393</v>
      </c>
      <c r="C122" s="10" t="s">
        <v>2400</v>
      </c>
      <c r="D122" s="9" t="s">
        <v>1010</v>
      </c>
      <c r="E122" s="32">
        <f>자재단가대비표!O123</f>
        <v>40000</v>
      </c>
      <c r="F122" s="22" t="s">
        <v>2399</v>
      </c>
      <c r="G122" s="17" t="str">
        <f>"_x0007_`COD|M05266_x0005_`QTY1|1_x0005_`BQC|_x0005_`EQC|_x0005_`JDC|_x0005_`WQC|_x0005_`EDT|_x0005_`DET|"&amp;ROW(자재단가대비표!A123)&amp;"_x0005_`"</f>
        <v>_x0007_`COD|M05266_x0005_`QTY1|1_x0005_`BQC|_x0005_`EQC|_x0005_`JDC|_x0005_`WQC|_x0005_`EDT|_x0005_`DET|123_x0005_`</v>
      </c>
      <c r="H122" s="3" t="str">
        <f ca="1">HYPERLINK("#"&amp;자재단가대비표!R2&amp;"!A"&amp;ROW(자재단가대비표!A123),"자재119 →")</f>
        <v>자재119 →</v>
      </c>
    </row>
    <row r="123" spans="1:8" ht="17.45" customHeight="1" x14ac:dyDescent="0.3">
      <c r="A123" s="9" t="s">
        <v>2402</v>
      </c>
      <c r="B123" s="10" t="s">
        <v>2393</v>
      </c>
      <c r="C123" s="10" t="s">
        <v>2403</v>
      </c>
      <c r="D123" s="9" t="s">
        <v>1010</v>
      </c>
      <c r="E123" s="32">
        <f>자재단가대비표!O124</f>
        <v>48000</v>
      </c>
      <c r="F123" s="22" t="s">
        <v>2402</v>
      </c>
      <c r="G123" s="17" t="str">
        <f>"_x0007_`COD|M03184_x0005_`QTY1|1_x0005_`BQC|_x0005_`EQC|_x0005_`JDC|_x0005_`WQC|_x0005_`EDT|_x0005_`DET|"&amp;ROW(자재단가대비표!A124)&amp;"_x0005_`"</f>
        <v>_x0007_`COD|M03184_x0005_`QTY1|1_x0005_`BQC|_x0005_`EQC|_x0005_`JDC|_x0005_`WQC|_x0005_`EDT|_x0005_`DET|124_x0005_`</v>
      </c>
      <c r="H123" s="3" t="str">
        <f ca="1">HYPERLINK("#"&amp;자재단가대비표!R2&amp;"!A"&amp;ROW(자재단가대비표!A124),"자재120 →")</f>
        <v>자재120 →</v>
      </c>
    </row>
    <row r="124" spans="1:8" ht="17.45" customHeight="1" x14ac:dyDescent="0.3">
      <c r="A124" s="9" t="s">
        <v>2405</v>
      </c>
      <c r="B124" s="10" t="s">
        <v>2393</v>
      </c>
      <c r="C124" s="10" t="s">
        <v>2406</v>
      </c>
      <c r="D124" s="9" t="s">
        <v>1010</v>
      </c>
      <c r="E124" s="32">
        <f>자재단가대비표!O125</f>
        <v>65000</v>
      </c>
      <c r="F124" s="22" t="s">
        <v>2405</v>
      </c>
      <c r="G124" s="17" t="str">
        <f>"_x0007_`COD|M03752_x0005_`QTY1|1_x0005_`BQC|_x0005_`EQC|_x0005_`JDC|_x0005_`WQC|_x0005_`EDT|_x0005_`DET|"&amp;ROW(자재단가대비표!A125)&amp;"_x0005_`"</f>
        <v>_x0007_`COD|M03752_x0005_`QTY1|1_x0005_`BQC|_x0005_`EQC|_x0005_`JDC|_x0005_`WQC|_x0005_`EDT|_x0005_`DET|125_x0005_`</v>
      </c>
      <c r="H124" s="3" t="str">
        <f ca="1">HYPERLINK("#"&amp;자재단가대비표!R2&amp;"!A"&amp;ROW(자재단가대비표!A125),"자재121 →")</f>
        <v>자재121 →</v>
      </c>
    </row>
    <row r="125" spans="1:8" ht="17.45" customHeight="1" x14ac:dyDescent="0.3">
      <c r="A125" s="9" t="s">
        <v>2408</v>
      </c>
      <c r="B125" s="10" t="s">
        <v>571</v>
      </c>
      <c r="C125" s="10" t="s">
        <v>2409</v>
      </c>
      <c r="D125" s="9" t="s">
        <v>14</v>
      </c>
      <c r="E125" s="32">
        <f>자재단가대비표!O126</f>
        <v>6078000</v>
      </c>
      <c r="F125" s="22" t="s">
        <v>2408</v>
      </c>
      <c r="G125" s="17" t="str">
        <f>"_x0007_`COD|M06515_x0005_`QTY1|1_x0005_`BQC|_x0005_`EQC|_x0005_`JDC|_x0005_`WQC|_x0005_`EDT|_x0005_`DET|"&amp;ROW(자재단가대비표!A126)&amp;"_x0005_`"</f>
        <v>_x0007_`COD|M06515_x0005_`QTY1|1_x0005_`BQC|_x0005_`EQC|_x0005_`JDC|_x0005_`WQC|_x0005_`EDT|_x0005_`DET|126_x0005_`</v>
      </c>
      <c r="H125" s="3" t="str">
        <f ca="1">HYPERLINK("#"&amp;자재단가대비표!R2&amp;"!A"&amp;ROW(자재단가대비표!A126),"자재122 →")</f>
        <v>자재122 →</v>
      </c>
    </row>
    <row r="126" spans="1:8" ht="17.45" customHeight="1" x14ac:dyDescent="0.3">
      <c r="A126" s="9" t="s">
        <v>2411</v>
      </c>
      <c r="B126" s="10" t="s">
        <v>571</v>
      </c>
      <c r="C126" s="10" t="s">
        <v>2412</v>
      </c>
      <c r="D126" s="9" t="s">
        <v>14</v>
      </c>
      <c r="E126" s="32">
        <f>자재단가대비표!O127</f>
        <v>8040000</v>
      </c>
      <c r="F126" s="22" t="s">
        <v>2411</v>
      </c>
      <c r="G126" s="17" t="str">
        <f>"_x0007_`COD|M06516_x0005_`QTY1|1_x0005_`BQC|_x0005_`EQC|_x0005_`JDC|_x0005_`WQC|_x0005_`EDT|_x0005_`DET|"&amp;ROW(자재단가대비표!A127)&amp;"_x0005_`"</f>
        <v>_x0007_`COD|M06516_x0005_`QTY1|1_x0005_`BQC|_x0005_`EQC|_x0005_`JDC|_x0005_`WQC|_x0005_`EDT|_x0005_`DET|127_x0005_`</v>
      </c>
      <c r="H126" s="3" t="str">
        <f ca="1">HYPERLINK("#"&amp;자재단가대비표!R2&amp;"!A"&amp;ROW(자재단가대비표!A127),"자재123 →")</f>
        <v>자재123 →</v>
      </c>
    </row>
    <row r="127" spans="1:8" ht="17.45" customHeight="1" x14ac:dyDescent="0.3">
      <c r="A127" s="9" t="s">
        <v>2414</v>
      </c>
      <c r="B127" s="10" t="s">
        <v>571</v>
      </c>
      <c r="C127" s="10" t="s">
        <v>2415</v>
      </c>
      <c r="D127" s="9" t="s">
        <v>14</v>
      </c>
      <c r="E127" s="32">
        <f>자재단가대비표!O128</f>
        <v>1698000</v>
      </c>
      <c r="F127" s="22" t="s">
        <v>2414</v>
      </c>
      <c r="G127" s="17" t="str">
        <f>"_x0007_`COD|M06510_x0005_`QTY1|1_x0005_`BQC|_x0005_`EQC|_x0005_`JDC|_x0005_`WQC|_x0005_`EDT|_x0005_`DET|"&amp;ROW(자재단가대비표!A128)&amp;"_x0005_`"</f>
        <v>_x0007_`COD|M06510_x0005_`QTY1|1_x0005_`BQC|_x0005_`EQC|_x0005_`JDC|_x0005_`WQC|_x0005_`EDT|_x0005_`DET|128_x0005_`</v>
      </c>
      <c r="H127" s="3" t="str">
        <f ca="1">HYPERLINK("#"&amp;자재단가대비표!R2&amp;"!A"&amp;ROW(자재단가대비표!A128),"자재124 →")</f>
        <v>자재124 →</v>
      </c>
    </row>
    <row r="128" spans="1:8" ht="17.45" customHeight="1" x14ac:dyDescent="0.3">
      <c r="A128" s="9" t="s">
        <v>2417</v>
      </c>
      <c r="B128" s="10" t="s">
        <v>571</v>
      </c>
      <c r="C128" s="10" t="s">
        <v>2418</v>
      </c>
      <c r="D128" s="9" t="s">
        <v>14</v>
      </c>
      <c r="E128" s="32">
        <f>자재단가대비표!O129</f>
        <v>9642000</v>
      </c>
      <c r="F128" s="22" t="s">
        <v>2417</v>
      </c>
      <c r="G128" s="17" t="str">
        <f>"_x0007_`COD|M06517_x0005_`QTY1|1_x0005_`BQC|_x0005_`EQC|_x0005_`JDC|_x0005_`WQC|_x0005_`EDT|_x0005_`DET|"&amp;ROW(자재단가대비표!A129)&amp;"_x0005_`"</f>
        <v>_x0007_`COD|M06517_x0005_`QTY1|1_x0005_`BQC|_x0005_`EQC|_x0005_`JDC|_x0005_`WQC|_x0005_`EDT|_x0005_`DET|129_x0005_`</v>
      </c>
      <c r="H128" s="3" t="str">
        <f ca="1">HYPERLINK("#"&amp;자재단가대비표!R2&amp;"!A"&amp;ROW(자재단가대비표!A129),"자재125 →")</f>
        <v>자재125 →</v>
      </c>
    </row>
    <row r="129" spans="1:8" ht="17.45" customHeight="1" x14ac:dyDescent="0.3">
      <c r="A129" s="9" t="s">
        <v>2420</v>
      </c>
      <c r="B129" s="10" t="s">
        <v>571</v>
      </c>
      <c r="C129" s="10" t="s">
        <v>2421</v>
      </c>
      <c r="D129" s="9" t="s">
        <v>14</v>
      </c>
      <c r="E129" s="32">
        <f>자재단가대비표!O130</f>
        <v>2532000</v>
      </c>
      <c r="F129" s="22" t="s">
        <v>2420</v>
      </c>
      <c r="G129" s="17" t="str">
        <f>"_x0007_`COD|M06511_x0005_`QTY1|1_x0005_`BQC|_x0005_`EQC|_x0005_`JDC|_x0005_`WQC|_x0005_`EDT|_x0005_`DET|"&amp;ROW(자재단가대비표!A130)&amp;"_x0005_`"</f>
        <v>_x0007_`COD|M06511_x0005_`QTY1|1_x0005_`BQC|_x0005_`EQC|_x0005_`JDC|_x0005_`WQC|_x0005_`EDT|_x0005_`DET|130_x0005_`</v>
      </c>
      <c r="H129" s="3" t="str">
        <f ca="1">HYPERLINK("#"&amp;자재단가대비표!R2&amp;"!A"&amp;ROW(자재단가대비표!A130),"자재126 →")</f>
        <v>자재126 →</v>
      </c>
    </row>
    <row r="130" spans="1:8" ht="17.45" customHeight="1" x14ac:dyDescent="0.3">
      <c r="A130" s="9" t="s">
        <v>2423</v>
      </c>
      <c r="B130" s="10" t="s">
        <v>571</v>
      </c>
      <c r="C130" s="10" t="s">
        <v>2424</v>
      </c>
      <c r="D130" s="9" t="s">
        <v>14</v>
      </c>
      <c r="E130" s="32">
        <f>자재단가대비표!O131</f>
        <v>13878000</v>
      </c>
      <c r="F130" s="22" t="s">
        <v>2423</v>
      </c>
      <c r="G130" s="17" t="str">
        <f>"_x0007_`COD|M06518_x0005_`QTY1|1_x0005_`BQC|_x0005_`EQC|_x0005_`JDC|_x0005_`WQC|_x0005_`EDT|_x0005_`DET|"&amp;ROW(자재단가대비표!A131)&amp;"_x0005_`"</f>
        <v>_x0007_`COD|M06518_x0005_`QTY1|1_x0005_`BQC|_x0005_`EQC|_x0005_`JDC|_x0005_`WQC|_x0005_`EDT|_x0005_`DET|131_x0005_`</v>
      </c>
      <c r="H130" s="3" t="str">
        <f ca="1">HYPERLINK("#"&amp;자재단가대비표!R2&amp;"!A"&amp;ROW(자재단가대비표!A131),"자재127 →")</f>
        <v>자재127 →</v>
      </c>
    </row>
    <row r="131" spans="1:8" ht="17.45" customHeight="1" x14ac:dyDescent="0.3">
      <c r="A131" s="9" t="s">
        <v>2426</v>
      </c>
      <c r="B131" s="10" t="s">
        <v>571</v>
      </c>
      <c r="C131" s="10" t="s">
        <v>2427</v>
      </c>
      <c r="D131" s="9" t="s">
        <v>14</v>
      </c>
      <c r="E131" s="32">
        <f>자재단가대비표!O132</f>
        <v>4026000</v>
      </c>
      <c r="F131" s="22" t="s">
        <v>2426</v>
      </c>
      <c r="G131" s="17" t="str">
        <f>"_x0007_`COD|M06512_x0005_`QTY1|1_x0005_`BQC|_x0005_`EQC|_x0005_`JDC|_x0005_`WQC|_x0005_`EDT|_x0005_`DET|"&amp;ROW(자재단가대비표!A132)&amp;"_x0005_`"</f>
        <v>_x0007_`COD|M06512_x0005_`QTY1|1_x0005_`BQC|_x0005_`EQC|_x0005_`JDC|_x0005_`WQC|_x0005_`EDT|_x0005_`DET|132_x0005_`</v>
      </c>
      <c r="H131" s="3" t="str">
        <f ca="1">HYPERLINK("#"&amp;자재단가대비표!R2&amp;"!A"&amp;ROW(자재단가대비표!A132),"자재128 →")</f>
        <v>자재128 →</v>
      </c>
    </row>
    <row r="132" spans="1:8" ht="17.45" customHeight="1" x14ac:dyDescent="0.3">
      <c r="A132" s="9" t="s">
        <v>2429</v>
      </c>
      <c r="B132" s="10" t="s">
        <v>571</v>
      </c>
      <c r="C132" s="10" t="s">
        <v>2430</v>
      </c>
      <c r="D132" s="9" t="s">
        <v>14</v>
      </c>
      <c r="E132" s="32">
        <f>자재단가대비표!O133</f>
        <v>16653000</v>
      </c>
      <c r="F132" s="22" t="s">
        <v>2429</v>
      </c>
      <c r="G132" s="17" t="str">
        <f>"_x0007_`COD|M06519_x0005_`QTY1|1_x0005_`BQC|_x0005_`EQC|_x0005_`JDC|_x0005_`WQC|_x0005_`EDT|_x0005_`DET|"&amp;ROW(자재단가대비표!A133)&amp;"_x0005_`"</f>
        <v>_x0007_`COD|M06519_x0005_`QTY1|1_x0005_`BQC|_x0005_`EQC|_x0005_`JDC|_x0005_`WQC|_x0005_`EDT|_x0005_`DET|133_x0005_`</v>
      </c>
      <c r="H132" s="3" t="str">
        <f ca="1">HYPERLINK("#"&amp;자재단가대비표!R2&amp;"!A"&amp;ROW(자재단가대비표!A133),"자재129 →")</f>
        <v>자재129 →</v>
      </c>
    </row>
    <row r="133" spans="1:8" ht="17.45" customHeight="1" x14ac:dyDescent="0.3">
      <c r="A133" s="9" t="s">
        <v>2432</v>
      </c>
      <c r="B133" s="10" t="s">
        <v>571</v>
      </c>
      <c r="C133" s="10" t="s">
        <v>2433</v>
      </c>
      <c r="D133" s="9" t="s">
        <v>14</v>
      </c>
      <c r="E133" s="32">
        <f>자재단가대비표!O134</f>
        <v>19984000</v>
      </c>
      <c r="F133" s="22" t="s">
        <v>2432</v>
      </c>
      <c r="G133" s="17" t="str">
        <f>"_x0007_`COD|M06520_x0005_`QTY1|1_x0005_`BQC|_x0005_`EQC|_x0005_`JDC|_x0005_`WQC|_x0005_`EDT|_x0005_`DET|"&amp;ROW(자재단가대비표!A134)&amp;"_x0005_`"</f>
        <v>_x0007_`COD|M06520_x0005_`QTY1|1_x0005_`BQC|_x0005_`EQC|_x0005_`JDC|_x0005_`WQC|_x0005_`EDT|_x0005_`DET|134_x0005_`</v>
      </c>
      <c r="H133" s="3" t="str">
        <f ca="1">HYPERLINK("#"&amp;자재단가대비표!R2&amp;"!A"&amp;ROW(자재단가대비표!A134),"자재130 →")</f>
        <v>자재130 →</v>
      </c>
    </row>
    <row r="134" spans="1:8" ht="17.45" customHeight="1" x14ac:dyDescent="0.3">
      <c r="A134" s="9" t="s">
        <v>2435</v>
      </c>
      <c r="B134" s="10" t="s">
        <v>571</v>
      </c>
      <c r="C134" s="10" t="s">
        <v>2436</v>
      </c>
      <c r="D134" s="9" t="s">
        <v>14</v>
      </c>
      <c r="E134" s="32">
        <f>자재단가대비표!O135</f>
        <v>3282000</v>
      </c>
      <c r="F134" s="22" t="s">
        <v>2435</v>
      </c>
      <c r="G134" s="17" t="str">
        <f>"_x0007_`COD|M06513_x0005_`QTY1|1_x0005_`BQC|_x0005_`EQC|_x0005_`JDC|_x0005_`WQC|_x0005_`EDT|_x0005_`DET|"&amp;ROW(자재단가대비표!A135)&amp;"_x0005_`"</f>
        <v>_x0007_`COD|M06513_x0005_`QTY1|1_x0005_`BQC|_x0005_`EQC|_x0005_`JDC|_x0005_`WQC|_x0005_`EDT|_x0005_`DET|135_x0005_`</v>
      </c>
      <c r="H134" s="3" t="str">
        <f ca="1">HYPERLINK("#"&amp;자재단가대비표!R2&amp;"!A"&amp;ROW(자재단가대비표!A135),"자재131 →")</f>
        <v>자재131 →</v>
      </c>
    </row>
    <row r="135" spans="1:8" ht="17.45" customHeight="1" x14ac:dyDescent="0.3">
      <c r="A135" s="9" t="s">
        <v>2438</v>
      </c>
      <c r="B135" s="10" t="s">
        <v>571</v>
      </c>
      <c r="C135" s="10" t="s">
        <v>2439</v>
      </c>
      <c r="D135" s="9" t="s">
        <v>14</v>
      </c>
      <c r="E135" s="32">
        <f>자재단가대비표!O136</f>
        <v>23981000</v>
      </c>
      <c r="F135" s="22" t="s">
        <v>2438</v>
      </c>
      <c r="G135" s="17" t="str">
        <f>"_x0007_`COD|M06521_x0005_`QTY1|1_x0005_`BQC|_x0005_`EQC|_x0005_`JDC|_x0005_`WQC|_x0005_`EDT|_x0005_`DET|"&amp;ROW(자재단가대비표!A136)&amp;"_x0005_`"</f>
        <v>_x0007_`COD|M06521_x0005_`QTY1|1_x0005_`BQC|_x0005_`EQC|_x0005_`JDC|_x0005_`WQC|_x0005_`EDT|_x0005_`DET|136_x0005_`</v>
      </c>
      <c r="H135" s="3" t="str">
        <f ca="1">HYPERLINK("#"&amp;자재단가대비표!R2&amp;"!A"&amp;ROW(자재단가대비표!A136),"자재132 →")</f>
        <v>자재132 →</v>
      </c>
    </row>
    <row r="136" spans="1:8" ht="17.45" customHeight="1" x14ac:dyDescent="0.3">
      <c r="A136" s="9" t="s">
        <v>2441</v>
      </c>
      <c r="B136" s="10" t="s">
        <v>571</v>
      </c>
      <c r="C136" s="10" t="s">
        <v>2442</v>
      </c>
      <c r="D136" s="9" t="s">
        <v>14</v>
      </c>
      <c r="E136" s="32">
        <f>자재단가대비표!O137</f>
        <v>5976000</v>
      </c>
      <c r="F136" s="22" t="s">
        <v>2441</v>
      </c>
      <c r="G136" s="17" t="str">
        <f>"_x0007_`COD|M06514_x0005_`QTY1|1_x0005_`BQC|_x0005_`EQC|_x0005_`JDC|_x0005_`WQC|_x0005_`EDT|_x0005_`DET|"&amp;ROW(자재단가대비표!A137)&amp;"_x0005_`"</f>
        <v>_x0007_`COD|M06514_x0005_`QTY1|1_x0005_`BQC|_x0005_`EQC|_x0005_`JDC|_x0005_`WQC|_x0005_`EDT|_x0005_`DET|137_x0005_`</v>
      </c>
      <c r="H136" s="3" t="str">
        <f ca="1">HYPERLINK("#"&amp;자재단가대비표!R2&amp;"!A"&amp;ROW(자재단가대비표!A137),"자재133 →")</f>
        <v>자재133 →</v>
      </c>
    </row>
    <row r="137" spans="1:8" ht="17.45" customHeight="1" x14ac:dyDescent="0.3">
      <c r="A137" s="9" t="s">
        <v>2444</v>
      </c>
      <c r="B137" s="10" t="s">
        <v>2445</v>
      </c>
      <c r="C137" s="10"/>
      <c r="D137" s="9" t="s">
        <v>2212</v>
      </c>
      <c r="E137" s="32">
        <f>자재단가대비표!O138</f>
        <v>143000</v>
      </c>
      <c r="F137" s="22" t="s">
        <v>2444</v>
      </c>
      <c r="G137" s="17" t="str">
        <f>"_x0007_`COD|M06633_x0005_`QTY1|1_x0005_`BQC|_x0005_`EQC|_x0005_`JDC|_x0005_`WQC|_x0005_`EDT|_x0005_`DET|"&amp;ROW(자재단가대비표!A138)&amp;"_x0005_`"</f>
        <v>_x0007_`COD|M06633_x0005_`QTY1|1_x0005_`BQC|_x0005_`EQC|_x0005_`JDC|_x0005_`WQC|_x0005_`EDT|_x0005_`DET|138_x0005_`</v>
      </c>
      <c r="H137" s="3" t="str">
        <f ca="1">HYPERLINK("#"&amp;자재단가대비표!R2&amp;"!A"&amp;ROW(자재단가대비표!A138),"자재134 →")</f>
        <v>자재134 →</v>
      </c>
    </row>
    <row r="138" spans="1:8" ht="17.45" customHeight="1" x14ac:dyDescent="0.3">
      <c r="A138" s="9" t="s">
        <v>2447</v>
      </c>
      <c r="B138" s="10" t="s">
        <v>2448</v>
      </c>
      <c r="C138" s="10" t="s">
        <v>2449</v>
      </c>
      <c r="D138" s="9" t="s">
        <v>1010</v>
      </c>
      <c r="E138" s="32">
        <f>자재단가대비표!O139</f>
        <v>10630</v>
      </c>
      <c r="F138" s="22" t="s">
        <v>2447</v>
      </c>
      <c r="G138" s="17" t="str">
        <f>"_x0007_`COD|M06614_x0005_`QTY1|1_x0005_`BQC|_x0005_`EQC|_x0005_`JDC|_x0005_`WQC|_x0005_`EDT|_x0005_`DET|"&amp;ROW(자재단가대비표!A139)&amp;"_x0005_`"</f>
        <v>_x0007_`COD|M06614_x0005_`QTY1|1_x0005_`BQC|_x0005_`EQC|_x0005_`JDC|_x0005_`WQC|_x0005_`EDT|_x0005_`DET|139_x0005_`</v>
      </c>
      <c r="H138" s="3" t="str">
        <f ca="1">HYPERLINK("#"&amp;자재단가대비표!R2&amp;"!A"&amp;ROW(자재단가대비표!A139),"자재135 →")</f>
        <v>자재135 →</v>
      </c>
    </row>
    <row r="139" spans="1:8" ht="17.45" customHeight="1" x14ac:dyDescent="0.3">
      <c r="A139" s="9" t="s">
        <v>2451</v>
      </c>
      <c r="B139" s="10" t="s">
        <v>2448</v>
      </c>
      <c r="C139" s="10" t="s">
        <v>2452</v>
      </c>
      <c r="D139" s="9" t="s">
        <v>1010</v>
      </c>
      <c r="E139" s="32">
        <f>자재단가대비표!O140</f>
        <v>17200</v>
      </c>
      <c r="F139" s="22" t="s">
        <v>2451</v>
      </c>
      <c r="G139" s="17" t="str">
        <f>"_x0007_`COD|M06615_x0005_`QTY1|1_x0005_`BQC|_x0005_`EQC|_x0005_`JDC|_x0005_`WQC|_x0005_`EDT|_x0005_`DET|"&amp;ROW(자재단가대비표!A140)&amp;"_x0005_`"</f>
        <v>_x0007_`COD|M06615_x0005_`QTY1|1_x0005_`BQC|_x0005_`EQC|_x0005_`JDC|_x0005_`WQC|_x0005_`EDT|_x0005_`DET|140_x0005_`</v>
      </c>
      <c r="H139" s="3" t="str">
        <f ca="1">HYPERLINK("#"&amp;자재단가대비표!R2&amp;"!A"&amp;ROW(자재단가대비표!A140),"자재136 →")</f>
        <v>자재136 →</v>
      </c>
    </row>
    <row r="140" spans="1:8" ht="17.45" customHeight="1" x14ac:dyDescent="0.3">
      <c r="A140" s="9" t="s">
        <v>2454</v>
      </c>
      <c r="B140" s="10" t="s">
        <v>2448</v>
      </c>
      <c r="C140" s="10" t="s">
        <v>2455</v>
      </c>
      <c r="D140" s="9" t="s">
        <v>1010</v>
      </c>
      <c r="E140" s="32">
        <f>자재단가대비표!O141</f>
        <v>26170</v>
      </c>
      <c r="F140" s="22" t="s">
        <v>2454</v>
      </c>
      <c r="G140" s="17" t="str">
        <f>"_x0007_`COD|M06719_x0005_`QTY1|1_x0005_`BQC|_x0005_`EQC|_x0005_`JDC|_x0005_`WQC|_x0005_`EDT|_x0005_`DET|"&amp;ROW(자재단가대비표!A141)&amp;"_x0005_`"</f>
        <v>_x0007_`COD|M06719_x0005_`QTY1|1_x0005_`BQC|_x0005_`EQC|_x0005_`JDC|_x0005_`WQC|_x0005_`EDT|_x0005_`DET|141_x0005_`</v>
      </c>
      <c r="H140" s="3" t="str">
        <f ca="1">HYPERLINK("#"&amp;자재단가대비표!R2&amp;"!A"&amp;ROW(자재단가대비표!A141),"자재137 →")</f>
        <v>자재137 →</v>
      </c>
    </row>
    <row r="141" spans="1:8" ht="17.45" customHeight="1" x14ac:dyDescent="0.3">
      <c r="A141" s="9" t="s">
        <v>2457</v>
      </c>
      <c r="B141" s="10" t="s">
        <v>2448</v>
      </c>
      <c r="C141" s="10" t="s">
        <v>2458</v>
      </c>
      <c r="D141" s="9" t="s">
        <v>1010</v>
      </c>
      <c r="E141" s="32">
        <f>자재단가대비표!O142</f>
        <v>32730</v>
      </c>
      <c r="F141" s="22" t="s">
        <v>2457</v>
      </c>
      <c r="G141" s="17" t="str">
        <f>"_x0007_`COD|M06616_x0005_`QTY1|1_x0005_`BQC|_x0005_`EQC|_x0005_`JDC|_x0005_`WQC|_x0005_`EDT|_x0005_`DET|"&amp;ROW(자재단가대비표!A142)&amp;"_x0005_`"</f>
        <v>_x0007_`COD|M06616_x0005_`QTY1|1_x0005_`BQC|_x0005_`EQC|_x0005_`JDC|_x0005_`WQC|_x0005_`EDT|_x0005_`DET|142_x0005_`</v>
      </c>
      <c r="H141" s="3" t="str">
        <f ca="1">HYPERLINK("#"&amp;자재단가대비표!R2&amp;"!A"&amp;ROW(자재단가대비표!A142),"자재138 →")</f>
        <v>자재138 →</v>
      </c>
    </row>
    <row r="142" spans="1:8" ht="17.45" customHeight="1" x14ac:dyDescent="0.3">
      <c r="A142" s="9" t="s">
        <v>2460</v>
      </c>
      <c r="B142" s="10" t="s">
        <v>2461</v>
      </c>
      <c r="C142" s="10" t="s">
        <v>1013</v>
      </c>
      <c r="D142" s="9" t="s">
        <v>1010</v>
      </c>
      <c r="E142" s="32">
        <f>자재단가대비표!O143</f>
        <v>469000</v>
      </c>
      <c r="F142" s="22" t="s">
        <v>2460</v>
      </c>
      <c r="G142" s="17" t="str">
        <f>"_x0007_`COD|M06540_x0005_`QTY1|1_x0005_`BQC|_x0005_`EQC|_x0005_`JDC|_x0005_`WQC|_x0005_`EDT|_x0005_`DET|"&amp;ROW(자재단가대비표!A143)&amp;"_x0005_`"</f>
        <v>_x0007_`COD|M06540_x0005_`QTY1|1_x0005_`BQC|_x0005_`EQC|_x0005_`JDC|_x0005_`WQC|_x0005_`EDT|_x0005_`DET|143_x0005_`</v>
      </c>
      <c r="H142" s="3" t="str">
        <f ca="1">HYPERLINK("#"&amp;자재단가대비표!R2&amp;"!A"&amp;ROW(자재단가대비표!A143),"자재139 →")</f>
        <v>자재139 →</v>
      </c>
    </row>
    <row r="143" spans="1:8" ht="17.45" customHeight="1" x14ac:dyDescent="0.3">
      <c r="A143" s="9" t="s">
        <v>2463</v>
      </c>
      <c r="B143" s="10" t="s">
        <v>2461</v>
      </c>
      <c r="C143" s="10" t="s">
        <v>1016</v>
      </c>
      <c r="D143" s="9" t="s">
        <v>1010</v>
      </c>
      <c r="E143" s="32">
        <f>자재단가대비표!O144</f>
        <v>859000</v>
      </c>
      <c r="F143" s="22" t="s">
        <v>2463</v>
      </c>
      <c r="G143" s="17" t="str">
        <f>"_x0007_`COD|M06541_x0005_`QTY1|1_x0005_`BQC|_x0005_`EQC|_x0005_`JDC|_x0005_`WQC|_x0005_`EDT|_x0005_`DET|"&amp;ROW(자재단가대비표!A144)&amp;"_x0005_`"</f>
        <v>_x0007_`COD|M06541_x0005_`QTY1|1_x0005_`BQC|_x0005_`EQC|_x0005_`JDC|_x0005_`WQC|_x0005_`EDT|_x0005_`DET|144_x0005_`</v>
      </c>
      <c r="H143" s="3" t="str">
        <f ca="1">HYPERLINK("#"&amp;자재단가대비표!R2&amp;"!A"&amp;ROW(자재단가대비표!A144),"자재140 →")</f>
        <v>자재140 →</v>
      </c>
    </row>
    <row r="144" spans="1:8" ht="17.45" customHeight="1" x14ac:dyDescent="0.3">
      <c r="A144" s="9" t="s">
        <v>2465</v>
      </c>
      <c r="B144" s="10" t="s">
        <v>2461</v>
      </c>
      <c r="C144" s="10" t="s">
        <v>1019</v>
      </c>
      <c r="D144" s="9" t="s">
        <v>1010</v>
      </c>
      <c r="E144" s="32">
        <f>자재단가대비표!O145</f>
        <v>1200000</v>
      </c>
      <c r="F144" s="22" t="s">
        <v>2465</v>
      </c>
      <c r="G144" s="17" t="str">
        <f>"_x0007_`COD|M06542_x0005_`QTY1|1_x0005_`BQC|_x0005_`EQC|_x0005_`JDC|_x0005_`WQC|_x0005_`EDT|_x0005_`DET|"&amp;ROW(자재단가대비표!A145)&amp;"_x0005_`"</f>
        <v>_x0007_`COD|M06542_x0005_`QTY1|1_x0005_`BQC|_x0005_`EQC|_x0005_`JDC|_x0005_`WQC|_x0005_`EDT|_x0005_`DET|145_x0005_`</v>
      </c>
      <c r="H144" s="3" t="str">
        <f ca="1">HYPERLINK("#"&amp;자재단가대비표!R2&amp;"!A"&amp;ROW(자재단가대비표!A145),"자재141 →")</f>
        <v>자재141 →</v>
      </c>
    </row>
    <row r="145" spans="1:8" ht="17.45" customHeight="1" x14ac:dyDescent="0.3">
      <c r="A145" s="9" t="s">
        <v>2467</v>
      </c>
      <c r="B145" s="10" t="s">
        <v>2461</v>
      </c>
      <c r="C145" s="10" t="s">
        <v>1009</v>
      </c>
      <c r="D145" s="9" t="s">
        <v>1010</v>
      </c>
      <c r="E145" s="32">
        <f>자재단가대비표!O146</f>
        <v>391000</v>
      </c>
      <c r="F145" s="22" t="s">
        <v>2467</v>
      </c>
      <c r="G145" s="17" t="str">
        <f>"_x0007_`COD|M06539_x0005_`QTY1|1_x0005_`BQC|_x0005_`EQC|_x0005_`JDC|_x0005_`WQC|_x0005_`EDT|_x0005_`DET|"&amp;ROW(자재단가대비표!A146)&amp;"_x0005_`"</f>
        <v>_x0007_`COD|M06539_x0005_`QTY1|1_x0005_`BQC|_x0005_`EQC|_x0005_`JDC|_x0005_`WQC|_x0005_`EDT|_x0005_`DET|146_x0005_`</v>
      </c>
      <c r="H145" s="3" t="str">
        <f ca="1">HYPERLINK("#"&amp;자재단가대비표!R2&amp;"!A"&amp;ROW(자재단가대비표!A146),"자재142 →")</f>
        <v>자재142 →</v>
      </c>
    </row>
    <row r="146" spans="1:8" ht="17.45" customHeight="1" x14ac:dyDescent="0.3">
      <c r="A146" s="9" t="s">
        <v>2469</v>
      </c>
      <c r="B146" s="10" t="s">
        <v>223</v>
      </c>
      <c r="C146" s="10" t="s">
        <v>2470</v>
      </c>
      <c r="D146" s="9" t="s">
        <v>14</v>
      </c>
      <c r="E146" s="32">
        <f>자재단가대비표!O147</f>
        <v>6043000</v>
      </c>
      <c r="F146" s="22" t="s">
        <v>2469</v>
      </c>
      <c r="G146" s="17" t="str">
        <f>"_x0007_`COD|M06484_x0005_`QTY1|1_x0005_`BQC|_x0005_`EQC|_x0005_`JDC|_x0005_`WQC|_x0005_`EDT|_x0005_`DET|"&amp;ROW(자재단가대비표!A147)&amp;"_x0005_`"</f>
        <v>_x0007_`COD|M06484_x0005_`QTY1|1_x0005_`BQC|_x0005_`EQC|_x0005_`JDC|_x0005_`WQC|_x0005_`EDT|_x0005_`DET|147_x0005_`</v>
      </c>
      <c r="H146" s="3" t="str">
        <f ca="1">HYPERLINK("#"&amp;자재단가대비표!R2&amp;"!A"&amp;ROW(자재단가대비표!A147),"자재143 →")</f>
        <v>자재143 →</v>
      </c>
    </row>
    <row r="147" spans="1:8" ht="17.45" customHeight="1" x14ac:dyDescent="0.3">
      <c r="A147" s="9" t="s">
        <v>2472</v>
      </c>
      <c r="B147" s="10" t="s">
        <v>223</v>
      </c>
      <c r="C147" s="10" t="s">
        <v>2473</v>
      </c>
      <c r="D147" s="9" t="s">
        <v>14</v>
      </c>
      <c r="E147" s="32">
        <f>자재단가대비표!O148</f>
        <v>31423000</v>
      </c>
      <c r="F147" s="22" t="s">
        <v>2472</v>
      </c>
      <c r="G147" s="17" t="str">
        <f>"_x0007_`COD|M06492_x0005_`QTY1|1_x0005_`BQC|_x0005_`EQC|_x0005_`JDC|_x0005_`WQC|_x0005_`EDT|_x0005_`DET|"&amp;ROW(자재단가대비표!A148)&amp;"_x0005_`"</f>
        <v>_x0007_`COD|M06492_x0005_`QTY1|1_x0005_`BQC|_x0005_`EQC|_x0005_`JDC|_x0005_`WQC|_x0005_`EDT|_x0005_`DET|148_x0005_`</v>
      </c>
      <c r="H147" s="3" t="str">
        <f ca="1">HYPERLINK("#"&amp;자재단가대비표!R2&amp;"!A"&amp;ROW(자재단가대비표!A148),"자재144 →")</f>
        <v>자재144 →</v>
      </c>
    </row>
    <row r="148" spans="1:8" ht="17.45" customHeight="1" x14ac:dyDescent="0.3">
      <c r="A148" s="9" t="s">
        <v>2475</v>
      </c>
      <c r="B148" s="10" t="s">
        <v>223</v>
      </c>
      <c r="C148" s="10" t="s">
        <v>2476</v>
      </c>
      <c r="D148" s="9" t="s">
        <v>14</v>
      </c>
      <c r="E148" s="32">
        <f>자재단가대비표!O149</f>
        <v>6962000</v>
      </c>
      <c r="F148" s="22" t="s">
        <v>2475</v>
      </c>
      <c r="G148" s="17" t="str">
        <f>"_x0007_`COD|M06485_x0005_`QTY1|1_x0005_`BQC|_x0005_`EQC|_x0005_`JDC|_x0005_`WQC|_x0005_`EDT|_x0005_`DET|"&amp;ROW(자재단가대비표!A149)&amp;"_x0005_`"</f>
        <v>_x0007_`COD|M06485_x0005_`QTY1|1_x0005_`BQC|_x0005_`EQC|_x0005_`JDC|_x0005_`WQC|_x0005_`EDT|_x0005_`DET|149_x0005_`</v>
      </c>
      <c r="H148" s="3" t="str">
        <f ca="1">HYPERLINK("#"&amp;자재단가대비표!R2&amp;"!A"&amp;ROW(자재단가대비표!A149),"자재145 →")</f>
        <v>자재145 →</v>
      </c>
    </row>
    <row r="149" spans="1:8" ht="17.45" customHeight="1" x14ac:dyDescent="0.3">
      <c r="A149" s="9" t="s">
        <v>2478</v>
      </c>
      <c r="B149" s="10" t="s">
        <v>223</v>
      </c>
      <c r="C149" s="10" t="s">
        <v>2479</v>
      </c>
      <c r="D149" s="9" t="s">
        <v>14</v>
      </c>
      <c r="E149" s="32">
        <f>자재단가대비표!O150</f>
        <v>7976000</v>
      </c>
      <c r="F149" s="22" t="s">
        <v>2478</v>
      </c>
      <c r="G149" s="17" t="str">
        <f>"_x0007_`COD|M06486_x0005_`QTY1|1_x0005_`BQC|_x0005_`EQC|_x0005_`JDC|_x0005_`WQC|_x0005_`EDT|_x0005_`DET|"&amp;ROW(자재단가대비표!A150)&amp;"_x0005_`"</f>
        <v>_x0007_`COD|M06486_x0005_`QTY1|1_x0005_`BQC|_x0005_`EQC|_x0005_`JDC|_x0005_`WQC|_x0005_`EDT|_x0005_`DET|150_x0005_`</v>
      </c>
      <c r="H149" s="3" t="str">
        <f ca="1">HYPERLINK("#"&amp;자재단가대비표!R2&amp;"!A"&amp;ROW(자재단가대비표!A150),"자재146 →")</f>
        <v>자재146 →</v>
      </c>
    </row>
    <row r="150" spans="1:8" ht="17.45" customHeight="1" x14ac:dyDescent="0.3">
      <c r="A150" s="9" t="s">
        <v>2481</v>
      </c>
      <c r="B150" s="10" t="s">
        <v>223</v>
      </c>
      <c r="C150" s="10" t="s">
        <v>2482</v>
      </c>
      <c r="D150" s="9" t="s">
        <v>14</v>
      </c>
      <c r="E150" s="32">
        <f>자재단가대비표!O151</f>
        <v>8129000</v>
      </c>
      <c r="F150" s="22" t="s">
        <v>2481</v>
      </c>
      <c r="G150" s="17" t="str">
        <f>"_x0007_`COD|M06487_x0005_`QTY1|1_x0005_`BQC|_x0005_`EQC|_x0005_`JDC|_x0005_`WQC|_x0005_`EDT|_x0005_`DET|"&amp;ROW(자재단가대비표!A151)&amp;"_x0005_`"</f>
        <v>_x0007_`COD|M06487_x0005_`QTY1|1_x0005_`BQC|_x0005_`EQC|_x0005_`JDC|_x0005_`WQC|_x0005_`EDT|_x0005_`DET|151_x0005_`</v>
      </c>
      <c r="H150" s="3" t="str">
        <f ca="1">HYPERLINK("#"&amp;자재단가대비표!R2&amp;"!A"&amp;ROW(자재단가대비표!A151),"자재147 →")</f>
        <v>자재147 →</v>
      </c>
    </row>
    <row r="151" spans="1:8" ht="17.45" customHeight="1" x14ac:dyDescent="0.3">
      <c r="A151" s="9" t="s">
        <v>2484</v>
      </c>
      <c r="B151" s="10" t="s">
        <v>223</v>
      </c>
      <c r="C151" s="10" t="s">
        <v>2485</v>
      </c>
      <c r="D151" s="9" t="s">
        <v>14</v>
      </c>
      <c r="E151" s="32">
        <f>자재단가대비표!O152</f>
        <v>1554000</v>
      </c>
      <c r="F151" s="22" t="s">
        <v>2484</v>
      </c>
      <c r="G151" s="17" t="str">
        <f>"_x0007_`COD|M06480_x0005_`QTY1|1_x0005_`BQC|_x0005_`EQC|_x0005_`JDC|_x0005_`WQC|_x0005_`EDT|_x0005_`DET|"&amp;ROW(자재단가대비표!A152)&amp;"_x0005_`"</f>
        <v>_x0007_`COD|M06480_x0005_`QTY1|1_x0005_`BQC|_x0005_`EQC|_x0005_`JDC|_x0005_`WQC|_x0005_`EDT|_x0005_`DET|152_x0005_`</v>
      </c>
      <c r="H151" s="3" t="str">
        <f ca="1">HYPERLINK("#"&amp;자재단가대비표!R2&amp;"!A"&amp;ROW(자재단가대비표!A152),"자재148 →")</f>
        <v>자재148 →</v>
      </c>
    </row>
    <row r="152" spans="1:8" ht="17.45" customHeight="1" x14ac:dyDescent="0.3">
      <c r="A152" s="9" t="s">
        <v>2487</v>
      </c>
      <c r="B152" s="10" t="s">
        <v>223</v>
      </c>
      <c r="C152" s="10" t="s">
        <v>2488</v>
      </c>
      <c r="D152" s="9" t="s">
        <v>14</v>
      </c>
      <c r="E152" s="32">
        <f>자재단가대비표!O153</f>
        <v>8367000</v>
      </c>
      <c r="F152" s="22" t="s">
        <v>2487</v>
      </c>
      <c r="G152" s="17" t="str">
        <f>"_x0007_`COD|M06488_x0005_`QTY1|1_x0005_`BQC|_x0005_`EQC|_x0005_`JDC|_x0005_`WQC|_x0005_`EDT|_x0005_`DET|"&amp;ROW(자재단가대비표!A153)&amp;"_x0005_`"</f>
        <v>_x0007_`COD|M06488_x0005_`QTY1|1_x0005_`BQC|_x0005_`EQC|_x0005_`JDC|_x0005_`WQC|_x0005_`EDT|_x0005_`DET|153_x0005_`</v>
      </c>
      <c r="H152" s="3" t="str">
        <f ca="1">HYPERLINK("#"&amp;자재단가대비표!R2&amp;"!A"&amp;ROW(자재단가대비표!A153),"자재149 →")</f>
        <v>자재149 →</v>
      </c>
    </row>
    <row r="153" spans="1:8" ht="17.45" customHeight="1" x14ac:dyDescent="0.3">
      <c r="A153" s="9" t="s">
        <v>2490</v>
      </c>
      <c r="B153" s="10" t="s">
        <v>223</v>
      </c>
      <c r="C153" s="10" t="s">
        <v>2491</v>
      </c>
      <c r="D153" s="9" t="s">
        <v>14</v>
      </c>
      <c r="E153" s="32">
        <f>자재단가대비표!O154</f>
        <v>2618000</v>
      </c>
      <c r="F153" s="22" t="s">
        <v>2490</v>
      </c>
      <c r="G153" s="17" t="str">
        <f>"_x0007_`COD|M06481_x0005_`QTY1|1_x0005_`BQC|_x0005_`EQC|_x0005_`JDC|_x0005_`WQC|_x0005_`EDT|_x0005_`DET|"&amp;ROW(자재단가대비표!A154)&amp;"_x0005_`"</f>
        <v>_x0007_`COD|M06481_x0005_`QTY1|1_x0005_`BQC|_x0005_`EQC|_x0005_`JDC|_x0005_`WQC|_x0005_`EDT|_x0005_`DET|154_x0005_`</v>
      </c>
      <c r="H153" s="3" t="str">
        <f ca="1">HYPERLINK("#"&amp;자재단가대비표!R2&amp;"!A"&amp;ROW(자재단가대비표!A154),"자재150 →")</f>
        <v>자재150 →</v>
      </c>
    </row>
    <row r="154" spans="1:8" ht="17.45" customHeight="1" x14ac:dyDescent="0.3">
      <c r="A154" s="9" t="s">
        <v>2493</v>
      </c>
      <c r="B154" s="10" t="s">
        <v>223</v>
      </c>
      <c r="C154" s="10" t="s">
        <v>2494</v>
      </c>
      <c r="D154" s="9" t="s">
        <v>14</v>
      </c>
      <c r="E154" s="32">
        <f>자재단가대비표!O155</f>
        <v>8605000</v>
      </c>
      <c r="F154" s="22" t="s">
        <v>2493</v>
      </c>
      <c r="G154" s="17" t="str">
        <f>"_x0007_`COD|M06489_x0005_`QTY1|1_x0005_`BQC|_x0005_`EQC|_x0005_`JDC|_x0005_`WQC|_x0005_`EDT|_x0005_`DET|"&amp;ROW(자재단가대비표!A155)&amp;"_x0005_`"</f>
        <v>_x0007_`COD|M06489_x0005_`QTY1|1_x0005_`BQC|_x0005_`EQC|_x0005_`JDC|_x0005_`WQC|_x0005_`EDT|_x0005_`DET|155_x0005_`</v>
      </c>
      <c r="H154" s="3" t="str">
        <f ca="1">HYPERLINK("#"&amp;자재단가대비표!R2&amp;"!A"&amp;ROW(자재단가대비표!A155),"자재151 →")</f>
        <v>자재151 →</v>
      </c>
    </row>
    <row r="155" spans="1:8" ht="17.45" customHeight="1" x14ac:dyDescent="0.3">
      <c r="A155" s="9" t="s">
        <v>2496</v>
      </c>
      <c r="B155" s="10" t="s">
        <v>223</v>
      </c>
      <c r="C155" s="10" t="s">
        <v>2497</v>
      </c>
      <c r="D155" s="9" t="s">
        <v>14</v>
      </c>
      <c r="E155" s="32">
        <f>자재단가대비표!O156</f>
        <v>11997000</v>
      </c>
      <c r="F155" s="22" t="s">
        <v>2496</v>
      </c>
      <c r="G155" s="17" t="str">
        <f>"_x0007_`COD|M06490_x0005_`QTY1|1_x0005_`BQC|_x0005_`EQC|_x0005_`JDC|_x0005_`WQC|_x0005_`EDT|_x0005_`DET|"&amp;ROW(자재단가대비표!A156)&amp;"_x0005_`"</f>
        <v>_x0007_`COD|M06490_x0005_`QTY1|1_x0005_`BQC|_x0005_`EQC|_x0005_`JDC|_x0005_`WQC|_x0005_`EDT|_x0005_`DET|156_x0005_`</v>
      </c>
      <c r="H155" s="3" t="str">
        <f ca="1">HYPERLINK("#"&amp;자재단가대비표!R2&amp;"!A"&amp;ROW(자재단가대비표!A156),"자재152 →")</f>
        <v>자재152 →</v>
      </c>
    </row>
    <row r="156" spans="1:8" ht="17.45" customHeight="1" x14ac:dyDescent="0.3">
      <c r="A156" s="9" t="s">
        <v>2499</v>
      </c>
      <c r="B156" s="10" t="s">
        <v>223</v>
      </c>
      <c r="C156" s="10" t="s">
        <v>2500</v>
      </c>
      <c r="D156" s="9" t="s">
        <v>14</v>
      </c>
      <c r="E156" s="32">
        <f>자재단가대비표!O157</f>
        <v>4558000</v>
      </c>
      <c r="F156" s="22" t="s">
        <v>2499</v>
      </c>
      <c r="G156" s="17" t="str">
        <f>"_x0007_`COD|M06482_x0005_`QTY1|1_x0005_`BQC|_x0005_`EQC|_x0005_`JDC|_x0005_`WQC|_x0005_`EDT|_x0005_`DET|"&amp;ROW(자재단가대비표!A157)&amp;"_x0005_`"</f>
        <v>_x0007_`COD|M06482_x0005_`QTY1|1_x0005_`BQC|_x0005_`EQC|_x0005_`JDC|_x0005_`WQC|_x0005_`EDT|_x0005_`DET|157_x0005_`</v>
      </c>
      <c r="H156" s="3" t="str">
        <f ca="1">HYPERLINK("#"&amp;자재단가대비표!R2&amp;"!A"&amp;ROW(자재단가대비표!A157),"자재153 →")</f>
        <v>자재153 →</v>
      </c>
    </row>
    <row r="157" spans="1:8" ht="17.45" customHeight="1" x14ac:dyDescent="0.3">
      <c r="A157" s="9" t="s">
        <v>2502</v>
      </c>
      <c r="B157" s="10" t="s">
        <v>223</v>
      </c>
      <c r="C157" s="10" t="s">
        <v>2503</v>
      </c>
      <c r="D157" s="9" t="s">
        <v>14</v>
      </c>
      <c r="E157" s="32">
        <f>자재단가대비표!O158</f>
        <v>13437000</v>
      </c>
      <c r="F157" s="22" t="s">
        <v>2502</v>
      </c>
      <c r="G157" s="17" t="str">
        <f>"_x0007_`COD|M06491_x0005_`QTY1|1_x0005_`BQC|_x0005_`EQC|_x0005_`JDC|_x0005_`WQC|_x0005_`EDT|_x0005_`DET|"&amp;ROW(자재단가대비표!A158)&amp;"_x0005_`"</f>
        <v>_x0007_`COD|M06491_x0005_`QTY1|1_x0005_`BQC|_x0005_`EQC|_x0005_`JDC|_x0005_`WQC|_x0005_`EDT|_x0005_`DET|158_x0005_`</v>
      </c>
      <c r="H157" s="3" t="str">
        <f ca="1">HYPERLINK("#"&amp;자재단가대비표!R2&amp;"!A"&amp;ROW(자재단가대비표!A158),"자재154 →")</f>
        <v>자재154 →</v>
      </c>
    </row>
    <row r="158" spans="1:8" ht="17.45" customHeight="1" x14ac:dyDescent="0.3">
      <c r="A158" s="9" t="s">
        <v>2505</v>
      </c>
      <c r="B158" s="10" t="s">
        <v>223</v>
      </c>
      <c r="C158" s="10" t="s">
        <v>2506</v>
      </c>
      <c r="D158" s="9" t="s">
        <v>14</v>
      </c>
      <c r="E158" s="32">
        <f>자재단가대비표!O159</f>
        <v>4761000</v>
      </c>
      <c r="F158" s="22" t="s">
        <v>2505</v>
      </c>
      <c r="G158" s="17" t="str">
        <f>"_x0007_`COD|M06483_x0005_`QTY1|1_x0005_`BQC|_x0005_`EQC|_x0005_`JDC|_x0005_`WQC|_x0005_`EDT|_x0005_`DET|"&amp;ROW(자재단가대비표!A159)&amp;"_x0005_`"</f>
        <v>_x0007_`COD|M06483_x0005_`QTY1|1_x0005_`BQC|_x0005_`EQC|_x0005_`JDC|_x0005_`WQC|_x0005_`EDT|_x0005_`DET|159_x0005_`</v>
      </c>
      <c r="H158" s="3" t="str">
        <f ca="1">HYPERLINK("#"&amp;자재단가대비표!R2&amp;"!A"&amp;ROW(자재단가대비표!A159),"자재155 →")</f>
        <v>자재155 →</v>
      </c>
    </row>
    <row r="159" spans="1:8" ht="17.45" customHeight="1" x14ac:dyDescent="0.3">
      <c r="A159" s="9" t="s">
        <v>2508</v>
      </c>
      <c r="B159" s="10" t="s">
        <v>336</v>
      </c>
      <c r="C159" s="10" t="s">
        <v>2509</v>
      </c>
      <c r="D159" s="9" t="s">
        <v>14</v>
      </c>
      <c r="E159" s="32">
        <f>자재단가대비표!O160</f>
        <v>3977000</v>
      </c>
      <c r="F159" s="22" t="s">
        <v>2508</v>
      </c>
      <c r="G159" s="17" t="str">
        <f>"_x0007_`COD|M06664_x0005_`QTY1|1_x0005_`BQC|_x0005_`EQC|_x0005_`JDC|_x0005_`WQC|_x0005_`EDT|_x0005_`DET|"&amp;ROW(자재단가대비표!A160)&amp;"_x0005_`"</f>
        <v>_x0007_`COD|M06664_x0005_`QTY1|1_x0005_`BQC|_x0005_`EQC|_x0005_`JDC|_x0005_`WQC|_x0005_`EDT|_x0005_`DET|160_x0005_`</v>
      </c>
      <c r="H159" s="3" t="str">
        <f ca="1">HYPERLINK("#"&amp;자재단가대비표!R2&amp;"!A"&amp;ROW(자재단가대비표!A160),"자재156 →")</f>
        <v>자재156 →</v>
      </c>
    </row>
    <row r="160" spans="1:8" ht="17.45" customHeight="1" x14ac:dyDescent="0.3">
      <c r="A160" s="9" t="s">
        <v>2511</v>
      </c>
      <c r="B160" s="10" t="s">
        <v>336</v>
      </c>
      <c r="C160" s="10" t="s">
        <v>373</v>
      </c>
      <c r="D160" s="9" t="s">
        <v>14</v>
      </c>
      <c r="E160" s="32">
        <f>자재단가대비표!O161</f>
        <v>38564000</v>
      </c>
      <c r="F160" s="22" t="s">
        <v>2511</v>
      </c>
      <c r="G160" s="17" t="str">
        <f>"_x0007_`COD|M06504_x0005_`QTY1|1_x0005_`BQC|_x0005_`EQC|_x0005_`JDC|_x0005_`WQC|_x0005_`EDT|_x0005_`DET|"&amp;ROW(자재단가대비표!A161)&amp;"_x0005_`"</f>
        <v>_x0007_`COD|M06504_x0005_`QTY1|1_x0005_`BQC|_x0005_`EQC|_x0005_`JDC|_x0005_`WQC|_x0005_`EDT|_x0005_`DET|161_x0005_`</v>
      </c>
      <c r="H160" s="3" t="str">
        <f ca="1">HYPERLINK("#"&amp;자재단가대비표!R2&amp;"!A"&amp;ROW(자재단가대비표!A161),"자재157 →")</f>
        <v>자재157 →</v>
      </c>
    </row>
    <row r="161" spans="1:8" ht="17.45" customHeight="1" x14ac:dyDescent="0.3">
      <c r="A161" s="9" t="s">
        <v>2513</v>
      </c>
      <c r="B161" s="10" t="s">
        <v>336</v>
      </c>
      <c r="C161" s="10" t="s">
        <v>2514</v>
      </c>
      <c r="D161" s="9" t="s">
        <v>14</v>
      </c>
      <c r="E161" s="32">
        <f>자재단가대비표!O162</f>
        <v>4713000</v>
      </c>
      <c r="F161" s="22" t="s">
        <v>2513</v>
      </c>
      <c r="G161" s="17" t="str">
        <f>"_x0007_`COD|M06497_x0005_`QTY1|1_x0005_`BQC|_x0005_`EQC|_x0005_`JDC|_x0005_`WQC|_x0005_`EDT|_x0005_`DET|"&amp;ROW(자재단가대비표!A162)&amp;"_x0005_`"</f>
        <v>_x0007_`COD|M06497_x0005_`QTY1|1_x0005_`BQC|_x0005_`EQC|_x0005_`JDC|_x0005_`WQC|_x0005_`EDT|_x0005_`DET|162_x0005_`</v>
      </c>
      <c r="H161" s="3" t="str">
        <f ca="1">HYPERLINK("#"&amp;자재단가대비표!R2&amp;"!A"&amp;ROW(자재단가대비표!A162),"자재158 →")</f>
        <v>자재158 →</v>
      </c>
    </row>
    <row r="162" spans="1:8" ht="17.45" customHeight="1" x14ac:dyDescent="0.3">
      <c r="A162" s="9" t="s">
        <v>2516</v>
      </c>
      <c r="B162" s="10" t="s">
        <v>336</v>
      </c>
      <c r="C162" s="10" t="s">
        <v>2517</v>
      </c>
      <c r="D162" s="9" t="s">
        <v>14</v>
      </c>
      <c r="E162" s="32">
        <f>자재단가대비표!O163</f>
        <v>5927000</v>
      </c>
      <c r="F162" s="22" t="s">
        <v>2516</v>
      </c>
      <c r="G162" s="17" t="str">
        <f>"_x0007_`COD|M06498_x0005_`QTY1|1_x0005_`BQC|_x0005_`EQC|_x0005_`JDC|_x0005_`WQC|_x0005_`EDT|_x0005_`DET|"&amp;ROW(자재단가대비표!A163)&amp;"_x0005_`"</f>
        <v>_x0007_`COD|M06498_x0005_`QTY1|1_x0005_`BQC|_x0005_`EQC|_x0005_`JDC|_x0005_`WQC|_x0005_`EDT|_x0005_`DET|163_x0005_`</v>
      </c>
      <c r="H162" s="3" t="str">
        <f ca="1">HYPERLINK("#"&amp;자재단가대비표!R2&amp;"!A"&amp;ROW(자재단가대비표!A163),"자재159 →")</f>
        <v>자재159 →</v>
      </c>
    </row>
    <row r="163" spans="1:8" ht="17.45" customHeight="1" x14ac:dyDescent="0.3">
      <c r="A163" s="9" t="s">
        <v>2519</v>
      </c>
      <c r="B163" s="10" t="s">
        <v>336</v>
      </c>
      <c r="C163" s="10" t="s">
        <v>358</v>
      </c>
      <c r="D163" s="9" t="s">
        <v>14</v>
      </c>
      <c r="E163" s="32">
        <f>자재단가대비표!O164</f>
        <v>6665000</v>
      </c>
      <c r="F163" s="22" t="s">
        <v>2519</v>
      </c>
      <c r="G163" s="17" t="str">
        <f>"_x0007_`COD|M06499_x0005_`QTY1|1_x0005_`BQC|_x0005_`EQC|_x0005_`JDC|_x0005_`WQC|_x0005_`EDT|_x0005_`DET|"&amp;ROW(자재단가대비표!A164)&amp;"_x0005_`"</f>
        <v>_x0007_`COD|M06499_x0005_`QTY1|1_x0005_`BQC|_x0005_`EQC|_x0005_`JDC|_x0005_`WQC|_x0005_`EDT|_x0005_`DET|164_x0005_`</v>
      </c>
      <c r="H163" s="3" t="str">
        <f ca="1">HYPERLINK("#"&amp;자재단가대비표!R2&amp;"!A"&amp;ROW(자재단가대비표!A164),"자재160 →")</f>
        <v>자재160 →</v>
      </c>
    </row>
    <row r="164" spans="1:8" ht="17.45" customHeight="1" x14ac:dyDescent="0.3">
      <c r="A164" s="9" t="s">
        <v>2521</v>
      </c>
      <c r="B164" s="10" t="s">
        <v>336</v>
      </c>
      <c r="C164" s="10" t="s">
        <v>2522</v>
      </c>
      <c r="D164" s="9" t="s">
        <v>14</v>
      </c>
      <c r="E164" s="32">
        <f>자재단가대비표!O165</f>
        <v>1181000</v>
      </c>
      <c r="F164" s="22" t="s">
        <v>2521</v>
      </c>
      <c r="G164" s="17" t="str">
        <f>"_x0007_`COD|M06493_x0005_`QTY1|1_x0005_`BQC|_x0005_`EQC|_x0005_`JDC|_x0005_`WQC|_x0005_`EDT|_x0005_`DET|"&amp;ROW(자재단가대비표!A165)&amp;"_x0005_`"</f>
        <v>_x0007_`COD|M06493_x0005_`QTY1|1_x0005_`BQC|_x0005_`EQC|_x0005_`JDC|_x0005_`WQC|_x0005_`EDT|_x0005_`DET|165_x0005_`</v>
      </c>
      <c r="H164" s="3" t="str">
        <f ca="1">HYPERLINK("#"&amp;자재단가대비표!R2&amp;"!A"&amp;ROW(자재단가대비표!A165),"자재161 →")</f>
        <v>자재161 →</v>
      </c>
    </row>
    <row r="165" spans="1:8" ht="17.45" customHeight="1" x14ac:dyDescent="0.3">
      <c r="A165" s="9" t="s">
        <v>2524</v>
      </c>
      <c r="B165" s="10" t="s">
        <v>336</v>
      </c>
      <c r="C165" s="10" t="s">
        <v>361</v>
      </c>
      <c r="D165" s="9" t="s">
        <v>14</v>
      </c>
      <c r="E165" s="32">
        <f>자재단가대비표!O166</f>
        <v>7915000</v>
      </c>
      <c r="F165" s="22" t="s">
        <v>2524</v>
      </c>
      <c r="G165" s="17" t="str">
        <f>"_x0007_`COD|M06500_x0005_`QTY1|1_x0005_`BQC|_x0005_`EQC|_x0005_`JDC|_x0005_`WQC|_x0005_`EDT|_x0005_`DET|"&amp;ROW(자재단가대비표!A166)&amp;"_x0005_`"</f>
        <v>_x0007_`COD|M06500_x0005_`QTY1|1_x0005_`BQC|_x0005_`EQC|_x0005_`JDC|_x0005_`WQC|_x0005_`EDT|_x0005_`DET|166_x0005_`</v>
      </c>
      <c r="H165" s="3" t="str">
        <f ca="1">HYPERLINK("#"&amp;자재단가대비표!R2&amp;"!A"&amp;ROW(자재단가대비표!A166),"자재162 →")</f>
        <v>자재162 →</v>
      </c>
    </row>
    <row r="166" spans="1:8" ht="17.45" customHeight="1" x14ac:dyDescent="0.3">
      <c r="A166" s="9" t="s">
        <v>2526</v>
      </c>
      <c r="B166" s="10" t="s">
        <v>336</v>
      </c>
      <c r="C166" s="10" t="s">
        <v>2527</v>
      </c>
      <c r="D166" s="9" t="s">
        <v>14</v>
      </c>
      <c r="E166" s="32">
        <f>자재단가대비표!O167</f>
        <v>1398000</v>
      </c>
      <c r="F166" s="22" t="s">
        <v>2526</v>
      </c>
      <c r="G166" s="17" t="str">
        <f>"_x0007_`COD|M06494_x0005_`QTY1|1_x0005_`BQC|_x0005_`EQC|_x0005_`JDC|_x0005_`WQC|_x0005_`EDT|_x0005_`DET|"&amp;ROW(자재단가대비표!A167)&amp;"_x0005_`"</f>
        <v>_x0007_`COD|M06494_x0005_`QTY1|1_x0005_`BQC|_x0005_`EQC|_x0005_`JDC|_x0005_`WQC|_x0005_`EDT|_x0005_`DET|167_x0005_`</v>
      </c>
      <c r="H166" s="3" t="str">
        <f ca="1">HYPERLINK("#"&amp;자재단가대비표!R2&amp;"!A"&amp;ROW(자재단가대비표!A167),"자재163 →")</f>
        <v>자재163 →</v>
      </c>
    </row>
    <row r="167" spans="1:8" ht="17.45" customHeight="1" x14ac:dyDescent="0.3">
      <c r="A167" s="9" t="s">
        <v>2529</v>
      </c>
      <c r="B167" s="10" t="s">
        <v>336</v>
      </c>
      <c r="C167" s="10" t="s">
        <v>2530</v>
      </c>
      <c r="D167" s="9" t="s">
        <v>14</v>
      </c>
      <c r="E167" s="32">
        <f>자재단가대비표!O168</f>
        <v>9760000</v>
      </c>
      <c r="F167" s="22" t="s">
        <v>2529</v>
      </c>
      <c r="G167" s="17" t="str">
        <f>"_x0007_`COD|M06501_x0005_`QTY1|1_x0005_`BQC|_x0005_`EQC|_x0005_`JDC|_x0005_`WQC|_x0005_`EDT|_x0005_`DET|"&amp;ROW(자재단가대비표!A168)&amp;"_x0005_`"</f>
        <v>_x0007_`COD|M06501_x0005_`QTY1|1_x0005_`BQC|_x0005_`EQC|_x0005_`JDC|_x0005_`WQC|_x0005_`EDT|_x0005_`DET|168_x0005_`</v>
      </c>
      <c r="H167" s="3" t="str">
        <f ca="1">HYPERLINK("#"&amp;자재단가대비표!R2&amp;"!A"&amp;ROW(자재단가대비표!A168),"자재164 →")</f>
        <v>자재164 →</v>
      </c>
    </row>
    <row r="168" spans="1:8" ht="17.45" customHeight="1" x14ac:dyDescent="0.3">
      <c r="A168" s="9" t="s">
        <v>2532</v>
      </c>
      <c r="B168" s="10" t="s">
        <v>336</v>
      </c>
      <c r="C168" s="10" t="s">
        <v>2533</v>
      </c>
      <c r="D168" s="9" t="s">
        <v>14</v>
      </c>
      <c r="E168" s="32">
        <f>자재단가대비표!O169</f>
        <v>10866000</v>
      </c>
      <c r="F168" s="22" t="s">
        <v>2532</v>
      </c>
      <c r="G168" s="17" t="str">
        <f>"_x0007_`COD|M06502_x0005_`QTY1|1_x0005_`BQC|_x0005_`EQC|_x0005_`JDC|_x0005_`WQC|_x0005_`EDT|_x0005_`DET|"&amp;ROW(자재단가대비표!A169)&amp;"_x0005_`"</f>
        <v>_x0007_`COD|M06502_x0005_`QTY1|1_x0005_`BQC|_x0005_`EQC|_x0005_`JDC|_x0005_`WQC|_x0005_`EDT|_x0005_`DET|169_x0005_`</v>
      </c>
      <c r="H168" s="3" t="str">
        <f ca="1">HYPERLINK("#"&amp;자재단가대비표!R2&amp;"!A"&amp;ROW(자재단가대비표!A169),"자재165 →")</f>
        <v>자재165 →</v>
      </c>
    </row>
    <row r="169" spans="1:8" ht="17.45" customHeight="1" x14ac:dyDescent="0.3">
      <c r="A169" s="9" t="s">
        <v>2535</v>
      </c>
      <c r="B169" s="10" t="s">
        <v>336</v>
      </c>
      <c r="C169" s="10" t="s">
        <v>2536</v>
      </c>
      <c r="D169" s="9" t="s">
        <v>14</v>
      </c>
      <c r="E169" s="32">
        <f>자재단가대비표!O170</f>
        <v>2772000</v>
      </c>
      <c r="F169" s="22" t="s">
        <v>2535</v>
      </c>
      <c r="G169" s="17" t="str">
        <f>"_x0007_`COD|M06495_x0005_`QTY1|1_x0005_`BQC|_x0005_`EQC|_x0005_`JDC|_x0005_`WQC|_x0005_`EDT|_x0005_`DET|"&amp;ROW(자재단가대비표!A170)&amp;"_x0005_`"</f>
        <v>_x0007_`COD|M06495_x0005_`QTY1|1_x0005_`BQC|_x0005_`EQC|_x0005_`JDC|_x0005_`WQC|_x0005_`EDT|_x0005_`DET|170_x0005_`</v>
      </c>
      <c r="H169" s="3" t="str">
        <f ca="1">HYPERLINK("#"&amp;자재단가대비표!R2&amp;"!A"&amp;ROW(자재단가대비표!A170),"자재166 →")</f>
        <v>자재166 →</v>
      </c>
    </row>
    <row r="170" spans="1:8" ht="17.45" customHeight="1" x14ac:dyDescent="0.3">
      <c r="A170" s="9" t="s">
        <v>2538</v>
      </c>
      <c r="B170" s="10" t="s">
        <v>336</v>
      </c>
      <c r="C170" s="10" t="s">
        <v>370</v>
      </c>
      <c r="D170" s="9" t="s">
        <v>14</v>
      </c>
      <c r="E170" s="32">
        <f>자재단가대비표!O171</f>
        <v>11521000</v>
      </c>
      <c r="F170" s="22" t="s">
        <v>2538</v>
      </c>
      <c r="G170" s="17" t="str">
        <f>"_x0007_`COD|M06503_x0005_`QTY1|1_x0005_`BQC|_x0005_`EQC|_x0005_`JDC|_x0005_`WQC|_x0005_`EDT|_x0005_`DET|"&amp;ROW(자재단가대비표!A171)&amp;"_x0005_`"</f>
        <v>_x0007_`COD|M06503_x0005_`QTY1|1_x0005_`BQC|_x0005_`EQC|_x0005_`JDC|_x0005_`WQC|_x0005_`EDT|_x0005_`DET|171_x0005_`</v>
      </c>
      <c r="H170" s="3" t="str">
        <f ca="1">HYPERLINK("#"&amp;자재단가대비표!R2&amp;"!A"&amp;ROW(자재단가대비표!A171),"자재167 →")</f>
        <v>자재167 →</v>
      </c>
    </row>
    <row r="171" spans="1:8" ht="17.45" customHeight="1" x14ac:dyDescent="0.3">
      <c r="A171" s="9" t="s">
        <v>2540</v>
      </c>
      <c r="B171" s="10" t="s">
        <v>336</v>
      </c>
      <c r="C171" s="10" t="s">
        <v>2541</v>
      </c>
      <c r="D171" s="9" t="s">
        <v>14</v>
      </c>
      <c r="E171" s="32">
        <f>자재단가대비표!O172</f>
        <v>3625000</v>
      </c>
      <c r="F171" s="22" t="s">
        <v>2540</v>
      </c>
      <c r="G171" s="17" t="str">
        <f>"_x0007_`COD|M06496_x0005_`QTY1|1_x0005_`BQC|_x0005_`EQC|_x0005_`JDC|_x0005_`WQC|_x0005_`EDT|_x0005_`DET|"&amp;ROW(자재단가대비표!A172)&amp;"_x0005_`"</f>
        <v>_x0007_`COD|M06496_x0005_`QTY1|1_x0005_`BQC|_x0005_`EQC|_x0005_`JDC|_x0005_`WQC|_x0005_`EDT|_x0005_`DET|172_x0005_`</v>
      </c>
      <c r="H171" s="3" t="str">
        <f ca="1">HYPERLINK("#"&amp;자재단가대비표!R2&amp;"!A"&amp;ROW(자재단가대비표!A172),"자재168 →")</f>
        <v>자재168 →</v>
      </c>
    </row>
    <row r="172" spans="1:8" ht="17.45" customHeight="1" x14ac:dyDescent="0.3">
      <c r="A172" s="9" t="s">
        <v>2543</v>
      </c>
      <c r="B172" s="10" t="s">
        <v>2544</v>
      </c>
      <c r="C172" s="10" t="s">
        <v>349</v>
      </c>
      <c r="D172" s="9" t="s">
        <v>1010</v>
      </c>
      <c r="E172" s="32">
        <f>자재단가대비표!O173</f>
        <v>34000</v>
      </c>
      <c r="F172" s="22" t="s">
        <v>2543</v>
      </c>
      <c r="G172" s="17" t="str">
        <f>"_x0007_`COD|M06771_x0005_`QTY1|1_x0005_`BQC|_x0005_`EQC|_x0005_`JDC|_x0005_`WQC|_x0005_`EDT|_x0005_`DET|"&amp;ROW(자재단가대비표!A173)&amp;"_x0005_`"</f>
        <v>_x0007_`COD|M06771_x0005_`QTY1|1_x0005_`BQC|_x0005_`EQC|_x0005_`JDC|_x0005_`WQC|_x0005_`EDT|_x0005_`DET|173_x0005_`</v>
      </c>
      <c r="H172" s="3" t="str">
        <f ca="1">HYPERLINK("#"&amp;자재단가대비표!R2&amp;"!A"&amp;ROW(자재단가대비표!A173),"자재169 →")</f>
        <v>자재169 →</v>
      </c>
    </row>
    <row r="173" spans="1:8" ht="17.45" customHeight="1" x14ac:dyDescent="0.3">
      <c r="A173" s="9" t="s">
        <v>2546</v>
      </c>
      <c r="B173" s="10" t="s">
        <v>2544</v>
      </c>
      <c r="C173" s="10" t="s">
        <v>373</v>
      </c>
      <c r="D173" s="9" t="s">
        <v>1010</v>
      </c>
      <c r="E173" s="32">
        <f>자재단가대비표!O174</f>
        <v>109000</v>
      </c>
      <c r="F173" s="22" t="s">
        <v>2546</v>
      </c>
      <c r="G173" s="17" t="str">
        <f>"_x0007_`COD|M06779_x0005_`QTY1|1_x0005_`BQC|_x0005_`EQC|_x0005_`JDC|_x0005_`WQC|_x0005_`EDT|_x0005_`DET|"&amp;ROW(자재단가대비표!A174)&amp;"_x0005_`"</f>
        <v>_x0007_`COD|M06779_x0005_`QTY1|1_x0005_`BQC|_x0005_`EQC|_x0005_`JDC|_x0005_`WQC|_x0005_`EDT|_x0005_`DET|174_x0005_`</v>
      </c>
      <c r="H173" s="3" t="str">
        <f ca="1">HYPERLINK("#"&amp;자재단가대비표!R2&amp;"!A"&amp;ROW(자재단가대비표!A174),"자재170 →")</f>
        <v>자재170 →</v>
      </c>
    </row>
    <row r="174" spans="1:8" ht="17.45" customHeight="1" x14ac:dyDescent="0.3">
      <c r="A174" s="9" t="s">
        <v>2548</v>
      </c>
      <c r="B174" s="10" t="s">
        <v>2544</v>
      </c>
      <c r="C174" s="10" t="s">
        <v>352</v>
      </c>
      <c r="D174" s="9" t="s">
        <v>1010</v>
      </c>
      <c r="E174" s="32">
        <f>자재단가대비표!O175</f>
        <v>34000</v>
      </c>
      <c r="F174" s="22" t="s">
        <v>2548</v>
      </c>
      <c r="G174" s="17" t="str">
        <f>"_x0007_`COD|M06772_x0005_`QTY1|1_x0005_`BQC|_x0005_`EQC|_x0005_`JDC|_x0005_`WQC|_x0005_`EDT|_x0005_`DET|"&amp;ROW(자재단가대비표!A175)&amp;"_x0005_`"</f>
        <v>_x0007_`COD|M06772_x0005_`QTY1|1_x0005_`BQC|_x0005_`EQC|_x0005_`JDC|_x0005_`WQC|_x0005_`EDT|_x0005_`DET|175_x0005_`</v>
      </c>
      <c r="H174" s="3" t="str">
        <f ca="1">HYPERLINK("#"&amp;자재단가대비표!R2&amp;"!A"&amp;ROW(자재단가대비표!A175),"자재171 →")</f>
        <v>자재171 →</v>
      </c>
    </row>
    <row r="175" spans="1:8" ht="17.45" customHeight="1" x14ac:dyDescent="0.3">
      <c r="A175" s="9" t="s">
        <v>2550</v>
      </c>
      <c r="B175" s="10" t="s">
        <v>2544</v>
      </c>
      <c r="C175" s="10" t="s">
        <v>355</v>
      </c>
      <c r="D175" s="9" t="s">
        <v>1010</v>
      </c>
      <c r="E175" s="32">
        <f>자재단가대비표!O176</f>
        <v>34000</v>
      </c>
      <c r="F175" s="22" t="s">
        <v>2550</v>
      </c>
      <c r="G175" s="17" t="str">
        <f>"_x0007_`COD|M06773_x0005_`QTY1|1_x0005_`BQC|_x0005_`EQC|_x0005_`JDC|_x0005_`WQC|_x0005_`EDT|_x0005_`DET|"&amp;ROW(자재단가대비표!A176)&amp;"_x0005_`"</f>
        <v>_x0007_`COD|M06773_x0005_`QTY1|1_x0005_`BQC|_x0005_`EQC|_x0005_`JDC|_x0005_`WQC|_x0005_`EDT|_x0005_`DET|176_x0005_`</v>
      </c>
      <c r="H175" s="3" t="str">
        <f ca="1">HYPERLINK("#"&amp;자재단가대비표!R2&amp;"!A"&amp;ROW(자재단가대비표!A176),"자재172 →")</f>
        <v>자재172 →</v>
      </c>
    </row>
    <row r="176" spans="1:8" ht="17.45" customHeight="1" x14ac:dyDescent="0.3">
      <c r="A176" s="9" t="s">
        <v>2552</v>
      </c>
      <c r="B176" s="10" t="s">
        <v>2544</v>
      </c>
      <c r="C176" s="10" t="s">
        <v>358</v>
      </c>
      <c r="D176" s="9" t="s">
        <v>1010</v>
      </c>
      <c r="E176" s="32">
        <f>자재단가대비표!O177</f>
        <v>34000</v>
      </c>
      <c r="F176" s="22" t="s">
        <v>2552</v>
      </c>
      <c r="G176" s="17" t="str">
        <f>"_x0007_`COD|M06774_x0005_`QTY1|1_x0005_`BQC|_x0005_`EQC|_x0005_`JDC|_x0005_`WQC|_x0005_`EDT|_x0005_`DET|"&amp;ROW(자재단가대비표!A177)&amp;"_x0005_`"</f>
        <v>_x0007_`COD|M06774_x0005_`QTY1|1_x0005_`BQC|_x0005_`EQC|_x0005_`JDC|_x0005_`WQC|_x0005_`EDT|_x0005_`DET|177_x0005_`</v>
      </c>
      <c r="H176" s="3" t="str">
        <f ca="1">HYPERLINK("#"&amp;자재단가대비표!R2&amp;"!A"&amp;ROW(자재단가대비표!A177),"자재173 →")</f>
        <v>자재173 →</v>
      </c>
    </row>
    <row r="177" spans="1:8" ht="17.45" customHeight="1" x14ac:dyDescent="0.3">
      <c r="A177" s="9" t="s">
        <v>2554</v>
      </c>
      <c r="B177" s="10" t="s">
        <v>2544</v>
      </c>
      <c r="C177" s="10" t="s">
        <v>337</v>
      </c>
      <c r="D177" s="9" t="s">
        <v>1010</v>
      </c>
      <c r="E177" s="32">
        <f>자재단가대비표!O178</f>
        <v>26000</v>
      </c>
      <c r="F177" s="22" t="s">
        <v>2554</v>
      </c>
      <c r="G177" s="17" t="str">
        <f>"_x0007_`COD|M06767_x0005_`QTY1|1_x0005_`BQC|_x0005_`EQC|_x0005_`JDC|_x0005_`WQC|_x0005_`EDT|_x0005_`DET|"&amp;ROW(자재단가대비표!A178)&amp;"_x0005_`"</f>
        <v>_x0007_`COD|M06767_x0005_`QTY1|1_x0005_`BQC|_x0005_`EQC|_x0005_`JDC|_x0005_`WQC|_x0005_`EDT|_x0005_`DET|178_x0005_`</v>
      </c>
      <c r="H177" s="3" t="str">
        <f ca="1">HYPERLINK("#"&amp;자재단가대비표!R2&amp;"!A"&amp;ROW(자재단가대비표!A178),"자재174 →")</f>
        <v>자재174 →</v>
      </c>
    </row>
    <row r="178" spans="1:8" ht="17.45" customHeight="1" x14ac:dyDescent="0.3">
      <c r="A178" s="9" t="s">
        <v>2556</v>
      </c>
      <c r="B178" s="10" t="s">
        <v>2544</v>
      </c>
      <c r="C178" s="10" t="s">
        <v>361</v>
      </c>
      <c r="D178" s="9" t="s">
        <v>1010</v>
      </c>
      <c r="E178" s="32">
        <f>자재단가대비표!O179</f>
        <v>45000</v>
      </c>
      <c r="F178" s="22" t="s">
        <v>2556</v>
      </c>
      <c r="G178" s="17" t="str">
        <f>"_x0007_`COD|M06775_x0005_`QTY1|1_x0005_`BQC|_x0005_`EQC|_x0005_`JDC|_x0005_`WQC|_x0005_`EDT|_x0005_`DET|"&amp;ROW(자재단가대비표!A179)&amp;"_x0005_`"</f>
        <v>_x0007_`COD|M06775_x0005_`QTY1|1_x0005_`BQC|_x0005_`EQC|_x0005_`JDC|_x0005_`WQC|_x0005_`EDT|_x0005_`DET|179_x0005_`</v>
      </c>
      <c r="H178" s="3" t="str">
        <f ca="1">HYPERLINK("#"&amp;자재단가대비표!R2&amp;"!A"&amp;ROW(자재단가대비표!A179),"자재175 →")</f>
        <v>자재175 →</v>
      </c>
    </row>
    <row r="179" spans="1:8" ht="17.45" customHeight="1" x14ac:dyDescent="0.3">
      <c r="A179" s="9" t="s">
        <v>2558</v>
      </c>
      <c r="B179" s="10" t="s">
        <v>2544</v>
      </c>
      <c r="C179" s="10" t="s">
        <v>340</v>
      </c>
      <c r="D179" s="9" t="s">
        <v>1010</v>
      </c>
      <c r="E179" s="32">
        <f>자재단가대비표!O180</f>
        <v>26000</v>
      </c>
      <c r="F179" s="22" t="s">
        <v>2558</v>
      </c>
      <c r="G179" s="17" t="str">
        <f>"_x0007_`COD|M06768_x0005_`QTY1|1_x0005_`BQC|_x0005_`EQC|_x0005_`JDC|_x0005_`WQC|_x0005_`EDT|_x0005_`DET|"&amp;ROW(자재단가대비표!A180)&amp;"_x0005_`"</f>
        <v>_x0007_`COD|M06768_x0005_`QTY1|1_x0005_`BQC|_x0005_`EQC|_x0005_`JDC|_x0005_`WQC|_x0005_`EDT|_x0005_`DET|180_x0005_`</v>
      </c>
      <c r="H179" s="3" t="str">
        <f ca="1">HYPERLINK("#"&amp;자재단가대비표!R2&amp;"!A"&amp;ROW(자재단가대비표!A180),"자재176 →")</f>
        <v>자재176 →</v>
      </c>
    </row>
    <row r="180" spans="1:8" ht="17.45" customHeight="1" x14ac:dyDescent="0.3">
      <c r="A180" s="9" t="s">
        <v>2560</v>
      </c>
      <c r="B180" s="10" t="s">
        <v>2544</v>
      </c>
      <c r="C180" s="10" t="s">
        <v>364</v>
      </c>
      <c r="D180" s="9" t="s">
        <v>1010</v>
      </c>
      <c r="E180" s="32">
        <f>자재단가대비표!O181</f>
        <v>45000</v>
      </c>
      <c r="F180" s="22" t="s">
        <v>2560</v>
      </c>
      <c r="G180" s="17" t="str">
        <f>"_x0007_`COD|M06776_x0005_`QTY1|1_x0005_`BQC|_x0005_`EQC|_x0005_`JDC|_x0005_`WQC|_x0005_`EDT|_x0005_`DET|"&amp;ROW(자재단가대비표!A181)&amp;"_x0005_`"</f>
        <v>_x0007_`COD|M06776_x0005_`QTY1|1_x0005_`BQC|_x0005_`EQC|_x0005_`JDC|_x0005_`WQC|_x0005_`EDT|_x0005_`DET|181_x0005_`</v>
      </c>
      <c r="H180" s="3" t="str">
        <f ca="1">HYPERLINK("#"&amp;자재단가대비표!R2&amp;"!A"&amp;ROW(자재단가대비표!A181),"자재177 →")</f>
        <v>자재177 →</v>
      </c>
    </row>
    <row r="181" spans="1:8" ht="17.45" customHeight="1" x14ac:dyDescent="0.3">
      <c r="A181" s="9" t="s">
        <v>2562</v>
      </c>
      <c r="B181" s="10" t="s">
        <v>2544</v>
      </c>
      <c r="C181" s="10" t="s">
        <v>2563</v>
      </c>
      <c r="D181" s="9" t="s">
        <v>1010</v>
      </c>
      <c r="E181" s="32">
        <f>자재단가대비표!O182</f>
        <v>45000</v>
      </c>
      <c r="F181" s="22" t="s">
        <v>2562</v>
      </c>
      <c r="G181" s="17" t="str">
        <f>"_x0007_`COD|M06777_x0005_`QTY1|1_x0005_`BQC|_x0005_`EQC|_x0005_`JDC|_x0005_`WQC|_x0005_`EDT|_x0005_`DET|"&amp;ROW(자재단가대비표!A182)&amp;"_x0005_`"</f>
        <v>_x0007_`COD|M06777_x0005_`QTY1|1_x0005_`BQC|_x0005_`EQC|_x0005_`JDC|_x0005_`WQC|_x0005_`EDT|_x0005_`DET|182_x0005_`</v>
      </c>
      <c r="H181" s="3" t="str">
        <f ca="1">HYPERLINK("#"&amp;자재단가대비표!R2&amp;"!A"&amp;ROW(자재단가대비표!A182),"자재178 →")</f>
        <v>자재178 →</v>
      </c>
    </row>
    <row r="182" spans="1:8" ht="17.45" customHeight="1" x14ac:dyDescent="0.3">
      <c r="A182" s="9" t="s">
        <v>2565</v>
      </c>
      <c r="B182" s="10" t="s">
        <v>2544</v>
      </c>
      <c r="C182" s="10" t="s">
        <v>343</v>
      </c>
      <c r="D182" s="9" t="s">
        <v>1010</v>
      </c>
      <c r="E182" s="32">
        <f>자재단가대비표!O183</f>
        <v>26000</v>
      </c>
      <c r="F182" s="22" t="s">
        <v>2565</v>
      </c>
      <c r="G182" s="17" t="str">
        <f>"_x0007_`COD|M06769_x0005_`QTY1|1_x0005_`BQC|_x0005_`EQC|_x0005_`JDC|_x0005_`WQC|_x0005_`EDT|_x0005_`DET|"&amp;ROW(자재단가대비표!A183)&amp;"_x0005_`"</f>
        <v>_x0007_`COD|M06769_x0005_`QTY1|1_x0005_`BQC|_x0005_`EQC|_x0005_`JDC|_x0005_`WQC|_x0005_`EDT|_x0005_`DET|183_x0005_`</v>
      </c>
      <c r="H182" s="3" t="str">
        <f ca="1">HYPERLINK("#"&amp;자재단가대비표!R2&amp;"!A"&amp;ROW(자재단가대비표!A183),"자재179 →")</f>
        <v>자재179 →</v>
      </c>
    </row>
    <row r="183" spans="1:8" ht="17.45" customHeight="1" x14ac:dyDescent="0.3">
      <c r="A183" s="9" t="s">
        <v>2567</v>
      </c>
      <c r="B183" s="10" t="s">
        <v>2544</v>
      </c>
      <c r="C183" s="10" t="s">
        <v>2568</v>
      </c>
      <c r="D183" s="9" t="s">
        <v>1010</v>
      </c>
      <c r="E183" s="32">
        <f>자재단가대비표!O184</f>
        <v>45000</v>
      </c>
      <c r="F183" s="22" t="s">
        <v>2567</v>
      </c>
      <c r="G183" s="17" t="str">
        <f>"_x0007_`COD|M06778_x0005_`QTY1|1_x0005_`BQC|_x0005_`EQC|_x0005_`JDC|_x0005_`WQC|_x0005_`EDT|_x0005_`DET|"&amp;ROW(자재단가대비표!A184)&amp;"_x0005_`"</f>
        <v>_x0007_`COD|M06778_x0005_`QTY1|1_x0005_`BQC|_x0005_`EQC|_x0005_`JDC|_x0005_`WQC|_x0005_`EDT|_x0005_`DET|184_x0005_`</v>
      </c>
      <c r="H183" s="3" t="str">
        <f ca="1">HYPERLINK("#"&amp;자재단가대비표!R2&amp;"!A"&amp;ROW(자재단가대비표!A184),"자재180 →")</f>
        <v>자재180 →</v>
      </c>
    </row>
    <row r="184" spans="1:8" ht="17.45" customHeight="1" x14ac:dyDescent="0.3">
      <c r="A184" s="9" t="s">
        <v>2570</v>
      </c>
      <c r="B184" s="10" t="s">
        <v>2544</v>
      </c>
      <c r="C184" s="10" t="s">
        <v>346</v>
      </c>
      <c r="D184" s="9" t="s">
        <v>1010</v>
      </c>
      <c r="E184" s="32">
        <f>자재단가대비표!O185</f>
        <v>26000</v>
      </c>
      <c r="F184" s="22" t="s">
        <v>2570</v>
      </c>
      <c r="G184" s="17" t="str">
        <f>"_x0007_`COD|M06770_x0005_`QTY1|1_x0005_`BQC|_x0005_`EQC|_x0005_`JDC|_x0005_`WQC|_x0005_`EDT|_x0005_`DET|"&amp;ROW(자재단가대비표!A185)&amp;"_x0005_`"</f>
        <v>_x0007_`COD|M06770_x0005_`QTY1|1_x0005_`BQC|_x0005_`EQC|_x0005_`JDC|_x0005_`WQC|_x0005_`EDT|_x0005_`DET|185_x0005_`</v>
      </c>
      <c r="H184" s="3" t="str">
        <f ca="1">HYPERLINK("#"&amp;자재단가대비표!R2&amp;"!A"&amp;ROW(자재단가대비표!A185),"자재181 →")</f>
        <v>자재181 →</v>
      </c>
    </row>
    <row r="185" spans="1:8" ht="17.45" customHeight="1" x14ac:dyDescent="0.3">
      <c r="A185" s="9" t="s">
        <v>2572</v>
      </c>
      <c r="B185" s="10" t="s">
        <v>2573</v>
      </c>
      <c r="C185" s="10" t="s">
        <v>349</v>
      </c>
      <c r="D185" s="9" t="s">
        <v>1010</v>
      </c>
      <c r="E185" s="32">
        <f>자재단가대비표!O186</f>
        <v>414000</v>
      </c>
      <c r="F185" s="22" t="s">
        <v>2572</v>
      </c>
      <c r="G185" s="17" t="str">
        <f>"_x0007_`COD|M06758_x0005_`QTY1|1_x0005_`BQC|_x0005_`EQC|_x0005_`JDC|_x0005_`WQC|_x0005_`EDT|_x0005_`DET|"&amp;ROW(자재단가대비표!A186)&amp;"_x0005_`"</f>
        <v>_x0007_`COD|M06758_x0005_`QTY1|1_x0005_`BQC|_x0005_`EQC|_x0005_`JDC|_x0005_`WQC|_x0005_`EDT|_x0005_`DET|186_x0005_`</v>
      </c>
      <c r="H185" s="3" t="str">
        <f ca="1">HYPERLINK("#"&amp;자재단가대비표!R2&amp;"!A"&amp;ROW(자재단가대비표!A186),"자재182 →")</f>
        <v>자재182 →</v>
      </c>
    </row>
    <row r="186" spans="1:8" ht="17.45" customHeight="1" x14ac:dyDescent="0.3">
      <c r="A186" s="9" t="s">
        <v>2575</v>
      </c>
      <c r="B186" s="10" t="s">
        <v>2573</v>
      </c>
      <c r="C186" s="10" t="s">
        <v>373</v>
      </c>
      <c r="D186" s="9" t="s">
        <v>1010</v>
      </c>
      <c r="E186" s="32">
        <f>자재단가대비표!O187</f>
        <v>4477000</v>
      </c>
      <c r="F186" s="22" t="s">
        <v>2575</v>
      </c>
      <c r="G186" s="17" t="str">
        <f>"_x0007_`COD|M06766_x0005_`QTY1|1_x0005_`BQC|_x0005_`EQC|_x0005_`JDC|_x0005_`WQC|_x0005_`EDT|_x0005_`DET|"&amp;ROW(자재단가대비표!A187)&amp;"_x0005_`"</f>
        <v>_x0007_`COD|M06766_x0005_`QTY1|1_x0005_`BQC|_x0005_`EQC|_x0005_`JDC|_x0005_`WQC|_x0005_`EDT|_x0005_`DET|187_x0005_`</v>
      </c>
      <c r="H186" s="3" t="str">
        <f ca="1">HYPERLINK("#"&amp;자재단가대비표!R2&amp;"!A"&amp;ROW(자재단가대비표!A187),"자재183 →")</f>
        <v>자재183 →</v>
      </c>
    </row>
    <row r="187" spans="1:8" ht="17.45" customHeight="1" x14ac:dyDescent="0.3">
      <c r="A187" s="9" t="s">
        <v>2577</v>
      </c>
      <c r="B187" s="10" t="s">
        <v>2573</v>
      </c>
      <c r="C187" s="10" t="s">
        <v>352</v>
      </c>
      <c r="D187" s="9" t="s">
        <v>1010</v>
      </c>
      <c r="E187" s="32">
        <f>자재단가대비표!O188</f>
        <v>414000</v>
      </c>
      <c r="F187" s="22" t="s">
        <v>2577</v>
      </c>
      <c r="G187" s="17" t="str">
        <f>"_x0007_`COD|M06759_x0005_`QTY1|1_x0005_`BQC|_x0005_`EQC|_x0005_`JDC|_x0005_`WQC|_x0005_`EDT|_x0005_`DET|"&amp;ROW(자재단가대비표!A188)&amp;"_x0005_`"</f>
        <v>_x0007_`COD|M06759_x0005_`QTY1|1_x0005_`BQC|_x0005_`EQC|_x0005_`JDC|_x0005_`WQC|_x0005_`EDT|_x0005_`DET|188_x0005_`</v>
      </c>
      <c r="H187" s="3" t="str">
        <f ca="1">HYPERLINK("#"&amp;자재단가대비표!R2&amp;"!A"&amp;ROW(자재단가대비표!A188),"자재184 →")</f>
        <v>자재184 →</v>
      </c>
    </row>
    <row r="188" spans="1:8" ht="17.45" customHeight="1" x14ac:dyDescent="0.3">
      <c r="A188" s="9" t="s">
        <v>2579</v>
      </c>
      <c r="B188" s="10" t="s">
        <v>2573</v>
      </c>
      <c r="C188" s="10" t="s">
        <v>355</v>
      </c>
      <c r="D188" s="9" t="s">
        <v>1010</v>
      </c>
      <c r="E188" s="32">
        <f>자재단가대비표!O189</f>
        <v>414000</v>
      </c>
      <c r="F188" s="22" t="s">
        <v>2579</v>
      </c>
      <c r="G188" s="17" t="str">
        <f>"_x0007_`COD|M06760_x0005_`QTY1|1_x0005_`BQC|_x0005_`EQC|_x0005_`JDC|_x0005_`WQC|_x0005_`EDT|_x0005_`DET|"&amp;ROW(자재단가대비표!A189)&amp;"_x0005_`"</f>
        <v>_x0007_`COD|M06760_x0005_`QTY1|1_x0005_`BQC|_x0005_`EQC|_x0005_`JDC|_x0005_`WQC|_x0005_`EDT|_x0005_`DET|189_x0005_`</v>
      </c>
      <c r="H188" s="3" t="str">
        <f ca="1">HYPERLINK("#"&amp;자재단가대비표!R2&amp;"!A"&amp;ROW(자재단가대비표!A189),"자재185 →")</f>
        <v>자재185 →</v>
      </c>
    </row>
    <row r="189" spans="1:8" ht="17.45" customHeight="1" x14ac:dyDescent="0.3">
      <c r="A189" s="9" t="s">
        <v>2581</v>
      </c>
      <c r="B189" s="10" t="s">
        <v>2573</v>
      </c>
      <c r="C189" s="10" t="s">
        <v>358</v>
      </c>
      <c r="D189" s="9" t="s">
        <v>1010</v>
      </c>
      <c r="E189" s="32">
        <f>자재단가대비표!O190</f>
        <v>414000</v>
      </c>
      <c r="F189" s="22" t="s">
        <v>2581</v>
      </c>
      <c r="G189" s="17" t="str">
        <f>"_x0007_`COD|M06761_x0005_`QTY1|1_x0005_`BQC|_x0005_`EQC|_x0005_`JDC|_x0005_`WQC|_x0005_`EDT|_x0005_`DET|"&amp;ROW(자재단가대비표!A190)&amp;"_x0005_`"</f>
        <v>_x0007_`COD|M06761_x0005_`QTY1|1_x0005_`BQC|_x0005_`EQC|_x0005_`JDC|_x0005_`WQC|_x0005_`EDT|_x0005_`DET|190_x0005_`</v>
      </c>
      <c r="H189" s="3" t="str">
        <f ca="1">HYPERLINK("#"&amp;자재단가대비표!R2&amp;"!A"&amp;ROW(자재단가대비표!A190),"자재186 →")</f>
        <v>자재186 →</v>
      </c>
    </row>
    <row r="190" spans="1:8" ht="17.45" customHeight="1" x14ac:dyDescent="0.3">
      <c r="A190" s="9" t="s">
        <v>2583</v>
      </c>
      <c r="B190" s="10" t="s">
        <v>2573</v>
      </c>
      <c r="C190" s="10" t="s">
        <v>337</v>
      </c>
      <c r="D190" s="9" t="s">
        <v>1010</v>
      </c>
      <c r="E190" s="32">
        <f>자재단가대비표!O191</f>
        <v>110000</v>
      </c>
      <c r="F190" s="22" t="s">
        <v>2583</v>
      </c>
      <c r="G190" s="17" t="str">
        <f>"_x0007_`COD|M06754_x0005_`QTY1|1_x0005_`BQC|_x0005_`EQC|_x0005_`JDC|_x0005_`WQC|_x0005_`EDT|_x0005_`DET|"&amp;ROW(자재단가대비표!A191)&amp;"_x0005_`"</f>
        <v>_x0007_`COD|M06754_x0005_`QTY1|1_x0005_`BQC|_x0005_`EQC|_x0005_`JDC|_x0005_`WQC|_x0005_`EDT|_x0005_`DET|191_x0005_`</v>
      </c>
      <c r="H190" s="3" t="str">
        <f ca="1">HYPERLINK("#"&amp;자재단가대비표!R2&amp;"!A"&amp;ROW(자재단가대비표!A191),"자재187 →")</f>
        <v>자재187 →</v>
      </c>
    </row>
    <row r="191" spans="1:8" ht="17.45" customHeight="1" x14ac:dyDescent="0.3">
      <c r="A191" s="9" t="s">
        <v>2585</v>
      </c>
      <c r="B191" s="10" t="s">
        <v>2573</v>
      </c>
      <c r="C191" s="10" t="s">
        <v>361</v>
      </c>
      <c r="D191" s="9" t="s">
        <v>1010</v>
      </c>
      <c r="E191" s="32">
        <f>자재단가대비표!O192</f>
        <v>908000</v>
      </c>
      <c r="F191" s="22" t="s">
        <v>2585</v>
      </c>
      <c r="G191" s="17" t="str">
        <f>"_x0007_`COD|M06762_x0005_`QTY1|1_x0005_`BQC|_x0005_`EQC|_x0005_`JDC|_x0005_`WQC|_x0005_`EDT|_x0005_`DET|"&amp;ROW(자재단가대비표!A192)&amp;"_x0005_`"</f>
        <v>_x0007_`COD|M06762_x0005_`QTY1|1_x0005_`BQC|_x0005_`EQC|_x0005_`JDC|_x0005_`WQC|_x0005_`EDT|_x0005_`DET|192_x0005_`</v>
      </c>
      <c r="H191" s="3" t="str">
        <f ca="1">HYPERLINK("#"&amp;자재단가대비표!R2&amp;"!A"&amp;ROW(자재단가대비표!A192),"자재188 →")</f>
        <v>자재188 →</v>
      </c>
    </row>
    <row r="192" spans="1:8" ht="17.45" customHeight="1" x14ac:dyDescent="0.3">
      <c r="A192" s="9" t="s">
        <v>2587</v>
      </c>
      <c r="B192" s="10" t="s">
        <v>2573</v>
      </c>
      <c r="C192" s="10" t="s">
        <v>340</v>
      </c>
      <c r="D192" s="9" t="s">
        <v>1010</v>
      </c>
      <c r="E192" s="32">
        <f>자재단가대비표!O193</f>
        <v>110000</v>
      </c>
      <c r="F192" s="22" t="s">
        <v>2587</v>
      </c>
      <c r="G192" s="17" t="str">
        <f>"_x0007_`COD|M06755_x0005_`QTY1|1_x0005_`BQC|_x0005_`EQC|_x0005_`JDC|_x0005_`WQC|_x0005_`EDT|_x0005_`DET|"&amp;ROW(자재단가대비표!A193)&amp;"_x0005_`"</f>
        <v>_x0007_`COD|M06755_x0005_`QTY1|1_x0005_`BQC|_x0005_`EQC|_x0005_`JDC|_x0005_`WQC|_x0005_`EDT|_x0005_`DET|193_x0005_`</v>
      </c>
      <c r="H192" s="3" t="str">
        <f ca="1">HYPERLINK("#"&amp;자재단가대비표!R2&amp;"!A"&amp;ROW(자재단가대비표!A193),"자재189 →")</f>
        <v>자재189 →</v>
      </c>
    </row>
    <row r="193" spans="1:8" ht="17.45" customHeight="1" x14ac:dyDescent="0.3">
      <c r="A193" s="9" t="s">
        <v>2589</v>
      </c>
      <c r="B193" s="10" t="s">
        <v>2573</v>
      </c>
      <c r="C193" s="10" t="s">
        <v>364</v>
      </c>
      <c r="D193" s="9" t="s">
        <v>1010</v>
      </c>
      <c r="E193" s="32">
        <f>자재단가대비표!O194</f>
        <v>908000</v>
      </c>
      <c r="F193" s="22" t="s">
        <v>2589</v>
      </c>
      <c r="G193" s="17" t="str">
        <f>"_x0007_`COD|M06763_x0005_`QTY1|1_x0005_`BQC|_x0005_`EQC|_x0005_`JDC|_x0005_`WQC|_x0005_`EDT|_x0005_`DET|"&amp;ROW(자재단가대비표!A194)&amp;"_x0005_`"</f>
        <v>_x0007_`COD|M06763_x0005_`QTY1|1_x0005_`BQC|_x0005_`EQC|_x0005_`JDC|_x0005_`WQC|_x0005_`EDT|_x0005_`DET|194_x0005_`</v>
      </c>
      <c r="H193" s="3" t="str">
        <f ca="1">HYPERLINK("#"&amp;자재단가대비표!R2&amp;"!A"&amp;ROW(자재단가대비표!A194),"자재190 →")</f>
        <v>자재190 →</v>
      </c>
    </row>
    <row r="194" spans="1:8" ht="17.45" customHeight="1" x14ac:dyDescent="0.3">
      <c r="A194" s="9" t="s">
        <v>2591</v>
      </c>
      <c r="B194" s="10" t="s">
        <v>2573</v>
      </c>
      <c r="C194" s="10" t="s">
        <v>2563</v>
      </c>
      <c r="D194" s="9" t="s">
        <v>1010</v>
      </c>
      <c r="E194" s="32">
        <f>자재단가대비표!O195</f>
        <v>908000</v>
      </c>
      <c r="F194" s="22" t="s">
        <v>2591</v>
      </c>
      <c r="G194" s="17" t="str">
        <f>"_x0007_`COD|M06764_x0005_`QTY1|1_x0005_`BQC|_x0005_`EQC|_x0005_`JDC|_x0005_`WQC|_x0005_`EDT|_x0005_`DET|"&amp;ROW(자재단가대비표!A195)&amp;"_x0005_`"</f>
        <v>_x0007_`COD|M06764_x0005_`QTY1|1_x0005_`BQC|_x0005_`EQC|_x0005_`JDC|_x0005_`WQC|_x0005_`EDT|_x0005_`DET|195_x0005_`</v>
      </c>
      <c r="H194" s="3" t="str">
        <f ca="1">HYPERLINK("#"&amp;자재단가대비표!R2&amp;"!A"&amp;ROW(자재단가대비표!A195),"자재191 →")</f>
        <v>자재191 →</v>
      </c>
    </row>
    <row r="195" spans="1:8" ht="17.45" customHeight="1" x14ac:dyDescent="0.3">
      <c r="A195" s="9" t="s">
        <v>2593</v>
      </c>
      <c r="B195" s="10" t="s">
        <v>2573</v>
      </c>
      <c r="C195" s="10" t="s">
        <v>343</v>
      </c>
      <c r="D195" s="9" t="s">
        <v>1010</v>
      </c>
      <c r="E195" s="32">
        <f>자재단가대비표!O196</f>
        <v>110000</v>
      </c>
      <c r="F195" s="22" t="s">
        <v>2593</v>
      </c>
      <c r="G195" s="17" t="str">
        <f>"_x0007_`COD|M06756_x0005_`QTY1|1_x0005_`BQC|_x0005_`EQC|_x0005_`JDC|_x0005_`WQC|_x0005_`EDT|_x0005_`DET|"&amp;ROW(자재단가대비표!A196)&amp;"_x0005_`"</f>
        <v>_x0007_`COD|M06756_x0005_`QTY1|1_x0005_`BQC|_x0005_`EQC|_x0005_`JDC|_x0005_`WQC|_x0005_`EDT|_x0005_`DET|196_x0005_`</v>
      </c>
      <c r="H195" s="3" t="str">
        <f ca="1">HYPERLINK("#"&amp;자재단가대비표!R2&amp;"!A"&amp;ROW(자재단가대비표!A196),"자재192 →")</f>
        <v>자재192 →</v>
      </c>
    </row>
    <row r="196" spans="1:8" ht="17.45" customHeight="1" x14ac:dyDescent="0.3">
      <c r="A196" s="9" t="s">
        <v>2595</v>
      </c>
      <c r="B196" s="10" t="s">
        <v>2573</v>
      </c>
      <c r="C196" s="10" t="s">
        <v>2568</v>
      </c>
      <c r="D196" s="9" t="s">
        <v>1010</v>
      </c>
      <c r="E196" s="32">
        <f>자재단가대비표!O197</f>
        <v>2021000</v>
      </c>
      <c r="F196" s="22" t="s">
        <v>2595</v>
      </c>
      <c r="G196" s="17" t="str">
        <f>"_x0007_`COD|M06765_x0005_`QTY1|1_x0005_`BQC|_x0005_`EQC|_x0005_`JDC|_x0005_`WQC|_x0005_`EDT|_x0005_`DET|"&amp;ROW(자재단가대비표!A197)&amp;"_x0005_`"</f>
        <v>_x0007_`COD|M06765_x0005_`QTY1|1_x0005_`BQC|_x0005_`EQC|_x0005_`JDC|_x0005_`WQC|_x0005_`EDT|_x0005_`DET|197_x0005_`</v>
      </c>
      <c r="H196" s="3" t="str">
        <f ca="1">HYPERLINK("#"&amp;자재단가대비표!R2&amp;"!A"&amp;ROW(자재단가대비표!A197),"자재193 →")</f>
        <v>자재193 →</v>
      </c>
    </row>
    <row r="197" spans="1:8" ht="17.45" customHeight="1" x14ac:dyDescent="0.3">
      <c r="A197" s="9" t="s">
        <v>2597</v>
      </c>
      <c r="B197" s="10" t="s">
        <v>2573</v>
      </c>
      <c r="C197" s="10" t="s">
        <v>346</v>
      </c>
      <c r="D197" s="9" t="s">
        <v>1010</v>
      </c>
      <c r="E197" s="32">
        <f>자재단가대비표!O198</f>
        <v>110000</v>
      </c>
      <c r="F197" s="22" t="s">
        <v>2597</v>
      </c>
      <c r="G197" s="17" t="str">
        <f>"_x0007_`COD|M06757_x0005_`QTY1|1_x0005_`BQC|_x0005_`EQC|_x0005_`JDC|_x0005_`WQC|_x0005_`EDT|_x0005_`DET|"&amp;ROW(자재단가대비표!A198)&amp;"_x0005_`"</f>
        <v>_x0007_`COD|M06757_x0005_`QTY1|1_x0005_`BQC|_x0005_`EQC|_x0005_`JDC|_x0005_`WQC|_x0005_`EDT|_x0005_`DET|198_x0005_`</v>
      </c>
      <c r="H197" s="3" t="str">
        <f ca="1">HYPERLINK("#"&amp;자재단가대비표!R2&amp;"!A"&amp;ROW(자재단가대비표!A198),"자재194 →")</f>
        <v>자재194 →</v>
      </c>
    </row>
    <row r="198" spans="1:8" ht="17.45" customHeight="1" x14ac:dyDescent="0.3">
      <c r="A198" s="9" t="s">
        <v>2599</v>
      </c>
      <c r="B198" s="10" t="s">
        <v>2600</v>
      </c>
      <c r="C198" s="10" t="s">
        <v>349</v>
      </c>
      <c r="D198" s="9" t="s">
        <v>1010</v>
      </c>
      <c r="E198" s="32">
        <f>자재단가대비표!O199</f>
        <v>102000</v>
      </c>
      <c r="F198" s="22" t="s">
        <v>2599</v>
      </c>
      <c r="G198" s="17" t="str">
        <f>"_x0007_`COD|M06745_x0005_`QTY1|1_x0005_`BQC|_x0005_`EQC|_x0005_`JDC|_x0005_`WQC|_x0005_`EDT|_x0005_`DET|"&amp;ROW(자재단가대비표!A199)&amp;"_x0005_`"</f>
        <v>_x0007_`COD|M06745_x0005_`QTY1|1_x0005_`BQC|_x0005_`EQC|_x0005_`JDC|_x0005_`WQC|_x0005_`EDT|_x0005_`DET|199_x0005_`</v>
      </c>
      <c r="H198" s="3" t="str">
        <f ca="1">HYPERLINK("#"&amp;자재단가대비표!R2&amp;"!A"&amp;ROW(자재단가대비표!A199),"자재195 →")</f>
        <v>자재195 →</v>
      </c>
    </row>
    <row r="199" spans="1:8" ht="17.45" customHeight="1" x14ac:dyDescent="0.3">
      <c r="A199" s="9" t="s">
        <v>2602</v>
      </c>
      <c r="B199" s="10" t="s">
        <v>2600</v>
      </c>
      <c r="C199" s="10" t="s">
        <v>373</v>
      </c>
      <c r="D199" s="9" t="s">
        <v>1010</v>
      </c>
      <c r="E199" s="32">
        <f>자재단가대비표!O200</f>
        <v>589000</v>
      </c>
      <c r="F199" s="22" t="s">
        <v>2602</v>
      </c>
      <c r="G199" s="17" t="str">
        <f>"_x0007_`COD|M06753_x0005_`QTY1|1_x0005_`BQC|_x0005_`EQC|_x0005_`JDC|_x0005_`WQC|_x0005_`EDT|_x0005_`DET|"&amp;ROW(자재단가대비표!A200)&amp;"_x0005_`"</f>
        <v>_x0007_`COD|M06753_x0005_`QTY1|1_x0005_`BQC|_x0005_`EQC|_x0005_`JDC|_x0005_`WQC|_x0005_`EDT|_x0005_`DET|200_x0005_`</v>
      </c>
      <c r="H199" s="3" t="str">
        <f ca="1">HYPERLINK("#"&amp;자재단가대비표!R2&amp;"!A"&amp;ROW(자재단가대비표!A200),"자재196 →")</f>
        <v>자재196 →</v>
      </c>
    </row>
    <row r="200" spans="1:8" ht="17.45" customHeight="1" x14ac:dyDescent="0.3">
      <c r="A200" s="9" t="s">
        <v>2604</v>
      </c>
      <c r="B200" s="10" t="s">
        <v>2600</v>
      </c>
      <c r="C200" s="10" t="s">
        <v>352</v>
      </c>
      <c r="D200" s="9" t="s">
        <v>1010</v>
      </c>
      <c r="E200" s="32">
        <f>자재단가대비표!O201</f>
        <v>102000</v>
      </c>
      <c r="F200" s="22" t="s">
        <v>2604</v>
      </c>
      <c r="G200" s="17" t="str">
        <f>"_x0007_`COD|M06746_x0005_`QTY1|1_x0005_`BQC|_x0005_`EQC|_x0005_`JDC|_x0005_`WQC|_x0005_`EDT|_x0005_`DET|"&amp;ROW(자재단가대비표!A201)&amp;"_x0005_`"</f>
        <v>_x0007_`COD|M06746_x0005_`QTY1|1_x0005_`BQC|_x0005_`EQC|_x0005_`JDC|_x0005_`WQC|_x0005_`EDT|_x0005_`DET|201_x0005_`</v>
      </c>
      <c r="H200" s="3" t="str">
        <f ca="1">HYPERLINK("#"&amp;자재단가대비표!R2&amp;"!A"&amp;ROW(자재단가대비표!A201),"자재197 →")</f>
        <v>자재197 →</v>
      </c>
    </row>
    <row r="201" spans="1:8" ht="17.45" customHeight="1" x14ac:dyDescent="0.3">
      <c r="A201" s="9" t="s">
        <v>2606</v>
      </c>
      <c r="B201" s="10" t="s">
        <v>2600</v>
      </c>
      <c r="C201" s="10" t="s">
        <v>355</v>
      </c>
      <c r="D201" s="9" t="s">
        <v>1010</v>
      </c>
      <c r="E201" s="32">
        <f>자재단가대비표!O202</f>
        <v>102000</v>
      </c>
      <c r="F201" s="22" t="s">
        <v>2606</v>
      </c>
      <c r="G201" s="17" t="str">
        <f>"_x0007_`COD|M06747_x0005_`QTY1|1_x0005_`BQC|_x0005_`EQC|_x0005_`JDC|_x0005_`WQC|_x0005_`EDT|_x0005_`DET|"&amp;ROW(자재단가대비표!A202)&amp;"_x0005_`"</f>
        <v>_x0007_`COD|M06747_x0005_`QTY1|1_x0005_`BQC|_x0005_`EQC|_x0005_`JDC|_x0005_`WQC|_x0005_`EDT|_x0005_`DET|202_x0005_`</v>
      </c>
      <c r="H201" s="3" t="str">
        <f ca="1">HYPERLINK("#"&amp;자재단가대비표!R2&amp;"!A"&amp;ROW(자재단가대비표!A202),"자재198 →")</f>
        <v>자재198 →</v>
      </c>
    </row>
    <row r="202" spans="1:8" ht="17.45" customHeight="1" x14ac:dyDescent="0.3">
      <c r="A202" s="9" t="s">
        <v>2608</v>
      </c>
      <c r="B202" s="10" t="s">
        <v>2600</v>
      </c>
      <c r="C202" s="10" t="s">
        <v>358</v>
      </c>
      <c r="D202" s="9" t="s">
        <v>1010</v>
      </c>
      <c r="E202" s="32">
        <f>자재단가대비표!O203</f>
        <v>102000</v>
      </c>
      <c r="F202" s="22" t="s">
        <v>2608</v>
      </c>
      <c r="G202" s="17" t="str">
        <f>"_x0007_`COD|M06748_x0005_`QTY1|1_x0005_`BQC|_x0005_`EQC|_x0005_`JDC|_x0005_`WQC|_x0005_`EDT|_x0005_`DET|"&amp;ROW(자재단가대비표!A203)&amp;"_x0005_`"</f>
        <v>_x0007_`COD|M06748_x0005_`QTY1|1_x0005_`BQC|_x0005_`EQC|_x0005_`JDC|_x0005_`WQC|_x0005_`EDT|_x0005_`DET|203_x0005_`</v>
      </c>
      <c r="H202" s="3" t="str">
        <f ca="1">HYPERLINK("#"&amp;자재단가대비표!R2&amp;"!A"&amp;ROW(자재단가대비표!A203),"자재199 →")</f>
        <v>자재199 →</v>
      </c>
    </row>
    <row r="203" spans="1:8" ht="17.45" customHeight="1" x14ac:dyDescent="0.3">
      <c r="A203" s="9" t="s">
        <v>2610</v>
      </c>
      <c r="B203" s="10" t="s">
        <v>2600</v>
      </c>
      <c r="C203" s="10" t="s">
        <v>337</v>
      </c>
      <c r="D203" s="9" t="s">
        <v>1010</v>
      </c>
      <c r="E203" s="32">
        <f>자재단가대비표!O204</f>
        <v>52000</v>
      </c>
      <c r="F203" s="22" t="s">
        <v>2610</v>
      </c>
      <c r="G203" s="17" t="str">
        <f>"_x0007_`COD|M06741_x0005_`QTY1|1_x0005_`BQC|_x0005_`EQC|_x0005_`JDC|_x0005_`WQC|_x0005_`EDT|_x0005_`DET|"&amp;ROW(자재단가대비표!A204)&amp;"_x0005_`"</f>
        <v>_x0007_`COD|M06741_x0005_`QTY1|1_x0005_`BQC|_x0005_`EQC|_x0005_`JDC|_x0005_`WQC|_x0005_`EDT|_x0005_`DET|204_x0005_`</v>
      </c>
      <c r="H203" s="3" t="str">
        <f ca="1">HYPERLINK("#"&amp;자재단가대비표!R2&amp;"!A"&amp;ROW(자재단가대비표!A204),"자재200 →")</f>
        <v>자재200 →</v>
      </c>
    </row>
    <row r="204" spans="1:8" ht="17.45" customHeight="1" x14ac:dyDescent="0.3">
      <c r="A204" s="9" t="s">
        <v>2612</v>
      </c>
      <c r="B204" s="10" t="s">
        <v>2600</v>
      </c>
      <c r="C204" s="10" t="s">
        <v>361</v>
      </c>
      <c r="D204" s="9" t="s">
        <v>1010</v>
      </c>
      <c r="E204" s="32">
        <f>자재단가대비표!O205</f>
        <v>163000</v>
      </c>
      <c r="F204" s="22" t="s">
        <v>2612</v>
      </c>
      <c r="G204" s="17" t="str">
        <f>"_x0007_`COD|M06749_x0005_`QTY1|1_x0005_`BQC|_x0005_`EQC|_x0005_`JDC|_x0005_`WQC|_x0005_`EDT|_x0005_`DET|"&amp;ROW(자재단가대비표!A205)&amp;"_x0005_`"</f>
        <v>_x0007_`COD|M06749_x0005_`QTY1|1_x0005_`BQC|_x0005_`EQC|_x0005_`JDC|_x0005_`WQC|_x0005_`EDT|_x0005_`DET|205_x0005_`</v>
      </c>
      <c r="H204" s="3" t="str">
        <f ca="1">HYPERLINK("#"&amp;자재단가대비표!R2&amp;"!A"&amp;ROW(자재단가대비표!A205),"자재201 →")</f>
        <v>자재201 →</v>
      </c>
    </row>
    <row r="205" spans="1:8" ht="17.45" customHeight="1" x14ac:dyDescent="0.3">
      <c r="A205" s="9" t="s">
        <v>2614</v>
      </c>
      <c r="B205" s="10" t="s">
        <v>2600</v>
      </c>
      <c r="C205" s="10" t="s">
        <v>340</v>
      </c>
      <c r="D205" s="9" t="s">
        <v>1010</v>
      </c>
      <c r="E205" s="32">
        <f>자재단가대비표!O206</f>
        <v>52000</v>
      </c>
      <c r="F205" s="22" t="s">
        <v>2614</v>
      </c>
      <c r="G205" s="17" t="str">
        <f>"_x0007_`COD|M06742_x0005_`QTY1|1_x0005_`BQC|_x0005_`EQC|_x0005_`JDC|_x0005_`WQC|_x0005_`EDT|_x0005_`DET|"&amp;ROW(자재단가대비표!A206)&amp;"_x0005_`"</f>
        <v>_x0007_`COD|M06742_x0005_`QTY1|1_x0005_`BQC|_x0005_`EQC|_x0005_`JDC|_x0005_`WQC|_x0005_`EDT|_x0005_`DET|206_x0005_`</v>
      </c>
      <c r="H205" s="3" t="str">
        <f ca="1">HYPERLINK("#"&amp;자재단가대비표!R2&amp;"!A"&amp;ROW(자재단가대비표!A206),"자재202 →")</f>
        <v>자재202 →</v>
      </c>
    </row>
    <row r="206" spans="1:8" ht="17.45" customHeight="1" x14ac:dyDescent="0.3">
      <c r="A206" s="9" t="s">
        <v>2616</v>
      </c>
      <c r="B206" s="10" t="s">
        <v>2600</v>
      </c>
      <c r="C206" s="10" t="s">
        <v>364</v>
      </c>
      <c r="D206" s="9" t="s">
        <v>1010</v>
      </c>
      <c r="E206" s="32">
        <f>자재단가대비표!O207</f>
        <v>163000</v>
      </c>
      <c r="F206" s="22" t="s">
        <v>2616</v>
      </c>
      <c r="G206" s="17" t="str">
        <f>"_x0007_`COD|M06750_x0005_`QTY1|1_x0005_`BQC|_x0005_`EQC|_x0005_`JDC|_x0005_`WQC|_x0005_`EDT|_x0005_`DET|"&amp;ROW(자재단가대비표!A207)&amp;"_x0005_`"</f>
        <v>_x0007_`COD|M06750_x0005_`QTY1|1_x0005_`BQC|_x0005_`EQC|_x0005_`JDC|_x0005_`WQC|_x0005_`EDT|_x0005_`DET|207_x0005_`</v>
      </c>
      <c r="H206" s="3" t="str">
        <f ca="1">HYPERLINK("#"&amp;자재단가대비표!R2&amp;"!A"&amp;ROW(자재단가대비표!A207),"자재203 →")</f>
        <v>자재203 →</v>
      </c>
    </row>
    <row r="207" spans="1:8" ht="17.45" customHeight="1" x14ac:dyDescent="0.3">
      <c r="A207" s="9" t="s">
        <v>2618</v>
      </c>
      <c r="B207" s="10" t="s">
        <v>2600</v>
      </c>
      <c r="C207" s="10" t="s">
        <v>2563</v>
      </c>
      <c r="D207" s="9" t="s">
        <v>1010</v>
      </c>
      <c r="E207" s="32">
        <f>자재단가대비표!O208</f>
        <v>163000</v>
      </c>
      <c r="F207" s="22" t="s">
        <v>2618</v>
      </c>
      <c r="G207" s="17" t="str">
        <f>"_x0007_`COD|M06751_x0005_`QTY1|1_x0005_`BQC|_x0005_`EQC|_x0005_`JDC|_x0005_`WQC|_x0005_`EDT|_x0005_`DET|"&amp;ROW(자재단가대비표!A208)&amp;"_x0005_`"</f>
        <v>_x0007_`COD|M06751_x0005_`QTY1|1_x0005_`BQC|_x0005_`EQC|_x0005_`JDC|_x0005_`WQC|_x0005_`EDT|_x0005_`DET|208_x0005_`</v>
      </c>
      <c r="H207" s="3" t="str">
        <f ca="1">HYPERLINK("#"&amp;자재단가대비표!R2&amp;"!A"&amp;ROW(자재단가대비표!A208),"자재204 →")</f>
        <v>자재204 →</v>
      </c>
    </row>
    <row r="208" spans="1:8" ht="17.45" customHeight="1" x14ac:dyDescent="0.3">
      <c r="A208" s="9" t="s">
        <v>2620</v>
      </c>
      <c r="B208" s="10" t="s">
        <v>2600</v>
      </c>
      <c r="C208" s="10" t="s">
        <v>343</v>
      </c>
      <c r="D208" s="9" t="s">
        <v>1010</v>
      </c>
      <c r="E208" s="32">
        <f>자재단가대비표!O209</f>
        <v>52000</v>
      </c>
      <c r="F208" s="22" t="s">
        <v>2620</v>
      </c>
      <c r="G208" s="17" t="str">
        <f>"_x0007_`COD|M06743_x0005_`QTY1|1_x0005_`BQC|_x0005_`EQC|_x0005_`JDC|_x0005_`WQC|_x0005_`EDT|_x0005_`DET|"&amp;ROW(자재단가대비표!A209)&amp;"_x0005_`"</f>
        <v>_x0007_`COD|M06743_x0005_`QTY1|1_x0005_`BQC|_x0005_`EQC|_x0005_`JDC|_x0005_`WQC|_x0005_`EDT|_x0005_`DET|209_x0005_`</v>
      </c>
      <c r="H208" s="3" t="str">
        <f ca="1">HYPERLINK("#"&amp;자재단가대비표!R2&amp;"!A"&amp;ROW(자재단가대비표!A209),"자재205 →")</f>
        <v>자재205 →</v>
      </c>
    </row>
    <row r="209" spans="1:8" ht="17.45" customHeight="1" x14ac:dyDescent="0.3">
      <c r="A209" s="9" t="s">
        <v>2622</v>
      </c>
      <c r="B209" s="10" t="s">
        <v>2600</v>
      </c>
      <c r="C209" s="10" t="s">
        <v>2568</v>
      </c>
      <c r="D209" s="9" t="s">
        <v>1010</v>
      </c>
      <c r="E209" s="32">
        <f>자재단가대비표!O210</f>
        <v>163000</v>
      </c>
      <c r="F209" s="22" t="s">
        <v>2622</v>
      </c>
      <c r="G209" s="17" t="str">
        <f>"_x0007_`COD|M06752_x0005_`QTY1|1_x0005_`BQC|_x0005_`EQC|_x0005_`JDC|_x0005_`WQC|_x0005_`EDT|_x0005_`DET|"&amp;ROW(자재단가대비표!A210)&amp;"_x0005_`"</f>
        <v>_x0007_`COD|M06752_x0005_`QTY1|1_x0005_`BQC|_x0005_`EQC|_x0005_`JDC|_x0005_`WQC|_x0005_`EDT|_x0005_`DET|210_x0005_`</v>
      </c>
      <c r="H209" s="3" t="str">
        <f ca="1">HYPERLINK("#"&amp;자재단가대비표!R2&amp;"!A"&amp;ROW(자재단가대비표!A210),"자재206 →")</f>
        <v>자재206 →</v>
      </c>
    </row>
    <row r="210" spans="1:8" ht="17.45" customHeight="1" x14ac:dyDescent="0.3">
      <c r="A210" s="9" t="s">
        <v>2624</v>
      </c>
      <c r="B210" s="10" t="s">
        <v>2600</v>
      </c>
      <c r="C210" s="10" t="s">
        <v>346</v>
      </c>
      <c r="D210" s="9" t="s">
        <v>1010</v>
      </c>
      <c r="E210" s="32">
        <f>자재단가대비표!O211</f>
        <v>52000</v>
      </c>
      <c r="F210" s="22" t="s">
        <v>2624</v>
      </c>
      <c r="G210" s="17" t="str">
        <f>"_x0007_`COD|M06744_x0005_`QTY1|1_x0005_`BQC|_x0005_`EQC|_x0005_`JDC|_x0005_`WQC|_x0005_`EDT|_x0005_`DET|"&amp;ROW(자재단가대비표!A211)&amp;"_x0005_`"</f>
        <v>_x0007_`COD|M06744_x0005_`QTY1|1_x0005_`BQC|_x0005_`EQC|_x0005_`JDC|_x0005_`WQC|_x0005_`EDT|_x0005_`DET|211_x0005_`</v>
      </c>
      <c r="H210" s="3" t="str">
        <f ca="1">HYPERLINK("#"&amp;자재단가대비표!R2&amp;"!A"&amp;ROW(자재단가대비표!A211),"자재207 →")</f>
        <v>자재207 →</v>
      </c>
    </row>
    <row r="211" spans="1:8" ht="17.45" customHeight="1" x14ac:dyDescent="0.3">
      <c r="A211" s="9" t="s">
        <v>2626</v>
      </c>
      <c r="B211" s="10" t="s">
        <v>2627</v>
      </c>
      <c r="C211" s="10" t="s">
        <v>2628</v>
      </c>
      <c r="D211" s="9" t="s">
        <v>2629</v>
      </c>
      <c r="E211" s="32">
        <f>자재단가대비표!O212</f>
        <v>3850</v>
      </c>
      <c r="F211" s="22" t="s">
        <v>2626</v>
      </c>
      <c r="G211" s="17" t="str">
        <f>"_x0007_`COD|M06631_x0005_`QTY1|1_x0005_`BQC|_x0005_`EQC|_x0005_`JDC|_x0005_`WQC|_x0005_`EDT|_x0005_`DET|"&amp;ROW(자재단가대비표!A212)&amp;"_x0005_`"</f>
        <v>_x0007_`COD|M06631_x0005_`QTY1|1_x0005_`BQC|_x0005_`EQC|_x0005_`JDC|_x0005_`WQC|_x0005_`EDT|_x0005_`DET|212_x0005_`</v>
      </c>
      <c r="H211" s="3" t="str">
        <f ca="1">HYPERLINK("#"&amp;자재단가대비표!R2&amp;"!A"&amp;ROW(자재단가대비표!A212),"자재208 →")</f>
        <v>자재208 →</v>
      </c>
    </row>
    <row r="212" spans="1:8" ht="17.45" customHeight="1" x14ac:dyDescent="0.3">
      <c r="A212" s="9" t="s">
        <v>2631</v>
      </c>
      <c r="B212" s="10" t="s">
        <v>2632</v>
      </c>
      <c r="C212" s="10" t="s">
        <v>2633</v>
      </c>
      <c r="D212" s="9" t="s">
        <v>1010</v>
      </c>
      <c r="E212" s="32">
        <f>자재단가대비표!O213</f>
        <v>2940</v>
      </c>
      <c r="F212" s="22" t="s">
        <v>2631</v>
      </c>
      <c r="G212" s="17" t="str">
        <f>"_x0007_`COD|M06629_x0005_`QTY1|1_x0005_`BQC|_x0005_`EQC|_x0005_`JDC|_x0005_`WQC|_x0005_`EDT|_x0005_`DET|"&amp;ROW(자재단가대비표!A213)&amp;"_x0005_`"</f>
        <v>_x0007_`COD|M06629_x0005_`QTY1|1_x0005_`BQC|_x0005_`EQC|_x0005_`JDC|_x0005_`WQC|_x0005_`EDT|_x0005_`DET|213_x0005_`</v>
      </c>
      <c r="H212" s="3" t="str">
        <f ca="1">HYPERLINK("#"&amp;자재단가대비표!R2&amp;"!A"&amp;ROW(자재단가대비표!A213),"자재209 →")</f>
        <v>자재209 →</v>
      </c>
    </row>
    <row r="213" spans="1:8" ht="17.45" customHeight="1" x14ac:dyDescent="0.3">
      <c r="A213" s="9" t="s">
        <v>2635</v>
      </c>
      <c r="B213" s="10" t="s">
        <v>2636</v>
      </c>
      <c r="C213" s="10" t="s">
        <v>2637</v>
      </c>
      <c r="D213" s="9" t="s">
        <v>1010</v>
      </c>
      <c r="E213" s="32">
        <f>자재단가대비표!O214</f>
        <v>471</v>
      </c>
      <c r="F213" s="22" t="s">
        <v>2635</v>
      </c>
      <c r="G213" s="17" t="str">
        <f>"_x0007_`COD|M06577_x0005_`QTY1|1_x0005_`BQC|_x0005_`EQC|_x0005_`JDC|_x0005_`WQC|_x0005_`EDT|_x0005_`DET|"&amp;ROW(자재단가대비표!A214)&amp;"_x0005_`"</f>
        <v>_x0007_`COD|M06577_x0005_`QTY1|1_x0005_`BQC|_x0005_`EQC|_x0005_`JDC|_x0005_`WQC|_x0005_`EDT|_x0005_`DET|214_x0005_`</v>
      </c>
      <c r="H213" s="3" t="str">
        <f ca="1">HYPERLINK("#"&amp;자재단가대비표!R2&amp;"!A"&amp;ROW(자재단가대비표!A214),"자재210 →")</f>
        <v>자재210 →</v>
      </c>
    </row>
    <row r="214" spans="1:8" ht="17.45" customHeight="1" x14ac:dyDescent="0.3">
      <c r="A214" s="9" t="s">
        <v>2639</v>
      </c>
      <c r="B214" s="10" t="s">
        <v>2640</v>
      </c>
      <c r="C214" s="10" t="s">
        <v>1056</v>
      </c>
      <c r="D214" s="9" t="s">
        <v>1010</v>
      </c>
      <c r="E214" s="32">
        <f>자재단가대비표!O215</f>
        <v>860000</v>
      </c>
      <c r="F214" s="22" t="s">
        <v>2639</v>
      </c>
      <c r="G214" s="17" t="str">
        <f>"_x0007_`COD|M06555_x0005_`QTY1|1_x0005_`BQC|_x0005_`EQC|_x0005_`JDC|_x0005_`WQC|_x0005_`EDT|_x0005_`DET|"&amp;ROW(자재단가대비표!A215)&amp;"_x0005_`"</f>
        <v>_x0007_`COD|M06555_x0005_`QTY1|1_x0005_`BQC|_x0005_`EQC|_x0005_`JDC|_x0005_`WQC|_x0005_`EDT|_x0005_`DET|215_x0005_`</v>
      </c>
      <c r="H214" s="3" t="str">
        <f ca="1">HYPERLINK("#"&amp;자재단가대비표!R2&amp;"!A"&amp;ROW(자재단가대비표!A215),"자재211 →")</f>
        <v>자재211 →</v>
      </c>
    </row>
    <row r="215" spans="1:8" ht="17.45" customHeight="1" x14ac:dyDescent="0.3">
      <c r="A215" s="9" t="s">
        <v>2642</v>
      </c>
      <c r="B215" s="10" t="s">
        <v>2640</v>
      </c>
      <c r="C215" s="10" t="s">
        <v>1059</v>
      </c>
      <c r="D215" s="9" t="s">
        <v>1010</v>
      </c>
      <c r="E215" s="32">
        <f>자재단가대비표!O216</f>
        <v>1480000</v>
      </c>
      <c r="F215" s="22" t="s">
        <v>2642</v>
      </c>
      <c r="G215" s="17" t="str">
        <f>"_x0007_`COD|M06556_x0005_`QTY1|1_x0005_`BQC|_x0005_`EQC|_x0005_`JDC|_x0005_`WQC|_x0005_`EDT|_x0005_`DET|"&amp;ROW(자재단가대비표!A216)&amp;"_x0005_`"</f>
        <v>_x0007_`COD|M06556_x0005_`QTY1|1_x0005_`BQC|_x0005_`EQC|_x0005_`JDC|_x0005_`WQC|_x0005_`EDT|_x0005_`DET|216_x0005_`</v>
      </c>
      <c r="H215" s="3" t="str">
        <f ca="1">HYPERLINK("#"&amp;자재단가대비표!R2&amp;"!A"&amp;ROW(자재단가대비표!A216),"자재212 →")</f>
        <v>자재212 →</v>
      </c>
    </row>
    <row r="216" spans="1:8" ht="17.45" customHeight="1" x14ac:dyDescent="0.3">
      <c r="A216" s="9" t="s">
        <v>2644</v>
      </c>
      <c r="B216" s="10" t="s">
        <v>2640</v>
      </c>
      <c r="C216" s="10" t="s">
        <v>1062</v>
      </c>
      <c r="D216" s="9" t="s">
        <v>1010</v>
      </c>
      <c r="E216" s="32">
        <f>자재단가대비표!O217</f>
        <v>2050000</v>
      </c>
      <c r="F216" s="22" t="s">
        <v>2644</v>
      </c>
      <c r="G216" s="17" t="str">
        <f>"_x0007_`COD|M06682_x0005_`QTY1|1_x0005_`BQC|_x0005_`EQC|_x0005_`JDC|_x0005_`WQC|_x0005_`EDT|_x0005_`DET|"&amp;ROW(자재단가대비표!A217)&amp;"_x0005_`"</f>
        <v>_x0007_`COD|M06682_x0005_`QTY1|1_x0005_`BQC|_x0005_`EQC|_x0005_`JDC|_x0005_`WQC|_x0005_`EDT|_x0005_`DET|217_x0005_`</v>
      </c>
      <c r="H216" s="3" t="str">
        <f ca="1">HYPERLINK("#"&amp;자재단가대비표!R2&amp;"!A"&amp;ROW(자재단가대비표!A217),"자재213 →")</f>
        <v>자재213 →</v>
      </c>
    </row>
    <row r="217" spans="1:8" ht="17.45" customHeight="1" x14ac:dyDescent="0.3">
      <c r="A217" s="9" t="s">
        <v>2646</v>
      </c>
      <c r="B217" s="10" t="s">
        <v>2640</v>
      </c>
      <c r="C217" s="10" t="s">
        <v>1065</v>
      </c>
      <c r="D217" s="9" t="s">
        <v>1010</v>
      </c>
      <c r="E217" s="32">
        <f>자재단가대비표!O218</f>
        <v>3630000</v>
      </c>
      <c r="F217" s="22" t="s">
        <v>2646</v>
      </c>
      <c r="G217" s="17" t="str">
        <f>"_x0007_`COD|M06693_x0005_`QTY1|1_x0005_`BQC|_x0005_`EQC|_x0005_`JDC|_x0005_`WQC|_x0005_`EDT|_x0005_`DET|"&amp;ROW(자재단가대비표!A218)&amp;"_x0005_`"</f>
        <v>_x0007_`COD|M06693_x0005_`QTY1|1_x0005_`BQC|_x0005_`EQC|_x0005_`JDC|_x0005_`WQC|_x0005_`EDT|_x0005_`DET|218_x0005_`</v>
      </c>
      <c r="H217" s="3" t="str">
        <f ca="1">HYPERLINK("#"&amp;자재단가대비표!R2&amp;"!A"&amp;ROW(자재단가대비표!A218),"자재214 →")</f>
        <v>자재214 →</v>
      </c>
    </row>
    <row r="218" spans="1:8" ht="17.45" customHeight="1" x14ac:dyDescent="0.3">
      <c r="A218" s="9" t="s">
        <v>2648</v>
      </c>
      <c r="B218" s="10" t="s">
        <v>2640</v>
      </c>
      <c r="C218" s="10" t="s">
        <v>1050</v>
      </c>
      <c r="D218" s="9" t="s">
        <v>1010</v>
      </c>
      <c r="E218" s="32">
        <f>자재단가대비표!O219</f>
        <v>350000</v>
      </c>
      <c r="F218" s="22" t="s">
        <v>2648</v>
      </c>
      <c r="G218" s="17" t="str">
        <f>"_x0007_`COD|M06553_x0005_`QTY1|1_x0005_`BQC|_x0005_`EQC|_x0005_`JDC|_x0005_`WQC|_x0005_`EDT|_x0005_`DET|"&amp;ROW(자재단가대비표!A219)&amp;"_x0005_`"</f>
        <v>_x0007_`COD|M06553_x0005_`QTY1|1_x0005_`BQC|_x0005_`EQC|_x0005_`JDC|_x0005_`WQC|_x0005_`EDT|_x0005_`DET|219_x0005_`</v>
      </c>
      <c r="H218" s="3" t="str">
        <f ca="1">HYPERLINK("#"&amp;자재단가대비표!R2&amp;"!A"&amp;ROW(자재단가대비표!A219),"자재215 →")</f>
        <v>자재215 →</v>
      </c>
    </row>
    <row r="219" spans="1:8" ht="17.45" customHeight="1" x14ac:dyDescent="0.3">
      <c r="A219" s="9" t="s">
        <v>2650</v>
      </c>
      <c r="B219" s="10" t="s">
        <v>2640</v>
      </c>
      <c r="C219" s="10" t="s">
        <v>1053</v>
      </c>
      <c r="D219" s="9" t="s">
        <v>1010</v>
      </c>
      <c r="E219" s="32">
        <f>자재단가대비표!O220</f>
        <v>650000</v>
      </c>
      <c r="F219" s="22" t="s">
        <v>2650</v>
      </c>
      <c r="G219" s="17" t="str">
        <f>"_x0007_`COD|M06554_x0005_`QTY1|1_x0005_`BQC|_x0005_`EQC|_x0005_`JDC|_x0005_`WQC|_x0005_`EDT|_x0005_`DET|"&amp;ROW(자재단가대비표!A220)&amp;"_x0005_`"</f>
        <v>_x0007_`COD|M06554_x0005_`QTY1|1_x0005_`BQC|_x0005_`EQC|_x0005_`JDC|_x0005_`WQC|_x0005_`EDT|_x0005_`DET|220_x0005_`</v>
      </c>
      <c r="H219" s="3" t="str">
        <f ca="1">HYPERLINK("#"&amp;자재단가대비표!R2&amp;"!A"&amp;ROW(자재단가대비표!A220),"자재216 →")</f>
        <v>자재216 →</v>
      </c>
    </row>
    <row r="220" spans="1:8" ht="17.45" customHeight="1" x14ac:dyDescent="0.3">
      <c r="A220" s="9" t="s">
        <v>2652</v>
      </c>
      <c r="B220" s="10" t="s">
        <v>2653</v>
      </c>
      <c r="C220" s="10" t="s">
        <v>1050</v>
      </c>
      <c r="D220" s="9" t="s">
        <v>1010</v>
      </c>
      <c r="E220" s="32">
        <f>자재단가대비표!O221</f>
        <v>330000</v>
      </c>
      <c r="F220" s="22" t="s">
        <v>2652</v>
      </c>
      <c r="G220" s="17" t="str">
        <f>"_x0007_`COD|M02950_x0005_`QTY1|1_x0005_`BQC|_x0005_`EQC|_x0005_`JDC|_x0005_`WQC|_x0005_`EDT|_x0005_`DET|"&amp;ROW(자재단가대비표!A221)&amp;"_x0005_`"</f>
        <v>_x0007_`COD|M02950_x0005_`QTY1|1_x0005_`BQC|_x0005_`EQC|_x0005_`JDC|_x0005_`WQC|_x0005_`EDT|_x0005_`DET|221_x0005_`</v>
      </c>
      <c r="H220" s="3" t="str">
        <f ca="1">HYPERLINK("#"&amp;자재단가대비표!R2&amp;"!A"&amp;ROW(자재단가대비표!A221),"자재217 →")</f>
        <v>자재217 →</v>
      </c>
    </row>
    <row r="221" spans="1:8" ht="17.45" customHeight="1" x14ac:dyDescent="0.3">
      <c r="A221" s="9" t="s">
        <v>2655</v>
      </c>
      <c r="B221" s="10" t="s">
        <v>1049</v>
      </c>
      <c r="C221" s="10" t="s">
        <v>1056</v>
      </c>
      <c r="D221" s="9" t="s">
        <v>1010</v>
      </c>
      <c r="E221" s="32">
        <f>자재단가대비표!O222</f>
        <v>820000</v>
      </c>
      <c r="F221" s="22" t="s">
        <v>2655</v>
      </c>
      <c r="G221" s="17" t="str">
        <f>"_x0007_`COD|M06543_x0005_`QTY1|1_x0005_`BQC|_x0005_`EQC|_x0005_`JDC|_x0005_`WQC|_x0005_`EDT|_x0005_`DET|"&amp;ROW(자재단가대비표!A222)&amp;"_x0005_`"</f>
        <v>_x0007_`COD|M06543_x0005_`QTY1|1_x0005_`BQC|_x0005_`EQC|_x0005_`JDC|_x0005_`WQC|_x0005_`EDT|_x0005_`DET|222_x0005_`</v>
      </c>
      <c r="H221" s="3" t="str">
        <f ca="1">HYPERLINK("#"&amp;자재단가대비표!R2&amp;"!A"&amp;ROW(자재단가대비표!A222),"자재218 →")</f>
        <v>자재218 →</v>
      </c>
    </row>
    <row r="222" spans="1:8" ht="17.45" customHeight="1" x14ac:dyDescent="0.3">
      <c r="A222" s="9" t="s">
        <v>2657</v>
      </c>
      <c r="B222" s="10" t="s">
        <v>1049</v>
      </c>
      <c r="C222" s="10" t="s">
        <v>1059</v>
      </c>
      <c r="D222" s="9" t="s">
        <v>1010</v>
      </c>
      <c r="E222" s="32">
        <f>자재단가대비표!O223</f>
        <v>1450000</v>
      </c>
      <c r="F222" s="22" t="s">
        <v>2657</v>
      </c>
      <c r="G222" s="17" t="str">
        <f>"_x0007_`COD|M06544_x0005_`QTY1|1_x0005_`BQC|_x0005_`EQC|_x0005_`JDC|_x0005_`WQC|_x0005_`EDT|_x0005_`DET|"&amp;ROW(자재단가대비표!A223)&amp;"_x0005_`"</f>
        <v>_x0007_`COD|M06544_x0005_`QTY1|1_x0005_`BQC|_x0005_`EQC|_x0005_`JDC|_x0005_`WQC|_x0005_`EDT|_x0005_`DET|223_x0005_`</v>
      </c>
      <c r="H222" s="3" t="str">
        <f ca="1">HYPERLINK("#"&amp;자재단가대비표!R2&amp;"!A"&amp;ROW(자재단가대비표!A223),"자재219 →")</f>
        <v>자재219 →</v>
      </c>
    </row>
    <row r="223" spans="1:8" ht="17.45" customHeight="1" x14ac:dyDescent="0.3">
      <c r="A223" s="9" t="s">
        <v>2659</v>
      </c>
      <c r="B223" s="10" t="s">
        <v>1049</v>
      </c>
      <c r="C223" s="10" t="s">
        <v>1062</v>
      </c>
      <c r="D223" s="9" t="s">
        <v>1010</v>
      </c>
      <c r="E223" s="32">
        <f>자재단가대비표!O224</f>
        <v>2000000</v>
      </c>
      <c r="F223" s="22" t="s">
        <v>2659</v>
      </c>
      <c r="G223" s="17" t="str">
        <f>"_x0007_`COD|M06545_x0005_`QTY1|1_x0005_`BQC|_x0005_`EQC|_x0005_`JDC|_x0005_`WQC|_x0005_`EDT|_x0005_`DET|"&amp;ROW(자재단가대비표!A224)&amp;"_x0005_`"</f>
        <v>_x0007_`COD|M06545_x0005_`QTY1|1_x0005_`BQC|_x0005_`EQC|_x0005_`JDC|_x0005_`WQC|_x0005_`EDT|_x0005_`DET|224_x0005_`</v>
      </c>
      <c r="H223" s="3" t="str">
        <f ca="1">HYPERLINK("#"&amp;자재단가대비표!R2&amp;"!A"&amp;ROW(자재단가대비표!A224),"자재220 →")</f>
        <v>자재220 →</v>
      </c>
    </row>
    <row r="224" spans="1:8" ht="17.45" customHeight="1" x14ac:dyDescent="0.3">
      <c r="A224" s="9" t="s">
        <v>2661</v>
      </c>
      <c r="B224" s="10" t="s">
        <v>1049</v>
      </c>
      <c r="C224" s="10" t="s">
        <v>1065</v>
      </c>
      <c r="D224" s="9" t="s">
        <v>1010</v>
      </c>
      <c r="E224" s="32">
        <f>자재단가대비표!O225</f>
        <v>3750000</v>
      </c>
      <c r="F224" s="22" t="s">
        <v>2661</v>
      </c>
      <c r="G224" s="17" t="str">
        <f>"_x0007_`COD|M06690_x0005_`QTY1|1_x0005_`BQC|_x0005_`EQC|_x0005_`JDC|_x0005_`WQC|_x0005_`EDT|_x0005_`DET|"&amp;ROW(자재단가대비표!A225)&amp;"_x0005_`"</f>
        <v>_x0007_`COD|M06690_x0005_`QTY1|1_x0005_`BQC|_x0005_`EQC|_x0005_`JDC|_x0005_`WQC|_x0005_`EDT|_x0005_`DET|225_x0005_`</v>
      </c>
      <c r="H224" s="3" t="str">
        <f ca="1">HYPERLINK("#"&amp;자재단가대비표!R2&amp;"!A"&amp;ROW(자재단가대비표!A225),"자재221 →")</f>
        <v>자재221 →</v>
      </c>
    </row>
    <row r="225" spans="1:8" ht="17.45" customHeight="1" x14ac:dyDescent="0.3">
      <c r="A225" s="9" t="s">
        <v>2663</v>
      </c>
      <c r="B225" s="10" t="s">
        <v>1049</v>
      </c>
      <c r="C225" s="10" t="s">
        <v>1053</v>
      </c>
      <c r="D225" s="9" t="s">
        <v>1010</v>
      </c>
      <c r="E225" s="32">
        <f>자재단가대비표!O226</f>
        <v>580000</v>
      </c>
      <c r="F225" s="22" t="s">
        <v>2663</v>
      </c>
      <c r="G225" s="17" t="str">
        <f>"_x0007_`COD|M02808_x0005_`QTY1|1_x0005_`BQC|_x0005_`EQC|_x0005_`JDC|_x0005_`WQC|_x0005_`EDT|_x0005_`DET|"&amp;ROW(자재단가대비표!A226)&amp;"_x0005_`"</f>
        <v>_x0007_`COD|M02808_x0005_`QTY1|1_x0005_`BQC|_x0005_`EQC|_x0005_`JDC|_x0005_`WQC|_x0005_`EDT|_x0005_`DET|226_x0005_`</v>
      </c>
      <c r="H225" s="3" t="str">
        <f ca="1">HYPERLINK("#"&amp;자재단가대비표!R2&amp;"!A"&amp;ROW(자재단가대비표!A226),"자재222 →")</f>
        <v>자재222 →</v>
      </c>
    </row>
    <row r="226" spans="1:8" ht="17.45" customHeight="1" x14ac:dyDescent="0.3">
      <c r="A226" s="9" t="s">
        <v>2665</v>
      </c>
      <c r="B226" s="10" t="s">
        <v>2666</v>
      </c>
      <c r="C226" s="10" t="s">
        <v>2667</v>
      </c>
      <c r="D226" s="9" t="s">
        <v>1010</v>
      </c>
      <c r="E226" s="32">
        <f>자재단가대비표!O227</f>
        <v>2197</v>
      </c>
      <c r="F226" s="22" t="s">
        <v>2665</v>
      </c>
      <c r="G226" s="17" t="str">
        <f>"_x0007_`COD|M06576_x0005_`QTY1|1_x0005_`BQC|_x0005_`EQC|_x0005_`JDC|_x0005_`WQC|_x0005_`EDT|_x0005_`DET|"&amp;ROW(자재단가대비표!A227)&amp;"_x0005_`"</f>
        <v>_x0007_`COD|M06576_x0005_`QTY1|1_x0005_`BQC|_x0005_`EQC|_x0005_`JDC|_x0005_`WQC|_x0005_`EDT|_x0005_`DET|227_x0005_`</v>
      </c>
      <c r="H226" s="3" t="str">
        <f ca="1">HYPERLINK("#"&amp;자재단가대비표!R2&amp;"!A"&amp;ROW(자재단가대비표!A227),"자재223 →")</f>
        <v>자재223 →</v>
      </c>
    </row>
    <row r="227" spans="1:8" ht="17.45" customHeight="1" x14ac:dyDescent="0.3">
      <c r="A227" s="9" t="s">
        <v>2669</v>
      </c>
      <c r="B227" s="10" t="s">
        <v>1178</v>
      </c>
      <c r="C227" s="10" t="s">
        <v>1056</v>
      </c>
      <c r="D227" s="9" t="s">
        <v>1010</v>
      </c>
      <c r="E227" s="32">
        <f>자재단가대비표!O228</f>
        <v>830000</v>
      </c>
      <c r="F227" s="22" t="s">
        <v>2669</v>
      </c>
      <c r="G227" s="17" t="str">
        <f>"_x0007_`COD|M06549_x0005_`QTY1|1_x0005_`BQC|_x0005_`EQC|_x0005_`JDC|_x0005_`WQC|_x0005_`EDT|_x0005_`DET|"&amp;ROW(자재단가대비표!A228)&amp;"_x0005_`"</f>
        <v>_x0007_`COD|M06549_x0005_`QTY1|1_x0005_`BQC|_x0005_`EQC|_x0005_`JDC|_x0005_`WQC|_x0005_`EDT|_x0005_`DET|228_x0005_`</v>
      </c>
      <c r="H227" s="3" t="str">
        <f ca="1">HYPERLINK("#"&amp;자재단가대비표!R2&amp;"!A"&amp;ROW(자재단가대비표!A228),"자재224 →")</f>
        <v>자재224 →</v>
      </c>
    </row>
    <row r="228" spans="1:8" ht="17.45" customHeight="1" x14ac:dyDescent="0.3">
      <c r="A228" s="9" t="s">
        <v>2671</v>
      </c>
      <c r="B228" s="10" t="s">
        <v>1178</v>
      </c>
      <c r="C228" s="10" t="s">
        <v>1059</v>
      </c>
      <c r="D228" s="9" t="s">
        <v>1010</v>
      </c>
      <c r="E228" s="32">
        <f>자재단가대비표!O229</f>
        <v>1450000</v>
      </c>
      <c r="F228" s="22" t="s">
        <v>2671</v>
      </c>
      <c r="G228" s="17" t="str">
        <f>"_x0007_`COD|M06551_x0005_`QTY1|1_x0005_`BQC|_x0005_`EQC|_x0005_`JDC|_x0005_`WQC|_x0005_`EDT|_x0005_`DET|"&amp;ROW(자재단가대비표!A229)&amp;"_x0005_`"</f>
        <v>_x0007_`COD|M06551_x0005_`QTY1|1_x0005_`BQC|_x0005_`EQC|_x0005_`JDC|_x0005_`WQC|_x0005_`EDT|_x0005_`DET|229_x0005_`</v>
      </c>
      <c r="H228" s="3" t="str">
        <f ca="1">HYPERLINK("#"&amp;자재단가대비표!R2&amp;"!A"&amp;ROW(자재단가대비표!A229),"자재225 →")</f>
        <v>자재225 →</v>
      </c>
    </row>
    <row r="229" spans="1:8" ht="17.45" customHeight="1" x14ac:dyDescent="0.3">
      <c r="A229" s="9" t="s">
        <v>2673</v>
      </c>
      <c r="B229" s="10" t="s">
        <v>1178</v>
      </c>
      <c r="C229" s="10" t="s">
        <v>1062</v>
      </c>
      <c r="D229" s="9" t="s">
        <v>1010</v>
      </c>
      <c r="E229" s="32">
        <f>자재단가대비표!O230</f>
        <v>2230000</v>
      </c>
      <c r="F229" s="22" t="s">
        <v>2673</v>
      </c>
      <c r="G229" s="17" t="str">
        <f>"_x0007_`COD|M06552_x0005_`QTY1|1_x0005_`BQC|_x0005_`EQC|_x0005_`JDC|_x0005_`WQC|_x0005_`EDT|_x0005_`DET|"&amp;ROW(자재단가대비표!A230)&amp;"_x0005_`"</f>
        <v>_x0007_`COD|M06552_x0005_`QTY1|1_x0005_`BQC|_x0005_`EQC|_x0005_`JDC|_x0005_`WQC|_x0005_`EDT|_x0005_`DET|230_x0005_`</v>
      </c>
      <c r="H229" s="3" t="str">
        <f ca="1">HYPERLINK("#"&amp;자재단가대비표!R2&amp;"!A"&amp;ROW(자재단가대비표!A230),"자재226 →")</f>
        <v>자재226 →</v>
      </c>
    </row>
    <row r="230" spans="1:8" ht="17.45" customHeight="1" x14ac:dyDescent="0.3">
      <c r="A230" s="9" t="s">
        <v>2675</v>
      </c>
      <c r="B230" s="10" t="s">
        <v>1178</v>
      </c>
      <c r="C230" s="10" t="s">
        <v>1065</v>
      </c>
      <c r="D230" s="9" t="s">
        <v>1010</v>
      </c>
      <c r="E230" s="32">
        <f>자재단가대비표!O231</f>
        <v>3800000</v>
      </c>
      <c r="F230" s="22" t="s">
        <v>2675</v>
      </c>
      <c r="G230" s="17" t="str">
        <f>"_x0007_`COD|M06692_x0005_`QTY1|1_x0005_`BQC|_x0005_`EQC|_x0005_`JDC|_x0005_`WQC|_x0005_`EDT|_x0005_`DET|"&amp;ROW(자재단가대비표!A231)&amp;"_x0005_`"</f>
        <v>_x0007_`COD|M06692_x0005_`QTY1|1_x0005_`BQC|_x0005_`EQC|_x0005_`JDC|_x0005_`WQC|_x0005_`EDT|_x0005_`DET|231_x0005_`</v>
      </c>
      <c r="H230" s="3" t="str">
        <f ca="1">HYPERLINK("#"&amp;자재단가대비표!R2&amp;"!A"&amp;ROW(자재단가대비표!A231),"자재227 →")</f>
        <v>자재227 →</v>
      </c>
    </row>
    <row r="231" spans="1:8" ht="17.45" customHeight="1" x14ac:dyDescent="0.3">
      <c r="A231" s="9" t="s">
        <v>2677</v>
      </c>
      <c r="B231" s="10" t="s">
        <v>1178</v>
      </c>
      <c r="C231" s="10" t="s">
        <v>1053</v>
      </c>
      <c r="D231" s="9" t="s">
        <v>1010</v>
      </c>
      <c r="E231" s="32">
        <f>자재단가대비표!O232</f>
        <v>580000</v>
      </c>
      <c r="F231" s="22" t="s">
        <v>2677</v>
      </c>
      <c r="G231" s="17" t="str">
        <f>"_x0007_`COD|M06550_x0005_`QTY1|1_x0005_`BQC|_x0005_`EQC|_x0005_`JDC|_x0005_`WQC|_x0005_`EDT|_x0005_`DET|"&amp;ROW(자재단가대비표!A232)&amp;"_x0005_`"</f>
        <v>_x0007_`COD|M06550_x0005_`QTY1|1_x0005_`BQC|_x0005_`EQC|_x0005_`JDC|_x0005_`WQC|_x0005_`EDT|_x0005_`DET|232_x0005_`</v>
      </c>
      <c r="H231" s="3" t="str">
        <f ca="1">HYPERLINK("#"&amp;자재단가대비표!R2&amp;"!A"&amp;ROW(자재단가대비표!A232),"자재228 →")</f>
        <v>자재228 →</v>
      </c>
    </row>
    <row r="232" spans="1:8" ht="17.45" customHeight="1" x14ac:dyDescent="0.3">
      <c r="A232" s="9" t="s">
        <v>2679</v>
      </c>
      <c r="B232" s="10" t="s">
        <v>2680</v>
      </c>
      <c r="C232" s="10" t="s">
        <v>2681</v>
      </c>
      <c r="D232" s="9" t="s">
        <v>2629</v>
      </c>
      <c r="E232" s="32">
        <f>자재단가대비표!O233</f>
        <v>185</v>
      </c>
      <c r="F232" s="22" t="s">
        <v>2679</v>
      </c>
      <c r="G232" s="17" t="str">
        <f>"_x0007_`COD|M02940_x0005_`QTY1|1_x0005_`BQC|_x0005_`EQC|_x0005_`JDC|_x0005_`WQC|_x0005_`EDT|_x0005_`DET|"&amp;ROW(자재단가대비표!A233)&amp;"_x0005_`"</f>
        <v>_x0007_`COD|M02940_x0005_`QTY1|1_x0005_`BQC|_x0005_`EQC|_x0005_`JDC|_x0005_`WQC|_x0005_`EDT|_x0005_`DET|233_x0005_`</v>
      </c>
      <c r="H232" s="3" t="str">
        <f ca="1">HYPERLINK("#"&amp;자재단가대비표!R2&amp;"!A"&amp;ROW(자재단가대비표!A233),"자재229 →")</f>
        <v>자재229 →</v>
      </c>
    </row>
    <row r="233" spans="1:8" ht="17.45" customHeight="1" x14ac:dyDescent="0.3">
      <c r="A233" s="9" t="s">
        <v>2683</v>
      </c>
      <c r="B233" s="10" t="s">
        <v>2684</v>
      </c>
      <c r="C233" s="10" t="s">
        <v>2685</v>
      </c>
      <c r="D233" s="9" t="s">
        <v>2121</v>
      </c>
      <c r="E233" s="32">
        <f>자재단가대비표!O234</f>
        <v>4500</v>
      </c>
      <c r="F233" s="22" t="s">
        <v>2683</v>
      </c>
      <c r="G233" s="17" t="str">
        <f>"_x0007_`COD|M06739_x0005_`QTY1|1_x0005_`BQC|_x0005_`EQC|_x0005_`JDC|_x0005_`WQC|_x0005_`EDT|_x0005_`DET|"&amp;ROW(자재단가대비표!A234)&amp;"_x0005_`"</f>
        <v>_x0007_`COD|M06739_x0005_`QTY1|1_x0005_`BQC|_x0005_`EQC|_x0005_`JDC|_x0005_`WQC|_x0005_`EDT|_x0005_`DET|234_x0005_`</v>
      </c>
      <c r="H233" s="3" t="str">
        <f ca="1">HYPERLINK("#"&amp;자재단가대비표!R2&amp;"!A"&amp;ROW(자재단가대비표!A234),"자재230 →")</f>
        <v>자재230 →</v>
      </c>
    </row>
    <row r="234" spans="1:8" ht="17.45" customHeight="1" x14ac:dyDescent="0.3">
      <c r="A234" s="9" t="s">
        <v>2687</v>
      </c>
      <c r="B234" s="10" t="s">
        <v>1415</v>
      </c>
      <c r="C234" s="10" t="s">
        <v>1416</v>
      </c>
      <c r="D234" s="9" t="s">
        <v>1010</v>
      </c>
      <c r="E234" s="32">
        <f>자재단가대비표!O235</f>
        <v>257000</v>
      </c>
      <c r="F234" s="22" t="s">
        <v>2687</v>
      </c>
      <c r="G234" s="17" t="str">
        <f>"_x0007_`COD|M06568_x0005_`QTY1|1_x0005_`BQC|_x0005_`EQC|_x0005_`JDC|_x0005_`WQC|_x0005_`EDT|_x0005_`DET|"&amp;ROW(자재단가대비표!A235)&amp;"_x0005_`"</f>
        <v>_x0007_`COD|M06568_x0005_`QTY1|1_x0005_`BQC|_x0005_`EQC|_x0005_`JDC|_x0005_`WQC|_x0005_`EDT|_x0005_`DET|235_x0005_`</v>
      </c>
      <c r="H234" s="3" t="str">
        <f ca="1">HYPERLINK("#"&amp;자재단가대비표!R2&amp;"!A"&amp;ROW(자재단가대비표!A235),"자재231 →")</f>
        <v>자재231 →</v>
      </c>
    </row>
    <row r="235" spans="1:8" ht="17.45" customHeight="1" x14ac:dyDescent="0.3">
      <c r="A235" s="9" t="s">
        <v>2689</v>
      </c>
      <c r="B235" s="10" t="s">
        <v>1415</v>
      </c>
      <c r="C235" s="10" t="s">
        <v>1419</v>
      </c>
      <c r="D235" s="9" t="s">
        <v>1010</v>
      </c>
      <c r="E235" s="32">
        <f>자재단가대비표!O236</f>
        <v>321000</v>
      </c>
      <c r="F235" s="22" t="s">
        <v>2689</v>
      </c>
      <c r="G235" s="17" t="str">
        <f>"_x0007_`COD|M06569_x0005_`QTY1|1_x0005_`BQC|_x0005_`EQC|_x0005_`JDC|_x0005_`WQC|_x0005_`EDT|_x0005_`DET|"&amp;ROW(자재단가대비표!A236)&amp;"_x0005_`"</f>
        <v>_x0007_`COD|M06569_x0005_`QTY1|1_x0005_`BQC|_x0005_`EQC|_x0005_`JDC|_x0005_`WQC|_x0005_`EDT|_x0005_`DET|236_x0005_`</v>
      </c>
      <c r="H235" s="3" t="str">
        <f ca="1">HYPERLINK("#"&amp;자재단가대비표!R2&amp;"!A"&amp;ROW(자재단가대비표!A236),"자재232 →")</f>
        <v>자재232 →</v>
      </c>
    </row>
    <row r="236" spans="1:8" ht="17.45" customHeight="1" x14ac:dyDescent="0.3">
      <c r="A236" s="9" t="s">
        <v>2691</v>
      </c>
      <c r="B236" s="10" t="s">
        <v>2692</v>
      </c>
      <c r="C236" s="10"/>
      <c r="D236" s="9" t="s">
        <v>2302</v>
      </c>
      <c r="E236" s="32">
        <f>자재단가대비표!O237</f>
        <v>5.0999999999999996</v>
      </c>
      <c r="F236" s="22" t="s">
        <v>2691</v>
      </c>
      <c r="G236" s="17" t="str">
        <f>"_x0007_`COD|M02784_x0005_`QTY1|1_x0005_`BQC|_x0005_`EQC|_x0005_`JDC|_x0005_`WQC|_x0005_`EDT|_x0005_`DET|"&amp;ROW(자재단가대비표!A237)&amp;"_x0005_`"</f>
        <v>_x0007_`COD|M02784_x0005_`QTY1|1_x0005_`BQC|_x0005_`EQC|_x0005_`JDC|_x0005_`WQC|_x0005_`EDT|_x0005_`DET|237_x0005_`</v>
      </c>
      <c r="H236" s="3" t="str">
        <f ca="1">HYPERLINK("#"&amp;자재단가대비표!R2&amp;"!A"&amp;ROW(자재단가대비표!A237),"자재233 →")</f>
        <v>자재233 →</v>
      </c>
    </row>
    <row r="237" spans="1:8" ht="17.45" customHeight="1" x14ac:dyDescent="0.3">
      <c r="A237" s="9" t="s">
        <v>2694</v>
      </c>
      <c r="B237" s="10" t="s">
        <v>2695</v>
      </c>
      <c r="C237" s="10" t="s">
        <v>2696</v>
      </c>
      <c r="D237" s="9" t="s">
        <v>1010</v>
      </c>
      <c r="E237" s="32">
        <f>자재단가대비표!O238</f>
        <v>1045000</v>
      </c>
      <c r="F237" s="22" t="s">
        <v>2694</v>
      </c>
      <c r="G237" s="17" t="str">
        <f>"_x0007_`COD|M06574_x0005_`QTY1|1_x0005_`BQC|_x0005_`EQC|_x0005_`JDC|_x0005_`WQC|_x0005_`EDT|_x0005_`DET|"&amp;ROW(자재단가대비표!A238)&amp;"_x0005_`"</f>
        <v>_x0007_`COD|M06574_x0005_`QTY1|1_x0005_`BQC|_x0005_`EQC|_x0005_`JDC|_x0005_`WQC|_x0005_`EDT|_x0005_`DET|238_x0005_`</v>
      </c>
      <c r="H237" s="3" t="str">
        <f ca="1">HYPERLINK("#"&amp;자재단가대비표!R2&amp;"!A"&amp;ROW(자재단가대비표!A238),"자재234 →")</f>
        <v>자재234 →</v>
      </c>
    </row>
    <row r="238" spans="1:8" ht="17.45" customHeight="1" x14ac:dyDescent="0.3">
      <c r="A238" s="9" t="s">
        <v>2698</v>
      </c>
      <c r="B238" s="10" t="s">
        <v>2699</v>
      </c>
      <c r="C238" s="10" t="s">
        <v>2700</v>
      </c>
      <c r="D238" s="9" t="s">
        <v>2212</v>
      </c>
      <c r="E238" s="32">
        <f>자재단가대비표!O239</f>
        <v>64970</v>
      </c>
      <c r="F238" s="22" t="s">
        <v>2698</v>
      </c>
      <c r="G238" s="17" t="str">
        <f>"_x0007_`COD|M01101_x0005_`QTY1|1_x0005_`BQC|_x0005_`EQC|_x0005_`JDC|_x0005_`WQC|_x0005_`EDT|_x0005_`DET|"&amp;ROW(자재단가대비표!A239)&amp;"_x0005_`"</f>
        <v>_x0007_`COD|M01101_x0005_`QTY1|1_x0005_`BQC|_x0005_`EQC|_x0005_`JDC|_x0005_`WQC|_x0005_`EDT|_x0005_`DET|239_x0005_`</v>
      </c>
      <c r="H238" s="3" t="str">
        <f ca="1">HYPERLINK("#"&amp;자재단가대비표!R2&amp;"!A"&amp;ROW(자재단가대비표!A239),"자재235 →")</f>
        <v>자재235 →</v>
      </c>
    </row>
    <row r="239" spans="1:8" ht="17.45" customHeight="1" x14ac:dyDescent="0.3">
      <c r="A239" s="9" t="s">
        <v>2702</v>
      </c>
      <c r="B239" s="10" t="s">
        <v>2703</v>
      </c>
      <c r="C239" s="10" t="s">
        <v>2449</v>
      </c>
      <c r="D239" s="9" t="s">
        <v>1010</v>
      </c>
      <c r="E239" s="32">
        <f>자재단가대비표!O240</f>
        <v>14100</v>
      </c>
      <c r="F239" s="22" t="s">
        <v>2702</v>
      </c>
      <c r="G239" s="17" t="str">
        <f>"_x0007_`COD|M06617_x0005_`QTY1|1_x0005_`BQC|_x0005_`EQC|_x0005_`JDC|_x0005_`WQC|_x0005_`EDT|_x0005_`DET|"&amp;ROW(자재단가대비표!A240)&amp;"_x0005_`"</f>
        <v>_x0007_`COD|M06617_x0005_`QTY1|1_x0005_`BQC|_x0005_`EQC|_x0005_`JDC|_x0005_`WQC|_x0005_`EDT|_x0005_`DET|240_x0005_`</v>
      </c>
      <c r="H239" s="3" t="str">
        <f ca="1">HYPERLINK("#"&amp;자재단가대비표!R2&amp;"!A"&amp;ROW(자재단가대비표!A240),"자재236 →")</f>
        <v>자재236 →</v>
      </c>
    </row>
    <row r="240" spans="1:8" ht="17.45" customHeight="1" x14ac:dyDescent="0.3">
      <c r="A240" s="9" t="s">
        <v>2705</v>
      </c>
      <c r="B240" s="10" t="s">
        <v>2703</v>
      </c>
      <c r="C240" s="10" t="s">
        <v>2452</v>
      </c>
      <c r="D240" s="9" t="s">
        <v>1010</v>
      </c>
      <c r="E240" s="32">
        <f>자재단가대비표!O241</f>
        <v>20660</v>
      </c>
      <c r="F240" s="22" t="s">
        <v>2705</v>
      </c>
      <c r="G240" s="17" t="str">
        <f>"_x0007_`COD|M06618_x0005_`QTY1|1_x0005_`BQC|_x0005_`EQC|_x0005_`JDC|_x0005_`WQC|_x0005_`EDT|_x0005_`DET|"&amp;ROW(자재단가대비표!A241)&amp;"_x0005_`"</f>
        <v>_x0007_`COD|M06618_x0005_`QTY1|1_x0005_`BQC|_x0005_`EQC|_x0005_`JDC|_x0005_`WQC|_x0005_`EDT|_x0005_`DET|241_x0005_`</v>
      </c>
      <c r="H240" s="3" t="str">
        <f ca="1">HYPERLINK("#"&amp;자재단가대비표!R2&amp;"!A"&amp;ROW(자재단가대비표!A241),"자재237 →")</f>
        <v>자재237 →</v>
      </c>
    </row>
    <row r="241" spans="1:8" ht="17.45" customHeight="1" x14ac:dyDescent="0.3">
      <c r="A241" s="9" t="s">
        <v>2707</v>
      </c>
      <c r="B241" s="10" t="s">
        <v>2703</v>
      </c>
      <c r="C241" s="10" t="s">
        <v>2455</v>
      </c>
      <c r="D241" s="9" t="s">
        <v>1010</v>
      </c>
      <c r="E241" s="32">
        <f>자재단가대비표!O242</f>
        <v>29900</v>
      </c>
      <c r="F241" s="22" t="s">
        <v>2707</v>
      </c>
      <c r="G241" s="17" t="str">
        <f>"_x0007_`COD|M06721_x0005_`QTY1|1_x0005_`BQC|_x0005_`EQC|_x0005_`JDC|_x0005_`WQC|_x0005_`EDT|_x0005_`DET|"&amp;ROW(자재단가대비표!A242)&amp;"_x0005_`"</f>
        <v>_x0007_`COD|M06721_x0005_`QTY1|1_x0005_`BQC|_x0005_`EQC|_x0005_`JDC|_x0005_`WQC|_x0005_`EDT|_x0005_`DET|242_x0005_`</v>
      </c>
      <c r="H241" s="3" t="str">
        <f ca="1">HYPERLINK("#"&amp;자재단가대비표!R2&amp;"!A"&amp;ROW(자재단가대비표!A242),"자재238 →")</f>
        <v>자재238 →</v>
      </c>
    </row>
    <row r="242" spans="1:8" ht="17.45" customHeight="1" x14ac:dyDescent="0.3">
      <c r="A242" s="9" t="s">
        <v>2709</v>
      </c>
      <c r="B242" s="10" t="s">
        <v>2703</v>
      </c>
      <c r="C242" s="10" t="s">
        <v>2458</v>
      </c>
      <c r="D242" s="9" t="s">
        <v>1010</v>
      </c>
      <c r="E242" s="32">
        <f>자재단가대비표!O243</f>
        <v>39490</v>
      </c>
      <c r="F242" s="22" t="s">
        <v>2709</v>
      </c>
      <c r="G242" s="17" t="str">
        <f>"_x0007_`COD|M06619_x0005_`QTY1|1_x0005_`BQC|_x0005_`EQC|_x0005_`JDC|_x0005_`WQC|_x0005_`EDT|_x0005_`DET|"&amp;ROW(자재단가대비표!A243)&amp;"_x0005_`"</f>
        <v>_x0007_`COD|M06619_x0005_`QTY1|1_x0005_`BQC|_x0005_`EQC|_x0005_`JDC|_x0005_`WQC|_x0005_`EDT|_x0005_`DET|243_x0005_`</v>
      </c>
      <c r="H242" s="3" t="str">
        <f ca="1">HYPERLINK("#"&amp;자재단가대비표!R2&amp;"!A"&amp;ROW(자재단가대비표!A243),"자재239 →")</f>
        <v>자재239 →</v>
      </c>
    </row>
    <row r="243" spans="1:8" ht="17.45" customHeight="1" x14ac:dyDescent="0.3">
      <c r="A243" s="9" t="s">
        <v>2711</v>
      </c>
      <c r="B243" s="10" t="s">
        <v>2712</v>
      </c>
      <c r="C243" s="10" t="s">
        <v>2713</v>
      </c>
      <c r="D243" s="9" t="s">
        <v>2121</v>
      </c>
      <c r="E243" s="32">
        <f>자재단가대비표!O244</f>
        <v>23969</v>
      </c>
      <c r="F243" s="22" t="s">
        <v>2711</v>
      </c>
      <c r="G243" s="17" t="str">
        <f>"_x0007_`COD|M06578_x0005_`QTY1|1_x0005_`BQC|_x0005_`EQC|_x0005_`JDC|_x0005_`WQC|_x0005_`EDT|_x0005_`DET|"&amp;ROW(자재단가대비표!A244)&amp;"_x0005_`"</f>
        <v>_x0007_`COD|M06578_x0005_`QTY1|1_x0005_`BQC|_x0005_`EQC|_x0005_`JDC|_x0005_`WQC|_x0005_`EDT|_x0005_`DET|244_x0005_`</v>
      </c>
      <c r="H243" s="3" t="str">
        <f ca="1">HYPERLINK("#"&amp;자재단가대비표!R2&amp;"!A"&amp;ROW(자재단가대비표!A244),"자재240 →")</f>
        <v>자재240 →</v>
      </c>
    </row>
    <row r="244" spans="1:8" ht="17.45" customHeight="1" x14ac:dyDescent="0.3">
      <c r="A244" s="9" t="s">
        <v>2715</v>
      </c>
      <c r="B244" s="10" t="s">
        <v>2716</v>
      </c>
      <c r="C244" s="10" t="s">
        <v>2449</v>
      </c>
      <c r="D244" s="9" t="s">
        <v>1010</v>
      </c>
      <c r="E244" s="32">
        <f>자재단가대비표!O245</f>
        <v>11590</v>
      </c>
      <c r="F244" s="22" t="s">
        <v>2715</v>
      </c>
      <c r="G244" s="17" t="str">
        <f>"_x0007_`COD|M06611_x0005_`QTY1|1_x0005_`BQC|_x0005_`EQC|_x0005_`JDC|_x0005_`WQC|_x0005_`EDT|_x0005_`DET|"&amp;ROW(자재단가대비표!A245)&amp;"_x0005_`"</f>
        <v>_x0007_`COD|M06611_x0005_`QTY1|1_x0005_`BQC|_x0005_`EQC|_x0005_`JDC|_x0005_`WQC|_x0005_`EDT|_x0005_`DET|245_x0005_`</v>
      </c>
      <c r="H244" s="3" t="str">
        <f ca="1">HYPERLINK("#"&amp;자재단가대비표!R2&amp;"!A"&amp;ROW(자재단가대비표!A245),"자재241 →")</f>
        <v>자재241 →</v>
      </c>
    </row>
    <row r="245" spans="1:8" ht="17.45" customHeight="1" x14ac:dyDescent="0.3">
      <c r="A245" s="9" t="s">
        <v>2718</v>
      </c>
      <c r="B245" s="10" t="s">
        <v>2716</v>
      </c>
      <c r="C245" s="10" t="s">
        <v>2452</v>
      </c>
      <c r="D245" s="9" t="s">
        <v>1010</v>
      </c>
      <c r="E245" s="32">
        <f>자재단가대비표!O246</f>
        <v>19570</v>
      </c>
      <c r="F245" s="22" t="s">
        <v>2718</v>
      </c>
      <c r="G245" s="17" t="str">
        <f>"_x0007_`COD|M06612_x0005_`QTY1|1_x0005_`BQC|_x0005_`EQC|_x0005_`JDC|_x0005_`WQC|_x0005_`EDT|_x0005_`DET|"&amp;ROW(자재단가대비표!A246)&amp;"_x0005_`"</f>
        <v>_x0007_`COD|M06612_x0005_`QTY1|1_x0005_`BQC|_x0005_`EQC|_x0005_`JDC|_x0005_`WQC|_x0005_`EDT|_x0005_`DET|246_x0005_`</v>
      </c>
      <c r="H245" s="3" t="str">
        <f ca="1">HYPERLINK("#"&amp;자재단가대비표!R2&amp;"!A"&amp;ROW(자재단가대비표!A246),"자재242 →")</f>
        <v>자재242 →</v>
      </c>
    </row>
    <row r="246" spans="1:8" ht="17.45" customHeight="1" x14ac:dyDescent="0.3">
      <c r="A246" s="9" t="s">
        <v>2720</v>
      </c>
      <c r="B246" s="10" t="s">
        <v>2716</v>
      </c>
      <c r="C246" s="10" t="s">
        <v>2455</v>
      </c>
      <c r="D246" s="9" t="s">
        <v>1010</v>
      </c>
      <c r="E246" s="32">
        <f>자재단가대비표!O247</f>
        <v>32260</v>
      </c>
      <c r="F246" s="22" t="s">
        <v>2720</v>
      </c>
      <c r="G246" s="17" t="str">
        <f>"_x0007_`COD|M06718_x0005_`QTY1|1_x0005_`BQC|_x0005_`EQC|_x0005_`JDC|_x0005_`WQC|_x0005_`EDT|_x0005_`DET|"&amp;ROW(자재단가대비표!A247)&amp;"_x0005_`"</f>
        <v>_x0007_`COD|M06718_x0005_`QTY1|1_x0005_`BQC|_x0005_`EQC|_x0005_`JDC|_x0005_`WQC|_x0005_`EDT|_x0005_`DET|247_x0005_`</v>
      </c>
      <c r="H246" s="3" t="str">
        <f ca="1">HYPERLINK("#"&amp;자재단가대비표!R2&amp;"!A"&amp;ROW(자재단가대비표!A247),"자재243 →")</f>
        <v>자재243 →</v>
      </c>
    </row>
    <row r="247" spans="1:8" ht="17.45" customHeight="1" x14ac:dyDescent="0.3">
      <c r="A247" s="9" t="s">
        <v>2722</v>
      </c>
      <c r="B247" s="10" t="s">
        <v>2716</v>
      </c>
      <c r="C247" s="10" t="s">
        <v>2458</v>
      </c>
      <c r="D247" s="9" t="s">
        <v>1010</v>
      </c>
      <c r="E247" s="32">
        <f>자재단가대비표!O248</f>
        <v>41450</v>
      </c>
      <c r="F247" s="22" t="s">
        <v>2722</v>
      </c>
      <c r="G247" s="17" t="str">
        <f>"_x0007_`COD|M06613_x0005_`QTY1|1_x0005_`BQC|_x0005_`EQC|_x0005_`JDC|_x0005_`WQC|_x0005_`EDT|_x0005_`DET|"&amp;ROW(자재단가대비표!A248)&amp;"_x0005_`"</f>
        <v>_x0007_`COD|M06613_x0005_`QTY1|1_x0005_`BQC|_x0005_`EQC|_x0005_`JDC|_x0005_`WQC|_x0005_`EDT|_x0005_`DET|248_x0005_`</v>
      </c>
      <c r="H247" s="3" t="str">
        <f ca="1">HYPERLINK("#"&amp;자재단가대비표!R2&amp;"!A"&amp;ROW(자재단가대비표!A248),"자재244 →")</f>
        <v>자재244 →</v>
      </c>
    </row>
    <row r="248" spans="1:8" ht="17.45" customHeight="1" x14ac:dyDescent="0.3">
      <c r="A248" s="9" t="s">
        <v>2724</v>
      </c>
      <c r="B248" s="10" t="s">
        <v>2725</v>
      </c>
      <c r="C248" s="10" t="s">
        <v>2726</v>
      </c>
      <c r="D248" s="9" t="s">
        <v>1010</v>
      </c>
      <c r="E248" s="32">
        <f>자재단가대비표!O249</f>
        <v>2500</v>
      </c>
      <c r="F248" s="22" t="s">
        <v>2724</v>
      </c>
      <c r="G248" s="17" t="str">
        <f>"_x0007_`COD|M06645_x0005_`QTY1|1_x0005_`BQC|_x0005_`EQC|_x0005_`JDC|_x0005_`WQC|_x0005_`EDT|_x0005_`DET|"&amp;ROW(자재단가대비표!A249)&amp;"_x0005_`"</f>
        <v>_x0007_`COD|M06645_x0005_`QTY1|1_x0005_`BQC|_x0005_`EQC|_x0005_`JDC|_x0005_`WQC|_x0005_`EDT|_x0005_`DET|249_x0005_`</v>
      </c>
      <c r="H248" s="3" t="str">
        <f ca="1">HYPERLINK("#"&amp;자재단가대비표!R2&amp;"!A"&amp;ROW(자재단가대비표!A249),"자재245 →")</f>
        <v>자재245 →</v>
      </c>
    </row>
    <row r="249" spans="1:8" ht="17.45" customHeight="1" x14ac:dyDescent="0.3">
      <c r="A249" s="9" t="s">
        <v>2728</v>
      </c>
      <c r="B249" s="10" t="s">
        <v>2729</v>
      </c>
      <c r="C249" s="10" t="s">
        <v>2730</v>
      </c>
      <c r="D249" s="9" t="s">
        <v>2039</v>
      </c>
      <c r="E249" s="32">
        <f>자재단가대비표!O250</f>
        <v>930</v>
      </c>
      <c r="F249" s="22" t="s">
        <v>2728</v>
      </c>
      <c r="G249" s="17" t="str">
        <f>"_x0007_`COD|M06628_x0005_`QTY1|1_x0005_`BQC|_x0005_`EQC|_x0005_`JDC|_x0005_`WQC|_x0005_`EDT|_x0005_`DET|"&amp;ROW(자재단가대비표!A250)&amp;"_x0005_`"</f>
        <v>_x0007_`COD|M06628_x0005_`QTY1|1_x0005_`BQC|_x0005_`EQC|_x0005_`JDC|_x0005_`WQC|_x0005_`EDT|_x0005_`DET|250_x0005_`</v>
      </c>
      <c r="H249" s="3" t="str">
        <f ca="1">HYPERLINK("#"&amp;자재단가대비표!R2&amp;"!A"&amp;ROW(자재단가대비표!A250),"자재246 →")</f>
        <v>자재246 →</v>
      </c>
    </row>
    <row r="250" spans="1:8" ht="17.45" customHeight="1" x14ac:dyDescent="0.3">
      <c r="A250" s="9" t="s">
        <v>2732</v>
      </c>
      <c r="B250" s="10" t="s">
        <v>2733</v>
      </c>
      <c r="C250" s="10" t="s">
        <v>2734</v>
      </c>
      <c r="D250" s="9" t="s">
        <v>2099</v>
      </c>
      <c r="E250" s="32">
        <f>자재단가대비표!O251</f>
        <v>14300</v>
      </c>
      <c r="F250" s="22" t="s">
        <v>2732</v>
      </c>
      <c r="G250" s="17" t="str">
        <f>"_x0007_`COD|M00045_x0005_`QTY1|1_x0005_`BQC|_x0005_`EQC|_x0005_`JDC|_x0005_`WQC|_x0005_`EDT|_x0005_`DET|"&amp;ROW(자재단가대비표!A251)&amp;"_x0005_`"</f>
        <v>_x0007_`COD|M00045_x0005_`QTY1|1_x0005_`BQC|_x0005_`EQC|_x0005_`JDC|_x0005_`WQC|_x0005_`EDT|_x0005_`DET|251_x0005_`</v>
      </c>
      <c r="H250" s="3" t="str">
        <f ca="1">HYPERLINK("#"&amp;자재단가대비표!R2&amp;"!A"&amp;ROW(자재단가대비표!A251),"자재247 →")</f>
        <v>자재247 →</v>
      </c>
    </row>
    <row r="251" spans="1:8" ht="17.45" customHeight="1" x14ac:dyDescent="0.3">
      <c r="A251" s="9" t="s">
        <v>2736</v>
      </c>
      <c r="B251" s="10" t="s">
        <v>803</v>
      </c>
      <c r="C251" s="10" t="s">
        <v>2737</v>
      </c>
      <c r="D251" s="9" t="s">
        <v>1010</v>
      </c>
      <c r="E251" s="32">
        <f>자재단가대비표!O252</f>
        <v>1856000</v>
      </c>
      <c r="F251" s="22" t="s">
        <v>2736</v>
      </c>
      <c r="G251" s="17" t="str">
        <f>"_x0007_`COD|M06529_x0005_`QTY1|1_x0005_`BQC|_x0005_`EQC|_x0005_`JDC|_x0005_`WQC|_x0005_`EDT|_x0005_`DET|"&amp;ROW(자재단가대비표!A252)&amp;"_x0005_`"</f>
        <v>_x0007_`COD|M06529_x0005_`QTY1|1_x0005_`BQC|_x0005_`EQC|_x0005_`JDC|_x0005_`WQC|_x0005_`EDT|_x0005_`DET|252_x0005_`</v>
      </c>
      <c r="H251" s="3" t="str">
        <f ca="1">HYPERLINK("#"&amp;자재단가대비표!R2&amp;"!A"&amp;ROW(자재단가대비표!A252),"자재248 →")</f>
        <v>자재248 →</v>
      </c>
    </row>
    <row r="252" spans="1:8" ht="17.45" customHeight="1" x14ac:dyDescent="0.3">
      <c r="A252" s="9" t="s">
        <v>2739</v>
      </c>
      <c r="B252" s="10" t="s">
        <v>803</v>
      </c>
      <c r="C252" s="10" t="s">
        <v>2740</v>
      </c>
      <c r="D252" s="9" t="s">
        <v>1010</v>
      </c>
      <c r="E252" s="32">
        <f>자재단가대비표!O253</f>
        <v>2497000</v>
      </c>
      <c r="F252" s="22" t="s">
        <v>2739</v>
      </c>
      <c r="G252" s="17" t="str">
        <f>"_x0007_`COD|M06530_x0005_`QTY1|1_x0005_`BQC|_x0005_`EQC|_x0005_`JDC|_x0005_`WQC|_x0005_`EDT|_x0005_`DET|"&amp;ROW(자재단가대비표!A253)&amp;"_x0005_`"</f>
        <v>_x0007_`COD|M06530_x0005_`QTY1|1_x0005_`BQC|_x0005_`EQC|_x0005_`JDC|_x0005_`WQC|_x0005_`EDT|_x0005_`DET|253_x0005_`</v>
      </c>
      <c r="H252" s="3" t="str">
        <f ca="1">HYPERLINK("#"&amp;자재단가대비표!R2&amp;"!A"&amp;ROW(자재단가대비표!A253),"자재249 →")</f>
        <v>자재249 →</v>
      </c>
    </row>
    <row r="253" spans="1:8" ht="17.45" customHeight="1" x14ac:dyDescent="0.3">
      <c r="A253" s="9" t="s">
        <v>2742</v>
      </c>
      <c r="B253" s="10" t="s">
        <v>803</v>
      </c>
      <c r="C253" s="10" t="s">
        <v>2743</v>
      </c>
      <c r="D253" s="9" t="s">
        <v>1010</v>
      </c>
      <c r="E253" s="32">
        <f>자재단가대비표!O254</f>
        <v>3388000</v>
      </c>
      <c r="F253" s="22" t="s">
        <v>2742</v>
      </c>
      <c r="G253" s="17" t="str">
        <f>"_x0007_`COD|M06531_x0005_`QTY1|1_x0005_`BQC|_x0005_`EQC|_x0005_`JDC|_x0005_`WQC|_x0005_`EDT|_x0005_`DET|"&amp;ROW(자재단가대비표!A254)&amp;"_x0005_`"</f>
        <v>_x0007_`COD|M06531_x0005_`QTY1|1_x0005_`BQC|_x0005_`EQC|_x0005_`JDC|_x0005_`WQC|_x0005_`EDT|_x0005_`DET|254_x0005_`</v>
      </c>
      <c r="H253" s="3" t="str">
        <f ca="1">HYPERLINK("#"&amp;자재단가대비표!R2&amp;"!A"&amp;ROW(자재단가대비표!A254),"자재250 →")</f>
        <v>자재250 →</v>
      </c>
    </row>
    <row r="254" spans="1:8" ht="17.45" customHeight="1" x14ac:dyDescent="0.3">
      <c r="A254" s="9" t="s">
        <v>2745</v>
      </c>
      <c r="B254" s="10" t="s">
        <v>803</v>
      </c>
      <c r="C254" s="10" t="s">
        <v>2746</v>
      </c>
      <c r="D254" s="9" t="s">
        <v>14</v>
      </c>
      <c r="E254" s="32">
        <f>자재단가대비표!O255</f>
        <v>708000</v>
      </c>
      <c r="F254" s="22" t="s">
        <v>2745</v>
      </c>
      <c r="G254" s="17" t="str">
        <f>"_x0007_`COD|M06525_x0005_`QTY1|1_x0005_`BQC|_x0005_`EQC|_x0005_`JDC|_x0005_`WQC|_x0005_`EDT|_x0005_`DET|"&amp;ROW(자재단가대비표!A255)&amp;"_x0005_`"</f>
        <v>_x0007_`COD|M06525_x0005_`QTY1|1_x0005_`BQC|_x0005_`EQC|_x0005_`JDC|_x0005_`WQC|_x0005_`EDT|_x0005_`DET|255_x0005_`</v>
      </c>
      <c r="H254" s="3" t="str">
        <f ca="1">HYPERLINK("#"&amp;자재단가대비표!R2&amp;"!A"&amp;ROW(자재단가대비표!A255),"자재251 →")</f>
        <v>자재251 →</v>
      </c>
    </row>
    <row r="255" spans="1:8" ht="17.45" customHeight="1" x14ac:dyDescent="0.3">
      <c r="A255" s="9" t="s">
        <v>2748</v>
      </c>
      <c r="B255" s="10" t="s">
        <v>803</v>
      </c>
      <c r="C255" s="10" t="s">
        <v>2749</v>
      </c>
      <c r="D255" s="9" t="s">
        <v>1010</v>
      </c>
      <c r="E255" s="32">
        <f>자재단가대비표!O256</f>
        <v>5258000</v>
      </c>
      <c r="F255" s="22" t="s">
        <v>2748</v>
      </c>
      <c r="G255" s="17" t="str">
        <f>"_x0007_`COD|M06532_x0005_`QTY1|1_x0005_`BQC|_x0005_`EQC|_x0005_`JDC|_x0005_`WQC|_x0005_`EDT|_x0005_`DET|"&amp;ROW(자재단가대비표!A256)&amp;"_x0005_`"</f>
        <v>_x0007_`COD|M06532_x0005_`QTY1|1_x0005_`BQC|_x0005_`EQC|_x0005_`JDC|_x0005_`WQC|_x0005_`EDT|_x0005_`DET|256_x0005_`</v>
      </c>
      <c r="H255" s="3" t="str">
        <f ca="1">HYPERLINK("#"&amp;자재단가대비표!R2&amp;"!A"&amp;ROW(자재단가대비표!A256),"자재252 →")</f>
        <v>자재252 →</v>
      </c>
    </row>
    <row r="256" spans="1:8" ht="17.45" customHeight="1" x14ac:dyDescent="0.3">
      <c r="A256" s="9" t="s">
        <v>2751</v>
      </c>
      <c r="B256" s="10" t="s">
        <v>803</v>
      </c>
      <c r="C256" s="10" t="s">
        <v>2752</v>
      </c>
      <c r="D256" s="9" t="s">
        <v>1010</v>
      </c>
      <c r="E256" s="32">
        <f>자재단가대비표!O257</f>
        <v>873000</v>
      </c>
      <c r="F256" s="22" t="s">
        <v>2751</v>
      </c>
      <c r="G256" s="17" t="str">
        <f>"_x0007_`COD|M06526_x0005_`QTY1|1_x0005_`BQC|_x0005_`EQC|_x0005_`JDC|_x0005_`WQC|_x0005_`EDT|_x0005_`DET|"&amp;ROW(자재단가대비표!A257)&amp;"_x0005_`"</f>
        <v>_x0007_`COD|M06526_x0005_`QTY1|1_x0005_`BQC|_x0005_`EQC|_x0005_`JDC|_x0005_`WQC|_x0005_`EDT|_x0005_`DET|257_x0005_`</v>
      </c>
      <c r="H256" s="3" t="str">
        <f ca="1">HYPERLINK("#"&amp;자재단가대비표!R2&amp;"!A"&amp;ROW(자재단가대비표!A257),"자재253 →")</f>
        <v>자재253 →</v>
      </c>
    </row>
    <row r="257" spans="1:8" ht="17.45" customHeight="1" x14ac:dyDescent="0.3">
      <c r="A257" s="9" t="s">
        <v>2754</v>
      </c>
      <c r="B257" s="10" t="s">
        <v>803</v>
      </c>
      <c r="C257" s="10" t="s">
        <v>2755</v>
      </c>
      <c r="D257" s="9" t="s">
        <v>1010</v>
      </c>
      <c r="E257" s="32">
        <f>자재단가대비표!O258</f>
        <v>7532000</v>
      </c>
      <c r="F257" s="22" t="s">
        <v>2754</v>
      </c>
      <c r="G257" s="17" t="str">
        <f>"_x0007_`COD|M06673_x0005_`QTY1|1_x0005_`BQC|_x0005_`EQC|_x0005_`JDC|_x0005_`WQC|_x0005_`EDT|_x0005_`DET|"&amp;ROW(자재단가대비표!A258)&amp;"_x0005_`"</f>
        <v>_x0007_`COD|M06673_x0005_`QTY1|1_x0005_`BQC|_x0005_`EQC|_x0005_`JDC|_x0005_`WQC|_x0005_`EDT|_x0005_`DET|258_x0005_`</v>
      </c>
      <c r="H257" s="3" t="str">
        <f ca="1">HYPERLINK("#"&amp;자재단가대비표!R2&amp;"!A"&amp;ROW(자재단가대비표!A258),"자재254 →")</f>
        <v>자재254 →</v>
      </c>
    </row>
    <row r="258" spans="1:8" ht="17.45" customHeight="1" x14ac:dyDescent="0.3">
      <c r="A258" s="9" t="s">
        <v>2757</v>
      </c>
      <c r="B258" s="10" t="s">
        <v>803</v>
      </c>
      <c r="C258" s="10" t="s">
        <v>2758</v>
      </c>
      <c r="D258" s="9" t="s">
        <v>1010</v>
      </c>
      <c r="E258" s="32">
        <f>자재단가대비표!O259</f>
        <v>9512000</v>
      </c>
      <c r="F258" s="22" t="s">
        <v>2757</v>
      </c>
      <c r="G258" s="17" t="str">
        <f>"_x0007_`COD|M06674_x0005_`QTY1|1_x0005_`BQC|_x0005_`EQC|_x0005_`JDC|_x0005_`WQC|_x0005_`EDT|_x0005_`DET|"&amp;ROW(자재단가대비표!A259)&amp;"_x0005_`"</f>
        <v>_x0007_`COD|M06674_x0005_`QTY1|1_x0005_`BQC|_x0005_`EQC|_x0005_`JDC|_x0005_`WQC|_x0005_`EDT|_x0005_`DET|259_x0005_`</v>
      </c>
      <c r="H258" s="3" t="str">
        <f ca="1">HYPERLINK("#"&amp;자재단가대비표!R2&amp;"!A"&amp;ROW(자재단가대비표!A259),"자재255 →")</f>
        <v>자재255 →</v>
      </c>
    </row>
    <row r="259" spans="1:8" ht="17.45" customHeight="1" x14ac:dyDescent="0.3">
      <c r="A259" s="9" t="s">
        <v>2760</v>
      </c>
      <c r="B259" s="10" t="s">
        <v>803</v>
      </c>
      <c r="C259" s="10" t="s">
        <v>2761</v>
      </c>
      <c r="D259" s="9" t="s">
        <v>1010</v>
      </c>
      <c r="E259" s="32">
        <f>자재단가대비표!O260</f>
        <v>1070000</v>
      </c>
      <c r="F259" s="22" t="s">
        <v>2760</v>
      </c>
      <c r="G259" s="17" t="str">
        <f>"_x0007_`COD|M06527_x0005_`QTY1|1_x0005_`BQC|_x0005_`EQC|_x0005_`JDC|_x0005_`WQC|_x0005_`EDT|_x0005_`DET|"&amp;ROW(자재단가대비표!A260)&amp;"_x0005_`"</f>
        <v>_x0007_`COD|M06527_x0005_`QTY1|1_x0005_`BQC|_x0005_`EQC|_x0005_`JDC|_x0005_`WQC|_x0005_`EDT|_x0005_`DET|260_x0005_`</v>
      </c>
      <c r="H259" s="3" t="str">
        <f ca="1">HYPERLINK("#"&amp;자재단가대비표!R2&amp;"!A"&amp;ROW(자재단가대비표!A260),"자재256 →")</f>
        <v>자재256 →</v>
      </c>
    </row>
    <row r="260" spans="1:8" ht="17.45" customHeight="1" x14ac:dyDescent="0.3">
      <c r="A260" s="9" t="s">
        <v>2763</v>
      </c>
      <c r="B260" s="10" t="s">
        <v>803</v>
      </c>
      <c r="C260" s="10" t="s">
        <v>2764</v>
      </c>
      <c r="D260" s="9" t="s">
        <v>1010</v>
      </c>
      <c r="E260" s="32">
        <f>자재단가대비표!O261</f>
        <v>8659000</v>
      </c>
      <c r="F260" s="22" t="s">
        <v>2763</v>
      </c>
      <c r="G260" s="17" t="str">
        <f>"_x0007_`COD|M06533_x0005_`QTY1|1_x0005_`BQC|_x0005_`EQC|_x0005_`JDC|_x0005_`WQC|_x0005_`EDT|_x0005_`DET|"&amp;ROW(자재단가대비표!A261)&amp;"_x0005_`"</f>
        <v>_x0007_`COD|M06533_x0005_`QTY1|1_x0005_`BQC|_x0005_`EQC|_x0005_`JDC|_x0005_`WQC|_x0005_`EDT|_x0005_`DET|261_x0005_`</v>
      </c>
      <c r="H260" s="3" t="str">
        <f ca="1">HYPERLINK("#"&amp;자재단가대비표!R2&amp;"!A"&amp;ROW(자재단가대비표!A261),"자재257 →")</f>
        <v>자재257 →</v>
      </c>
    </row>
    <row r="261" spans="1:8" ht="17.45" customHeight="1" x14ac:dyDescent="0.3">
      <c r="A261" s="9" t="s">
        <v>2766</v>
      </c>
      <c r="B261" s="10" t="s">
        <v>803</v>
      </c>
      <c r="C261" s="10" t="s">
        <v>2767</v>
      </c>
      <c r="D261" s="9" t="s">
        <v>1010</v>
      </c>
      <c r="E261" s="32">
        <f>자재단가대비표!O262</f>
        <v>1595000</v>
      </c>
      <c r="F261" s="22" t="s">
        <v>2766</v>
      </c>
      <c r="G261" s="17" t="str">
        <f>"_x0007_`COD|M06528_x0005_`QTY1|1_x0005_`BQC|_x0005_`EQC|_x0005_`JDC|_x0005_`WQC|_x0005_`EDT|_x0005_`DET|"&amp;ROW(자재단가대비표!A262)&amp;"_x0005_`"</f>
        <v>_x0007_`COD|M06528_x0005_`QTY1|1_x0005_`BQC|_x0005_`EQC|_x0005_`JDC|_x0005_`WQC|_x0005_`EDT|_x0005_`DET|262_x0005_`</v>
      </c>
      <c r="H261" s="3" t="str">
        <f ca="1">HYPERLINK("#"&amp;자재단가대비표!R2&amp;"!A"&amp;ROW(자재단가대비표!A262),"자재258 →")</f>
        <v>자재258 →</v>
      </c>
    </row>
    <row r="262" spans="1:8" ht="17.45" customHeight="1" x14ac:dyDescent="0.3">
      <c r="A262" s="9" t="s">
        <v>2769</v>
      </c>
      <c r="B262" s="10" t="s">
        <v>803</v>
      </c>
      <c r="C262" s="10" t="s">
        <v>2770</v>
      </c>
      <c r="D262" s="9" t="s">
        <v>1010</v>
      </c>
      <c r="E262" s="32">
        <f>자재단가대비표!O263</f>
        <v>16461000</v>
      </c>
      <c r="F262" s="22" t="s">
        <v>2769</v>
      </c>
      <c r="G262" s="17" t="str">
        <f>"_x0007_`COD|M06534_x0005_`QTY1|1_x0005_`BQC|_x0005_`EQC|_x0005_`JDC|_x0005_`WQC|_x0005_`EDT|_x0005_`DET|"&amp;ROW(자재단가대비표!A263)&amp;"_x0005_`"</f>
        <v>_x0007_`COD|M06534_x0005_`QTY1|1_x0005_`BQC|_x0005_`EQC|_x0005_`JDC|_x0005_`WQC|_x0005_`EDT|_x0005_`DET|263_x0005_`</v>
      </c>
      <c r="H262" s="3" t="str">
        <f ca="1">HYPERLINK("#"&amp;자재단가대비표!R2&amp;"!A"&amp;ROW(자재단가대비표!A263),"자재259 →")</f>
        <v>자재259 →</v>
      </c>
    </row>
    <row r="263" spans="1:8" ht="17.45" customHeight="1" x14ac:dyDescent="0.3">
      <c r="A263" s="9" t="s">
        <v>2772</v>
      </c>
      <c r="B263" s="10" t="s">
        <v>2773</v>
      </c>
      <c r="C263" s="10" t="s">
        <v>2774</v>
      </c>
      <c r="D263" s="9" t="s">
        <v>2302</v>
      </c>
      <c r="E263" s="32">
        <f>자재단가대비표!O264</f>
        <v>5110</v>
      </c>
      <c r="F263" s="22" t="s">
        <v>2772</v>
      </c>
      <c r="G263" s="17" t="str">
        <f>"_x0007_`COD|M03269_x0005_`QTY1|1_x0005_`BQC|_x0005_`EQC|_x0005_`JDC|_x0005_`WQC|_x0005_`EDT|_x0005_`DET|"&amp;ROW(자재단가대비표!A264)&amp;"_x0005_`"</f>
        <v>_x0007_`COD|M03269_x0005_`QTY1|1_x0005_`BQC|_x0005_`EQC|_x0005_`JDC|_x0005_`WQC|_x0005_`EDT|_x0005_`DET|264_x0005_`</v>
      </c>
      <c r="H263" s="3" t="str">
        <f ca="1">HYPERLINK("#"&amp;자재단가대비표!R2&amp;"!A"&amp;ROW(자재단가대비표!A264),"자재260 →")</f>
        <v>자재260 →</v>
      </c>
    </row>
    <row r="264" spans="1:8" ht="17.45" customHeight="1" x14ac:dyDescent="0.3">
      <c r="A264" s="9" t="s">
        <v>2776</v>
      </c>
      <c r="B264" s="10" t="s">
        <v>2777</v>
      </c>
      <c r="C264" s="10" t="s">
        <v>533</v>
      </c>
      <c r="D264" s="9" t="s">
        <v>14</v>
      </c>
      <c r="E264" s="32">
        <f>자재단가대비표!O265</f>
        <v>1871000</v>
      </c>
      <c r="F264" s="22" t="s">
        <v>2776</v>
      </c>
      <c r="G264" s="17" t="str">
        <f>"_x0007_`COD|M06509_x0005_`QTY1|1_x0005_`BQC|_x0005_`EQC|_x0005_`JDC|_x0005_`WQC|_x0005_`EDT|_x0005_`DET|"&amp;ROW(자재단가대비표!A265)&amp;"_x0005_`"</f>
        <v>_x0007_`COD|M06509_x0005_`QTY1|1_x0005_`BQC|_x0005_`EQC|_x0005_`JDC|_x0005_`WQC|_x0005_`EDT|_x0005_`DET|265_x0005_`</v>
      </c>
      <c r="H264" s="3" t="str">
        <f ca="1">HYPERLINK("#"&amp;자재단가대비표!R2&amp;"!A"&amp;ROW(자재단가대비표!A265),"자재261 →")</f>
        <v>자재261 →</v>
      </c>
    </row>
    <row r="265" spans="1:8" ht="17.45" customHeight="1" x14ac:dyDescent="0.3">
      <c r="A265" s="9" t="s">
        <v>2779</v>
      </c>
      <c r="B265" s="10" t="s">
        <v>2780</v>
      </c>
      <c r="C265" s="10" t="s">
        <v>816</v>
      </c>
      <c r="D265" s="9" t="s">
        <v>14</v>
      </c>
      <c r="E265" s="32">
        <f>자재단가대비표!O266</f>
        <v>5568000</v>
      </c>
      <c r="F265" s="22" t="s">
        <v>2779</v>
      </c>
      <c r="G265" s="17" t="str">
        <f>"_x0007_`COD|M06784_x0005_`QTY1|1_x0005_`BQC|_x0005_`EQC|_x0005_`JDC|_x0005_`WQC|_x0005_`EDT|_x0005_`DET|"&amp;ROW(자재단가대비표!A266)&amp;"_x0005_`"</f>
        <v>_x0007_`COD|M06784_x0005_`QTY1|1_x0005_`BQC|_x0005_`EQC|_x0005_`JDC|_x0005_`WQC|_x0005_`EDT|_x0005_`DET|266_x0005_`</v>
      </c>
      <c r="H265" s="3" t="str">
        <f ca="1">HYPERLINK("#"&amp;자재단가대비표!R2&amp;"!A"&amp;ROW(자재단가대비표!A266),"자재262 →")</f>
        <v>자재262 →</v>
      </c>
    </row>
    <row r="266" spans="1:8" ht="17.45" customHeight="1" x14ac:dyDescent="0.3">
      <c r="A266" s="9" t="s">
        <v>2782</v>
      </c>
      <c r="B266" s="10" t="s">
        <v>2780</v>
      </c>
      <c r="C266" s="10" t="s">
        <v>819</v>
      </c>
      <c r="D266" s="9" t="s">
        <v>14</v>
      </c>
      <c r="E266" s="32">
        <f>자재단가대비표!O267</f>
        <v>6522000</v>
      </c>
      <c r="F266" s="22" t="s">
        <v>2782</v>
      </c>
      <c r="G266" s="17" t="str">
        <f>"_x0007_`COD|M06785_x0005_`QTY1|1_x0005_`BQC|_x0005_`EQC|_x0005_`JDC|_x0005_`WQC|_x0005_`EDT|_x0005_`DET|"&amp;ROW(자재단가대비표!A267)&amp;"_x0005_`"</f>
        <v>_x0007_`COD|M06785_x0005_`QTY1|1_x0005_`BQC|_x0005_`EQC|_x0005_`JDC|_x0005_`WQC|_x0005_`EDT|_x0005_`DET|267_x0005_`</v>
      </c>
      <c r="H266" s="3" t="str">
        <f ca="1">HYPERLINK("#"&amp;자재단가대비표!R2&amp;"!A"&amp;ROW(자재단가대비표!A267),"자재263 →")</f>
        <v>자재263 →</v>
      </c>
    </row>
    <row r="267" spans="1:8" ht="17.45" customHeight="1" x14ac:dyDescent="0.3">
      <c r="A267" s="9" t="s">
        <v>2784</v>
      </c>
      <c r="B267" s="10" t="s">
        <v>2780</v>
      </c>
      <c r="C267" s="10" t="s">
        <v>822</v>
      </c>
      <c r="D267" s="9" t="s">
        <v>14</v>
      </c>
      <c r="E267" s="32">
        <f>자재단가대비표!O268</f>
        <v>8244000</v>
      </c>
      <c r="F267" s="22" t="s">
        <v>2784</v>
      </c>
      <c r="G267" s="17" t="str">
        <f>"_x0007_`COD|M06786_x0005_`QTY1|1_x0005_`BQC|_x0005_`EQC|_x0005_`JDC|_x0005_`WQC|_x0005_`EDT|_x0005_`DET|"&amp;ROW(자재단가대비표!A268)&amp;"_x0005_`"</f>
        <v>_x0007_`COD|M06786_x0005_`QTY1|1_x0005_`BQC|_x0005_`EQC|_x0005_`JDC|_x0005_`WQC|_x0005_`EDT|_x0005_`DET|268_x0005_`</v>
      </c>
      <c r="H267" s="3" t="str">
        <f ca="1">HYPERLINK("#"&amp;자재단가대비표!R2&amp;"!A"&amp;ROW(자재단가대비표!A268),"자재264 →")</f>
        <v>자재264 →</v>
      </c>
    </row>
    <row r="268" spans="1:8" ht="17.45" customHeight="1" x14ac:dyDescent="0.3">
      <c r="A268" s="9" t="s">
        <v>2786</v>
      </c>
      <c r="B268" s="10" t="s">
        <v>2780</v>
      </c>
      <c r="C268" s="10" t="s">
        <v>804</v>
      </c>
      <c r="D268" s="9" t="s">
        <v>14</v>
      </c>
      <c r="E268" s="32">
        <f>자재단가대비표!O269</f>
        <v>2532000</v>
      </c>
      <c r="F268" s="22" t="s">
        <v>2786</v>
      </c>
      <c r="G268" s="17" t="str">
        <f>"_x0007_`COD|M06780_x0005_`QTY1|1_x0005_`BQC|_x0005_`EQC|_x0005_`JDC|_x0005_`WQC|_x0005_`EDT|_x0005_`DET|"&amp;ROW(자재단가대비표!A269)&amp;"_x0005_`"</f>
        <v>_x0007_`COD|M06780_x0005_`QTY1|1_x0005_`BQC|_x0005_`EQC|_x0005_`JDC|_x0005_`WQC|_x0005_`EDT|_x0005_`DET|269_x0005_`</v>
      </c>
      <c r="H268" s="3" t="str">
        <f ca="1">HYPERLINK("#"&amp;자재단가대비표!R2&amp;"!A"&amp;ROW(자재단가대비표!A269),"자재265 →")</f>
        <v>자재265 →</v>
      </c>
    </row>
    <row r="269" spans="1:8" ht="17.45" customHeight="1" x14ac:dyDescent="0.3">
      <c r="A269" s="9" t="s">
        <v>2788</v>
      </c>
      <c r="B269" s="10" t="s">
        <v>2780</v>
      </c>
      <c r="C269" s="10" t="s">
        <v>825</v>
      </c>
      <c r="D269" s="9" t="s">
        <v>14</v>
      </c>
      <c r="E269" s="32">
        <f>자재단가대비표!O270</f>
        <v>14106000</v>
      </c>
      <c r="F269" s="22" t="s">
        <v>2788</v>
      </c>
      <c r="G269" s="17" t="str">
        <f>"_x0007_`COD|M06787_x0005_`QTY1|1_x0005_`BQC|_x0005_`EQC|_x0005_`JDC|_x0005_`WQC|_x0005_`EDT|_x0005_`DET|"&amp;ROW(자재단가대비표!A270)&amp;"_x0005_`"</f>
        <v>_x0007_`COD|M06787_x0005_`QTY1|1_x0005_`BQC|_x0005_`EQC|_x0005_`JDC|_x0005_`WQC|_x0005_`EDT|_x0005_`DET|270_x0005_`</v>
      </c>
      <c r="H269" s="3" t="str">
        <f ca="1">HYPERLINK("#"&amp;자재단가대비표!R2&amp;"!A"&amp;ROW(자재단가대비표!A270),"자재266 →")</f>
        <v>자재266 →</v>
      </c>
    </row>
    <row r="270" spans="1:8" ht="17.45" customHeight="1" x14ac:dyDescent="0.3">
      <c r="A270" s="9" t="s">
        <v>2790</v>
      </c>
      <c r="B270" s="10" t="s">
        <v>2780</v>
      </c>
      <c r="C270" s="10" t="s">
        <v>807</v>
      </c>
      <c r="D270" s="9" t="s">
        <v>14</v>
      </c>
      <c r="E270" s="32">
        <f>자재단가대비표!O271</f>
        <v>2994000</v>
      </c>
      <c r="F270" s="22" t="s">
        <v>2790</v>
      </c>
      <c r="G270" s="17" t="str">
        <f>"_x0007_`COD|M06781_x0005_`QTY1|1_x0005_`BQC|_x0005_`EQC|_x0005_`JDC|_x0005_`WQC|_x0005_`EDT|_x0005_`DET|"&amp;ROW(자재단가대비표!A271)&amp;"_x0005_`"</f>
        <v>_x0007_`COD|M06781_x0005_`QTY1|1_x0005_`BQC|_x0005_`EQC|_x0005_`JDC|_x0005_`WQC|_x0005_`EDT|_x0005_`DET|271_x0005_`</v>
      </c>
      <c r="H270" s="3" t="str">
        <f ca="1">HYPERLINK("#"&amp;자재단가대비표!R2&amp;"!A"&amp;ROW(자재단가대비표!A271),"자재267 →")</f>
        <v>자재267 →</v>
      </c>
    </row>
    <row r="271" spans="1:8" ht="17.45" customHeight="1" x14ac:dyDescent="0.3">
      <c r="A271" s="9" t="s">
        <v>2792</v>
      </c>
      <c r="B271" s="10" t="s">
        <v>2780</v>
      </c>
      <c r="C271" s="10" t="s">
        <v>810</v>
      </c>
      <c r="D271" s="9" t="s">
        <v>14</v>
      </c>
      <c r="E271" s="32">
        <f>자재단가대비표!O272</f>
        <v>3654000</v>
      </c>
      <c r="F271" s="22" t="s">
        <v>2792</v>
      </c>
      <c r="G271" s="17" t="str">
        <f>"_x0007_`COD|M06782_x0005_`QTY1|1_x0005_`BQC|_x0005_`EQC|_x0005_`JDC|_x0005_`WQC|_x0005_`EDT|_x0005_`DET|"&amp;ROW(자재단가대비표!A272)&amp;"_x0005_`"</f>
        <v>_x0007_`COD|M06782_x0005_`QTY1|1_x0005_`BQC|_x0005_`EQC|_x0005_`JDC|_x0005_`WQC|_x0005_`EDT|_x0005_`DET|272_x0005_`</v>
      </c>
      <c r="H271" s="3" t="str">
        <f ca="1">HYPERLINK("#"&amp;자재단가대비표!R2&amp;"!A"&amp;ROW(자재단가대비표!A272),"자재268 →")</f>
        <v>자재268 →</v>
      </c>
    </row>
    <row r="272" spans="1:8" ht="17.45" customHeight="1" x14ac:dyDescent="0.3">
      <c r="A272" s="9" t="s">
        <v>2794</v>
      </c>
      <c r="B272" s="10" t="s">
        <v>2780</v>
      </c>
      <c r="C272" s="10" t="s">
        <v>834</v>
      </c>
      <c r="D272" s="9" t="s">
        <v>14</v>
      </c>
      <c r="E272" s="32">
        <f>자재단가대비표!O273</f>
        <v>23856000</v>
      </c>
      <c r="F272" s="22" t="s">
        <v>2794</v>
      </c>
      <c r="G272" s="17" t="str">
        <f>"_x0007_`COD|M06788_x0005_`QTY1|1_x0005_`BQC|_x0005_`EQC|_x0005_`JDC|_x0005_`WQC|_x0005_`EDT|_x0005_`DET|"&amp;ROW(자재단가대비표!A273)&amp;"_x0005_`"</f>
        <v>_x0007_`COD|M06788_x0005_`QTY1|1_x0005_`BQC|_x0005_`EQC|_x0005_`JDC|_x0005_`WQC|_x0005_`EDT|_x0005_`DET|273_x0005_`</v>
      </c>
      <c r="H272" s="3" t="str">
        <f ca="1">HYPERLINK("#"&amp;자재단가대비표!R2&amp;"!A"&amp;ROW(자재단가대비표!A273),"자재269 →")</f>
        <v>자재269 →</v>
      </c>
    </row>
    <row r="273" spans="1:8" ht="17.45" customHeight="1" x14ac:dyDescent="0.3">
      <c r="A273" s="9" t="s">
        <v>2796</v>
      </c>
      <c r="B273" s="10" t="s">
        <v>2780</v>
      </c>
      <c r="C273" s="10" t="s">
        <v>813</v>
      </c>
      <c r="D273" s="9" t="s">
        <v>14</v>
      </c>
      <c r="E273" s="32">
        <f>자재단가대비표!O274</f>
        <v>6960000</v>
      </c>
      <c r="F273" s="22" t="s">
        <v>2796</v>
      </c>
      <c r="G273" s="17" t="str">
        <f>"_x0007_`COD|M06783_x0005_`QTY1|1_x0005_`BQC|_x0005_`EQC|_x0005_`JDC|_x0005_`WQC|_x0005_`EDT|_x0005_`DET|"&amp;ROW(자재단가대비표!A274)&amp;"_x0005_`"</f>
        <v>_x0007_`COD|M06783_x0005_`QTY1|1_x0005_`BQC|_x0005_`EQC|_x0005_`JDC|_x0005_`WQC|_x0005_`EDT|_x0005_`DET|274_x0005_`</v>
      </c>
      <c r="H273" s="3" t="str">
        <f ca="1">HYPERLINK("#"&amp;자재단가대비표!R2&amp;"!A"&amp;ROW(자재단가대비표!A274),"자재270 →")</f>
        <v>자재270 →</v>
      </c>
    </row>
    <row r="274" spans="1:8" ht="17.45" customHeight="1" x14ac:dyDescent="0.3">
      <c r="A274" s="9" t="s">
        <v>2798</v>
      </c>
      <c r="B274" s="10" t="s">
        <v>2780</v>
      </c>
      <c r="C274" s="10" t="s">
        <v>837</v>
      </c>
      <c r="D274" s="9" t="s">
        <v>14</v>
      </c>
      <c r="E274" s="32">
        <f>자재단가대비표!O275</f>
        <v>35353000</v>
      </c>
      <c r="F274" s="22" t="s">
        <v>2798</v>
      </c>
      <c r="G274" s="17" t="str">
        <f>"_x0007_`COD|M06789_x0005_`QTY1|1_x0005_`BQC|_x0005_`EQC|_x0005_`JDC|_x0005_`WQC|_x0005_`EDT|_x0005_`DET|"&amp;ROW(자재단가대비표!A275)&amp;"_x0005_`"</f>
        <v>_x0007_`COD|M06789_x0005_`QTY1|1_x0005_`BQC|_x0005_`EQC|_x0005_`JDC|_x0005_`WQC|_x0005_`EDT|_x0005_`DET|275_x0005_`</v>
      </c>
      <c r="H274" s="3" t="str">
        <f ca="1">HYPERLINK("#"&amp;자재단가대비표!R2&amp;"!A"&amp;ROW(자재단가대비표!A275),"자재271 →")</f>
        <v>자재271 →</v>
      </c>
    </row>
    <row r="275" spans="1:8" ht="17.45" customHeight="1" x14ac:dyDescent="0.3">
      <c r="A275" s="9" t="s">
        <v>2800</v>
      </c>
      <c r="B275" s="10" t="s">
        <v>2801</v>
      </c>
      <c r="C275" s="10" t="s">
        <v>816</v>
      </c>
      <c r="D275" s="9" t="s">
        <v>14</v>
      </c>
      <c r="E275" s="32">
        <f>자재단가대비표!O276</f>
        <v>51000</v>
      </c>
      <c r="F275" s="22" t="s">
        <v>2800</v>
      </c>
      <c r="G275" s="17" t="str">
        <f>"_x0007_`COD|M06794_x0005_`QTY1|1_x0005_`BQC|_x0005_`EQC|_x0005_`JDC|_x0005_`WQC|_x0005_`EDT|_x0005_`DET|"&amp;ROW(자재단가대비표!A276)&amp;"_x0005_`"</f>
        <v>_x0007_`COD|M06794_x0005_`QTY1|1_x0005_`BQC|_x0005_`EQC|_x0005_`JDC|_x0005_`WQC|_x0005_`EDT|_x0005_`DET|276_x0005_`</v>
      </c>
      <c r="H275" s="3" t="str">
        <f ca="1">HYPERLINK("#"&amp;자재단가대비표!R2&amp;"!A"&amp;ROW(자재단가대비표!A276),"자재272 →")</f>
        <v>자재272 →</v>
      </c>
    </row>
    <row r="276" spans="1:8" ht="17.45" customHeight="1" x14ac:dyDescent="0.3">
      <c r="A276" s="9" t="s">
        <v>2803</v>
      </c>
      <c r="B276" s="10" t="s">
        <v>2801</v>
      </c>
      <c r="C276" s="10" t="s">
        <v>819</v>
      </c>
      <c r="D276" s="9" t="s">
        <v>14</v>
      </c>
      <c r="E276" s="32">
        <f>자재단가대비표!O277</f>
        <v>51000</v>
      </c>
      <c r="F276" s="22" t="s">
        <v>2803</v>
      </c>
      <c r="G276" s="17" t="str">
        <f>"_x0007_`COD|M06795_x0005_`QTY1|1_x0005_`BQC|_x0005_`EQC|_x0005_`JDC|_x0005_`WQC|_x0005_`EDT|_x0005_`DET|"&amp;ROW(자재단가대비표!A277)&amp;"_x0005_`"</f>
        <v>_x0007_`COD|M06795_x0005_`QTY1|1_x0005_`BQC|_x0005_`EQC|_x0005_`JDC|_x0005_`WQC|_x0005_`EDT|_x0005_`DET|277_x0005_`</v>
      </c>
      <c r="H276" s="3" t="str">
        <f ca="1">HYPERLINK("#"&amp;자재단가대비표!R2&amp;"!A"&amp;ROW(자재단가대비표!A277),"자재273 →")</f>
        <v>자재273 →</v>
      </c>
    </row>
    <row r="277" spans="1:8" ht="17.45" customHeight="1" x14ac:dyDescent="0.3">
      <c r="A277" s="9" t="s">
        <v>2805</v>
      </c>
      <c r="B277" s="10" t="s">
        <v>2801</v>
      </c>
      <c r="C277" s="10" t="s">
        <v>822</v>
      </c>
      <c r="D277" s="9" t="s">
        <v>14</v>
      </c>
      <c r="E277" s="32">
        <f>자재단가대비표!O278</f>
        <v>51000</v>
      </c>
      <c r="F277" s="22" t="s">
        <v>2805</v>
      </c>
      <c r="G277" s="17" t="str">
        <f>"_x0007_`COD|M06796_x0005_`QTY1|1_x0005_`BQC|_x0005_`EQC|_x0005_`JDC|_x0005_`WQC|_x0005_`EDT|_x0005_`DET|"&amp;ROW(자재단가대비표!A278)&amp;"_x0005_`"</f>
        <v>_x0007_`COD|M06796_x0005_`QTY1|1_x0005_`BQC|_x0005_`EQC|_x0005_`JDC|_x0005_`WQC|_x0005_`EDT|_x0005_`DET|278_x0005_`</v>
      </c>
      <c r="H277" s="3" t="str">
        <f ca="1">HYPERLINK("#"&amp;자재단가대비표!R2&amp;"!A"&amp;ROW(자재단가대비표!A278),"자재274 →")</f>
        <v>자재274 →</v>
      </c>
    </row>
    <row r="278" spans="1:8" ht="17.45" customHeight="1" x14ac:dyDescent="0.3">
      <c r="A278" s="9" t="s">
        <v>2807</v>
      </c>
      <c r="B278" s="10" t="s">
        <v>2801</v>
      </c>
      <c r="C278" s="10" t="s">
        <v>804</v>
      </c>
      <c r="D278" s="9" t="s">
        <v>14</v>
      </c>
      <c r="E278" s="32">
        <f>자재단가대비표!O279</f>
        <v>25000</v>
      </c>
      <c r="F278" s="22" t="s">
        <v>2807</v>
      </c>
      <c r="G278" s="17" t="str">
        <f>"_x0007_`COD|M06790_x0005_`QTY1|1_x0005_`BQC|_x0005_`EQC|_x0005_`JDC|_x0005_`WQC|_x0005_`EDT|_x0005_`DET|"&amp;ROW(자재단가대비표!A279)&amp;"_x0005_`"</f>
        <v>_x0007_`COD|M06790_x0005_`QTY1|1_x0005_`BQC|_x0005_`EQC|_x0005_`JDC|_x0005_`WQC|_x0005_`EDT|_x0005_`DET|279_x0005_`</v>
      </c>
      <c r="H278" s="3" t="str">
        <f ca="1">HYPERLINK("#"&amp;자재단가대비표!R2&amp;"!A"&amp;ROW(자재단가대비표!A279),"자재275 →")</f>
        <v>자재275 →</v>
      </c>
    </row>
    <row r="279" spans="1:8" ht="17.45" customHeight="1" x14ac:dyDescent="0.3">
      <c r="A279" s="9" t="s">
        <v>2809</v>
      </c>
      <c r="B279" s="10" t="s">
        <v>2801</v>
      </c>
      <c r="C279" s="10" t="s">
        <v>825</v>
      </c>
      <c r="D279" s="9" t="s">
        <v>14</v>
      </c>
      <c r="E279" s="32">
        <f>자재단가대비표!O280</f>
        <v>104000</v>
      </c>
      <c r="F279" s="22" t="s">
        <v>2809</v>
      </c>
      <c r="G279" s="17" t="str">
        <f>"_x0007_`COD|M06797_x0005_`QTY1|1_x0005_`BQC|_x0005_`EQC|_x0005_`JDC|_x0005_`WQC|_x0005_`EDT|_x0005_`DET|"&amp;ROW(자재단가대비표!A280)&amp;"_x0005_`"</f>
        <v>_x0007_`COD|M06797_x0005_`QTY1|1_x0005_`BQC|_x0005_`EQC|_x0005_`JDC|_x0005_`WQC|_x0005_`EDT|_x0005_`DET|280_x0005_`</v>
      </c>
      <c r="H279" s="3" t="str">
        <f ca="1">HYPERLINK("#"&amp;자재단가대비표!R2&amp;"!A"&amp;ROW(자재단가대비표!A280),"자재276 →")</f>
        <v>자재276 →</v>
      </c>
    </row>
    <row r="280" spans="1:8" ht="17.45" customHeight="1" x14ac:dyDescent="0.3">
      <c r="A280" s="9" t="s">
        <v>2811</v>
      </c>
      <c r="B280" s="10" t="s">
        <v>2801</v>
      </c>
      <c r="C280" s="10" t="s">
        <v>807</v>
      </c>
      <c r="D280" s="9" t="s">
        <v>14</v>
      </c>
      <c r="E280" s="32">
        <f>자재단가대비표!O281</f>
        <v>25000</v>
      </c>
      <c r="F280" s="22" t="s">
        <v>2811</v>
      </c>
      <c r="G280" s="17" t="str">
        <f>"_x0007_`COD|M06791_x0005_`QTY1|1_x0005_`BQC|_x0005_`EQC|_x0005_`JDC|_x0005_`WQC|_x0005_`EDT|_x0005_`DET|"&amp;ROW(자재단가대비표!A281)&amp;"_x0005_`"</f>
        <v>_x0007_`COD|M06791_x0005_`QTY1|1_x0005_`BQC|_x0005_`EQC|_x0005_`JDC|_x0005_`WQC|_x0005_`EDT|_x0005_`DET|281_x0005_`</v>
      </c>
      <c r="H280" s="3" t="str">
        <f ca="1">HYPERLINK("#"&amp;자재단가대비표!R2&amp;"!A"&amp;ROW(자재단가대비표!A281),"자재277 →")</f>
        <v>자재277 →</v>
      </c>
    </row>
    <row r="281" spans="1:8" ht="17.45" customHeight="1" x14ac:dyDescent="0.3">
      <c r="A281" s="9" t="s">
        <v>2813</v>
      </c>
      <c r="B281" s="10" t="s">
        <v>2801</v>
      </c>
      <c r="C281" s="10" t="s">
        <v>810</v>
      </c>
      <c r="D281" s="9" t="s">
        <v>14</v>
      </c>
      <c r="E281" s="32">
        <f>자재단가대비표!O282</f>
        <v>25000</v>
      </c>
      <c r="F281" s="22" t="s">
        <v>2813</v>
      </c>
      <c r="G281" s="17" t="str">
        <f>"_x0007_`COD|M06792_x0005_`QTY1|1_x0005_`BQC|_x0005_`EQC|_x0005_`JDC|_x0005_`WQC|_x0005_`EDT|_x0005_`DET|"&amp;ROW(자재단가대비표!A282)&amp;"_x0005_`"</f>
        <v>_x0007_`COD|M06792_x0005_`QTY1|1_x0005_`BQC|_x0005_`EQC|_x0005_`JDC|_x0005_`WQC|_x0005_`EDT|_x0005_`DET|282_x0005_`</v>
      </c>
      <c r="H281" s="3" t="str">
        <f ca="1">HYPERLINK("#"&amp;자재단가대비표!R2&amp;"!A"&amp;ROW(자재단가대비표!A282),"자재278 →")</f>
        <v>자재278 →</v>
      </c>
    </row>
    <row r="282" spans="1:8" ht="17.45" customHeight="1" x14ac:dyDescent="0.3">
      <c r="A282" s="9" t="s">
        <v>2815</v>
      </c>
      <c r="B282" s="10" t="s">
        <v>2801</v>
      </c>
      <c r="C282" s="10" t="s">
        <v>834</v>
      </c>
      <c r="D282" s="9" t="s">
        <v>14</v>
      </c>
      <c r="E282" s="32">
        <f>자재단가대비표!O283</f>
        <v>104000</v>
      </c>
      <c r="F282" s="22" t="s">
        <v>2815</v>
      </c>
      <c r="G282" s="17" t="str">
        <f>"_x0007_`COD|M06798_x0005_`QTY1|1_x0005_`BQC|_x0005_`EQC|_x0005_`JDC|_x0005_`WQC|_x0005_`EDT|_x0005_`DET|"&amp;ROW(자재단가대비표!A283)&amp;"_x0005_`"</f>
        <v>_x0007_`COD|M06798_x0005_`QTY1|1_x0005_`BQC|_x0005_`EQC|_x0005_`JDC|_x0005_`WQC|_x0005_`EDT|_x0005_`DET|283_x0005_`</v>
      </c>
      <c r="H282" s="3" t="str">
        <f ca="1">HYPERLINK("#"&amp;자재단가대비표!R2&amp;"!A"&amp;ROW(자재단가대비표!A283),"자재279 →")</f>
        <v>자재279 →</v>
      </c>
    </row>
    <row r="283" spans="1:8" ht="17.45" customHeight="1" x14ac:dyDescent="0.3">
      <c r="A283" s="9" t="s">
        <v>2817</v>
      </c>
      <c r="B283" s="10" t="s">
        <v>2801</v>
      </c>
      <c r="C283" s="10" t="s">
        <v>813</v>
      </c>
      <c r="D283" s="9" t="s">
        <v>14</v>
      </c>
      <c r="E283" s="32">
        <f>자재단가대비표!O284</f>
        <v>25000</v>
      </c>
      <c r="F283" s="22" t="s">
        <v>2817</v>
      </c>
      <c r="G283" s="17" t="str">
        <f>"_x0007_`COD|M06793_x0005_`QTY1|1_x0005_`BQC|_x0005_`EQC|_x0005_`JDC|_x0005_`WQC|_x0005_`EDT|_x0005_`DET|"&amp;ROW(자재단가대비표!A284)&amp;"_x0005_`"</f>
        <v>_x0007_`COD|M06793_x0005_`QTY1|1_x0005_`BQC|_x0005_`EQC|_x0005_`JDC|_x0005_`WQC|_x0005_`EDT|_x0005_`DET|284_x0005_`</v>
      </c>
      <c r="H283" s="3" t="str">
        <f ca="1">HYPERLINK("#"&amp;자재단가대비표!R2&amp;"!A"&amp;ROW(자재단가대비표!A284),"자재280 →")</f>
        <v>자재280 →</v>
      </c>
    </row>
    <row r="284" spans="1:8" ht="17.45" customHeight="1" x14ac:dyDescent="0.3">
      <c r="A284" s="9" t="s">
        <v>2819</v>
      </c>
      <c r="B284" s="10" t="s">
        <v>2801</v>
      </c>
      <c r="C284" s="10" t="s">
        <v>837</v>
      </c>
      <c r="D284" s="9" t="s">
        <v>14</v>
      </c>
      <c r="E284" s="32">
        <f>자재단가대비표!O285</f>
        <v>156000</v>
      </c>
      <c r="F284" s="22" t="s">
        <v>2819</v>
      </c>
      <c r="G284" s="17" t="str">
        <f>"_x0007_`COD|M06799_x0005_`QTY1|1_x0005_`BQC|_x0005_`EQC|_x0005_`JDC|_x0005_`WQC|_x0005_`EDT|_x0005_`DET|"&amp;ROW(자재단가대비표!A285)&amp;"_x0005_`"</f>
        <v>_x0007_`COD|M06799_x0005_`QTY1|1_x0005_`BQC|_x0005_`EQC|_x0005_`JDC|_x0005_`WQC|_x0005_`EDT|_x0005_`DET|285_x0005_`</v>
      </c>
      <c r="H284" s="3" t="str">
        <f ca="1">HYPERLINK("#"&amp;자재단가대비표!R2&amp;"!A"&amp;ROW(자재단가대비표!A285),"자재281 →")</f>
        <v>자재281 →</v>
      </c>
    </row>
    <row r="285" spans="1:8" ht="17.45" customHeight="1" x14ac:dyDescent="0.3">
      <c r="A285" s="9" t="s">
        <v>2821</v>
      </c>
      <c r="B285" s="10" t="s">
        <v>2822</v>
      </c>
      <c r="C285" s="10" t="s">
        <v>816</v>
      </c>
      <c r="D285" s="9" t="s">
        <v>14</v>
      </c>
      <c r="E285" s="32">
        <f>자재단가대비표!O286</f>
        <v>95000</v>
      </c>
      <c r="F285" s="22" t="s">
        <v>2821</v>
      </c>
      <c r="G285" s="17" t="str">
        <f>"_x0007_`COD|M06804_x0005_`QTY1|1_x0005_`BQC|_x0005_`EQC|_x0005_`JDC|_x0005_`WQC|_x0005_`EDT|_x0005_`DET|"&amp;ROW(자재단가대비표!A286)&amp;"_x0005_`"</f>
        <v>_x0007_`COD|M06804_x0005_`QTY1|1_x0005_`BQC|_x0005_`EQC|_x0005_`JDC|_x0005_`WQC|_x0005_`EDT|_x0005_`DET|286_x0005_`</v>
      </c>
      <c r="H285" s="3" t="str">
        <f ca="1">HYPERLINK("#"&amp;자재단가대비표!R2&amp;"!A"&amp;ROW(자재단가대비표!A286),"자재282 →")</f>
        <v>자재282 →</v>
      </c>
    </row>
    <row r="286" spans="1:8" ht="17.45" customHeight="1" x14ac:dyDescent="0.3">
      <c r="A286" s="9" t="s">
        <v>2824</v>
      </c>
      <c r="B286" s="10" t="s">
        <v>2822</v>
      </c>
      <c r="C286" s="10" t="s">
        <v>819</v>
      </c>
      <c r="D286" s="9" t="s">
        <v>14</v>
      </c>
      <c r="E286" s="32">
        <f>자재단가대비표!O287</f>
        <v>95000</v>
      </c>
      <c r="F286" s="22" t="s">
        <v>2824</v>
      </c>
      <c r="G286" s="17" t="str">
        <f>"_x0007_`COD|M06805_x0005_`QTY1|1_x0005_`BQC|_x0005_`EQC|_x0005_`JDC|_x0005_`WQC|_x0005_`EDT|_x0005_`DET|"&amp;ROW(자재단가대비표!A287)&amp;"_x0005_`"</f>
        <v>_x0007_`COD|M06805_x0005_`QTY1|1_x0005_`BQC|_x0005_`EQC|_x0005_`JDC|_x0005_`WQC|_x0005_`EDT|_x0005_`DET|287_x0005_`</v>
      </c>
      <c r="H286" s="3" t="str">
        <f ca="1">HYPERLINK("#"&amp;자재단가대비표!R2&amp;"!A"&amp;ROW(자재단가대비표!A287),"자재283 →")</f>
        <v>자재283 →</v>
      </c>
    </row>
    <row r="287" spans="1:8" ht="17.45" customHeight="1" x14ac:dyDescent="0.3">
      <c r="A287" s="9" t="s">
        <v>2826</v>
      </c>
      <c r="B287" s="10" t="s">
        <v>2822</v>
      </c>
      <c r="C287" s="10" t="s">
        <v>822</v>
      </c>
      <c r="D287" s="9" t="s">
        <v>14</v>
      </c>
      <c r="E287" s="32">
        <f>자재단가대비표!O288</f>
        <v>95000</v>
      </c>
      <c r="F287" s="22" t="s">
        <v>2826</v>
      </c>
      <c r="G287" s="17" t="str">
        <f>"_x0007_`COD|M06806_x0005_`QTY1|1_x0005_`BQC|_x0005_`EQC|_x0005_`JDC|_x0005_`WQC|_x0005_`EDT|_x0005_`DET|"&amp;ROW(자재단가대비표!A288)&amp;"_x0005_`"</f>
        <v>_x0007_`COD|M06806_x0005_`QTY1|1_x0005_`BQC|_x0005_`EQC|_x0005_`JDC|_x0005_`WQC|_x0005_`EDT|_x0005_`DET|288_x0005_`</v>
      </c>
      <c r="H287" s="3" t="str">
        <f ca="1">HYPERLINK("#"&amp;자재단가대비표!R2&amp;"!A"&amp;ROW(자재단가대비표!A288),"자재284 →")</f>
        <v>자재284 →</v>
      </c>
    </row>
    <row r="288" spans="1:8" ht="17.45" customHeight="1" x14ac:dyDescent="0.3">
      <c r="A288" s="9" t="s">
        <v>2828</v>
      </c>
      <c r="B288" s="10" t="s">
        <v>2822</v>
      </c>
      <c r="C288" s="10" t="s">
        <v>2829</v>
      </c>
      <c r="D288" s="9" t="s">
        <v>14</v>
      </c>
      <c r="E288" s="32">
        <f>자재단가대비표!O289</f>
        <v>95000</v>
      </c>
      <c r="F288" s="22" t="s">
        <v>2828</v>
      </c>
      <c r="G288" s="17" t="str">
        <f>"_x0007_`COD|M06807_x0005_`QTY1|1_x0005_`BQC|_x0005_`EQC|_x0005_`JDC|_x0005_`WQC|_x0005_`EDT|_x0005_`DET|"&amp;ROW(자재단가대비표!A289)&amp;"_x0005_`"</f>
        <v>_x0007_`COD|M06807_x0005_`QTY1|1_x0005_`BQC|_x0005_`EQC|_x0005_`JDC|_x0005_`WQC|_x0005_`EDT|_x0005_`DET|289_x0005_`</v>
      </c>
      <c r="H288" s="3" t="str">
        <f ca="1">HYPERLINK("#"&amp;자재단가대비표!R2&amp;"!A"&amp;ROW(자재단가대비표!A289),"자재285 →")</f>
        <v>자재285 →</v>
      </c>
    </row>
    <row r="289" spans="1:8" ht="17.45" customHeight="1" x14ac:dyDescent="0.3">
      <c r="A289" s="9" t="s">
        <v>2831</v>
      </c>
      <c r="B289" s="10" t="s">
        <v>2822</v>
      </c>
      <c r="C289" s="10" t="s">
        <v>804</v>
      </c>
      <c r="D289" s="9" t="s">
        <v>14</v>
      </c>
      <c r="E289" s="32">
        <f>자재단가대비표!O290</f>
        <v>56000</v>
      </c>
      <c r="F289" s="22" t="s">
        <v>2831</v>
      </c>
      <c r="G289" s="17" t="str">
        <f>"_x0007_`COD|M06800_x0005_`QTY1|1_x0005_`BQC|_x0005_`EQC|_x0005_`JDC|_x0005_`WQC|_x0005_`EDT|_x0005_`DET|"&amp;ROW(자재단가대비표!A290)&amp;"_x0005_`"</f>
        <v>_x0007_`COD|M06800_x0005_`QTY1|1_x0005_`BQC|_x0005_`EQC|_x0005_`JDC|_x0005_`WQC|_x0005_`EDT|_x0005_`DET|290_x0005_`</v>
      </c>
      <c r="H289" s="3" t="str">
        <f ca="1">HYPERLINK("#"&amp;자재단가대비표!R2&amp;"!A"&amp;ROW(자재단가대비표!A290),"자재286 →")</f>
        <v>자재286 →</v>
      </c>
    </row>
    <row r="290" spans="1:8" ht="17.45" customHeight="1" x14ac:dyDescent="0.3">
      <c r="A290" s="9" t="s">
        <v>2833</v>
      </c>
      <c r="B290" s="10" t="s">
        <v>2822</v>
      </c>
      <c r="C290" s="10" t="s">
        <v>825</v>
      </c>
      <c r="D290" s="9" t="s">
        <v>14</v>
      </c>
      <c r="E290" s="32">
        <f>자재단가대비표!O291</f>
        <v>169000</v>
      </c>
      <c r="F290" s="22" t="s">
        <v>2833</v>
      </c>
      <c r="G290" s="17" t="str">
        <f>"_x0007_`COD|M06808_x0005_`QTY1|1_x0005_`BQC|_x0005_`EQC|_x0005_`JDC|_x0005_`WQC|_x0005_`EDT|_x0005_`DET|"&amp;ROW(자재단가대비표!A291)&amp;"_x0005_`"</f>
        <v>_x0007_`COD|M06808_x0005_`QTY1|1_x0005_`BQC|_x0005_`EQC|_x0005_`JDC|_x0005_`WQC|_x0005_`EDT|_x0005_`DET|291_x0005_`</v>
      </c>
      <c r="H290" s="3" t="str">
        <f ca="1">HYPERLINK("#"&amp;자재단가대비표!R2&amp;"!A"&amp;ROW(자재단가대비표!A291),"자재287 →")</f>
        <v>자재287 →</v>
      </c>
    </row>
    <row r="291" spans="1:8" ht="17.45" customHeight="1" x14ac:dyDescent="0.3">
      <c r="A291" s="9" t="s">
        <v>2835</v>
      </c>
      <c r="B291" s="10" t="s">
        <v>2822</v>
      </c>
      <c r="C291" s="10" t="s">
        <v>807</v>
      </c>
      <c r="D291" s="9" t="s">
        <v>14</v>
      </c>
      <c r="E291" s="32">
        <f>자재단가대비표!O292</f>
        <v>56000</v>
      </c>
      <c r="F291" s="22" t="s">
        <v>2835</v>
      </c>
      <c r="G291" s="17" t="str">
        <f>"_x0007_`COD|M06801_x0005_`QTY1|1_x0005_`BQC|_x0005_`EQC|_x0005_`JDC|_x0005_`WQC|_x0005_`EDT|_x0005_`DET|"&amp;ROW(자재단가대비표!A292)&amp;"_x0005_`"</f>
        <v>_x0007_`COD|M06801_x0005_`QTY1|1_x0005_`BQC|_x0005_`EQC|_x0005_`JDC|_x0005_`WQC|_x0005_`EDT|_x0005_`DET|292_x0005_`</v>
      </c>
      <c r="H291" s="3" t="str">
        <f ca="1">HYPERLINK("#"&amp;자재단가대비표!R2&amp;"!A"&amp;ROW(자재단가대비표!A292),"자재288 →")</f>
        <v>자재288 →</v>
      </c>
    </row>
    <row r="292" spans="1:8" ht="17.45" customHeight="1" x14ac:dyDescent="0.3">
      <c r="A292" s="9" t="s">
        <v>2837</v>
      </c>
      <c r="B292" s="10" t="s">
        <v>2822</v>
      </c>
      <c r="C292" s="10" t="s">
        <v>810</v>
      </c>
      <c r="D292" s="9" t="s">
        <v>14</v>
      </c>
      <c r="E292" s="32">
        <f>자재단가대비표!O293</f>
        <v>56000</v>
      </c>
      <c r="F292" s="22" t="s">
        <v>2837</v>
      </c>
      <c r="G292" s="17" t="str">
        <f>"_x0007_`COD|M06802_x0005_`QTY1|1_x0005_`BQC|_x0005_`EQC|_x0005_`JDC|_x0005_`WQC|_x0005_`EDT|_x0005_`DET|"&amp;ROW(자재단가대비표!A293)&amp;"_x0005_`"</f>
        <v>_x0007_`COD|M06802_x0005_`QTY1|1_x0005_`BQC|_x0005_`EQC|_x0005_`JDC|_x0005_`WQC|_x0005_`EDT|_x0005_`DET|293_x0005_`</v>
      </c>
      <c r="H292" s="3" t="str">
        <f ca="1">HYPERLINK("#"&amp;자재단가대비표!R2&amp;"!A"&amp;ROW(자재단가대비표!A293),"자재289 →")</f>
        <v>자재289 →</v>
      </c>
    </row>
    <row r="293" spans="1:8" ht="17.45" customHeight="1" x14ac:dyDescent="0.3">
      <c r="A293" s="9" t="s">
        <v>2839</v>
      </c>
      <c r="B293" s="10" t="s">
        <v>2822</v>
      </c>
      <c r="C293" s="10" t="s">
        <v>834</v>
      </c>
      <c r="D293" s="9" t="s">
        <v>14</v>
      </c>
      <c r="E293" s="32">
        <f>자재단가대비표!O294</f>
        <v>293000</v>
      </c>
      <c r="F293" s="22" t="s">
        <v>2839</v>
      </c>
      <c r="G293" s="17" t="str">
        <f>"_x0007_`COD|M06809_x0005_`QTY1|1_x0005_`BQC|_x0005_`EQC|_x0005_`JDC|_x0005_`WQC|_x0005_`EDT|_x0005_`DET|"&amp;ROW(자재단가대비표!A294)&amp;"_x0005_`"</f>
        <v>_x0007_`COD|M06809_x0005_`QTY1|1_x0005_`BQC|_x0005_`EQC|_x0005_`JDC|_x0005_`WQC|_x0005_`EDT|_x0005_`DET|294_x0005_`</v>
      </c>
      <c r="H293" s="3" t="str">
        <f ca="1">HYPERLINK("#"&amp;자재단가대비표!R2&amp;"!A"&amp;ROW(자재단가대비표!A294),"자재290 →")</f>
        <v>자재290 →</v>
      </c>
    </row>
    <row r="294" spans="1:8" ht="17.45" customHeight="1" x14ac:dyDescent="0.3">
      <c r="A294" s="9" t="s">
        <v>2841</v>
      </c>
      <c r="B294" s="10" t="s">
        <v>2822</v>
      </c>
      <c r="C294" s="10" t="s">
        <v>837</v>
      </c>
      <c r="D294" s="9" t="s">
        <v>14</v>
      </c>
      <c r="E294" s="32">
        <f>자재단가대비표!O295</f>
        <v>284000</v>
      </c>
      <c r="F294" s="22" t="s">
        <v>2841</v>
      </c>
      <c r="G294" s="17" t="str">
        <f>"_x0007_`COD|M06810_x0005_`QTY1|1_x0005_`BQC|_x0005_`EQC|_x0005_`JDC|_x0005_`WQC|_x0005_`EDT|_x0005_`DET|"&amp;ROW(자재단가대비표!A295)&amp;"_x0005_`"</f>
        <v>_x0007_`COD|M06810_x0005_`QTY1|1_x0005_`BQC|_x0005_`EQC|_x0005_`JDC|_x0005_`WQC|_x0005_`EDT|_x0005_`DET|295_x0005_`</v>
      </c>
      <c r="H294" s="3" t="str">
        <f ca="1">HYPERLINK("#"&amp;자재단가대비표!R2&amp;"!A"&amp;ROW(자재단가대비표!A295),"자재291 →")</f>
        <v>자재291 →</v>
      </c>
    </row>
    <row r="295" spans="1:8" ht="17.45" customHeight="1" x14ac:dyDescent="0.3">
      <c r="A295" s="9" t="s">
        <v>2843</v>
      </c>
      <c r="B295" s="10" t="s">
        <v>2844</v>
      </c>
      <c r="C295" s="10" t="s">
        <v>2845</v>
      </c>
      <c r="D295" s="9" t="s">
        <v>1603</v>
      </c>
      <c r="E295" s="32">
        <f>자재단가대비표!O296</f>
        <v>30000</v>
      </c>
      <c r="F295" s="22" t="s">
        <v>2843</v>
      </c>
      <c r="G295" s="17" t="str">
        <f>"_x0007_`COD|M03596_x0005_`QTY1|1_x0005_`BQC|_x0005_`EQC|_x0005_`JDC|_x0005_`WQC|_x0005_`EDT|_x0005_`DET|"&amp;ROW(자재단가대비표!A296)&amp;"_x0005_`"</f>
        <v>_x0007_`COD|M03596_x0005_`QTY1|1_x0005_`BQC|_x0005_`EQC|_x0005_`JDC|_x0005_`WQC|_x0005_`EDT|_x0005_`DET|296_x0005_`</v>
      </c>
      <c r="H295" s="3" t="str">
        <f ca="1">HYPERLINK("#"&amp;자재단가대비표!R2&amp;"!A"&amp;ROW(자재단가대비표!A296),"자재292 →")</f>
        <v>자재292 →</v>
      </c>
    </row>
    <row r="296" spans="1:8" ht="17.45" customHeight="1" x14ac:dyDescent="0.3">
      <c r="A296" s="9" t="s">
        <v>2847</v>
      </c>
      <c r="B296" s="10" t="s">
        <v>2848</v>
      </c>
      <c r="C296" s="10" t="s">
        <v>2849</v>
      </c>
      <c r="D296" s="9" t="s">
        <v>1010</v>
      </c>
      <c r="E296" s="32">
        <f>자재단가대비표!O297</f>
        <v>518000</v>
      </c>
      <c r="F296" s="22" t="s">
        <v>2847</v>
      </c>
      <c r="G296" s="17" t="str">
        <f>"_x0007_`COD|M03181_x0005_`QTY1|1_x0005_`BQC|_x0005_`EQC|_x0005_`JDC|_x0005_`WQC|_x0005_`EDT|_x0005_`DET|"&amp;ROW(자재단가대비표!A297)&amp;"_x0005_`"</f>
        <v>_x0007_`COD|M03181_x0005_`QTY1|1_x0005_`BQC|_x0005_`EQC|_x0005_`JDC|_x0005_`WQC|_x0005_`EDT|_x0005_`DET|297_x0005_`</v>
      </c>
      <c r="H296" s="3" t="str">
        <f ca="1">HYPERLINK("#"&amp;자재단가대비표!R2&amp;"!A"&amp;ROW(자재단가대비표!A297),"자재293 →")</f>
        <v>자재293 →</v>
      </c>
    </row>
    <row r="297" spans="1:8" ht="17.45" customHeight="1" x14ac:dyDescent="0.3">
      <c r="A297" s="9" t="s">
        <v>2851</v>
      </c>
      <c r="B297" s="10" t="s">
        <v>2848</v>
      </c>
      <c r="C297" s="10" t="s">
        <v>1117</v>
      </c>
      <c r="D297" s="9" t="s">
        <v>1010</v>
      </c>
      <c r="E297" s="32">
        <f>자재단가대비표!O298</f>
        <v>966000</v>
      </c>
      <c r="F297" s="22" t="s">
        <v>2851</v>
      </c>
      <c r="G297" s="17" t="str">
        <f>"_x0007_`COD|M06547_x0005_`QTY1|1_x0005_`BQC|_x0005_`EQC|_x0005_`JDC|_x0005_`WQC|_x0005_`EDT|_x0005_`DET|"&amp;ROW(자재단가대비표!A298)&amp;"_x0005_`"</f>
        <v>_x0007_`COD|M06547_x0005_`QTY1|1_x0005_`BQC|_x0005_`EQC|_x0005_`JDC|_x0005_`WQC|_x0005_`EDT|_x0005_`DET|298_x0005_`</v>
      </c>
      <c r="H297" s="3" t="str">
        <f ca="1">HYPERLINK("#"&amp;자재단가대비표!R2&amp;"!A"&amp;ROW(자재단가대비표!A298),"자재294 →")</f>
        <v>자재294 →</v>
      </c>
    </row>
    <row r="298" spans="1:8" ht="17.45" customHeight="1" x14ac:dyDescent="0.3">
      <c r="A298" s="9" t="s">
        <v>2853</v>
      </c>
      <c r="B298" s="10" t="s">
        <v>2848</v>
      </c>
      <c r="C298" s="10" t="s">
        <v>1120</v>
      </c>
      <c r="D298" s="9" t="s">
        <v>1010</v>
      </c>
      <c r="E298" s="32">
        <f>자재단가대비표!O299</f>
        <v>1522000</v>
      </c>
      <c r="F298" s="22" t="s">
        <v>2853</v>
      </c>
      <c r="G298" s="17" t="str">
        <f>"_x0007_`COD|M06546_x0005_`QTY1|1_x0005_`BQC|_x0005_`EQC|_x0005_`JDC|_x0005_`WQC|_x0005_`EDT|_x0005_`DET|"&amp;ROW(자재단가대비표!A299)&amp;"_x0005_`"</f>
        <v>_x0007_`COD|M06546_x0005_`QTY1|1_x0005_`BQC|_x0005_`EQC|_x0005_`JDC|_x0005_`WQC|_x0005_`EDT|_x0005_`DET|299_x0005_`</v>
      </c>
      <c r="H298" s="3" t="str">
        <f ca="1">HYPERLINK("#"&amp;자재단가대비표!R2&amp;"!A"&amp;ROW(자재단가대비표!A299),"자재295 →")</f>
        <v>자재295 →</v>
      </c>
    </row>
    <row r="299" spans="1:8" ht="17.45" customHeight="1" x14ac:dyDescent="0.3">
      <c r="A299" s="9" t="s">
        <v>2855</v>
      </c>
      <c r="B299" s="10" t="s">
        <v>2848</v>
      </c>
      <c r="C299" s="10" t="s">
        <v>1108</v>
      </c>
      <c r="D299" s="9" t="s">
        <v>1010</v>
      </c>
      <c r="E299" s="32">
        <f>자재단가대비표!O300</f>
        <v>273000</v>
      </c>
      <c r="F299" s="22" t="s">
        <v>2855</v>
      </c>
      <c r="G299" s="17" t="str">
        <f>"_x0007_`COD|M05499_x0005_`QTY1|1_x0005_`BQC|_x0005_`EQC|_x0005_`JDC|_x0005_`WQC|_x0005_`EDT|_x0005_`DET|"&amp;ROW(자재단가대비표!A300)&amp;"_x0005_`"</f>
        <v>_x0007_`COD|M05499_x0005_`QTY1|1_x0005_`BQC|_x0005_`EQC|_x0005_`JDC|_x0005_`WQC|_x0005_`EDT|_x0005_`DET|300_x0005_`</v>
      </c>
      <c r="H299" s="3" t="str">
        <f ca="1">HYPERLINK("#"&amp;자재단가대비표!R2&amp;"!A"&amp;ROW(자재단가대비표!A300),"자재296 →")</f>
        <v>자재296 →</v>
      </c>
    </row>
    <row r="300" spans="1:8" ht="17.45" customHeight="1" x14ac:dyDescent="0.3">
      <c r="A300" s="9" t="s">
        <v>2857</v>
      </c>
      <c r="B300" s="10" t="s">
        <v>2848</v>
      </c>
      <c r="C300" s="10" t="s">
        <v>1111</v>
      </c>
      <c r="D300" s="9" t="s">
        <v>1010</v>
      </c>
      <c r="E300" s="32">
        <f>자재단가대비표!O301</f>
        <v>354000</v>
      </c>
      <c r="F300" s="22" t="s">
        <v>2857</v>
      </c>
      <c r="G300" s="17" t="str">
        <f>"_x0007_`COD|M02071_x0005_`QTY1|1_x0005_`BQC|_x0005_`EQC|_x0005_`JDC|_x0005_`WQC|_x0005_`EDT|_x0005_`DET|"&amp;ROW(자재단가대비표!A301)&amp;"_x0005_`"</f>
        <v>_x0007_`COD|M02071_x0005_`QTY1|1_x0005_`BQC|_x0005_`EQC|_x0005_`JDC|_x0005_`WQC|_x0005_`EDT|_x0005_`DET|301_x0005_`</v>
      </c>
      <c r="H300" s="3" t="str">
        <f ca="1">HYPERLINK("#"&amp;자재단가대비표!R2&amp;"!A"&amp;ROW(자재단가대비표!A301),"자재297 →")</f>
        <v>자재297 →</v>
      </c>
    </row>
    <row r="301" spans="1:8" ht="17.45" customHeight="1" x14ac:dyDescent="0.3">
      <c r="A301" s="9" t="s">
        <v>2859</v>
      </c>
      <c r="B301" s="10" t="s">
        <v>2860</v>
      </c>
      <c r="C301" s="10"/>
      <c r="D301" s="9" t="s">
        <v>2212</v>
      </c>
      <c r="E301" s="32">
        <f>자재단가대비표!O302</f>
        <v>754000</v>
      </c>
      <c r="F301" s="22" t="s">
        <v>2859</v>
      </c>
      <c r="G301" s="17" t="str">
        <f>"_x0007_`COD|M06635_x0005_`QTY1|1_x0005_`BQC|_x0005_`EQC|_x0005_`JDC|_x0005_`WQC|_x0005_`EDT|_x0005_`DET|"&amp;ROW(자재단가대비표!A302)&amp;"_x0005_`"</f>
        <v>_x0007_`COD|M06635_x0005_`QTY1|1_x0005_`BQC|_x0005_`EQC|_x0005_`JDC|_x0005_`WQC|_x0005_`EDT|_x0005_`DET|302_x0005_`</v>
      </c>
      <c r="H301" s="3" t="str">
        <f ca="1">HYPERLINK("#"&amp;자재단가대비표!R2&amp;"!A"&amp;ROW(자재단가대비표!A302),"자재298 →")</f>
        <v>자재298 →</v>
      </c>
    </row>
    <row r="302" spans="1:8" ht="17.45" customHeight="1" x14ac:dyDescent="0.3">
      <c r="A302" s="9" t="s">
        <v>2862</v>
      </c>
      <c r="B302" s="10" t="s">
        <v>2863</v>
      </c>
      <c r="C302" s="10" t="s">
        <v>2864</v>
      </c>
      <c r="D302" s="9" t="s">
        <v>1010</v>
      </c>
      <c r="E302" s="32">
        <f>자재단가대비표!O303</f>
        <v>1400</v>
      </c>
      <c r="F302" s="22" t="s">
        <v>2862</v>
      </c>
      <c r="G302" s="17" t="str">
        <f>"_x0007_`COD|M06735_x0005_`QTY1|1_x0005_`BQC|_x0005_`EQC|_x0005_`JDC|_x0005_`WQC|_x0005_`EDT|_x0005_`DET|"&amp;ROW(자재단가대비표!A303)&amp;"_x0005_`"</f>
        <v>_x0007_`COD|M06735_x0005_`QTY1|1_x0005_`BQC|_x0005_`EQC|_x0005_`JDC|_x0005_`WQC|_x0005_`EDT|_x0005_`DET|303_x0005_`</v>
      </c>
      <c r="H302" s="3" t="str">
        <f ca="1">HYPERLINK("#"&amp;자재단가대비표!R2&amp;"!A"&amp;ROW(자재단가대비표!A303),"자재299 →")</f>
        <v>자재299 →</v>
      </c>
    </row>
    <row r="303" spans="1:8" ht="17.45" customHeight="1" x14ac:dyDescent="0.3">
      <c r="A303" s="9" t="s">
        <v>2866</v>
      </c>
      <c r="B303" s="10" t="s">
        <v>2867</v>
      </c>
      <c r="C303" s="10" t="s">
        <v>2868</v>
      </c>
      <c r="D303" s="9" t="s">
        <v>1939</v>
      </c>
      <c r="E303" s="32">
        <f>자재단가대비표!O304</f>
        <v>41210</v>
      </c>
      <c r="F303" s="22" t="s">
        <v>2866</v>
      </c>
      <c r="G303" s="17" t="str">
        <f>"_x0007_`COD|M06642_x0005_`QTY1|1_x0005_`BQC|_x0005_`EQC|_x0005_`JDC|_x0005_`WQC|_x0005_`EDT|_x0005_`DET|"&amp;ROW(자재단가대비표!A304)&amp;"_x0005_`"</f>
        <v>_x0007_`COD|M06642_x0005_`QTY1|1_x0005_`BQC|_x0005_`EQC|_x0005_`JDC|_x0005_`WQC|_x0005_`EDT|_x0005_`DET|304_x0005_`</v>
      </c>
      <c r="H303" s="3" t="str">
        <f ca="1">HYPERLINK("#"&amp;자재단가대비표!R2&amp;"!A"&amp;ROW(자재단가대비표!A304),"자재300 →")</f>
        <v>자재300 →</v>
      </c>
    </row>
    <row r="304" spans="1:8" ht="17.45" customHeight="1" x14ac:dyDescent="0.3">
      <c r="A304" s="9" t="s">
        <v>2870</v>
      </c>
      <c r="B304" s="10" t="s">
        <v>2871</v>
      </c>
      <c r="C304" s="10" t="s">
        <v>2872</v>
      </c>
      <c r="D304" s="9" t="s">
        <v>1939</v>
      </c>
      <c r="E304" s="32">
        <f>자재단가대비표!O305</f>
        <v>3270</v>
      </c>
      <c r="F304" s="22" t="s">
        <v>2870</v>
      </c>
      <c r="G304" s="17" t="str">
        <f>"_x0007_`COD|M06643_x0005_`QTY1|1_x0005_`BQC|_x0005_`EQC|_x0005_`JDC|_x0005_`WQC|_x0005_`EDT|_x0005_`DET|"&amp;ROW(자재단가대비표!A305)&amp;"_x0005_`"</f>
        <v>_x0007_`COD|M06643_x0005_`QTY1|1_x0005_`BQC|_x0005_`EQC|_x0005_`JDC|_x0005_`WQC|_x0005_`EDT|_x0005_`DET|305_x0005_`</v>
      </c>
      <c r="H304" s="3" t="str">
        <f ca="1">HYPERLINK("#"&amp;자재단가대비표!R2&amp;"!A"&amp;ROW(자재단가대비표!A305),"자재301 →")</f>
        <v>자재301 →</v>
      </c>
    </row>
    <row r="305" spans="1:8" ht="17.45" customHeight="1" x14ac:dyDescent="0.3">
      <c r="A305" s="9" t="s">
        <v>2874</v>
      </c>
      <c r="B305" s="10" t="s">
        <v>2875</v>
      </c>
      <c r="C305" s="10" t="s">
        <v>2219</v>
      </c>
      <c r="D305" s="9" t="s">
        <v>1010</v>
      </c>
      <c r="E305" s="32">
        <f>자재단가대비표!O306</f>
        <v>6850</v>
      </c>
      <c r="F305" s="22" t="s">
        <v>2874</v>
      </c>
      <c r="G305" s="17" t="str">
        <f>"_x0007_`COD|M06705_x0005_`QTY1|1_x0005_`BQC|_x0005_`EQC|_x0005_`JDC|_x0005_`WQC|_x0005_`EDT|_x0005_`DET|"&amp;ROW(자재단가대비표!A306)&amp;"_x0005_`"</f>
        <v>_x0007_`COD|M06705_x0005_`QTY1|1_x0005_`BQC|_x0005_`EQC|_x0005_`JDC|_x0005_`WQC|_x0005_`EDT|_x0005_`DET|306_x0005_`</v>
      </c>
      <c r="H305" s="3" t="str">
        <f ca="1">HYPERLINK("#"&amp;자재단가대비표!R2&amp;"!A"&amp;ROW(자재단가대비표!A306),"자재302 →")</f>
        <v>자재302 →</v>
      </c>
    </row>
    <row r="306" spans="1:8" ht="17.45" customHeight="1" x14ac:dyDescent="0.3">
      <c r="A306" s="9" t="s">
        <v>2877</v>
      </c>
      <c r="B306" s="10" t="s">
        <v>2875</v>
      </c>
      <c r="C306" s="10" t="s">
        <v>2222</v>
      </c>
      <c r="D306" s="9" t="s">
        <v>1010</v>
      </c>
      <c r="E306" s="32">
        <f>자재단가대비표!O307</f>
        <v>11750</v>
      </c>
      <c r="F306" s="22" t="s">
        <v>2877</v>
      </c>
      <c r="G306" s="17" t="str">
        <f>"_x0007_`COD|M06706_x0005_`QTY1|1_x0005_`BQC|_x0005_`EQC|_x0005_`JDC|_x0005_`WQC|_x0005_`EDT|_x0005_`DET|"&amp;ROW(자재단가대비표!A307)&amp;"_x0005_`"</f>
        <v>_x0007_`COD|M06706_x0005_`QTY1|1_x0005_`BQC|_x0005_`EQC|_x0005_`JDC|_x0005_`WQC|_x0005_`EDT|_x0005_`DET|307_x0005_`</v>
      </c>
      <c r="H306" s="3" t="str">
        <f ca="1">HYPERLINK("#"&amp;자재단가대비표!R2&amp;"!A"&amp;ROW(자재단가대비표!A307),"자재303 →")</f>
        <v>자재303 →</v>
      </c>
    </row>
    <row r="307" spans="1:8" ht="17.45" customHeight="1" x14ac:dyDescent="0.3">
      <c r="A307" s="9" t="s">
        <v>2879</v>
      </c>
      <c r="B307" s="10" t="s">
        <v>2875</v>
      </c>
      <c r="C307" s="10" t="s">
        <v>2228</v>
      </c>
      <c r="D307" s="9" t="s">
        <v>1010</v>
      </c>
      <c r="E307" s="32">
        <f>자재단가대비표!O308</f>
        <v>19660</v>
      </c>
      <c r="F307" s="22" t="s">
        <v>2879</v>
      </c>
      <c r="G307" s="17" t="str">
        <f>"_x0007_`COD|M06707_x0005_`QTY1|1_x0005_`BQC|_x0005_`EQC|_x0005_`JDC|_x0005_`WQC|_x0005_`EDT|_x0005_`DET|"&amp;ROW(자재단가대비표!A308)&amp;"_x0005_`"</f>
        <v>_x0007_`COD|M06707_x0005_`QTY1|1_x0005_`BQC|_x0005_`EQC|_x0005_`JDC|_x0005_`WQC|_x0005_`EDT|_x0005_`DET|308_x0005_`</v>
      </c>
      <c r="H307" s="3" t="str">
        <f ca="1">HYPERLINK("#"&amp;자재단가대비표!R2&amp;"!A"&amp;ROW(자재단가대비표!A308),"자재304 →")</f>
        <v>자재304 →</v>
      </c>
    </row>
    <row r="308" spans="1:8" ht="17.45" customHeight="1" x14ac:dyDescent="0.3">
      <c r="A308" s="9" t="s">
        <v>2881</v>
      </c>
      <c r="B308" s="10" t="s">
        <v>2875</v>
      </c>
      <c r="C308" s="10" t="s">
        <v>2882</v>
      </c>
      <c r="D308" s="9" t="s">
        <v>1010</v>
      </c>
      <c r="E308" s="32">
        <f>자재단가대비표!O309</f>
        <v>26970</v>
      </c>
      <c r="F308" s="22" t="s">
        <v>2881</v>
      </c>
      <c r="G308" s="17" t="str">
        <f>"_x0007_`COD|M06708_x0005_`QTY1|1_x0005_`BQC|_x0005_`EQC|_x0005_`JDC|_x0005_`WQC|_x0005_`EDT|_x0005_`DET|"&amp;ROW(자재단가대비표!A309)&amp;"_x0005_`"</f>
        <v>_x0007_`COD|M06708_x0005_`QTY1|1_x0005_`BQC|_x0005_`EQC|_x0005_`JDC|_x0005_`WQC|_x0005_`EDT|_x0005_`DET|309_x0005_`</v>
      </c>
      <c r="H308" s="3" t="str">
        <f ca="1">HYPERLINK("#"&amp;자재단가대비표!R2&amp;"!A"&amp;ROW(자재단가대비표!A309),"자재305 →")</f>
        <v>자재305 →</v>
      </c>
    </row>
    <row r="309" spans="1:8" ht="17.45" customHeight="1" x14ac:dyDescent="0.3">
      <c r="A309" s="9" t="s">
        <v>2884</v>
      </c>
      <c r="B309" s="10" t="s">
        <v>2875</v>
      </c>
      <c r="C309" s="10" t="s">
        <v>2885</v>
      </c>
      <c r="D309" s="9" t="s">
        <v>1010</v>
      </c>
      <c r="E309" s="32">
        <f>자재단가대비표!O310</f>
        <v>30670</v>
      </c>
      <c r="F309" s="22" t="s">
        <v>2884</v>
      </c>
      <c r="G309" s="17" t="str">
        <f>"_x0007_`COD|M06709_x0005_`QTY1|1_x0005_`BQC|_x0005_`EQC|_x0005_`JDC|_x0005_`WQC|_x0005_`EDT|_x0005_`DET|"&amp;ROW(자재단가대비표!A310)&amp;"_x0005_`"</f>
        <v>_x0007_`COD|M06709_x0005_`QTY1|1_x0005_`BQC|_x0005_`EQC|_x0005_`JDC|_x0005_`WQC|_x0005_`EDT|_x0005_`DET|310_x0005_`</v>
      </c>
      <c r="H309" s="3" t="str">
        <f ca="1">HYPERLINK("#"&amp;자재단가대비표!R2&amp;"!A"&amp;ROW(자재단가대비표!A310),"자재306 →")</f>
        <v>자재306 →</v>
      </c>
    </row>
    <row r="310" spans="1:8" ht="17.45" customHeight="1" x14ac:dyDescent="0.3">
      <c r="A310" s="9" t="s">
        <v>2887</v>
      </c>
      <c r="B310" s="10" t="s">
        <v>2875</v>
      </c>
      <c r="C310" s="10" t="s">
        <v>2241</v>
      </c>
      <c r="D310" s="9" t="s">
        <v>1010</v>
      </c>
      <c r="E310" s="32">
        <f>자재단가대비표!O311</f>
        <v>4340</v>
      </c>
      <c r="F310" s="22" t="s">
        <v>2887</v>
      </c>
      <c r="G310" s="17" t="str">
        <f>"_x0007_`COD|M06703_x0005_`QTY1|1_x0005_`BQC|_x0005_`EQC|_x0005_`JDC|_x0005_`WQC|_x0005_`EDT|_x0005_`DET|"&amp;ROW(자재단가대비표!A311)&amp;"_x0005_`"</f>
        <v>_x0007_`COD|M06703_x0005_`QTY1|1_x0005_`BQC|_x0005_`EQC|_x0005_`JDC|_x0005_`WQC|_x0005_`EDT|_x0005_`DET|311_x0005_`</v>
      </c>
      <c r="H310" s="3" t="str">
        <f ca="1">HYPERLINK("#"&amp;자재단가대비표!R2&amp;"!A"&amp;ROW(자재단가대비표!A311),"자재307 →")</f>
        <v>자재307 →</v>
      </c>
    </row>
    <row r="311" spans="1:8" ht="17.45" customHeight="1" x14ac:dyDescent="0.3">
      <c r="A311" s="9" t="s">
        <v>2889</v>
      </c>
      <c r="B311" s="10" t="s">
        <v>2875</v>
      </c>
      <c r="C311" s="10" t="s">
        <v>2244</v>
      </c>
      <c r="D311" s="9" t="s">
        <v>1010</v>
      </c>
      <c r="E311" s="32">
        <f>자재단가대비표!O312</f>
        <v>5800</v>
      </c>
      <c r="F311" s="22" t="s">
        <v>2889</v>
      </c>
      <c r="G311" s="17" t="str">
        <f>"_x0007_`COD|M06704_x0005_`QTY1|1_x0005_`BQC|_x0005_`EQC|_x0005_`JDC|_x0005_`WQC|_x0005_`EDT|_x0005_`DET|"&amp;ROW(자재단가대비표!A312)&amp;"_x0005_`"</f>
        <v>_x0007_`COD|M06704_x0005_`QTY1|1_x0005_`BQC|_x0005_`EQC|_x0005_`JDC|_x0005_`WQC|_x0005_`EDT|_x0005_`DET|312_x0005_`</v>
      </c>
      <c r="H311" s="3" t="str">
        <f ca="1">HYPERLINK("#"&amp;자재단가대비표!R2&amp;"!A"&amp;ROW(자재단가대비표!A312),"자재308 →")</f>
        <v>자재308 →</v>
      </c>
    </row>
    <row r="312" spans="1:8" ht="17.45" customHeight="1" x14ac:dyDescent="0.3">
      <c r="A312" s="9" t="s">
        <v>2891</v>
      </c>
      <c r="B312" s="10" t="s">
        <v>2892</v>
      </c>
      <c r="C312" s="10" t="s">
        <v>2893</v>
      </c>
      <c r="D312" s="9" t="s">
        <v>1010</v>
      </c>
      <c r="E312" s="32">
        <f>자재단가대비표!O313</f>
        <v>170000</v>
      </c>
      <c r="F312" s="22" t="s">
        <v>2891</v>
      </c>
      <c r="G312" s="17" t="str">
        <f>"_x0007_`COD|M06626_x0005_`QTY1|1_x0005_`BQC|_x0005_`EQC|_x0005_`JDC|_x0005_`WQC|_x0005_`EDT|_x0005_`DET|"&amp;ROW(자재단가대비표!A313)&amp;"_x0005_`"</f>
        <v>_x0007_`COD|M06626_x0005_`QTY1|1_x0005_`BQC|_x0005_`EQC|_x0005_`JDC|_x0005_`WQC|_x0005_`EDT|_x0005_`DET|313_x0005_`</v>
      </c>
      <c r="H312" s="3" t="str">
        <f ca="1">HYPERLINK("#"&amp;자재단가대비표!R2&amp;"!A"&amp;ROW(자재단가대비표!A313),"자재309 →")</f>
        <v>자재309 →</v>
      </c>
    </row>
    <row r="313" spans="1:8" ht="17.45" customHeight="1" x14ac:dyDescent="0.3">
      <c r="A313" s="9" t="s">
        <v>2895</v>
      </c>
      <c r="B313" s="10" t="s">
        <v>1375</v>
      </c>
      <c r="C313" s="10" t="s">
        <v>2896</v>
      </c>
      <c r="D313" s="9" t="s">
        <v>1010</v>
      </c>
      <c r="E313" s="32">
        <f>자재단가대비표!O314</f>
        <v>101300</v>
      </c>
      <c r="F313" s="22" t="s">
        <v>2895</v>
      </c>
      <c r="G313" s="17" t="str">
        <f>"_x0007_`COD|M06565_x0005_`QTY1|1_x0005_`BQC|_x0005_`EQC|_x0005_`JDC|_x0005_`WQC|_x0005_`EDT|_x0005_`DET|"&amp;ROW(자재단가대비표!A314)&amp;"_x0005_`"</f>
        <v>_x0007_`COD|M06565_x0005_`QTY1|1_x0005_`BQC|_x0005_`EQC|_x0005_`JDC|_x0005_`WQC|_x0005_`EDT|_x0005_`DET|314_x0005_`</v>
      </c>
      <c r="H313" s="3" t="str">
        <f ca="1">HYPERLINK("#"&amp;자재단가대비표!R2&amp;"!A"&amp;ROW(자재단가대비표!A314),"자재310 →")</f>
        <v>자재310 →</v>
      </c>
    </row>
    <row r="314" spans="1:8" ht="17.45" customHeight="1" x14ac:dyDescent="0.3">
      <c r="A314" s="9" t="s">
        <v>2898</v>
      </c>
      <c r="B314" s="10" t="s">
        <v>1375</v>
      </c>
      <c r="C314" s="10" t="s">
        <v>2899</v>
      </c>
      <c r="D314" s="9" t="s">
        <v>1010</v>
      </c>
      <c r="E314" s="32">
        <f>자재단가대비표!O315</f>
        <v>158000</v>
      </c>
      <c r="F314" s="22" t="s">
        <v>2898</v>
      </c>
      <c r="G314" s="17" t="str">
        <f>"_x0007_`COD|M06566_x0005_`QTY1|1_x0005_`BQC|_x0005_`EQC|_x0005_`JDC|_x0005_`WQC|_x0005_`EDT|_x0005_`DET|"&amp;ROW(자재단가대비표!A315)&amp;"_x0005_`"</f>
        <v>_x0007_`COD|M06566_x0005_`QTY1|1_x0005_`BQC|_x0005_`EQC|_x0005_`JDC|_x0005_`WQC|_x0005_`EDT|_x0005_`DET|315_x0005_`</v>
      </c>
      <c r="H314" s="3" t="str">
        <f ca="1">HYPERLINK("#"&amp;자재단가대비표!R2&amp;"!A"&amp;ROW(자재단가대비표!A315),"자재311 →")</f>
        <v>자재311 →</v>
      </c>
    </row>
    <row r="315" spans="1:8" ht="17.45" customHeight="1" x14ac:dyDescent="0.3">
      <c r="A315" s="9" t="s">
        <v>2901</v>
      </c>
      <c r="B315" s="10" t="s">
        <v>1375</v>
      </c>
      <c r="C315" s="10" t="s">
        <v>2902</v>
      </c>
      <c r="D315" s="9" t="s">
        <v>1010</v>
      </c>
      <c r="E315" s="32">
        <f>자재단가대비표!O316</f>
        <v>258800</v>
      </c>
      <c r="F315" s="22" t="s">
        <v>2901</v>
      </c>
      <c r="G315" s="17" t="str">
        <f>"_x0007_`COD|M06567_x0005_`QTY1|1_x0005_`BQC|_x0005_`EQC|_x0005_`JDC|_x0005_`WQC|_x0005_`EDT|_x0005_`DET|"&amp;ROW(자재단가대비표!A316)&amp;"_x0005_`"</f>
        <v>_x0007_`COD|M06567_x0005_`QTY1|1_x0005_`BQC|_x0005_`EQC|_x0005_`JDC|_x0005_`WQC|_x0005_`EDT|_x0005_`DET|316_x0005_`</v>
      </c>
      <c r="H315" s="3" t="str">
        <f ca="1">HYPERLINK("#"&amp;자재단가대비표!R2&amp;"!A"&amp;ROW(자재단가대비표!A316),"자재312 →")</f>
        <v>자재312 →</v>
      </c>
    </row>
    <row r="316" spans="1:8" ht="17.45" customHeight="1" x14ac:dyDescent="0.3">
      <c r="A316" s="9" t="s">
        <v>2904</v>
      </c>
      <c r="B316" s="10" t="s">
        <v>1375</v>
      </c>
      <c r="C316" s="10" t="s">
        <v>2905</v>
      </c>
      <c r="D316" s="9" t="s">
        <v>1010</v>
      </c>
      <c r="E316" s="32">
        <f>자재단가대비표!O317</f>
        <v>98000</v>
      </c>
      <c r="F316" s="22" t="s">
        <v>2904</v>
      </c>
      <c r="G316" s="17" t="str">
        <f>"_x0007_`COD|M06564_x0005_`QTY1|1_x0005_`BQC|_x0005_`EQC|_x0005_`JDC|_x0005_`WQC|_x0005_`EDT|_x0005_`DET|"&amp;ROW(자재단가대비표!A317)&amp;"_x0005_`"</f>
        <v>_x0007_`COD|M06564_x0005_`QTY1|1_x0005_`BQC|_x0005_`EQC|_x0005_`JDC|_x0005_`WQC|_x0005_`EDT|_x0005_`DET|317_x0005_`</v>
      </c>
      <c r="H316" s="3" t="str">
        <f ca="1">HYPERLINK("#"&amp;자재단가대비표!R2&amp;"!A"&amp;ROW(자재단가대비표!A317),"자재313 →")</f>
        <v>자재313 →</v>
      </c>
    </row>
    <row r="317" spans="1:8" ht="17.45" customHeight="1" x14ac:dyDescent="0.3">
      <c r="A317" s="9" t="s">
        <v>2907</v>
      </c>
      <c r="B317" s="10" t="s">
        <v>1156</v>
      </c>
      <c r="C317" s="10" t="s">
        <v>2908</v>
      </c>
      <c r="D317" s="9" t="s">
        <v>1010</v>
      </c>
      <c r="E317" s="32">
        <f>자재단가대비표!O318</f>
        <v>109000</v>
      </c>
      <c r="F317" s="22" t="s">
        <v>2907</v>
      </c>
      <c r="G317" s="17" t="str">
        <f>"_x0007_`COD|M06691_x0005_`QTY1|1_x0005_`BQC|_x0005_`EQC|_x0005_`JDC|_x0005_`WQC|_x0005_`EDT|_x0005_`DET|"&amp;ROW(자재단가대비표!A318)&amp;"_x0005_`"</f>
        <v>_x0007_`COD|M06691_x0005_`QTY1|1_x0005_`BQC|_x0005_`EQC|_x0005_`JDC|_x0005_`WQC|_x0005_`EDT|_x0005_`DET|318_x0005_`</v>
      </c>
      <c r="H317" s="3" t="str">
        <f ca="1">HYPERLINK("#"&amp;자재단가대비표!R2&amp;"!A"&amp;ROW(자재단가대비표!A318),"자재314 →")</f>
        <v>자재314 →</v>
      </c>
    </row>
    <row r="318" spans="1:8" ht="17.45" customHeight="1" x14ac:dyDescent="0.3">
      <c r="A318" s="9" t="s">
        <v>2910</v>
      </c>
      <c r="B318" s="10" t="s">
        <v>1156</v>
      </c>
      <c r="C318" s="10" t="s">
        <v>2911</v>
      </c>
      <c r="D318" s="9" t="s">
        <v>1010</v>
      </c>
      <c r="E318" s="32">
        <f>자재단가대비표!O319</f>
        <v>151200</v>
      </c>
      <c r="F318" s="22" t="s">
        <v>2910</v>
      </c>
      <c r="G318" s="17" t="str">
        <f>"_x0007_`COD|M06548_x0005_`QTY1|1_x0005_`BQC|_x0005_`EQC|_x0005_`JDC|_x0005_`WQC|_x0005_`EDT|_x0005_`DET|"&amp;ROW(자재단가대비표!A319)&amp;"_x0005_`"</f>
        <v>_x0007_`COD|M06548_x0005_`QTY1|1_x0005_`BQC|_x0005_`EQC|_x0005_`JDC|_x0005_`WQC|_x0005_`EDT|_x0005_`DET|319_x0005_`</v>
      </c>
      <c r="H318" s="3" t="str">
        <f ca="1">HYPERLINK("#"&amp;자재단가대비표!R2&amp;"!A"&amp;ROW(자재단가대비표!A319),"자재315 →")</f>
        <v>자재315 →</v>
      </c>
    </row>
    <row r="319" spans="1:8" ht="17.45" customHeight="1" x14ac:dyDescent="0.3">
      <c r="A319" s="9" t="s">
        <v>2913</v>
      </c>
      <c r="B319" s="10" t="s">
        <v>2914</v>
      </c>
      <c r="C319" s="10" t="s">
        <v>2915</v>
      </c>
      <c r="D319" s="9" t="s">
        <v>2279</v>
      </c>
      <c r="E319" s="32">
        <f>자재단가대비표!O320</f>
        <v>22000</v>
      </c>
      <c r="F319" s="22" t="s">
        <v>2913</v>
      </c>
      <c r="G319" s="17" t="str">
        <f>"_x0007_`COD|M06630_x0005_`QTY1|1_x0005_`BQC|_x0005_`EQC|도로_x0005_`JDC|_x0005_`WQC|_x0005_`EDT|_x0005_`DET|"&amp;ROW(자재단가대비표!A320)&amp;"_x0005_`"</f>
        <v>_x0007_`COD|M06630_x0005_`QTY1|1_x0005_`BQC|_x0005_`EQC|도로_x0005_`JDC|_x0005_`WQC|_x0005_`EDT|_x0005_`DET|320_x0005_`</v>
      </c>
      <c r="H319" s="3" t="str">
        <f ca="1">HYPERLINK("#"&amp;자재단가대비표!R2&amp;"!A"&amp;ROW(자재단가대비표!A320),"자재316 →")</f>
        <v>자재316 →</v>
      </c>
    </row>
    <row r="320" spans="1:8" ht="17.45" customHeight="1" x14ac:dyDescent="0.3">
      <c r="A320" s="9" t="s">
        <v>2917</v>
      </c>
      <c r="B320" s="10" t="s">
        <v>2918</v>
      </c>
      <c r="C320" s="10" t="s">
        <v>2919</v>
      </c>
      <c r="D320" s="9" t="s">
        <v>2121</v>
      </c>
      <c r="E320" s="32">
        <f>자재단가대비표!O321</f>
        <v>7000</v>
      </c>
      <c r="F320" s="22" t="s">
        <v>2917</v>
      </c>
      <c r="G320" s="17" t="str">
        <f>"_x0007_`COD|M06740_x0005_`QTY1|1_x0005_`BQC|_x0005_`EQC|_x0005_`JDC|_x0005_`WQC|_x0005_`EDT|_x0005_`DET|"&amp;ROW(자재단가대비표!A321)&amp;"_x0005_`"</f>
        <v>_x0007_`COD|M06740_x0005_`QTY1|1_x0005_`BQC|_x0005_`EQC|_x0005_`JDC|_x0005_`WQC|_x0005_`EDT|_x0005_`DET|321_x0005_`</v>
      </c>
      <c r="H320" s="3" t="str">
        <f ca="1">HYPERLINK("#"&amp;자재단가대비표!R2&amp;"!A"&amp;ROW(자재단가대비표!A321),"자재317 →")</f>
        <v>자재317 →</v>
      </c>
    </row>
    <row r="321" spans="1:8" ht="17.45" customHeight="1" x14ac:dyDescent="0.3">
      <c r="A321" s="9" t="s">
        <v>2921</v>
      </c>
      <c r="B321" s="10" t="s">
        <v>2922</v>
      </c>
      <c r="C321" s="10" t="s">
        <v>2923</v>
      </c>
      <c r="D321" s="9" t="s">
        <v>1010</v>
      </c>
      <c r="E321" s="32">
        <f>자재단가대비표!O322</f>
        <v>459000</v>
      </c>
      <c r="F321" s="22" t="s">
        <v>2921</v>
      </c>
      <c r="G321" s="17" t="str">
        <f>"_x0007_`COD|M06596_x0005_`QTY1|1_x0005_`BQC|_x0005_`EQC|_x0005_`JDC|_x0005_`WQC|_x0005_`EDT|_x0005_`DET|"&amp;ROW(자재단가대비표!A322)&amp;"_x0005_`"</f>
        <v>_x0007_`COD|M06596_x0005_`QTY1|1_x0005_`BQC|_x0005_`EQC|_x0005_`JDC|_x0005_`WQC|_x0005_`EDT|_x0005_`DET|322_x0005_`</v>
      </c>
      <c r="H321" s="3" t="str">
        <f ca="1">HYPERLINK("#"&amp;자재단가대비표!R2&amp;"!A"&amp;ROW(자재단가대비표!A322),"자재318 →")</f>
        <v>자재318 →</v>
      </c>
    </row>
    <row r="322" spans="1:8" ht="17.45" customHeight="1" x14ac:dyDescent="0.3">
      <c r="A322" s="9" t="s">
        <v>2925</v>
      </c>
      <c r="B322" s="10" t="s">
        <v>2922</v>
      </c>
      <c r="C322" s="10" t="s">
        <v>2926</v>
      </c>
      <c r="D322" s="9" t="s">
        <v>1010</v>
      </c>
      <c r="E322" s="32">
        <f>자재단가대비표!O323</f>
        <v>574000</v>
      </c>
      <c r="F322" s="22" t="s">
        <v>2925</v>
      </c>
      <c r="G322" s="17" t="str">
        <f>"_x0007_`COD|M06601_x0005_`QTY1|1_x0005_`BQC|_x0005_`EQC|_x0005_`JDC|_x0005_`WQC|_x0005_`EDT|_x0005_`DET|"&amp;ROW(자재단가대비표!A323)&amp;"_x0005_`"</f>
        <v>_x0007_`COD|M06601_x0005_`QTY1|1_x0005_`BQC|_x0005_`EQC|_x0005_`JDC|_x0005_`WQC|_x0005_`EDT|_x0005_`DET|323_x0005_`</v>
      </c>
      <c r="H322" s="3" t="str">
        <f ca="1">HYPERLINK("#"&amp;자재단가대비표!R2&amp;"!A"&amp;ROW(자재단가대비표!A323),"자재319 →")</f>
        <v>자재319 →</v>
      </c>
    </row>
    <row r="323" spans="1:8" ht="17.45" customHeight="1" x14ac:dyDescent="0.3">
      <c r="A323" s="9" t="s">
        <v>2928</v>
      </c>
      <c r="B323" s="10" t="s">
        <v>2922</v>
      </c>
      <c r="C323" s="10" t="s">
        <v>2929</v>
      </c>
      <c r="D323" s="9" t="s">
        <v>1010</v>
      </c>
      <c r="E323" s="32">
        <f>자재단가대비표!O324</f>
        <v>688000</v>
      </c>
      <c r="F323" s="22" t="s">
        <v>2928</v>
      </c>
      <c r="G323" s="17" t="str">
        <f>"_x0007_`COD|M06606_x0005_`QTY1|1_x0005_`BQC|_x0005_`EQC|_x0005_`JDC|_x0005_`WQC|_x0005_`EDT|_x0005_`DET|"&amp;ROW(자재단가대비표!A324)&amp;"_x0005_`"</f>
        <v>_x0007_`COD|M06606_x0005_`QTY1|1_x0005_`BQC|_x0005_`EQC|_x0005_`JDC|_x0005_`WQC|_x0005_`EDT|_x0005_`DET|324_x0005_`</v>
      </c>
      <c r="H323" s="3" t="str">
        <f ca="1">HYPERLINK("#"&amp;자재단가대비표!R2&amp;"!A"&amp;ROW(자재단가대비표!A324),"자재320 →")</f>
        <v>자재320 →</v>
      </c>
    </row>
    <row r="324" spans="1:8" ht="17.45" customHeight="1" x14ac:dyDescent="0.3">
      <c r="A324" s="9" t="s">
        <v>2931</v>
      </c>
      <c r="B324" s="10" t="s">
        <v>2922</v>
      </c>
      <c r="C324" s="10" t="s">
        <v>2932</v>
      </c>
      <c r="D324" s="9" t="s">
        <v>1010</v>
      </c>
      <c r="E324" s="32">
        <f>자재단가대비표!O325</f>
        <v>704000</v>
      </c>
      <c r="F324" s="22" t="s">
        <v>2931</v>
      </c>
      <c r="G324" s="17" t="str">
        <f>"_x0007_`COD|M06597_x0005_`QTY1|1_x0005_`BQC|_x0005_`EQC|_x0005_`JDC|_x0005_`WQC|_x0005_`EDT|_x0005_`DET|"&amp;ROW(자재단가대비표!A325)&amp;"_x0005_`"</f>
        <v>_x0007_`COD|M06597_x0005_`QTY1|1_x0005_`BQC|_x0005_`EQC|_x0005_`JDC|_x0005_`WQC|_x0005_`EDT|_x0005_`DET|325_x0005_`</v>
      </c>
      <c r="H324" s="3" t="str">
        <f ca="1">HYPERLINK("#"&amp;자재단가대비표!R2&amp;"!A"&amp;ROW(자재단가대비표!A325),"자재321 →")</f>
        <v>자재321 →</v>
      </c>
    </row>
    <row r="325" spans="1:8" ht="17.45" customHeight="1" x14ac:dyDescent="0.3">
      <c r="A325" s="9" t="s">
        <v>2934</v>
      </c>
      <c r="B325" s="10" t="s">
        <v>2922</v>
      </c>
      <c r="C325" s="10" t="s">
        <v>2935</v>
      </c>
      <c r="D325" s="9" t="s">
        <v>1010</v>
      </c>
      <c r="E325" s="32">
        <f>자재단가대비표!O326</f>
        <v>873000</v>
      </c>
      <c r="F325" s="22" t="s">
        <v>2934</v>
      </c>
      <c r="G325" s="17" t="str">
        <f>"_x0007_`COD|M06602_x0005_`QTY1|1_x0005_`BQC|_x0005_`EQC|_x0005_`JDC|_x0005_`WQC|_x0005_`EDT|_x0005_`DET|"&amp;ROW(자재단가대비표!A326)&amp;"_x0005_`"</f>
        <v>_x0007_`COD|M06602_x0005_`QTY1|1_x0005_`BQC|_x0005_`EQC|_x0005_`JDC|_x0005_`WQC|_x0005_`EDT|_x0005_`DET|326_x0005_`</v>
      </c>
      <c r="H325" s="3" t="str">
        <f ca="1">HYPERLINK("#"&amp;자재단가대비표!R2&amp;"!A"&amp;ROW(자재단가대비표!A326),"자재322 →")</f>
        <v>자재322 →</v>
      </c>
    </row>
    <row r="326" spans="1:8" ht="17.45" customHeight="1" x14ac:dyDescent="0.3">
      <c r="A326" s="9" t="s">
        <v>2937</v>
      </c>
      <c r="B326" s="10" t="s">
        <v>2922</v>
      </c>
      <c r="C326" s="10" t="s">
        <v>2938</v>
      </c>
      <c r="D326" s="9" t="s">
        <v>1010</v>
      </c>
      <c r="E326" s="32">
        <f>자재단가대비표!O327</f>
        <v>1042000</v>
      </c>
      <c r="F326" s="22" t="s">
        <v>2937</v>
      </c>
      <c r="G326" s="17" t="str">
        <f>"_x0007_`COD|M06607_x0005_`QTY1|1_x0005_`BQC|_x0005_`EQC|_x0005_`JDC|_x0005_`WQC|_x0005_`EDT|_x0005_`DET|"&amp;ROW(자재단가대비표!A327)&amp;"_x0005_`"</f>
        <v>_x0007_`COD|M06607_x0005_`QTY1|1_x0005_`BQC|_x0005_`EQC|_x0005_`JDC|_x0005_`WQC|_x0005_`EDT|_x0005_`DET|327_x0005_`</v>
      </c>
      <c r="H326" s="3" t="str">
        <f ca="1">HYPERLINK("#"&amp;자재단가대비표!R2&amp;"!A"&amp;ROW(자재단가대비표!A327),"자재323 →")</f>
        <v>자재323 →</v>
      </c>
    </row>
    <row r="327" spans="1:8" ht="17.45" customHeight="1" x14ac:dyDescent="0.3">
      <c r="A327" s="9" t="s">
        <v>2940</v>
      </c>
      <c r="B327" s="10" t="s">
        <v>2922</v>
      </c>
      <c r="C327" s="10" t="s">
        <v>2941</v>
      </c>
      <c r="D327" s="9" t="s">
        <v>1010</v>
      </c>
      <c r="E327" s="32">
        <f>자재단가대비표!O328</f>
        <v>1002000</v>
      </c>
      <c r="F327" s="22" t="s">
        <v>2940</v>
      </c>
      <c r="G327" s="17" t="str">
        <f>"_x0007_`COD|M06598_x0005_`QTY1|1_x0005_`BQC|_x0005_`EQC|_x0005_`JDC|_x0005_`WQC|_x0005_`EDT|_x0005_`DET|"&amp;ROW(자재단가대비표!A328)&amp;"_x0005_`"</f>
        <v>_x0007_`COD|M06598_x0005_`QTY1|1_x0005_`BQC|_x0005_`EQC|_x0005_`JDC|_x0005_`WQC|_x0005_`EDT|_x0005_`DET|328_x0005_`</v>
      </c>
      <c r="H327" s="3" t="str">
        <f ca="1">HYPERLINK("#"&amp;자재단가대비표!R2&amp;"!A"&amp;ROW(자재단가대비표!A328),"자재324 →")</f>
        <v>자재324 →</v>
      </c>
    </row>
    <row r="328" spans="1:8" ht="17.45" customHeight="1" x14ac:dyDescent="0.3">
      <c r="A328" s="9" t="s">
        <v>2943</v>
      </c>
      <c r="B328" s="10" t="s">
        <v>2922</v>
      </c>
      <c r="C328" s="10" t="s">
        <v>2944</v>
      </c>
      <c r="D328" s="9" t="s">
        <v>1010</v>
      </c>
      <c r="E328" s="32">
        <f>자재단가대비표!O329</f>
        <v>1315000</v>
      </c>
      <c r="F328" s="22" t="s">
        <v>2943</v>
      </c>
      <c r="G328" s="17" t="str">
        <f>"_x0007_`COD|M06603_x0005_`QTY1|1_x0005_`BQC|_x0005_`EQC|_x0005_`JDC|_x0005_`WQC|_x0005_`EDT|_x0005_`DET|"&amp;ROW(자재단가대비표!A329)&amp;"_x0005_`"</f>
        <v>_x0007_`COD|M06603_x0005_`QTY1|1_x0005_`BQC|_x0005_`EQC|_x0005_`JDC|_x0005_`WQC|_x0005_`EDT|_x0005_`DET|329_x0005_`</v>
      </c>
      <c r="H328" s="3" t="str">
        <f ca="1">HYPERLINK("#"&amp;자재단가대비표!R2&amp;"!A"&amp;ROW(자재단가대비표!A329),"자재325 →")</f>
        <v>자재325 →</v>
      </c>
    </row>
    <row r="329" spans="1:8" ht="17.45" customHeight="1" x14ac:dyDescent="0.3">
      <c r="A329" s="9" t="s">
        <v>2946</v>
      </c>
      <c r="B329" s="10" t="s">
        <v>2922</v>
      </c>
      <c r="C329" s="10" t="s">
        <v>2947</v>
      </c>
      <c r="D329" s="9" t="s">
        <v>1010</v>
      </c>
      <c r="E329" s="32">
        <f>자재단가대비표!O330</f>
        <v>1627000</v>
      </c>
      <c r="F329" s="22" t="s">
        <v>2946</v>
      </c>
      <c r="G329" s="17" t="str">
        <f>"_x0007_`COD|M06608_x0005_`QTY1|1_x0005_`BQC|_x0005_`EQC|_x0005_`JDC|_x0005_`WQC|_x0005_`EDT|_x0005_`DET|"&amp;ROW(자재단가대비표!A330)&amp;"_x0005_`"</f>
        <v>_x0007_`COD|M06608_x0005_`QTY1|1_x0005_`BQC|_x0005_`EQC|_x0005_`JDC|_x0005_`WQC|_x0005_`EDT|_x0005_`DET|330_x0005_`</v>
      </c>
      <c r="H329" s="3" t="str">
        <f ca="1">HYPERLINK("#"&amp;자재단가대비표!R2&amp;"!A"&amp;ROW(자재단가대비표!A330),"자재326 →")</f>
        <v>자재326 →</v>
      </c>
    </row>
    <row r="330" spans="1:8" ht="17.45" customHeight="1" x14ac:dyDescent="0.3">
      <c r="A330" s="9" t="s">
        <v>2949</v>
      </c>
      <c r="B330" s="10" t="s">
        <v>2922</v>
      </c>
      <c r="C330" s="10" t="s">
        <v>2950</v>
      </c>
      <c r="D330" s="9" t="s">
        <v>1010</v>
      </c>
      <c r="E330" s="32">
        <f>자재단가대비표!O331</f>
        <v>1340000</v>
      </c>
      <c r="F330" s="22" t="s">
        <v>2949</v>
      </c>
      <c r="G330" s="17" t="str">
        <f>"_x0007_`COD|M06599_x0005_`QTY1|1_x0005_`BQC|_x0005_`EQC|_x0005_`JDC|_x0005_`WQC|_x0005_`EDT|_x0005_`DET|"&amp;ROW(자재단가대비표!A331)&amp;"_x0005_`"</f>
        <v>_x0007_`COD|M06599_x0005_`QTY1|1_x0005_`BQC|_x0005_`EQC|_x0005_`JDC|_x0005_`WQC|_x0005_`EDT|_x0005_`DET|331_x0005_`</v>
      </c>
      <c r="H330" s="3" t="str">
        <f ca="1">HYPERLINK("#"&amp;자재단가대비표!R2&amp;"!A"&amp;ROW(자재단가대비표!A331),"자재327 →")</f>
        <v>자재327 →</v>
      </c>
    </row>
    <row r="331" spans="1:8" ht="17.45" customHeight="1" x14ac:dyDescent="0.3">
      <c r="A331" s="9" t="s">
        <v>2952</v>
      </c>
      <c r="B331" s="10" t="s">
        <v>2922</v>
      </c>
      <c r="C331" s="10" t="s">
        <v>2953</v>
      </c>
      <c r="D331" s="9" t="s">
        <v>1010</v>
      </c>
      <c r="E331" s="32">
        <f>자재단가대비표!O332</f>
        <v>1710000</v>
      </c>
      <c r="F331" s="22" t="s">
        <v>2952</v>
      </c>
      <c r="G331" s="17" t="str">
        <f>"_x0007_`COD|M06604_x0005_`QTY1|1_x0005_`BQC|_x0005_`EQC|_x0005_`JDC|_x0005_`WQC|_x0005_`EDT|_x0005_`DET|"&amp;ROW(자재단가대비표!A332)&amp;"_x0005_`"</f>
        <v>_x0007_`COD|M06604_x0005_`QTY1|1_x0005_`BQC|_x0005_`EQC|_x0005_`JDC|_x0005_`WQC|_x0005_`EDT|_x0005_`DET|332_x0005_`</v>
      </c>
      <c r="H331" s="3" t="str">
        <f ca="1">HYPERLINK("#"&amp;자재단가대비표!R2&amp;"!A"&amp;ROW(자재단가대비표!A332),"자재328 →")</f>
        <v>자재328 →</v>
      </c>
    </row>
    <row r="332" spans="1:8" ht="17.45" customHeight="1" x14ac:dyDescent="0.3">
      <c r="A332" s="9" t="s">
        <v>2955</v>
      </c>
      <c r="B332" s="10" t="s">
        <v>2922</v>
      </c>
      <c r="C332" s="10" t="s">
        <v>2956</v>
      </c>
      <c r="D332" s="9" t="s">
        <v>1010</v>
      </c>
      <c r="E332" s="32">
        <f>자재단가대비표!O333</f>
        <v>2078000</v>
      </c>
      <c r="F332" s="22" t="s">
        <v>2955</v>
      </c>
      <c r="G332" s="17" t="str">
        <f>"_x0007_`COD|M06609_x0005_`QTY1|1_x0005_`BQC|_x0005_`EQC|_x0005_`JDC|_x0005_`WQC|_x0005_`EDT|_x0005_`DET|"&amp;ROW(자재단가대비표!A333)&amp;"_x0005_`"</f>
        <v>_x0007_`COD|M06609_x0005_`QTY1|1_x0005_`BQC|_x0005_`EQC|_x0005_`JDC|_x0005_`WQC|_x0005_`EDT|_x0005_`DET|333_x0005_`</v>
      </c>
      <c r="H332" s="3" t="str">
        <f ca="1">HYPERLINK("#"&amp;자재단가대비표!R2&amp;"!A"&amp;ROW(자재단가대비표!A333),"자재329 →")</f>
        <v>자재329 →</v>
      </c>
    </row>
    <row r="333" spans="1:8" ht="17.45" customHeight="1" x14ac:dyDescent="0.3">
      <c r="A333" s="9" t="s">
        <v>2958</v>
      </c>
      <c r="B333" s="10" t="s">
        <v>2922</v>
      </c>
      <c r="C333" s="10" t="s">
        <v>2959</v>
      </c>
      <c r="D333" s="9" t="s">
        <v>1010</v>
      </c>
      <c r="E333" s="32">
        <f>자재단가대비표!O334</f>
        <v>1678000</v>
      </c>
      <c r="F333" s="22" t="s">
        <v>2958</v>
      </c>
      <c r="G333" s="17" t="str">
        <f>"_x0007_`COD|M06600_x0005_`QTY1|1_x0005_`BQC|_x0005_`EQC|_x0005_`JDC|_x0005_`WQC|_x0005_`EDT|_x0005_`DET|"&amp;ROW(자재단가대비표!A334)&amp;"_x0005_`"</f>
        <v>_x0007_`COD|M06600_x0005_`QTY1|1_x0005_`BQC|_x0005_`EQC|_x0005_`JDC|_x0005_`WQC|_x0005_`EDT|_x0005_`DET|334_x0005_`</v>
      </c>
      <c r="H333" s="3" t="str">
        <f ca="1">HYPERLINK("#"&amp;자재단가대비표!R2&amp;"!A"&amp;ROW(자재단가대비표!A334),"자재330 →")</f>
        <v>자재330 →</v>
      </c>
    </row>
    <row r="334" spans="1:8" ht="17.45" customHeight="1" x14ac:dyDescent="0.3">
      <c r="A334" s="9" t="s">
        <v>2961</v>
      </c>
      <c r="B334" s="10" t="s">
        <v>2922</v>
      </c>
      <c r="C334" s="10" t="s">
        <v>2962</v>
      </c>
      <c r="D334" s="9" t="s">
        <v>1010</v>
      </c>
      <c r="E334" s="32">
        <f>자재단가대비표!O335</f>
        <v>2122000</v>
      </c>
      <c r="F334" s="22" t="s">
        <v>2961</v>
      </c>
      <c r="G334" s="17" t="str">
        <f>"_x0007_`COD|M06605_x0005_`QTY1|1_x0005_`BQC|_x0005_`EQC|_x0005_`JDC|_x0005_`WQC|_x0005_`EDT|_x0005_`DET|"&amp;ROW(자재단가대비표!A335)&amp;"_x0005_`"</f>
        <v>_x0007_`COD|M06605_x0005_`QTY1|1_x0005_`BQC|_x0005_`EQC|_x0005_`JDC|_x0005_`WQC|_x0005_`EDT|_x0005_`DET|335_x0005_`</v>
      </c>
      <c r="H334" s="3" t="str">
        <f ca="1">HYPERLINK("#"&amp;자재단가대비표!R2&amp;"!A"&amp;ROW(자재단가대비표!A335),"자재331 →")</f>
        <v>자재331 →</v>
      </c>
    </row>
    <row r="335" spans="1:8" ht="17.45" customHeight="1" x14ac:dyDescent="0.3">
      <c r="A335" s="9" t="s">
        <v>2964</v>
      </c>
      <c r="B335" s="10" t="s">
        <v>2922</v>
      </c>
      <c r="C335" s="10" t="s">
        <v>2965</v>
      </c>
      <c r="D335" s="9" t="s">
        <v>1010</v>
      </c>
      <c r="E335" s="32">
        <f>자재단가대비표!O336</f>
        <v>2565000</v>
      </c>
      <c r="F335" s="22" t="s">
        <v>2964</v>
      </c>
      <c r="G335" s="17" t="str">
        <f>"_x0007_`COD|M06610_x0005_`QTY1|1_x0005_`BQC|_x0005_`EQC|_x0005_`JDC|_x0005_`WQC|_x0005_`EDT|_x0005_`DET|"&amp;ROW(자재단가대비표!A336)&amp;"_x0005_`"</f>
        <v>_x0007_`COD|M06610_x0005_`QTY1|1_x0005_`BQC|_x0005_`EQC|_x0005_`JDC|_x0005_`WQC|_x0005_`EDT|_x0005_`DET|336_x0005_`</v>
      </c>
      <c r="H335" s="3" t="str">
        <f ca="1">HYPERLINK("#"&amp;자재단가대비표!R2&amp;"!A"&amp;ROW(자재단가대비표!A336),"자재332 →")</f>
        <v>자재332 →</v>
      </c>
    </row>
    <row r="336" spans="1:8" ht="17.45" customHeight="1" x14ac:dyDescent="0.3">
      <c r="A336" s="9" t="s">
        <v>2967</v>
      </c>
      <c r="B336" s="10" t="s">
        <v>2968</v>
      </c>
      <c r="C336" s="10" t="s">
        <v>2969</v>
      </c>
      <c r="D336" s="9" t="s">
        <v>1010</v>
      </c>
      <c r="E336" s="32">
        <f>자재단가대비표!O337</f>
        <v>46320</v>
      </c>
      <c r="F336" s="22" t="s">
        <v>2967</v>
      </c>
      <c r="G336" s="17" t="str">
        <f>"_x0007_`COD|M06623_x0005_`QTY1|1_x0005_`BQC|_x0005_`EQC|_x0005_`JDC|_x0005_`WQC|_x0005_`EDT|_x0005_`DET|"&amp;ROW(자재단가대비표!A337)&amp;"_x0005_`"</f>
        <v>_x0007_`COD|M06623_x0005_`QTY1|1_x0005_`BQC|_x0005_`EQC|_x0005_`JDC|_x0005_`WQC|_x0005_`EDT|_x0005_`DET|337_x0005_`</v>
      </c>
      <c r="H336" s="3" t="str">
        <f ca="1">HYPERLINK("#"&amp;자재단가대비표!R2&amp;"!A"&amp;ROW(자재단가대비표!A337),"자재333 →")</f>
        <v>자재333 →</v>
      </c>
    </row>
    <row r="337" spans="1:8" ht="17.45" customHeight="1" x14ac:dyDescent="0.3">
      <c r="A337" s="9" t="s">
        <v>2971</v>
      </c>
      <c r="B337" s="10" t="s">
        <v>2968</v>
      </c>
      <c r="C337" s="10" t="s">
        <v>2972</v>
      </c>
      <c r="D337" s="9" t="s">
        <v>1010</v>
      </c>
      <c r="E337" s="32">
        <f>자재단가대비표!O338</f>
        <v>98580</v>
      </c>
      <c r="F337" s="22" t="s">
        <v>2971</v>
      </c>
      <c r="G337" s="17" t="str">
        <f>"_x0007_`COD|M06624_x0005_`QTY1|1_x0005_`BQC|_x0005_`EQC|_x0005_`JDC|_x0005_`WQC|_x0005_`EDT|_x0005_`DET|"&amp;ROW(자재단가대비표!A338)&amp;"_x0005_`"</f>
        <v>_x0007_`COD|M06624_x0005_`QTY1|1_x0005_`BQC|_x0005_`EQC|_x0005_`JDC|_x0005_`WQC|_x0005_`EDT|_x0005_`DET|338_x0005_`</v>
      </c>
      <c r="H337" s="3" t="str">
        <f ca="1">HYPERLINK("#"&amp;자재단가대비표!R2&amp;"!A"&amp;ROW(자재단가대비표!A338),"자재334 →")</f>
        <v>자재334 →</v>
      </c>
    </row>
    <row r="338" spans="1:8" ht="17.45" customHeight="1" x14ac:dyDescent="0.3">
      <c r="A338" s="9" t="s">
        <v>2974</v>
      </c>
      <c r="B338" s="10" t="s">
        <v>2968</v>
      </c>
      <c r="C338" s="10" t="s">
        <v>2975</v>
      </c>
      <c r="D338" s="9" t="s">
        <v>1010</v>
      </c>
      <c r="E338" s="32">
        <f>자재단가대비표!O339</f>
        <v>143400</v>
      </c>
      <c r="F338" s="22" t="s">
        <v>2974</v>
      </c>
      <c r="G338" s="17" t="str">
        <f>"_x0007_`COD|M06625_x0005_`QTY1|1_x0005_`BQC|_x0005_`EQC|_x0005_`JDC|_x0005_`WQC|_x0005_`EDT|_x0005_`DET|"&amp;ROW(자재단가대비표!A339)&amp;"_x0005_`"</f>
        <v>_x0007_`COD|M06625_x0005_`QTY1|1_x0005_`BQC|_x0005_`EQC|_x0005_`JDC|_x0005_`WQC|_x0005_`EDT|_x0005_`DET|339_x0005_`</v>
      </c>
      <c r="H338" s="3" t="str">
        <f ca="1">HYPERLINK("#"&amp;자재단가대비표!R2&amp;"!A"&amp;ROW(자재단가대비표!A339),"자재335 →")</f>
        <v>자재335 →</v>
      </c>
    </row>
    <row r="339" spans="1:8" ht="17.45" customHeight="1" x14ac:dyDescent="0.3">
      <c r="A339" s="9" t="s">
        <v>2977</v>
      </c>
      <c r="B339" s="10" t="s">
        <v>2978</v>
      </c>
      <c r="C339" s="10" t="s">
        <v>2969</v>
      </c>
      <c r="D339" s="9" t="s">
        <v>1010</v>
      </c>
      <c r="E339" s="32">
        <f>자재단가대비표!O340</f>
        <v>29700</v>
      </c>
      <c r="F339" s="22" t="s">
        <v>2977</v>
      </c>
      <c r="G339" s="17" t="str">
        <f>"_x0007_`COD|M06620_x0005_`QTY1|1_x0005_`BQC|_x0005_`EQC|_x0005_`JDC|_x0005_`WQC|_x0005_`EDT|_x0005_`DET|"&amp;ROW(자재단가대비표!A340)&amp;"_x0005_`"</f>
        <v>_x0007_`COD|M06620_x0005_`QTY1|1_x0005_`BQC|_x0005_`EQC|_x0005_`JDC|_x0005_`WQC|_x0005_`EDT|_x0005_`DET|340_x0005_`</v>
      </c>
      <c r="H339" s="3" t="str">
        <f ca="1">HYPERLINK("#"&amp;자재단가대비표!R2&amp;"!A"&amp;ROW(자재단가대비표!A340),"자재336 →")</f>
        <v>자재336 →</v>
      </c>
    </row>
    <row r="340" spans="1:8" ht="17.45" customHeight="1" x14ac:dyDescent="0.3">
      <c r="A340" s="9" t="s">
        <v>2980</v>
      </c>
      <c r="B340" s="10" t="s">
        <v>2978</v>
      </c>
      <c r="C340" s="10" t="s">
        <v>2972</v>
      </c>
      <c r="D340" s="9" t="s">
        <v>1010</v>
      </c>
      <c r="E340" s="32">
        <f>자재단가대비표!O341</f>
        <v>56400</v>
      </c>
      <c r="F340" s="22" t="s">
        <v>2980</v>
      </c>
      <c r="G340" s="17" t="str">
        <f>"_x0007_`COD|M06621_x0005_`QTY1|1_x0005_`BQC|_x0005_`EQC|_x0005_`JDC|_x0005_`WQC|_x0005_`EDT|_x0005_`DET|"&amp;ROW(자재단가대비표!A341)&amp;"_x0005_`"</f>
        <v>_x0007_`COD|M06621_x0005_`QTY1|1_x0005_`BQC|_x0005_`EQC|_x0005_`JDC|_x0005_`WQC|_x0005_`EDT|_x0005_`DET|341_x0005_`</v>
      </c>
      <c r="H340" s="3" t="str">
        <f ca="1">HYPERLINK("#"&amp;자재단가대비표!R2&amp;"!A"&amp;ROW(자재단가대비표!A341),"자재337 →")</f>
        <v>자재337 →</v>
      </c>
    </row>
    <row r="341" spans="1:8" ht="17.45" customHeight="1" x14ac:dyDescent="0.3">
      <c r="A341" s="9" t="s">
        <v>2982</v>
      </c>
      <c r="B341" s="10" t="s">
        <v>2978</v>
      </c>
      <c r="C341" s="10" t="s">
        <v>2975</v>
      </c>
      <c r="D341" s="9" t="s">
        <v>1010</v>
      </c>
      <c r="E341" s="32">
        <f>자재단가대비표!O342</f>
        <v>75000</v>
      </c>
      <c r="F341" s="22" t="s">
        <v>2982</v>
      </c>
      <c r="G341" s="17" t="str">
        <f>"_x0007_`COD|M06622_x0005_`QTY1|1_x0005_`BQC|_x0005_`EQC|_x0005_`JDC|_x0005_`WQC|_x0005_`EDT|_x0005_`DET|"&amp;ROW(자재단가대비표!A342)&amp;"_x0005_`"</f>
        <v>_x0007_`COD|M06622_x0005_`QTY1|1_x0005_`BQC|_x0005_`EQC|_x0005_`JDC|_x0005_`WQC|_x0005_`EDT|_x0005_`DET|342_x0005_`</v>
      </c>
      <c r="H341" s="3" t="str">
        <f ca="1">HYPERLINK("#"&amp;자재단가대비표!R2&amp;"!A"&amp;ROW(자재단가대비표!A342),"자재338 →")</f>
        <v>자재338 →</v>
      </c>
    </row>
    <row r="342" spans="1:8" ht="17.45" customHeight="1" x14ac:dyDescent="0.3">
      <c r="A342" s="9" t="s">
        <v>2984</v>
      </c>
      <c r="B342" s="10" t="s">
        <v>2985</v>
      </c>
      <c r="C342" s="10" t="s">
        <v>2986</v>
      </c>
      <c r="D342" s="9" t="s">
        <v>1010</v>
      </c>
      <c r="E342" s="32">
        <f>자재단가대비표!O343</f>
        <v>400000</v>
      </c>
      <c r="F342" s="22" t="s">
        <v>2984</v>
      </c>
      <c r="G342" s="17" t="str">
        <f>"_x0007_`COD|M06590_x0005_`QTY1|1_x0005_`BQC|_x0005_`EQC|_x0005_`JDC|_x0005_`WQC|_x0005_`EDT|_x0005_`DET|"&amp;ROW(자재단가대비표!A343)&amp;"_x0005_`"</f>
        <v>_x0007_`COD|M06590_x0005_`QTY1|1_x0005_`BQC|_x0005_`EQC|_x0005_`JDC|_x0005_`WQC|_x0005_`EDT|_x0005_`DET|343_x0005_`</v>
      </c>
      <c r="H342" s="3" t="str">
        <f ca="1">HYPERLINK("#"&amp;자재단가대비표!R2&amp;"!A"&amp;ROW(자재단가대비표!A343),"자재339 →")</f>
        <v>자재339 →</v>
      </c>
    </row>
    <row r="343" spans="1:8" ht="17.45" customHeight="1" x14ac:dyDescent="0.3">
      <c r="A343" s="9" t="s">
        <v>2988</v>
      </c>
      <c r="B343" s="10" t="s">
        <v>2985</v>
      </c>
      <c r="C343" s="10" t="s">
        <v>2989</v>
      </c>
      <c r="D343" s="9" t="s">
        <v>1010</v>
      </c>
      <c r="E343" s="32">
        <f>자재단가대비표!O344</f>
        <v>700000</v>
      </c>
      <c r="F343" s="22" t="s">
        <v>2988</v>
      </c>
      <c r="G343" s="17" t="str">
        <f>"_x0007_`COD|M06713_x0005_`QTY1|1_x0005_`BQC|_x0005_`EQC|_x0005_`JDC|_x0005_`WQC|_x0005_`EDT|_x0005_`DET|"&amp;ROW(자재단가대비표!A344)&amp;"_x0005_`"</f>
        <v>_x0007_`COD|M06713_x0005_`QTY1|1_x0005_`BQC|_x0005_`EQC|_x0005_`JDC|_x0005_`WQC|_x0005_`EDT|_x0005_`DET|344_x0005_`</v>
      </c>
      <c r="H343" s="3" t="str">
        <f ca="1">HYPERLINK("#"&amp;자재단가대비표!R2&amp;"!A"&amp;ROW(자재단가대비표!A344),"자재340 →")</f>
        <v>자재340 →</v>
      </c>
    </row>
    <row r="344" spans="1:8" ht="17.45" customHeight="1" x14ac:dyDescent="0.3">
      <c r="A344" s="9" t="s">
        <v>2991</v>
      </c>
      <c r="B344" s="10" t="s">
        <v>2985</v>
      </c>
      <c r="C344" s="10" t="s">
        <v>2992</v>
      </c>
      <c r="D344" s="9" t="s">
        <v>1010</v>
      </c>
      <c r="E344" s="32">
        <f>자재단가대비표!O345</f>
        <v>1000000</v>
      </c>
      <c r="F344" s="22" t="s">
        <v>2991</v>
      </c>
      <c r="G344" s="17" t="str">
        <f>"_x0007_`COD|M06591_x0005_`QTY1|1_x0005_`BQC|_x0005_`EQC|_x0005_`JDC|_x0005_`WQC|_x0005_`EDT|_x0005_`DET|"&amp;ROW(자재단가대비표!A345)&amp;"_x0005_`"</f>
        <v>_x0007_`COD|M06591_x0005_`QTY1|1_x0005_`BQC|_x0005_`EQC|_x0005_`JDC|_x0005_`WQC|_x0005_`EDT|_x0005_`DET|345_x0005_`</v>
      </c>
      <c r="H344" s="3" t="str">
        <f ca="1">HYPERLINK("#"&amp;자재단가대비표!R2&amp;"!A"&amp;ROW(자재단가대비표!A345),"자재341 →")</f>
        <v>자재341 →</v>
      </c>
    </row>
    <row r="345" spans="1:8" ht="17.45" customHeight="1" x14ac:dyDescent="0.3">
      <c r="A345" s="9" t="s">
        <v>2994</v>
      </c>
      <c r="B345" s="10" t="s">
        <v>2985</v>
      </c>
      <c r="C345" s="10" t="s">
        <v>2995</v>
      </c>
      <c r="D345" s="9" t="s">
        <v>1010</v>
      </c>
      <c r="E345" s="32">
        <f>자재단가대비표!O346</f>
        <v>1600000</v>
      </c>
      <c r="F345" s="22" t="s">
        <v>2994</v>
      </c>
      <c r="G345" s="17" t="str">
        <f>"_x0007_`COD|M06714_x0005_`QTY1|1_x0005_`BQC|_x0005_`EQC|_x0005_`JDC|_x0005_`WQC|_x0005_`EDT|_x0005_`DET|"&amp;ROW(자재단가대비표!A346)&amp;"_x0005_`"</f>
        <v>_x0007_`COD|M06714_x0005_`QTY1|1_x0005_`BQC|_x0005_`EQC|_x0005_`JDC|_x0005_`WQC|_x0005_`EDT|_x0005_`DET|346_x0005_`</v>
      </c>
      <c r="H345" s="3" t="str">
        <f ca="1">HYPERLINK("#"&amp;자재단가대비표!R2&amp;"!A"&amp;ROW(자재단가대비표!A346),"자재342 →")</f>
        <v>자재342 →</v>
      </c>
    </row>
    <row r="346" spans="1:8" ht="17.45" customHeight="1" x14ac:dyDescent="0.3">
      <c r="A346" s="9" t="s">
        <v>2997</v>
      </c>
      <c r="B346" s="10" t="s">
        <v>2985</v>
      </c>
      <c r="C346" s="10" t="s">
        <v>2998</v>
      </c>
      <c r="D346" s="9" t="s">
        <v>1010</v>
      </c>
      <c r="E346" s="32">
        <f>자재단가대비표!O347</f>
        <v>2200000</v>
      </c>
      <c r="F346" s="22" t="s">
        <v>2997</v>
      </c>
      <c r="G346" s="17" t="str">
        <f>"_x0007_`COD|M06592_x0005_`QTY1|1_x0005_`BQC|_x0005_`EQC|_x0005_`JDC|_x0005_`WQC|_x0005_`EDT|_x0005_`DET|"&amp;ROW(자재단가대비표!A347)&amp;"_x0005_`"</f>
        <v>_x0007_`COD|M06592_x0005_`QTY1|1_x0005_`BQC|_x0005_`EQC|_x0005_`JDC|_x0005_`WQC|_x0005_`EDT|_x0005_`DET|347_x0005_`</v>
      </c>
      <c r="H346" s="3" t="str">
        <f ca="1">HYPERLINK("#"&amp;자재단가대비표!R2&amp;"!A"&amp;ROW(자재단가대비표!A347),"자재343 →")</f>
        <v>자재343 →</v>
      </c>
    </row>
    <row r="347" spans="1:8" ht="17.45" customHeight="1" x14ac:dyDescent="0.3">
      <c r="A347" s="9" t="s">
        <v>3000</v>
      </c>
      <c r="B347" s="10" t="s">
        <v>2985</v>
      </c>
      <c r="C347" s="10" t="s">
        <v>3001</v>
      </c>
      <c r="D347" s="9" t="s">
        <v>1010</v>
      </c>
      <c r="E347" s="32">
        <f>자재단가대비표!O348</f>
        <v>216000</v>
      </c>
      <c r="F347" s="22" t="s">
        <v>3000</v>
      </c>
      <c r="G347" s="17" t="str">
        <f>"_x0007_`COD|M06711_x0005_`QTY1|1_x0005_`BQC|_x0005_`EQC|_x0005_`JDC|_x0005_`WQC|_x0005_`EDT|_x0005_`DET|"&amp;ROW(자재단가대비표!A348)&amp;"_x0005_`"</f>
        <v>_x0007_`COD|M06711_x0005_`QTY1|1_x0005_`BQC|_x0005_`EQC|_x0005_`JDC|_x0005_`WQC|_x0005_`EDT|_x0005_`DET|348_x0005_`</v>
      </c>
      <c r="H347" s="3" t="str">
        <f ca="1">HYPERLINK("#"&amp;자재단가대비표!R2&amp;"!A"&amp;ROW(자재단가대비표!A348),"자재344 →")</f>
        <v>자재344 →</v>
      </c>
    </row>
    <row r="348" spans="1:8" ht="17.45" customHeight="1" x14ac:dyDescent="0.3">
      <c r="A348" s="9" t="s">
        <v>3003</v>
      </c>
      <c r="B348" s="10" t="s">
        <v>2985</v>
      </c>
      <c r="C348" s="10" t="s">
        <v>3004</v>
      </c>
      <c r="D348" s="9" t="s">
        <v>1010</v>
      </c>
      <c r="E348" s="32">
        <f>자재단가대비표!O349</f>
        <v>350000</v>
      </c>
      <c r="F348" s="22" t="s">
        <v>3003</v>
      </c>
      <c r="G348" s="17" t="str">
        <f>"_x0007_`COD|M06712_x0005_`QTY1|1_x0005_`BQC|_x0005_`EQC|_x0005_`JDC|_x0005_`WQC|_x0005_`EDT|_x0005_`DET|"&amp;ROW(자재단가대비표!A349)&amp;"_x0005_`"</f>
        <v>_x0007_`COD|M06712_x0005_`QTY1|1_x0005_`BQC|_x0005_`EQC|_x0005_`JDC|_x0005_`WQC|_x0005_`EDT|_x0005_`DET|349_x0005_`</v>
      </c>
      <c r="H348" s="3" t="str">
        <f ca="1">HYPERLINK("#"&amp;자재단가대비표!R2&amp;"!A"&amp;ROW(자재단가대비표!A349),"자재345 →")</f>
        <v>자재345 →</v>
      </c>
    </row>
    <row r="349" spans="1:8" ht="17.45" customHeight="1" x14ac:dyDescent="0.3">
      <c r="A349" s="9" t="s">
        <v>3006</v>
      </c>
      <c r="B349" s="10" t="s">
        <v>3007</v>
      </c>
      <c r="C349" s="10" t="s">
        <v>2986</v>
      </c>
      <c r="D349" s="9" t="s">
        <v>1010</v>
      </c>
      <c r="E349" s="32">
        <f>자재단가대비표!O350</f>
        <v>1300000</v>
      </c>
      <c r="F349" s="22" t="s">
        <v>3006</v>
      </c>
      <c r="G349" s="17" t="str">
        <f>"_x0007_`COD|M06593_x0005_`QTY1|1_x0005_`BQC|_x0005_`EQC|_x0005_`JDC|_x0005_`WQC|_x0005_`EDT|_x0005_`DET|"&amp;ROW(자재단가대비표!A350)&amp;"_x0005_`"</f>
        <v>_x0007_`COD|M06593_x0005_`QTY1|1_x0005_`BQC|_x0005_`EQC|_x0005_`JDC|_x0005_`WQC|_x0005_`EDT|_x0005_`DET|350_x0005_`</v>
      </c>
      <c r="H349" s="3" t="str">
        <f ca="1">HYPERLINK("#"&amp;자재단가대비표!R2&amp;"!A"&amp;ROW(자재단가대비표!A350),"자재346 →")</f>
        <v>자재346 →</v>
      </c>
    </row>
    <row r="350" spans="1:8" ht="17.45" customHeight="1" x14ac:dyDescent="0.3">
      <c r="A350" s="9" t="s">
        <v>3009</v>
      </c>
      <c r="B350" s="10" t="s">
        <v>3007</v>
      </c>
      <c r="C350" s="10" t="s">
        <v>2989</v>
      </c>
      <c r="D350" s="9" t="s">
        <v>1010</v>
      </c>
      <c r="E350" s="32">
        <f>자재단가대비표!O351</f>
        <v>1800000</v>
      </c>
      <c r="F350" s="22" t="s">
        <v>3009</v>
      </c>
      <c r="G350" s="17" t="str">
        <f>"_x0007_`COD|M06716_x0005_`QTY1|1_x0005_`BQC|_x0005_`EQC|_x0005_`JDC|_x0005_`WQC|_x0005_`EDT|_x0005_`DET|"&amp;ROW(자재단가대비표!A351)&amp;"_x0005_`"</f>
        <v>_x0007_`COD|M06716_x0005_`QTY1|1_x0005_`BQC|_x0005_`EQC|_x0005_`JDC|_x0005_`WQC|_x0005_`EDT|_x0005_`DET|351_x0005_`</v>
      </c>
      <c r="H350" s="3" t="str">
        <f ca="1">HYPERLINK("#"&amp;자재단가대비표!R2&amp;"!A"&amp;ROW(자재단가대비표!A351),"자재347 →")</f>
        <v>자재347 →</v>
      </c>
    </row>
    <row r="351" spans="1:8" ht="17.45" customHeight="1" x14ac:dyDescent="0.3">
      <c r="A351" s="9" t="s">
        <v>3011</v>
      </c>
      <c r="B351" s="10" t="s">
        <v>3007</v>
      </c>
      <c r="C351" s="10" t="s">
        <v>2992</v>
      </c>
      <c r="D351" s="9" t="s">
        <v>1010</v>
      </c>
      <c r="E351" s="32">
        <f>자재단가대비표!O352</f>
        <v>2300000</v>
      </c>
      <c r="F351" s="22" t="s">
        <v>3011</v>
      </c>
      <c r="G351" s="17" t="str">
        <f>"_x0007_`COD|M06594_x0005_`QTY1|1_x0005_`BQC|_x0005_`EQC|_x0005_`JDC|_x0005_`WQC|_x0005_`EDT|_x0005_`DET|"&amp;ROW(자재단가대비표!A352)&amp;"_x0005_`"</f>
        <v>_x0007_`COD|M06594_x0005_`QTY1|1_x0005_`BQC|_x0005_`EQC|_x0005_`JDC|_x0005_`WQC|_x0005_`EDT|_x0005_`DET|352_x0005_`</v>
      </c>
      <c r="H351" s="3" t="str">
        <f ca="1">HYPERLINK("#"&amp;자재단가대비표!R2&amp;"!A"&amp;ROW(자재단가대비표!A352),"자재348 →")</f>
        <v>자재348 →</v>
      </c>
    </row>
    <row r="352" spans="1:8" ht="17.45" customHeight="1" x14ac:dyDescent="0.3">
      <c r="A352" s="9" t="s">
        <v>3013</v>
      </c>
      <c r="B352" s="10" t="s">
        <v>3007</v>
      </c>
      <c r="C352" s="10" t="s">
        <v>2995</v>
      </c>
      <c r="D352" s="9" t="s">
        <v>1010</v>
      </c>
      <c r="E352" s="32">
        <f>자재단가대비표!O353</f>
        <v>3500000</v>
      </c>
      <c r="F352" s="22" t="s">
        <v>3013</v>
      </c>
      <c r="G352" s="17" t="str">
        <f>"_x0007_`COD|M06717_x0005_`QTY1|1_x0005_`BQC|_x0005_`EQC|_x0005_`JDC|_x0005_`WQC|_x0005_`EDT|_x0005_`DET|"&amp;ROW(자재단가대비표!A353)&amp;"_x0005_`"</f>
        <v>_x0007_`COD|M06717_x0005_`QTY1|1_x0005_`BQC|_x0005_`EQC|_x0005_`JDC|_x0005_`WQC|_x0005_`EDT|_x0005_`DET|353_x0005_`</v>
      </c>
      <c r="H352" s="3" t="str">
        <f ca="1">HYPERLINK("#"&amp;자재단가대비표!R2&amp;"!A"&amp;ROW(자재단가대비표!A353),"자재349 →")</f>
        <v>자재349 →</v>
      </c>
    </row>
    <row r="353" spans="1:8" ht="17.45" customHeight="1" x14ac:dyDescent="0.3">
      <c r="A353" s="9" t="s">
        <v>3015</v>
      </c>
      <c r="B353" s="10" t="s">
        <v>3007</v>
      </c>
      <c r="C353" s="10" t="s">
        <v>2998</v>
      </c>
      <c r="D353" s="9" t="s">
        <v>1010</v>
      </c>
      <c r="E353" s="32">
        <f>자재단가대비표!O354</f>
        <v>5000000</v>
      </c>
      <c r="F353" s="22" t="s">
        <v>3015</v>
      </c>
      <c r="G353" s="17" t="str">
        <f>"_x0007_`COD|M06595_x0005_`QTY1|1_x0005_`BQC|_x0005_`EQC|_x0005_`JDC|_x0005_`WQC|_x0005_`EDT|_x0005_`DET|"&amp;ROW(자재단가대비표!A354)&amp;"_x0005_`"</f>
        <v>_x0007_`COD|M06595_x0005_`QTY1|1_x0005_`BQC|_x0005_`EQC|_x0005_`JDC|_x0005_`WQC|_x0005_`EDT|_x0005_`DET|354_x0005_`</v>
      </c>
      <c r="H353" s="3" t="str">
        <f ca="1">HYPERLINK("#"&amp;자재단가대비표!R2&amp;"!A"&amp;ROW(자재단가대비표!A354),"자재350 →")</f>
        <v>자재350 →</v>
      </c>
    </row>
    <row r="354" spans="1:8" ht="17.45" customHeight="1" x14ac:dyDescent="0.3">
      <c r="A354" s="9" t="s">
        <v>3017</v>
      </c>
      <c r="B354" s="10" t="s">
        <v>3007</v>
      </c>
      <c r="C354" s="10" t="s">
        <v>3004</v>
      </c>
      <c r="D354" s="9" t="s">
        <v>1010</v>
      </c>
      <c r="E354" s="32">
        <f>자재단가대비표!O355</f>
        <v>1000000</v>
      </c>
      <c r="F354" s="22" t="s">
        <v>3017</v>
      </c>
      <c r="G354" s="17" t="str">
        <f>"_x0007_`COD|M06715_x0005_`QTY1|1_x0005_`BQC|_x0005_`EQC|_x0005_`JDC|_x0005_`WQC|_x0005_`EDT|_x0005_`DET|"&amp;ROW(자재단가대비표!A355)&amp;"_x0005_`"</f>
        <v>_x0007_`COD|M06715_x0005_`QTY1|1_x0005_`BQC|_x0005_`EQC|_x0005_`JDC|_x0005_`WQC|_x0005_`EDT|_x0005_`DET|355_x0005_`</v>
      </c>
      <c r="H354" s="3" t="str">
        <f ca="1">HYPERLINK("#"&amp;자재단가대비표!R2&amp;"!A"&amp;ROW(자재단가대비표!A355),"자재351 →")</f>
        <v>자재351 →</v>
      </c>
    </row>
    <row r="355" spans="1:8" ht="17.45" customHeight="1" x14ac:dyDescent="0.3">
      <c r="A355" s="9" t="s">
        <v>3019</v>
      </c>
      <c r="B355" s="10" t="s">
        <v>3020</v>
      </c>
      <c r="C355" s="10" t="s">
        <v>1641</v>
      </c>
      <c r="D355" s="9" t="s">
        <v>3021</v>
      </c>
      <c r="E355" s="32">
        <f>자재단가대비표!O356</f>
        <v>2228000</v>
      </c>
      <c r="F355" s="22" t="s">
        <v>3019</v>
      </c>
      <c r="G355" s="17" t="str">
        <f>"_x0007_`COD|M06632_x0005_`QTY1|1_x0005_`BQC|_x0005_`EQC|_x0005_`JDC|_x0005_`WQC|_x0005_`EDT|_x0005_`DET|"&amp;ROW(자재단가대비표!A356)&amp;"_x0005_`"</f>
        <v>_x0007_`COD|M06632_x0005_`QTY1|1_x0005_`BQC|_x0005_`EQC|_x0005_`JDC|_x0005_`WQC|_x0005_`EDT|_x0005_`DET|356_x0005_`</v>
      </c>
      <c r="H355" s="3" t="str">
        <f ca="1">HYPERLINK("#"&amp;자재단가대비표!R2&amp;"!A"&amp;ROW(자재단가대비표!A356),"자재352 →")</f>
        <v>자재352 →</v>
      </c>
    </row>
    <row r="356" spans="1:8" ht="17.45" customHeight="1" x14ac:dyDescent="0.3">
      <c r="A356" s="9" t="s">
        <v>3023</v>
      </c>
      <c r="B356" s="10" t="s">
        <v>3024</v>
      </c>
      <c r="C356" s="10" t="s">
        <v>3025</v>
      </c>
      <c r="D356" s="9" t="s">
        <v>1676</v>
      </c>
      <c r="E356" s="32">
        <f>자재단가대비표!O357</f>
        <v>14750</v>
      </c>
      <c r="F356" s="22" t="s">
        <v>3023</v>
      </c>
      <c r="G356" s="17" t="str">
        <f>"_x0007_`COD|M05556_x0005_`QTY1|1_x0005_`BQC|건축분야_x0005_`EQC|_x0005_`JDC|1112200120142458_x0005_`WQC|_x0005_`EDT|_x0005_`DET|"&amp;ROW(자재단가대비표!A357)&amp;"_x0005_`"</f>
        <v>_x0007_`COD|M05556_x0005_`QTY1|1_x0005_`BQC|건축분야_x0005_`EQC|_x0005_`JDC|1112200120142458_x0005_`WQC|_x0005_`EDT|_x0005_`DET|357_x0005_`</v>
      </c>
      <c r="H356" s="3" t="str">
        <f ca="1">HYPERLINK("#"&amp;자재단가대비표!R2&amp;"!A"&amp;ROW(자재단가대비표!A357),"자재353 →")</f>
        <v>자재353 →</v>
      </c>
    </row>
    <row r="357" spans="1:8" ht="17.45" customHeight="1" x14ac:dyDescent="0.3">
      <c r="A357" s="9" t="s">
        <v>3027</v>
      </c>
      <c r="B357" s="10" t="s">
        <v>3028</v>
      </c>
      <c r="C357" s="10" t="s">
        <v>501</v>
      </c>
      <c r="D357" s="9" t="s">
        <v>14</v>
      </c>
      <c r="E357" s="32">
        <f>자재단가대비표!O358</f>
        <v>1906000</v>
      </c>
      <c r="F357" s="22" t="s">
        <v>3027</v>
      </c>
      <c r="G357" s="17" t="str">
        <f>"_x0007_`COD|M06506_x0005_`QTY1|1_x0005_`BQC|_x0005_`EQC|_x0005_`JDC|_x0005_`WQC|_x0005_`EDT|_x0005_`DET|"&amp;ROW(자재단가대비표!A358)&amp;"_x0005_`"</f>
        <v>_x0007_`COD|M06506_x0005_`QTY1|1_x0005_`BQC|_x0005_`EQC|_x0005_`JDC|_x0005_`WQC|_x0005_`EDT|_x0005_`DET|358_x0005_`</v>
      </c>
      <c r="H357" s="3" t="str">
        <f ca="1">HYPERLINK("#"&amp;자재단가대비표!R2&amp;"!A"&amp;ROW(자재단가대비표!A358),"자재354 →")</f>
        <v>자재354 →</v>
      </c>
    </row>
    <row r="358" spans="1:8" ht="17.45" customHeight="1" x14ac:dyDescent="0.3">
      <c r="A358" s="9" t="s">
        <v>3030</v>
      </c>
      <c r="B358" s="10" t="s">
        <v>3028</v>
      </c>
      <c r="C358" s="10" t="s">
        <v>3031</v>
      </c>
      <c r="D358" s="9" t="s">
        <v>14</v>
      </c>
      <c r="E358" s="32">
        <f>자재단가대비표!O359</f>
        <v>2296000</v>
      </c>
      <c r="F358" s="22" t="s">
        <v>3030</v>
      </c>
      <c r="G358" s="17" t="str">
        <f>"_x0007_`COD|M06507_x0005_`QTY1|1_x0005_`BQC|_x0005_`EQC|_x0005_`JDC|_x0005_`WQC|_x0005_`EDT|_x0005_`DET|"&amp;ROW(자재단가대비표!A359)&amp;"_x0005_`"</f>
        <v>_x0007_`COD|M06507_x0005_`QTY1|1_x0005_`BQC|_x0005_`EQC|_x0005_`JDC|_x0005_`WQC|_x0005_`EDT|_x0005_`DET|359_x0005_`</v>
      </c>
      <c r="H358" s="3" t="str">
        <f ca="1">HYPERLINK("#"&amp;자재단가대비표!R2&amp;"!A"&amp;ROW(자재단가대비표!A359),"자재355 →")</f>
        <v>자재355 →</v>
      </c>
    </row>
    <row r="359" spans="1:8" ht="17.45" customHeight="1" x14ac:dyDescent="0.3">
      <c r="A359" s="9" t="s">
        <v>3033</v>
      </c>
      <c r="B359" s="10" t="s">
        <v>3028</v>
      </c>
      <c r="C359" s="10" t="s">
        <v>3034</v>
      </c>
      <c r="D359" s="9" t="s">
        <v>14</v>
      </c>
      <c r="E359" s="32">
        <f>자재단가대비표!O360</f>
        <v>2512000</v>
      </c>
      <c r="F359" s="22" t="s">
        <v>3033</v>
      </c>
      <c r="G359" s="17" t="str">
        <f>"_x0007_`COD|M06508_x0005_`QTY1|1_x0005_`BQC|_x0005_`EQC|_x0005_`JDC|_x0005_`WQC|_x0005_`EDT|_x0005_`DET|"&amp;ROW(자재단가대비표!A360)&amp;"_x0005_`"</f>
        <v>_x0007_`COD|M06508_x0005_`QTY1|1_x0005_`BQC|_x0005_`EQC|_x0005_`JDC|_x0005_`WQC|_x0005_`EDT|_x0005_`DET|360_x0005_`</v>
      </c>
      <c r="H359" s="3" t="str">
        <f ca="1">HYPERLINK("#"&amp;자재단가대비표!R2&amp;"!A"&amp;ROW(자재단가대비표!A360),"자재356 →")</f>
        <v>자재356 →</v>
      </c>
    </row>
    <row r="360" spans="1:8" ht="17.45" customHeight="1" x14ac:dyDescent="0.3">
      <c r="A360" s="9" t="s">
        <v>3036</v>
      </c>
      <c r="B360" s="10" t="s">
        <v>3037</v>
      </c>
      <c r="C360" s="10" t="s">
        <v>3038</v>
      </c>
      <c r="D360" s="9" t="s">
        <v>14</v>
      </c>
      <c r="E360" s="32">
        <f>자재단가대비표!O361</f>
        <v>1650000</v>
      </c>
      <c r="F360" s="22" t="s">
        <v>3036</v>
      </c>
      <c r="G360" s="17" t="str">
        <f>"_x0007_`COD|M06685_x0005_`QTY1|1_x0005_`BQC|_x0005_`EQC|_x0005_`JDC|_x0005_`WQC|_x0005_`EDT|_x0005_`DET|"&amp;ROW(자재단가대비표!A361)&amp;"_x0005_`"</f>
        <v>_x0007_`COD|M06685_x0005_`QTY1|1_x0005_`BQC|_x0005_`EQC|_x0005_`JDC|_x0005_`WQC|_x0005_`EDT|_x0005_`DET|361_x0005_`</v>
      </c>
      <c r="H360" s="3" t="str">
        <f ca="1">HYPERLINK("#"&amp;자재단가대비표!R2&amp;"!A"&amp;ROW(자재단가대비표!A361),"자재357 →")</f>
        <v>자재357 →</v>
      </c>
    </row>
    <row r="361" spans="1:8" ht="17.45" customHeight="1" x14ac:dyDescent="0.3">
      <c r="A361" s="9" t="s">
        <v>3040</v>
      </c>
      <c r="B361" s="10" t="s">
        <v>3037</v>
      </c>
      <c r="C361" s="10" t="s">
        <v>467</v>
      </c>
      <c r="D361" s="9" t="s">
        <v>14</v>
      </c>
      <c r="E361" s="32">
        <f>자재단가대비표!O362</f>
        <v>1871000</v>
      </c>
      <c r="F361" s="22" t="s">
        <v>3040</v>
      </c>
      <c r="G361" s="17" t="str">
        <f>"_x0007_`COD|M06687_x0005_`QTY1|1_x0005_`BQC|_x0005_`EQC|_x0005_`JDC|_x0005_`WQC|_x0005_`EDT|_x0005_`DET|"&amp;ROW(자재단가대비표!A362)&amp;"_x0005_`"</f>
        <v>_x0007_`COD|M06687_x0005_`QTY1|1_x0005_`BQC|_x0005_`EQC|_x0005_`JDC|_x0005_`WQC|_x0005_`EDT|_x0005_`DET|362_x0005_`</v>
      </c>
      <c r="H361" s="3" t="str">
        <f ca="1">HYPERLINK("#"&amp;자재단가대비표!R2&amp;"!A"&amp;ROW(자재단가대비표!A362),"자재358 →")</f>
        <v>자재358 →</v>
      </c>
    </row>
    <row r="362" spans="1:8" ht="17.45" customHeight="1" x14ac:dyDescent="0.3">
      <c r="A362" s="9" t="s">
        <v>3042</v>
      </c>
      <c r="B362" s="10" t="s">
        <v>3043</v>
      </c>
      <c r="C362" s="10" t="s">
        <v>3044</v>
      </c>
      <c r="D362" s="9" t="s">
        <v>1010</v>
      </c>
      <c r="E362" s="32">
        <f>자재단가대비표!O363</f>
        <v>140000</v>
      </c>
      <c r="F362" s="22" t="s">
        <v>3042</v>
      </c>
      <c r="G362" s="17" t="str">
        <f>"_x0007_`COD|M06386_x0005_`QTY1|1_x0005_`BQC|_x0005_`EQC|_x0005_`JDC|_x0005_`WQC|_x0005_`EDT|_x0005_`DET|"&amp;ROW(자재단가대비표!A363)&amp;"_x0005_`"</f>
        <v>_x0007_`COD|M06386_x0005_`QTY1|1_x0005_`BQC|_x0005_`EQC|_x0005_`JDC|_x0005_`WQC|_x0005_`EDT|_x0005_`DET|363_x0005_`</v>
      </c>
      <c r="H362" s="3" t="str">
        <f ca="1">HYPERLINK("#"&amp;자재단가대비표!R2&amp;"!A"&amp;ROW(자재단가대비표!A363),"자재359 →")</f>
        <v>자재359 →</v>
      </c>
    </row>
    <row r="363" spans="1:8" ht="17.45" customHeight="1" x14ac:dyDescent="0.3">
      <c r="A363" s="9" t="s">
        <v>3046</v>
      </c>
      <c r="B363" s="10" t="s">
        <v>3043</v>
      </c>
      <c r="C363" s="10" t="s">
        <v>3047</v>
      </c>
      <c r="D363" s="9" t="s">
        <v>1010</v>
      </c>
      <c r="E363" s="32">
        <f>자재단가대비표!O364</f>
        <v>289000</v>
      </c>
      <c r="F363" s="22" t="s">
        <v>3046</v>
      </c>
      <c r="G363" s="17" t="str">
        <f>"_x0007_`COD|M06097_x0005_`QTY1|1_x0005_`BQC|_x0005_`EQC|_x0005_`JDC|_x0005_`WQC|_x0005_`EDT|_x0005_`DET|"&amp;ROW(자재단가대비표!A364)&amp;"_x0005_`"</f>
        <v>_x0007_`COD|M06097_x0005_`QTY1|1_x0005_`BQC|_x0005_`EQC|_x0005_`JDC|_x0005_`WQC|_x0005_`EDT|_x0005_`DET|364_x0005_`</v>
      </c>
      <c r="H363" s="3" t="str">
        <f ca="1">HYPERLINK("#"&amp;자재단가대비표!R2&amp;"!A"&amp;ROW(자재단가대비표!A364),"자재360 →")</f>
        <v>자재360 →</v>
      </c>
    </row>
    <row r="364" spans="1:8" ht="17.45" customHeight="1" x14ac:dyDescent="0.3">
      <c r="A364" s="9" t="s">
        <v>3049</v>
      </c>
      <c r="B364" s="10" t="s">
        <v>3043</v>
      </c>
      <c r="C364" s="10" t="s">
        <v>3050</v>
      </c>
      <c r="D364" s="9" t="s">
        <v>1010</v>
      </c>
      <c r="E364" s="32">
        <f>자재단가대비표!O365</f>
        <v>250000</v>
      </c>
      <c r="F364" s="22" t="s">
        <v>3049</v>
      </c>
      <c r="G364" s="17" t="str">
        <f>"_x0007_`COD|M05493_x0005_`QTY1|1_x0005_`BQC|_x0005_`EQC|_x0005_`JDC|_x0005_`WQC|_x0005_`EDT|_x0005_`DET|"&amp;ROW(자재단가대비표!A365)&amp;"_x0005_`"</f>
        <v>_x0007_`COD|M05493_x0005_`QTY1|1_x0005_`BQC|_x0005_`EQC|_x0005_`JDC|_x0005_`WQC|_x0005_`EDT|_x0005_`DET|365_x0005_`</v>
      </c>
      <c r="H364" s="3" t="str">
        <f ca="1">HYPERLINK("#"&amp;자재단가대비표!R2&amp;"!A"&amp;ROW(자재단가대비표!A365),"자재361 →")</f>
        <v>자재361 →</v>
      </c>
    </row>
    <row r="365" spans="1:8" ht="17.45" customHeight="1" x14ac:dyDescent="0.3">
      <c r="A365" s="9" t="s">
        <v>3052</v>
      </c>
      <c r="B365" s="10" t="s">
        <v>3053</v>
      </c>
      <c r="C365" s="10" t="s">
        <v>3054</v>
      </c>
      <c r="D365" s="9" t="s">
        <v>1010</v>
      </c>
      <c r="E365" s="32">
        <f>자재단가대비표!O366</f>
        <v>291000</v>
      </c>
      <c r="F365" s="22" t="s">
        <v>3052</v>
      </c>
      <c r="G365" s="17" t="str">
        <f>"_x0007_`COD|M06562_x0005_`QTY1|1_x0005_`BQC|_x0005_`EQC|_x0005_`JDC|_x0005_`WQC|_x0005_`EDT|_x0005_`DET|"&amp;ROW(자재단가대비표!A366)&amp;"_x0005_`"</f>
        <v>_x0007_`COD|M06562_x0005_`QTY1|1_x0005_`BQC|_x0005_`EQC|_x0005_`JDC|_x0005_`WQC|_x0005_`EDT|_x0005_`DET|366_x0005_`</v>
      </c>
      <c r="H365" s="3" t="str">
        <f ca="1">HYPERLINK("#"&amp;자재단가대비표!R2&amp;"!A"&amp;ROW(자재단가대비표!A366),"자재362 →")</f>
        <v>자재362 →</v>
      </c>
    </row>
    <row r="366" spans="1:8" ht="17.45" customHeight="1" x14ac:dyDescent="0.3">
      <c r="A366" s="9" t="s">
        <v>3056</v>
      </c>
      <c r="B366" s="10" t="s">
        <v>3053</v>
      </c>
      <c r="C366" s="10" t="s">
        <v>3057</v>
      </c>
      <c r="D366" s="9" t="s">
        <v>1010</v>
      </c>
      <c r="E366" s="32">
        <f>자재단가대비표!O367</f>
        <v>555000</v>
      </c>
      <c r="F366" s="22" t="s">
        <v>3056</v>
      </c>
      <c r="G366" s="17" t="str">
        <f>"_x0007_`COD|M05224_x0005_`QTY1|1_x0005_`BQC|_x0005_`EQC|_x0005_`JDC|_x0005_`WQC|_x0005_`EDT|_x0005_`DET|"&amp;ROW(자재단가대비표!A367)&amp;"_x0005_`"</f>
        <v>_x0007_`COD|M05224_x0005_`QTY1|1_x0005_`BQC|_x0005_`EQC|_x0005_`JDC|_x0005_`WQC|_x0005_`EDT|_x0005_`DET|367_x0005_`</v>
      </c>
      <c r="H366" s="3" t="str">
        <f ca="1">HYPERLINK("#"&amp;자재단가대비표!R2&amp;"!A"&amp;ROW(자재단가대비표!A367),"자재363 →")</f>
        <v>자재363 →</v>
      </c>
    </row>
    <row r="367" spans="1:8" ht="17.45" customHeight="1" x14ac:dyDescent="0.3">
      <c r="A367" s="9" t="s">
        <v>3059</v>
      </c>
      <c r="B367" s="10" t="s">
        <v>3053</v>
      </c>
      <c r="C367" s="10" t="s">
        <v>3060</v>
      </c>
      <c r="D367" s="9" t="s">
        <v>1010</v>
      </c>
      <c r="E367" s="32">
        <f>자재단가대비표!O368</f>
        <v>75000</v>
      </c>
      <c r="F367" s="22" t="s">
        <v>3059</v>
      </c>
      <c r="G367" s="17" t="str">
        <f>"_x0007_`COD|M06683_x0005_`QTY1|1_x0005_`BQC|_x0005_`EQC|_x0005_`JDC|_x0005_`WQC|_x0005_`EDT|_x0005_`DET|"&amp;ROW(자재단가대비표!A368)&amp;"_x0005_`"</f>
        <v>_x0007_`COD|M06683_x0005_`QTY1|1_x0005_`BQC|_x0005_`EQC|_x0005_`JDC|_x0005_`WQC|_x0005_`EDT|_x0005_`DET|368_x0005_`</v>
      </c>
      <c r="H367" s="3" t="str">
        <f ca="1">HYPERLINK("#"&amp;자재단가대비표!R2&amp;"!A"&amp;ROW(자재단가대비표!A368),"자재364 →")</f>
        <v>자재364 →</v>
      </c>
    </row>
    <row r="368" spans="1:8" ht="17.45" customHeight="1" x14ac:dyDescent="0.3">
      <c r="A368" s="9" t="s">
        <v>3062</v>
      </c>
      <c r="B368" s="10" t="s">
        <v>3053</v>
      </c>
      <c r="C368" s="10" t="s">
        <v>3063</v>
      </c>
      <c r="D368" s="9" t="s">
        <v>1010</v>
      </c>
      <c r="E368" s="32">
        <f>자재단가대비표!O369</f>
        <v>120000</v>
      </c>
      <c r="F368" s="22" t="s">
        <v>3062</v>
      </c>
      <c r="G368" s="17" t="str">
        <f>"_x0007_`COD|M05149_x0005_`QTY1|1_x0005_`BQC|_x0005_`EQC|_x0005_`JDC|_x0005_`WQC|_x0005_`EDT|_x0005_`DET|"&amp;ROW(자재단가대비표!A369)&amp;"_x0005_`"</f>
        <v>_x0007_`COD|M05149_x0005_`QTY1|1_x0005_`BQC|_x0005_`EQC|_x0005_`JDC|_x0005_`WQC|_x0005_`EDT|_x0005_`DET|369_x0005_`</v>
      </c>
      <c r="H368" s="3" t="str">
        <f ca="1">HYPERLINK("#"&amp;자재단가대비표!R2&amp;"!A"&amp;ROW(자재단가대비표!A369),"자재365 →")</f>
        <v>자재365 →</v>
      </c>
    </row>
    <row r="369" spans="1:8" ht="17.45" customHeight="1" x14ac:dyDescent="0.3">
      <c r="A369" s="9" t="s">
        <v>3065</v>
      </c>
      <c r="B369" s="10" t="s">
        <v>3066</v>
      </c>
      <c r="C369" s="10" t="s">
        <v>3067</v>
      </c>
      <c r="D369" s="9" t="s">
        <v>1010</v>
      </c>
      <c r="E369" s="32">
        <f>자재단가대비표!O370</f>
        <v>320</v>
      </c>
      <c r="F369" s="22" t="s">
        <v>3065</v>
      </c>
      <c r="G369" s="17" t="str">
        <f>"_x0007_`COD|M06647_x0005_`QTY1|1_x0005_`BQC|_x0005_`EQC|_x0005_`JDC|_x0005_`WQC|_x0005_`EDT|_x0005_`DET|"&amp;ROW(자재단가대비표!A370)&amp;"_x0005_`"</f>
        <v>_x0007_`COD|M06647_x0005_`QTY1|1_x0005_`BQC|_x0005_`EQC|_x0005_`JDC|_x0005_`WQC|_x0005_`EDT|_x0005_`DET|370_x0005_`</v>
      </c>
      <c r="H369" s="3" t="str">
        <f ca="1">HYPERLINK("#"&amp;자재단가대비표!R2&amp;"!A"&amp;ROW(자재단가대비표!A370),"자재366 →")</f>
        <v>자재366 →</v>
      </c>
    </row>
    <row r="370" spans="1:8" ht="17.45" customHeight="1" x14ac:dyDescent="0.3">
      <c r="A370" s="9" t="s">
        <v>3069</v>
      </c>
      <c r="B370" s="10" t="s">
        <v>3066</v>
      </c>
      <c r="C370" s="10" t="s">
        <v>3070</v>
      </c>
      <c r="D370" s="9" t="s">
        <v>1010</v>
      </c>
      <c r="E370" s="32">
        <f>자재단가대비표!O371</f>
        <v>540</v>
      </c>
      <c r="F370" s="22" t="s">
        <v>3069</v>
      </c>
      <c r="G370" s="17" t="str">
        <f>"_x0007_`COD|M06646_x0005_`QTY1|1_x0005_`BQC|_x0005_`EQC|_x0005_`JDC|_x0005_`WQC|_x0005_`EDT|_x0005_`DET|"&amp;ROW(자재단가대비표!A371)&amp;"_x0005_`"</f>
        <v>_x0007_`COD|M06646_x0005_`QTY1|1_x0005_`BQC|_x0005_`EQC|_x0005_`JDC|_x0005_`WQC|_x0005_`EDT|_x0005_`DET|371_x0005_`</v>
      </c>
      <c r="H370" s="3" t="str">
        <f ca="1">HYPERLINK("#"&amp;자재단가대비표!R2&amp;"!A"&amp;ROW(자재단가대비표!A371),"자재367 →")</f>
        <v>자재367 →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 xr:uid="{1027DFCC-DC28-4226-9B76-0CA29F445907}"/>
    <hyperlink ref="G1" r:id="rId2" tooltip="설계예산시스템(STmate w26.07)으로 작성 하였으며,_x000a_엑셀 인쇄품질 600 dpi에 최적화 되어 있습니다._x000a_경영정보(주) http://www.stma.co.kr_x000a_Tel) 070-4350-0040_x000a_Fax) 0505-300-3948" xr:uid="{6ED6E752-4B14-4DFA-8B24-A4E3439804B1}"/>
  </hyperlinks>
  <printOptions horizontalCentered="1"/>
  <pageMargins left="0.39370078740157483" right="0.78740157480314954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8F5F5-B17C-4D8F-A4DA-E4164A119799}">
  <dimension ref="A1:H24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1" t="s">
        <v>3072</v>
      </c>
      <c r="B1" s="121"/>
      <c r="C1" s="121"/>
      <c r="D1" s="121"/>
      <c r="E1" s="121"/>
      <c r="F1" s="121"/>
      <c r="G1" s="5" t="s">
        <v>1982</v>
      </c>
      <c r="H1" s="19" t="s">
        <v>1982</v>
      </c>
    </row>
    <row r="2" spans="1:8" ht="17.45" customHeight="1" x14ac:dyDescent="0.3">
      <c r="A2" s="1" t="s">
        <v>1</v>
      </c>
      <c r="G2" s="20" t="str">
        <f ca="1">MID(CELL("filename",$A$1),FIND("]",CELL("filename",$A$1))+1,LEN(CELL("filename",$A$1)))</f>
        <v>노무비목록표</v>
      </c>
    </row>
    <row r="3" spans="1:8" ht="17.4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2035</v>
      </c>
      <c r="F3" s="14" t="s">
        <v>10</v>
      </c>
      <c r="H3" s="3" t="str">
        <f>HYPERLINK("#'〓 목 차 〓'!B2","목차 →")</f>
        <v>목차 →</v>
      </c>
    </row>
    <row r="4" spans="1:8" ht="17.45" customHeight="1" x14ac:dyDescent="0.3">
      <c r="A4" s="9" t="s">
        <v>2036</v>
      </c>
      <c r="B4" s="10" t="s">
        <v>3073</v>
      </c>
      <c r="C4" s="10"/>
      <c r="D4" s="9" t="s">
        <v>3074</v>
      </c>
      <c r="E4" s="21">
        <v>283297</v>
      </c>
      <c r="F4" s="22" t="s">
        <v>2036</v>
      </c>
      <c r="G4" s="17" t="s">
        <v>3075</v>
      </c>
    </row>
    <row r="5" spans="1:8" ht="17.45" customHeight="1" x14ac:dyDescent="0.3">
      <c r="A5" s="9" t="s">
        <v>2041</v>
      </c>
      <c r="B5" s="10" t="s">
        <v>3076</v>
      </c>
      <c r="C5" s="10"/>
      <c r="D5" s="9" t="s">
        <v>3074</v>
      </c>
      <c r="E5" s="21">
        <v>319449</v>
      </c>
      <c r="F5" s="22" t="s">
        <v>2041</v>
      </c>
      <c r="G5" s="17" t="s">
        <v>3077</v>
      </c>
    </row>
    <row r="6" spans="1:8" ht="17.45" customHeight="1" x14ac:dyDescent="0.3">
      <c r="A6" s="9" t="s">
        <v>2044</v>
      </c>
      <c r="B6" s="10" t="s">
        <v>3078</v>
      </c>
      <c r="C6" s="10" t="s">
        <v>3079</v>
      </c>
      <c r="D6" s="9" t="s">
        <v>3074</v>
      </c>
      <c r="E6" s="21">
        <v>235459</v>
      </c>
      <c r="F6" s="22" t="s">
        <v>2044</v>
      </c>
      <c r="G6" s="17" t="s">
        <v>3080</v>
      </c>
    </row>
    <row r="7" spans="1:8" ht="17.45" customHeight="1" x14ac:dyDescent="0.3">
      <c r="A7" s="9" t="s">
        <v>2047</v>
      </c>
      <c r="B7" s="10" t="s">
        <v>3081</v>
      </c>
      <c r="C7" s="10"/>
      <c r="D7" s="9" t="s">
        <v>3074</v>
      </c>
      <c r="E7" s="21">
        <v>241698</v>
      </c>
      <c r="F7" s="22" t="s">
        <v>2047</v>
      </c>
      <c r="G7" s="17" t="s">
        <v>3082</v>
      </c>
    </row>
    <row r="8" spans="1:8" ht="17.45" customHeight="1" x14ac:dyDescent="0.3">
      <c r="A8" s="9" t="s">
        <v>2050</v>
      </c>
      <c r="B8" s="10" t="s">
        <v>3081</v>
      </c>
      <c r="C8" s="10"/>
      <c r="D8" s="9" t="s">
        <v>3074</v>
      </c>
      <c r="E8" s="21">
        <v>241698</v>
      </c>
      <c r="F8" s="22" t="s">
        <v>2050</v>
      </c>
      <c r="G8" s="17" t="s">
        <v>3083</v>
      </c>
    </row>
    <row r="9" spans="1:8" ht="17.45" customHeight="1" x14ac:dyDescent="0.3">
      <c r="A9" s="9" t="s">
        <v>2054</v>
      </c>
      <c r="B9" s="10" t="s">
        <v>3084</v>
      </c>
      <c r="C9" s="10"/>
      <c r="D9" s="9" t="s">
        <v>3074</v>
      </c>
      <c r="E9" s="21">
        <v>273676</v>
      </c>
      <c r="F9" s="22" t="s">
        <v>2054</v>
      </c>
      <c r="G9" s="17" t="s">
        <v>3085</v>
      </c>
    </row>
    <row r="10" spans="1:8" ht="17.45" customHeight="1" x14ac:dyDescent="0.3">
      <c r="A10" s="9" t="s">
        <v>2058</v>
      </c>
      <c r="B10" s="10" t="s">
        <v>3086</v>
      </c>
      <c r="C10" s="10"/>
      <c r="D10" s="9" t="s">
        <v>3074</v>
      </c>
      <c r="E10" s="21">
        <v>247897</v>
      </c>
      <c r="F10" s="22" t="s">
        <v>2058</v>
      </c>
      <c r="G10" s="17" t="s">
        <v>3087</v>
      </c>
    </row>
    <row r="11" spans="1:8" ht="17.45" customHeight="1" x14ac:dyDescent="0.3">
      <c r="A11" s="9" t="s">
        <v>2060</v>
      </c>
      <c r="B11" s="10" t="s">
        <v>3088</v>
      </c>
      <c r="C11" s="10"/>
      <c r="D11" s="9" t="s">
        <v>3074</v>
      </c>
      <c r="E11" s="21">
        <v>262580</v>
      </c>
      <c r="F11" s="22" t="s">
        <v>2060</v>
      </c>
      <c r="G11" s="17" t="s">
        <v>3089</v>
      </c>
    </row>
    <row r="12" spans="1:8" ht="17.45" customHeight="1" x14ac:dyDescent="0.3">
      <c r="A12" s="9" t="s">
        <v>2063</v>
      </c>
      <c r="B12" s="10" t="s">
        <v>3090</v>
      </c>
      <c r="C12" s="10"/>
      <c r="D12" s="9" t="s">
        <v>3074</v>
      </c>
      <c r="E12" s="21">
        <v>172068</v>
      </c>
      <c r="F12" s="22" t="s">
        <v>2063</v>
      </c>
      <c r="G12" s="17" t="s">
        <v>3091</v>
      </c>
    </row>
    <row r="13" spans="1:8" ht="17.45" customHeight="1" x14ac:dyDescent="0.3">
      <c r="A13" s="9" t="s">
        <v>2065</v>
      </c>
      <c r="B13" s="10" t="s">
        <v>3092</v>
      </c>
      <c r="C13" s="10"/>
      <c r="D13" s="9" t="s">
        <v>3074</v>
      </c>
      <c r="E13" s="21">
        <v>281939</v>
      </c>
      <c r="F13" s="22" t="s">
        <v>2065</v>
      </c>
      <c r="G13" s="17" t="s">
        <v>3093</v>
      </c>
    </row>
    <row r="14" spans="1:8" ht="17.45" customHeight="1" x14ac:dyDescent="0.3">
      <c r="A14" s="9" t="s">
        <v>2070</v>
      </c>
      <c r="B14" s="10" t="s">
        <v>3094</v>
      </c>
      <c r="C14" s="10"/>
      <c r="D14" s="9" t="s">
        <v>3074</v>
      </c>
      <c r="E14" s="21">
        <v>282536</v>
      </c>
      <c r="F14" s="22" t="s">
        <v>2070</v>
      </c>
      <c r="G14" s="17" t="s">
        <v>3095</v>
      </c>
    </row>
    <row r="15" spans="1:8" ht="17.45" customHeight="1" x14ac:dyDescent="0.3">
      <c r="A15" s="9" t="s">
        <v>2074</v>
      </c>
      <c r="B15" s="10" t="s">
        <v>3094</v>
      </c>
      <c r="C15" s="10"/>
      <c r="D15" s="9" t="s">
        <v>3074</v>
      </c>
      <c r="E15" s="21">
        <v>282536</v>
      </c>
      <c r="F15" s="22" t="s">
        <v>2074</v>
      </c>
      <c r="G15" s="17" t="s">
        <v>3096</v>
      </c>
    </row>
    <row r="16" spans="1:8" ht="17.45" customHeight="1" x14ac:dyDescent="0.3">
      <c r="A16" s="9" t="s">
        <v>2078</v>
      </c>
      <c r="B16" s="10" t="s">
        <v>3097</v>
      </c>
      <c r="C16" s="10"/>
      <c r="D16" s="9" t="s">
        <v>3074</v>
      </c>
      <c r="E16" s="21">
        <v>222306</v>
      </c>
      <c r="F16" s="22" t="s">
        <v>2078</v>
      </c>
      <c r="G16" s="17" t="s">
        <v>3098</v>
      </c>
    </row>
    <row r="17" spans="1:7" ht="17.45" customHeight="1" x14ac:dyDescent="0.3">
      <c r="A17" s="9" t="s">
        <v>2081</v>
      </c>
      <c r="B17" s="10" t="s">
        <v>3099</v>
      </c>
      <c r="C17" s="10"/>
      <c r="D17" s="9" t="s">
        <v>3074</v>
      </c>
      <c r="E17" s="21">
        <v>252641</v>
      </c>
      <c r="F17" s="22" t="s">
        <v>2081</v>
      </c>
      <c r="G17" s="17" t="s">
        <v>3100</v>
      </c>
    </row>
    <row r="18" spans="1:7" ht="17.45" customHeight="1" x14ac:dyDescent="0.3">
      <c r="A18" s="9" t="s">
        <v>2084</v>
      </c>
      <c r="B18" s="10" t="s">
        <v>3101</v>
      </c>
      <c r="C18" s="10"/>
      <c r="D18" s="9" t="s">
        <v>3074</v>
      </c>
      <c r="E18" s="21">
        <v>239808</v>
      </c>
      <c r="F18" s="22" t="s">
        <v>2084</v>
      </c>
      <c r="G18" s="17" t="s">
        <v>3102</v>
      </c>
    </row>
    <row r="19" spans="1:7" ht="17.45" customHeight="1" x14ac:dyDescent="0.3">
      <c r="A19" s="9" t="s">
        <v>2087</v>
      </c>
      <c r="B19" s="10" t="s">
        <v>3103</v>
      </c>
      <c r="C19" s="10"/>
      <c r="D19" s="9" t="s">
        <v>3074</v>
      </c>
      <c r="E19" s="21">
        <v>273540</v>
      </c>
      <c r="F19" s="22" t="s">
        <v>2087</v>
      </c>
      <c r="G19" s="17" t="s">
        <v>3104</v>
      </c>
    </row>
    <row r="20" spans="1:7" ht="17.45" customHeight="1" x14ac:dyDescent="0.3">
      <c r="A20" s="9" t="s">
        <v>2090</v>
      </c>
      <c r="B20" s="10" t="s">
        <v>3105</v>
      </c>
      <c r="C20" s="10"/>
      <c r="D20" s="9" t="s">
        <v>3074</v>
      </c>
      <c r="E20" s="21">
        <v>226122</v>
      </c>
      <c r="F20" s="22" t="s">
        <v>2090</v>
      </c>
      <c r="G20" s="17" t="s">
        <v>3106</v>
      </c>
    </row>
    <row r="21" spans="1:7" ht="17.45" customHeight="1" x14ac:dyDescent="0.3">
      <c r="A21" s="9" t="s">
        <v>2093</v>
      </c>
      <c r="B21" s="10" t="s">
        <v>3107</v>
      </c>
      <c r="C21" s="10"/>
      <c r="D21" s="9" t="s">
        <v>3074</v>
      </c>
      <c r="E21" s="21">
        <v>320480</v>
      </c>
      <c r="F21" s="22" t="s">
        <v>2093</v>
      </c>
      <c r="G21" s="17" t="s">
        <v>3108</v>
      </c>
    </row>
    <row r="22" spans="1:7" ht="17.45" customHeight="1" x14ac:dyDescent="0.3">
      <c r="A22" s="9" t="s">
        <v>2096</v>
      </c>
      <c r="B22" s="10" t="s">
        <v>3109</v>
      </c>
      <c r="C22" s="10"/>
      <c r="D22" s="9" t="s">
        <v>3074</v>
      </c>
      <c r="E22" s="21">
        <v>269759</v>
      </c>
      <c r="F22" s="22" t="s">
        <v>2096</v>
      </c>
      <c r="G22" s="17" t="s">
        <v>3110</v>
      </c>
    </row>
    <row r="23" spans="1:7" ht="17.45" customHeight="1" x14ac:dyDescent="0.3">
      <c r="A23" s="9" t="s">
        <v>2101</v>
      </c>
      <c r="B23" s="10" t="s">
        <v>3111</v>
      </c>
      <c r="C23" s="10"/>
      <c r="D23" s="9" t="s">
        <v>3074</v>
      </c>
      <c r="E23" s="21">
        <v>275790</v>
      </c>
      <c r="F23" s="22" t="s">
        <v>2101</v>
      </c>
      <c r="G23" s="17" t="s">
        <v>3112</v>
      </c>
    </row>
    <row r="24" spans="1:7" ht="17.45" customHeight="1" x14ac:dyDescent="0.3">
      <c r="A24" s="9" t="s">
        <v>2104</v>
      </c>
      <c r="B24" s="10" t="s">
        <v>3113</v>
      </c>
      <c r="C24" s="10"/>
      <c r="D24" s="9" t="s">
        <v>3074</v>
      </c>
      <c r="E24" s="21">
        <v>238936</v>
      </c>
      <c r="F24" s="22" t="s">
        <v>2104</v>
      </c>
      <c r="G24" s="17" t="s">
        <v>3114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 xr:uid="{F0C9BF2B-A53A-44F8-86B5-BFE2A261EB13}"/>
    <hyperlink ref="G1" r:id="rId2" tooltip="설계예산시스템(STmate w26.07)으로 작성 하였으며,_x000a_엑셀 인쇄품질 600 dpi에 최적화 되어 있습니다._x000a_경영정보(주) http://www.stma.co.kr_x000a_Tel) 070-4350-0040_x000a_Fax) 0505-300-3948" xr:uid="{0763209C-AECF-48C5-B4A9-91409DDF70C6}"/>
  </hyperlinks>
  <printOptions horizontalCentered="1"/>
  <pageMargins left="0.39370078740157483" right="0.78740157480314954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50B9-FE2C-48F0-BF69-4F9CD366EFEA}">
  <dimension ref="A1:H8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1" t="s">
        <v>3115</v>
      </c>
      <c r="B1" s="121"/>
      <c r="C1" s="121"/>
      <c r="D1" s="121"/>
      <c r="E1" s="121"/>
      <c r="F1" s="121"/>
      <c r="G1" s="5" t="s">
        <v>1982</v>
      </c>
      <c r="H1" s="19" t="s">
        <v>1982</v>
      </c>
    </row>
    <row r="2" spans="1:8" ht="17.45" customHeight="1" x14ac:dyDescent="0.3">
      <c r="A2" s="1" t="s">
        <v>1</v>
      </c>
      <c r="G2" s="20" t="str">
        <f ca="1">MID(CELL("filename",$A$1),FIND("]",CELL("filename",$A$1))+1,LEN(CELL("filename",$A$1)))</f>
        <v>경비목록표</v>
      </c>
    </row>
    <row r="3" spans="1:8" ht="17.4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2035</v>
      </c>
      <c r="F3" s="14" t="s">
        <v>10</v>
      </c>
      <c r="H3" s="3" t="str">
        <f>HYPERLINK("#'〓 목 차 〓'!B2","목차 →")</f>
        <v>목차 →</v>
      </c>
    </row>
    <row r="4" spans="1:8" ht="17.45" customHeight="1" x14ac:dyDescent="0.3">
      <c r="A4" s="9" t="s">
        <v>2036</v>
      </c>
      <c r="B4" s="10" t="s">
        <v>2013</v>
      </c>
      <c r="C4" s="10" t="s">
        <v>2014</v>
      </c>
      <c r="D4" s="9" t="s">
        <v>3116</v>
      </c>
      <c r="E4" s="21">
        <v>84000</v>
      </c>
      <c r="F4" s="22" t="s">
        <v>2036</v>
      </c>
      <c r="G4" s="17" t="s">
        <v>3117</v>
      </c>
    </row>
    <row r="5" spans="1:8" ht="17.45" customHeight="1" x14ac:dyDescent="0.3">
      <c r="A5" s="9" t="s">
        <v>2041</v>
      </c>
      <c r="B5" s="10" t="s">
        <v>2018</v>
      </c>
      <c r="C5" s="10" t="s">
        <v>2019</v>
      </c>
      <c r="D5" s="9" t="s">
        <v>3116</v>
      </c>
      <c r="E5" s="21">
        <v>47263</v>
      </c>
      <c r="F5" s="22" t="s">
        <v>2041</v>
      </c>
      <c r="G5" s="17" t="s">
        <v>3118</v>
      </c>
    </row>
    <row r="6" spans="1:8" ht="17.45" customHeight="1" x14ac:dyDescent="0.3">
      <c r="A6" s="9" t="s">
        <v>2044</v>
      </c>
      <c r="B6" s="10" t="s">
        <v>2022</v>
      </c>
      <c r="C6" s="10" t="s">
        <v>2023</v>
      </c>
      <c r="D6" s="9" t="s">
        <v>3116</v>
      </c>
      <c r="E6" s="21">
        <v>302677</v>
      </c>
      <c r="F6" s="22" t="s">
        <v>2044</v>
      </c>
      <c r="G6" s="17" t="s">
        <v>3119</v>
      </c>
    </row>
    <row r="7" spans="1:8" ht="17.45" customHeight="1" x14ac:dyDescent="0.3">
      <c r="A7" s="9" t="s">
        <v>2047</v>
      </c>
      <c r="B7" s="10" t="s">
        <v>2026</v>
      </c>
      <c r="C7" s="10" t="s">
        <v>2027</v>
      </c>
      <c r="D7" s="9" t="s">
        <v>3116</v>
      </c>
      <c r="E7" s="21">
        <v>896</v>
      </c>
      <c r="F7" s="22" t="s">
        <v>2047</v>
      </c>
      <c r="G7" s="17" t="s">
        <v>3120</v>
      </c>
    </row>
    <row r="8" spans="1:8" ht="17.45" customHeight="1" x14ac:dyDescent="0.3">
      <c r="A8" s="9" t="s">
        <v>2050</v>
      </c>
      <c r="B8" s="10" t="s">
        <v>2030</v>
      </c>
      <c r="C8" s="10" t="s">
        <v>2031</v>
      </c>
      <c r="D8" s="9" t="s">
        <v>3116</v>
      </c>
      <c r="E8" s="21">
        <v>136400</v>
      </c>
      <c r="F8" s="22" t="s">
        <v>2050</v>
      </c>
      <c r="G8" s="17" t="s">
        <v>3121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 xr:uid="{AEB89EFF-010C-49D4-B1AE-25F97F50F2F9}"/>
    <hyperlink ref="G1" r:id="rId2" tooltip="설계예산시스템(STmate w26.07)으로 작성 하였으며,_x000a_엑셀 인쇄품질 600 dpi에 최적화 되어 있습니다._x000a_경영정보(주) http://www.stma.co.kr_x000a_Tel) 070-4350-0040_x000a_Fax) 0505-300-3948" xr:uid="{64736054-33DA-4256-BF08-BCE3DD833E09}"/>
  </hyperlinks>
  <printOptions horizontalCentered="1"/>
  <pageMargins left="0.39370078740157483" right="0.78740157480314954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AC5DF-3EEE-48C6-8A75-88200BC41F57}">
  <dimension ref="A1:K20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1" t="s">
        <v>3122</v>
      </c>
      <c r="B1" s="121"/>
      <c r="C1" s="121"/>
      <c r="D1" s="121"/>
      <c r="E1" s="121"/>
      <c r="F1" s="121"/>
      <c r="G1" s="121"/>
      <c r="H1" s="121"/>
      <c r="I1" s="121"/>
      <c r="J1" s="5" t="s">
        <v>1982</v>
      </c>
      <c r="K1" s="19" t="s">
        <v>1982</v>
      </c>
    </row>
    <row r="2" spans="1:11" ht="23.1" customHeight="1" x14ac:dyDescent="0.3">
      <c r="A2" s="1" t="s">
        <v>1</v>
      </c>
      <c r="J2" s="20" t="str">
        <f ca="1">MID(CELL("filename",$A$1),FIND("]",CELL("filename",$A$1))+1,LEN(CELL("filename",$A$1)))</f>
        <v>일식견적목록표</v>
      </c>
    </row>
    <row r="3" spans="1:11" ht="23.1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3.1" customHeight="1" x14ac:dyDescent="0.3">
      <c r="A4" s="9" t="s">
        <v>2036</v>
      </c>
      <c r="B4" s="10" t="s">
        <v>970</v>
      </c>
      <c r="C4" s="10" t="s">
        <v>958</v>
      </c>
      <c r="D4" s="9" t="s">
        <v>14</v>
      </c>
      <c r="E4" s="11">
        <f t="shared" ref="E4:E20" si="0">G4+F4+H4</f>
        <v>330000</v>
      </c>
      <c r="F4" s="12">
        <v>330000</v>
      </c>
      <c r="G4" s="13">
        <v>0</v>
      </c>
      <c r="H4" s="11">
        <v>0</v>
      </c>
      <c r="I4" s="15" t="s">
        <v>2036</v>
      </c>
      <c r="J4" s="17" t="s">
        <v>3123</v>
      </c>
    </row>
    <row r="5" spans="1:11" ht="23.1" customHeight="1" x14ac:dyDescent="0.3">
      <c r="A5" s="9" t="s">
        <v>2041</v>
      </c>
      <c r="B5" s="10" t="s">
        <v>970</v>
      </c>
      <c r="C5" s="10" t="s">
        <v>961</v>
      </c>
      <c r="D5" s="9" t="s">
        <v>14</v>
      </c>
      <c r="E5" s="11">
        <f t="shared" si="0"/>
        <v>330000</v>
      </c>
      <c r="F5" s="12">
        <v>330000</v>
      </c>
      <c r="G5" s="13">
        <v>0</v>
      </c>
      <c r="H5" s="11">
        <v>0</v>
      </c>
      <c r="I5" s="15" t="s">
        <v>2041</v>
      </c>
      <c r="J5" s="17" t="s">
        <v>3124</v>
      </c>
    </row>
    <row r="6" spans="1:11" ht="23.1" customHeight="1" x14ac:dyDescent="0.3">
      <c r="A6" s="9" t="s">
        <v>2044</v>
      </c>
      <c r="B6" s="10" t="s">
        <v>970</v>
      </c>
      <c r="C6" s="10" t="s">
        <v>964</v>
      </c>
      <c r="D6" s="9" t="s">
        <v>14</v>
      </c>
      <c r="E6" s="11">
        <f t="shared" si="0"/>
        <v>450000</v>
      </c>
      <c r="F6" s="12">
        <v>450000</v>
      </c>
      <c r="G6" s="13">
        <v>0</v>
      </c>
      <c r="H6" s="11">
        <v>0</v>
      </c>
      <c r="I6" s="15" t="s">
        <v>2044</v>
      </c>
      <c r="J6" s="17" t="s">
        <v>3125</v>
      </c>
    </row>
    <row r="7" spans="1:11" ht="23.1" customHeight="1" x14ac:dyDescent="0.3">
      <c r="A7" s="9" t="s">
        <v>2047</v>
      </c>
      <c r="B7" s="10" t="s">
        <v>970</v>
      </c>
      <c r="C7" s="10" t="s">
        <v>967</v>
      </c>
      <c r="D7" s="9" t="s">
        <v>14</v>
      </c>
      <c r="E7" s="11">
        <f t="shared" si="0"/>
        <v>450000</v>
      </c>
      <c r="F7" s="12">
        <v>450000</v>
      </c>
      <c r="G7" s="13">
        <v>0</v>
      </c>
      <c r="H7" s="11">
        <v>0</v>
      </c>
      <c r="I7" s="15" t="s">
        <v>2047</v>
      </c>
      <c r="J7" s="17" t="s">
        <v>3126</v>
      </c>
    </row>
    <row r="8" spans="1:11" ht="23.1" customHeight="1" x14ac:dyDescent="0.3">
      <c r="A8" s="9" t="s">
        <v>2050</v>
      </c>
      <c r="B8" s="10" t="s">
        <v>970</v>
      </c>
      <c r="C8" s="10" t="s">
        <v>3127</v>
      </c>
      <c r="D8" s="9" t="s">
        <v>14</v>
      </c>
      <c r="E8" s="11">
        <f t="shared" si="0"/>
        <v>270000</v>
      </c>
      <c r="F8" s="12">
        <v>270000</v>
      </c>
      <c r="G8" s="13">
        <v>0</v>
      </c>
      <c r="H8" s="11">
        <v>0</v>
      </c>
      <c r="I8" s="15" t="s">
        <v>2050</v>
      </c>
      <c r="J8" s="17" t="s">
        <v>3128</v>
      </c>
    </row>
    <row r="9" spans="1:11" ht="23.1" customHeight="1" x14ac:dyDescent="0.3">
      <c r="A9" s="9" t="s">
        <v>2054</v>
      </c>
      <c r="B9" s="10" t="s">
        <v>995</v>
      </c>
      <c r="C9" s="10" t="s">
        <v>3129</v>
      </c>
      <c r="D9" s="9" t="s">
        <v>14</v>
      </c>
      <c r="E9" s="11">
        <f t="shared" si="0"/>
        <v>350000</v>
      </c>
      <c r="F9" s="12">
        <v>350000</v>
      </c>
      <c r="G9" s="13">
        <v>0</v>
      </c>
      <c r="H9" s="11">
        <v>0</v>
      </c>
      <c r="I9" s="15" t="s">
        <v>2054</v>
      </c>
      <c r="J9" s="17" t="s">
        <v>3130</v>
      </c>
    </row>
    <row r="10" spans="1:11" ht="23.1" customHeight="1" x14ac:dyDescent="0.3">
      <c r="A10" s="9" t="s">
        <v>2058</v>
      </c>
      <c r="B10" s="10" t="s">
        <v>995</v>
      </c>
      <c r="C10" s="10" t="s">
        <v>3131</v>
      </c>
      <c r="D10" s="9" t="s">
        <v>14</v>
      </c>
      <c r="E10" s="11">
        <f t="shared" si="0"/>
        <v>350000</v>
      </c>
      <c r="F10" s="12">
        <v>350000</v>
      </c>
      <c r="G10" s="13">
        <v>0</v>
      </c>
      <c r="H10" s="11">
        <v>0</v>
      </c>
      <c r="I10" s="15" t="s">
        <v>2058</v>
      </c>
      <c r="J10" s="17" t="s">
        <v>3132</v>
      </c>
    </row>
    <row r="11" spans="1:11" ht="23.1" customHeight="1" x14ac:dyDescent="0.3">
      <c r="A11" s="9" t="s">
        <v>2060</v>
      </c>
      <c r="B11" s="10" t="s">
        <v>995</v>
      </c>
      <c r="C11" s="10" t="s">
        <v>3133</v>
      </c>
      <c r="D11" s="9" t="s">
        <v>14</v>
      </c>
      <c r="E11" s="11">
        <f t="shared" si="0"/>
        <v>350000</v>
      </c>
      <c r="F11" s="12">
        <v>350000</v>
      </c>
      <c r="G11" s="13">
        <v>0</v>
      </c>
      <c r="H11" s="11">
        <v>0</v>
      </c>
      <c r="I11" s="15" t="s">
        <v>2060</v>
      </c>
      <c r="J11" s="17" t="s">
        <v>3134</v>
      </c>
    </row>
    <row r="12" spans="1:11" ht="23.1" customHeight="1" x14ac:dyDescent="0.3">
      <c r="A12" s="9" t="s">
        <v>2063</v>
      </c>
      <c r="B12" s="10" t="s">
        <v>995</v>
      </c>
      <c r="C12" s="10" t="s">
        <v>3135</v>
      </c>
      <c r="D12" s="9" t="s">
        <v>14</v>
      </c>
      <c r="E12" s="11">
        <f t="shared" si="0"/>
        <v>350000</v>
      </c>
      <c r="F12" s="12">
        <v>350000</v>
      </c>
      <c r="G12" s="13">
        <v>0</v>
      </c>
      <c r="H12" s="11">
        <v>0</v>
      </c>
      <c r="I12" s="15" t="s">
        <v>2063</v>
      </c>
      <c r="J12" s="17" t="s">
        <v>3136</v>
      </c>
    </row>
    <row r="13" spans="1:11" ht="23.1" customHeight="1" x14ac:dyDescent="0.3">
      <c r="A13" s="9" t="s">
        <v>2065</v>
      </c>
      <c r="B13" s="10" t="s">
        <v>1427</v>
      </c>
      <c r="C13" s="10" t="s">
        <v>3137</v>
      </c>
      <c r="D13" s="9" t="s">
        <v>1010</v>
      </c>
      <c r="E13" s="11">
        <f t="shared" si="0"/>
        <v>150000</v>
      </c>
      <c r="F13" s="12">
        <v>150000</v>
      </c>
      <c r="G13" s="13">
        <v>0</v>
      </c>
      <c r="H13" s="11">
        <v>0</v>
      </c>
      <c r="I13" s="15" t="s">
        <v>2065</v>
      </c>
      <c r="J13" s="17" t="s">
        <v>3138</v>
      </c>
    </row>
    <row r="14" spans="1:11" ht="23.1" customHeight="1" x14ac:dyDescent="0.3">
      <c r="A14" s="9" t="s">
        <v>2070</v>
      </c>
      <c r="B14" s="10" t="s">
        <v>1427</v>
      </c>
      <c r="C14" s="10" t="s">
        <v>3139</v>
      </c>
      <c r="D14" s="9" t="s">
        <v>1010</v>
      </c>
      <c r="E14" s="11">
        <f t="shared" si="0"/>
        <v>150000</v>
      </c>
      <c r="F14" s="12">
        <v>150000</v>
      </c>
      <c r="G14" s="13">
        <v>0</v>
      </c>
      <c r="H14" s="11">
        <v>0</v>
      </c>
      <c r="I14" s="15" t="s">
        <v>2070</v>
      </c>
      <c r="J14" s="17" t="s">
        <v>3140</v>
      </c>
    </row>
    <row r="15" spans="1:11" ht="23.1" customHeight="1" x14ac:dyDescent="0.3">
      <c r="A15" s="9" t="s">
        <v>2074</v>
      </c>
      <c r="B15" s="10" t="s">
        <v>3141</v>
      </c>
      <c r="C15" s="10" t="s">
        <v>3142</v>
      </c>
      <c r="D15" s="9" t="s">
        <v>3143</v>
      </c>
      <c r="E15" s="11">
        <f t="shared" si="0"/>
        <v>58000</v>
      </c>
      <c r="F15" s="12">
        <v>0</v>
      </c>
      <c r="G15" s="13">
        <v>0</v>
      </c>
      <c r="H15" s="11">
        <v>58000</v>
      </c>
      <c r="I15" s="15" t="s">
        <v>2074</v>
      </c>
      <c r="J15" s="17" t="s">
        <v>3144</v>
      </c>
    </row>
    <row r="16" spans="1:11" ht="23.1" customHeight="1" x14ac:dyDescent="0.3">
      <c r="A16" s="9" t="s">
        <v>2078</v>
      </c>
      <c r="B16" s="10" t="s">
        <v>3141</v>
      </c>
      <c r="C16" s="10" t="s">
        <v>3145</v>
      </c>
      <c r="D16" s="9" t="s">
        <v>3143</v>
      </c>
      <c r="E16" s="11">
        <f t="shared" si="0"/>
        <v>50000</v>
      </c>
      <c r="F16" s="12">
        <v>0</v>
      </c>
      <c r="G16" s="13">
        <v>0</v>
      </c>
      <c r="H16" s="11">
        <v>50000</v>
      </c>
      <c r="I16" s="15" t="s">
        <v>2078</v>
      </c>
      <c r="J16" s="17" t="s">
        <v>3146</v>
      </c>
    </row>
    <row r="17" spans="1:10" ht="23.1" customHeight="1" x14ac:dyDescent="0.3">
      <c r="A17" s="9" t="s">
        <v>2081</v>
      </c>
      <c r="B17" s="10" t="s">
        <v>3141</v>
      </c>
      <c r="C17" s="10" t="s">
        <v>3147</v>
      </c>
      <c r="D17" s="9" t="s">
        <v>3143</v>
      </c>
      <c r="E17" s="11">
        <f t="shared" si="0"/>
        <v>40000</v>
      </c>
      <c r="F17" s="12">
        <v>0</v>
      </c>
      <c r="G17" s="13">
        <v>0</v>
      </c>
      <c r="H17" s="11">
        <v>40000</v>
      </c>
      <c r="I17" s="15" t="s">
        <v>2081</v>
      </c>
      <c r="J17" s="17" t="s">
        <v>3148</v>
      </c>
    </row>
    <row r="18" spans="1:10" ht="23.1" customHeight="1" x14ac:dyDescent="0.3">
      <c r="A18" s="9" t="s">
        <v>2084</v>
      </c>
      <c r="B18" s="10" t="s">
        <v>3149</v>
      </c>
      <c r="C18" s="10" t="s">
        <v>3150</v>
      </c>
      <c r="D18" s="9" t="s">
        <v>3143</v>
      </c>
      <c r="E18" s="11">
        <f t="shared" si="0"/>
        <v>38000</v>
      </c>
      <c r="F18" s="12">
        <v>0</v>
      </c>
      <c r="G18" s="13">
        <v>0</v>
      </c>
      <c r="H18" s="11">
        <v>38000</v>
      </c>
      <c r="I18" s="15" t="s">
        <v>2084</v>
      </c>
      <c r="J18" s="17" t="s">
        <v>3151</v>
      </c>
    </row>
    <row r="19" spans="1:10" ht="23.1" customHeight="1" x14ac:dyDescent="0.3">
      <c r="A19" s="9" t="s">
        <v>2087</v>
      </c>
      <c r="B19" s="10" t="s">
        <v>3149</v>
      </c>
      <c r="C19" s="10" t="s">
        <v>3152</v>
      </c>
      <c r="D19" s="9" t="s">
        <v>3143</v>
      </c>
      <c r="E19" s="11">
        <f t="shared" si="0"/>
        <v>36000</v>
      </c>
      <c r="F19" s="12">
        <v>0</v>
      </c>
      <c r="G19" s="13">
        <v>0</v>
      </c>
      <c r="H19" s="11">
        <v>36000</v>
      </c>
      <c r="I19" s="15" t="s">
        <v>2087</v>
      </c>
      <c r="J19" s="17" t="s">
        <v>3153</v>
      </c>
    </row>
    <row r="20" spans="1:10" ht="23.1" customHeight="1" x14ac:dyDescent="0.3">
      <c r="A20" s="9" t="s">
        <v>2090</v>
      </c>
      <c r="B20" s="10" t="s">
        <v>3149</v>
      </c>
      <c r="C20" s="10" t="s">
        <v>3154</v>
      </c>
      <c r="D20" s="9" t="s">
        <v>3143</v>
      </c>
      <c r="E20" s="11">
        <f t="shared" si="0"/>
        <v>170000</v>
      </c>
      <c r="F20" s="12">
        <v>0</v>
      </c>
      <c r="G20" s="13">
        <v>0</v>
      </c>
      <c r="H20" s="11">
        <v>170000</v>
      </c>
      <c r="I20" s="15" t="s">
        <v>2090</v>
      </c>
      <c r="J20" s="17" t="s">
        <v>3155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 xr:uid="{8EAE420D-DFDC-46BF-BFE6-E1281906C35B}"/>
    <hyperlink ref="J1" r:id="rId2" tooltip="설계예산시스템(STmate w26.07)으로 작성 하였으며,_x000a_엑셀 인쇄품질 600 dpi에 최적화 되어 있습니다._x000a_경영정보(주) http://www.stma.co.kr_x000a_Tel) 070-4350-0040_x000a_Fax) 0505-300-3948" xr:uid="{EE94B70C-0336-4927-832A-BF87C78B4650}"/>
  </hyperlinks>
  <printOptions horizontalCentered="1"/>
  <pageMargins left="0.39370078740157483" right="0.78740157480314954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F2C3-2483-49F4-AF56-1741B30C1C8E}">
  <dimension ref="A1:Y371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17" width="10" style="6" customWidth="1"/>
    <col min="18" max="18" width="9.125" style="16" hidden="1" customWidth="1"/>
    <col min="19" max="19" width="9.125" style="18" customWidth="1"/>
    <col min="20" max="20" width="10" style="6" customWidth="1"/>
    <col min="21" max="21" width="2.5" style="6" customWidth="1"/>
    <col min="22" max="22" width="10" style="6" customWidth="1"/>
    <col min="23" max="23" width="8.5" style="6" customWidth="1"/>
    <col min="24" max="16384" width="9.125" style="6"/>
  </cols>
  <sheetData>
    <row r="1" spans="1:25" ht="24.95" customHeight="1" x14ac:dyDescent="0.3">
      <c r="A1" s="131" t="s">
        <v>3174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5" t="s">
        <v>1982</v>
      </c>
      <c r="S1" s="19" t="s">
        <v>1982</v>
      </c>
    </row>
    <row r="2" spans="1:25" ht="34.700000000000003" customHeight="1" x14ac:dyDescent="0.3">
      <c r="A2" s="1" t="s">
        <v>1</v>
      </c>
      <c r="R2" s="20" t="str">
        <f ca="1">MID(CELL("filename",$A$1),FIND("]",CELL("filename",$A$1))+1,LEN(CELL("filename",$A$1)))</f>
        <v>자재단가대비표</v>
      </c>
    </row>
    <row r="3" spans="1:25" ht="34.700000000000003" customHeight="1" x14ac:dyDescent="0.3">
      <c r="A3" s="142" t="s">
        <v>2</v>
      </c>
      <c r="B3" s="142" t="s">
        <v>3</v>
      </c>
      <c r="C3" s="142" t="s">
        <v>4</v>
      </c>
      <c r="D3" s="142" t="s">
        <v>5</v>
      </c>
      <c r="E3" s="134" t="s">
        <v>3175</v>
      </c>
      <c r="F3" s="143"/>
      <c r="G3" s="134" t="s">
        <v>3177</v>
      </c>
      <c r="H3" s="143"/>
      <c r="I3" s="134" t="s">
        <v>3178</v>
      </c>
      <c r="J3" s="143"/>
      <c r="K3" s="134" t="s">
        <v>3179</v>
      </c>
      <c r="L3" s="143"/>
      <c r="M3" s="134" t="s">
        <v>3180</v>
      </c>
      <c r="N3" s="143"/>
      <c r="O3" s="134" t="s">
        <v>3181</v>
      </c>
      <c r="P3" s="143"/>
      <c r="Q3" s="134" t="s">
        <v>10</v>
      </c>
      <c r="U3" s="154" t="s">
        <v>3183</v>
      </c>
      <c r="V3" s="121"/>
      <c r="W3" s="121"/>
    </row>
    <row r="4" spans="1:25" ht="34.700000000000003" customHeight="1" x14ac:dyDescent="0.3">
      <c r="A4" s="143"/>
      <c r="B4" s="143"/>
      <c r="C4" s="143"/>
      <c r="D4" s="143"/>
      <c r="E4" s="9" t="s">
        <v>2035</v>
      </c>
      <c r="F4" s="9" t="s">
        <v>3176</v>
      </c>
      <c r="G4" s="9" t="s">
        <v>2035</v>
      </c>
      <c r="H4" s="9" t="s">
        <v>3176</v>
      </c>
      <c r="I4" s="9" t="s">
        <v>2035</v>
      </c>
      <c r="J4" s="9" t="s">
        <v>3176</v>
      </c>
      <c r="K4" s="9" t="s">
        <v>2035</v>
      </c>
      <c r="L4" s="9" t="s">
        <v>3176</v>
      </c>
      <c r="M4" s="9" t="s">
        <v>2035</v>
      </c>
      <c r="N4" s="9" t="s">
        <v>3176</v>
      </c>
      <c r="O4" s="9" t="s">
        <v>2035</v>
      </c>
      <c r="P4" s="9" t="s">
        <v>3176</v>
      </c>
      <c r="Q4" s="135"/>
      <c r="S4" s="3" t="str">
        <f>HYPERLINK("#'〓 목 차 〓'!B2","목차 →")</f>
        <v>목차 →</v>
      </c>
      <c r="T4" s="35" t="s">
        <v>3182</v>
      </c>
      <c r="U4" s="35" t="s">
        <v>3184</v>
      </c>
      <c r="V4" s="35" t="s">
        <v>2035</v>
      </c>
      <c r="W4" s="35" t="s">
        <v>3176</v>
      </c>
      <c r="X4" s="35" t="s">
        <v>3185</v>
      </c>
      <c r="Y4" s="35" t="s">
        <v>3186</v>
      </c>
    </row>
    <row r="5" spans="1:25" ht="34.700000000000003" customHeight="1" x14ac:dyDescent="0.3">
      <c r="A5" s="9" t="s">
        <v>2036</v>
      </c>
      <c r="B5" s="10" t="s">
        <v>2037</v>
      </c>
      <c r="C5" s="10" t="s">
        <v>2038</v>
      </c>
      <c r="D5" s="9" t="s">
        <v>2039</v>
      </c>
      <c r="E5" s="33">
        <v>0</v>
      </c>
      <c r="F5" s="9"/>
      <c r="G5" s="33">
        <v>1040</v>
      </c>
      <c r="H5" s="9" t="s">
        <v>3192</v>
      </c>
      <c r="I5" s="33">
        <v>1100</v>
      </c>
      <c r="J5" s="9" t="s">
        <v>3192</v>
      </c>
      <c r="K5" s="33">
        <v>0</v>
      </c>
      <c r="L5" s="9"/>
      <c r="M5" s="33">
        <v>1030</v>
      </c>
      <c r="N5" s="9" t="s">
        <v>3193</v>
      </c>
      <c r="O5" s="33">
        <v>1030</v>
      </c>
      <c r="P5" s="22" t="s">
        <v>3191</v>
      </c>
      <c r="Q5" s="15"/>
      <c r="R5" s="17" t="s">
        <v>2040</v>
      </c>
      <c r="S5" s="3" t="str">
        <f ca="1">HYPERLINK("#"&amp;재료비목록표!G2&amp;"!A"&amp;ROW(재료비목록표!A4),"자재1 →")</f>
        <v>자재1 →</v>
      </c>
      <c r="T5" s="36">
        <v>1030</v>
      </c>
      <c r="U5" s="38">
        <f t="shared" ref="U5:U68" si="0">IF(OR(V5=0,ISERROR(MATCH(V5,E5:M5,0))),"",CHOOSE(TRUNC((MATCH(V5,E5:M5,0)/2+1)),1,2,3,4,5))</f>
        <v>5</v>
      </c>
      <c r="V5" s="39">
        <f t="shared" ref="V5:V68" si="1">IF(AND(E5=0,G5=0,I5=0,K5=0,M5=0),T5,MIN(IF(E5=0,MAX(E5:M5),E5),IF(G5=0,MAX(E5:M5),G5),IF(I5=0,MAX(E5:M5),I5),IF(K5=0,MAX(E5:M5),K5),IF(M5=0,MAX(E5:M5),M5)))</f>
        <v>1030</v>
      </c>
      <c r="W5" s="40" t="str">
        <f t="shared" ref="W5:W68" si="2">IF(OR(O5=0,U5=""),"",CHOOSE(U5,Y$5,Y$6,Y$7,Y$8,Y$9))</f>
        <v>거래</v>
      </c>
      <c r="X5" s="35" t="s">
        <v>3175</v>
      </c>
      <c r="Y5" s="35" t="s">
        <v>3187</v>
      </c>
    </row>
    <row r="6" spans="1:25" ht="34.700000000000003" customHeight="1" x14ac:dyDescent="0.3">
      <c r="A6" s="9" t="s">
        <v>2041</v>
      </c>
      <c r="B6" s="10" t="s">
        <v>457</v>
      </c>
      <c r="C6" s="10" t="s">
        <v>2042</v>
      </c>
      <c r="D6" s="9" t="s">
        <v>14</v>
      </c>
      <c r="E6" s="33">
        <v>0</v>
      </c>
      <c r="F6" s="9"/>
      <c r="G6" s="33">
        <v>0</v>
      </c>
      <c r="H6" s="9"/>
      <c r="I6" s="33">
        <v>450000</v>
      </c>
      <c r="J6" s="9" t="s">
        <v>3194</v>
      </c>
      <c r="K6" s="33">
        <v>0</v>
      </c>
      <c r="L6" s="9"/>
      <c r="M6" s="33">
        <v>450000</v>
      </c>
      <c r="N6" s="9" t="s">
        <v>3195</v>
      </c>
      <c r="O6" s="33">
        <v>450000</v>
      </c>
      <c r="P6" s="22" t="s">
        <v>3189</v>
      </c>
      <c r="Q6" s="15"/>
      <c r="R6" s="17" t="s">
        <v>2043</v>
      </c>
      <c r="S6" s="3" t="str">
        <f ca="1">HYPERLINK("#"&amp;재료비목록표!G2&amp;"!A"&amp;ROW(재료비목록표!A5),"자재2 →")</f>
        <v>자재2 →</v>
      </c>
      <c r="T6" s="36">
        <v>450000</v>
      </c>
      <c r="U6" s="38">
        <f t="shared" si="0"/>
        <v>3</v>
      </c>
      <c r="V6" s="39">
        <f t="shared" si="1"/>
        <v>450000</v>
      </c>
      <c r="W6" s="40" t="str">
        <f t="shared" si="2"/>
        <v>물.정</v>
      </c>
      <c r="X6" s="35" t="s">
        <v>3177</v>
      </c>
      <c r="Y6" s="35" t="s">
        <v>3188</v>
      </c>
    </row>
    <row r="7" spans="1:25" ht="34.700000000000003" customHeight="1" x14ac:dyDescent="0.3">
      <c r="A7" s="9" t="s">
        <v>2044</v>
      </c>
      <c r="B7" s="10" t="s">
        <v>457</v>
      </c>
      <c r="C7" s="10" t="s">
        <v>2045</v>
      </c>
      <c r="D7" s="9" t="s">
        <v>14</v>
      </c>
      <c r="E7" s="33">
        <v>0</v>
      </c>
      <c r="F7" s="9"/>
      <c r="G7" s="33">
        <v>0</v>
      </c>
      <c r="H7" s="9"/>
      <c r="I7" s="33">
        <v>1350000</v>
      </c>
      <c r="J7" s="9" t="s">
        <v>3194</v>
      </c>
      <c r="K7" s="33">
        <v>0</v>
      </c>
      <c r="L7" s="9"/>
      <c r="M7" s="33">
        <v>1280000</v>
      </c>
      <c r="N7" s="9" t="s">
        <v>3195</v>
      </c>
      <c r="O7" s="33">
        <v>1280000</v>
      </c>
      <c r="P7" s="22" t="s">
        <v>3191</v>
      </c>
      <c r="Q7" s="15"/>
      <c r="R7" s="17" t="s">
        <v>2046</v>
      </c>
      <c r="S7" s="3" t="str">
        <f ca="1">HYPERLINK("#"&amp;재료비목록표!G2&amp;"!A"&amp;ROW(재료비목록표!A6),"자재3 →")</f>
        <v>자재3 →</v>
      </c>
      <c r="T7" s="36">
        <v>1280000</v>
      </c>
      <c r="U7" s="38">
        <f t="shared" si="0"/>
        <v>5</v>
      </c>
      <c r="V7" s="39">
        <f t="shared" si="1"/>
        <v>1280000</v>
      </c>
      <c r="W7" s="40" t="str">
        <f t="shared" si="2"/>
        <v>거래</v>
      </c>
      <c r="X7" s="35" t="s">
        <v>3178</v>
      </c>
      <c r="Y7" s="35" t="s">
        <v>3189</v>
      </c>
    </row>
    <row r="8" spans="1:25" ht="34.700000000000003" customHeight="1" x14ac:dyDescent="0.3">
      <c r="A8" s="9" t="s">
        <v>2047</v>
      </c>
      <c r="B8" s="10" t="s">
        <v>457</v>
      </c>
      <c r="C8" s="10" t="s">
        <v>2048</v>
      </c>
      <c r="D8" s="9" t="s">
        <v>14</v>
      </c>
      <c r="E8" s="33">
        <v>0</v>
      </c>
      <c r="F8" s="9"/>
      <c r="G8" s="33">
        <v>0</v>
      </c>
      <c r="H8" s="9"/>
      <c r="I8" s="33">
        <v>930000</v>
      </c>
      <c r="J8" s="9" t="s">
        <v>3194</v>
      </c>
      <c r="K8" s="33">
        <v>0</v>
      </c>
      <c r="L8" s="9"/>
      <c r="M8" s="33">
        <v>960000</v>
      </c>
      <c r="N8" s="9" t="s">
        <v>3195</v>
      </c>
      <c r="O8" s="33">
        <v>930000</v>
      </c>
      <c r="P8" s="22" t="s">
        <v>3189</v>
      </c>
      <c r="Q8" s="15"/>
      <c r="R8" s="17" t="s">
        <v>2049</v>
      </c>
      <c r="S8" s="3" t="str">
        <f ca="1">HYPERLINK("#"&amp;재료비목록표!G2&amp;"!A"&amp;ROW(재료비목록표!A7),"자재4 →")</f>
        <v>자재4 →</v>
      </c>
      <c r="T8" s="36">
        <v>930000</v>
      </c>
      <c r="U8" s="38">
        <f t="shared" si="0"/>
        <v>3</v>
      </c>
      <c r="V8" s="39">
        <f t="shared" si="1"/>
        <v>930000</v>
      </c>
      <c r="W8" s="40" t="str">
        <f t="shared" si="2"/>
        <v>물.정</v>
      </c>
      <c r="X8" s="35" t="s">
        <v>3179</v>
      </c>
      <c r="Y8" s="35" t="s">
        <v>3190</v>
      </c>
    </row>
    <row r="9" spans="1:25" ht="34.700000000000003" customHeight="1" x14ac:dyDescent="0.3">
      <c r="A9" s="9" t="s">
        <v>2050</v>
      </c>
      <c r="B9" s="10" t="s">
        <v>2051</v>
      </c>
      <c r="C9" s="10" t="s">
        <v>2052</v>
      </c>
      <c r="D9" s="9" t="s">
        <v>1603</v>
      </c>
      <c r="E9" s="33">
        <v>581559</v>
      </c>
      <c r="F9" s="9" t="s">
        <v>3197</v>
      </c>
      <c r="G9" s="33">
        <v>794120</v>
      </c>
      <c r="H9" s="9" t="s">
        <v>3198</v>
      </c>
      <c r="I9" s="33">
        <v>641180</v>
      </c>
      <c r="J9" s="9" t="s">
        <v>3199</v>
      </c>
      <c r="K9" s="33">
        <v>0</v>
      </c>
      <c r="L9" s="9"/>
      <c r="M9" s="33">
        <v>634730</v>
      </c>
      <c r="N9" s="9" t="s">
        <v>3200</v>
      </c>
      <c r="O9" s="33">
        <v>581559</v>
      </c>
      <c r="P9" s="22" t="s">
        <v>3187</v>
      </c>
      <c r="Q9" s="15" t="s">
        <v>3196</v>
      </c>
      <c r="R9" s="17" t="s">
        <v>2053</v>
      </c>
      <c r="S9" s="3" t="str">
        <f ca="1">HYPERLINK("#"&amp;재료비목록표!G2&amp;"!A"&amp;ROW(재료비목록표!A8),"자재5 →")</f>
        <v>자재5 →</v>
      </c>
      <c r="T9" s="36">
        <v>581559</v>
      </c>
      <c r="U9" s="38">
        <f t="shared" si="0"/>
        <v>1</v>
      </c>
      <c r="V9" s="39">
        <f t="shared" si="1"/>
        <v>581559</v>
      </c>
      <c r="W9" s="40" t="str">
        <f t="shared" si="2"/>
        <v>가.정</v>
      </c>
      <c r="X9" s="35" t="s">
        <v>3180</v>
      </c>
      <c r="Y9" s="35" t="s">
        <v>3191</v>
      </c>
    </row>
    <row r="10" spans="1:25" ht="34.700000000000003" customHeight="1" x14ac:dyDescent="0.3">
      <c r="A10" s="9" t="s">
        <v>2054</v>
      </c>
      <c r="B10" s="10" t="s">
        <v>2055</v>
      </c>
      <c r="C10" s="10" t="s">
        <v>2056</v>
      </c>
      <c r="D10" s="9" t="s">
        <v>1010</v>
      </c>
      <c r="E10" s="33">
        <v>0</v>
      </c>
      <c r="F10" s="9"/>
      <c r="G10" s="33">
        <v>47900</v>
      </c>
      <c r="H10" s="9" t="s">
        <v>3201</v>
      </c>
      <c r="I10" s="33">
        <v>0</v>
      </c>
      <c r="J10" s="9"/>
      <c r="K10" s="33">
        <v>0</v>
      </c>
      <c r="L10" s="9"/>
      <c r="M10" s="33">
        <v>50000</v>
      </c>
      <c r="N10" s="9" t="s">
        <v>3202</v>
      </c>
      <c r="O10" s="33">
        <v>47900</v>
      </c>
      <c r="P10" s="22" t="s">
        <v>3188</v>
      </c>
      <c r="Q10" s="15"/>
      <c r="R10" s="17" t="s">
        <v>2057</v>
      </c>
      <c r="S10" s="3" t="str">
        <f ca="1">HYPERLINK("#"&amp;재료비목록표!G2&amp;"!A"&amp;ROW(재료비목록표!A9),"자재6 →")</f>
        <v>자재6 →</v>
      </c>
      <c r="T10" s="36">
        <v>47900</v>
      </c>
      <c r="U10" s="38">
        <f t="shared" si="0"/>
        <v>2</v>
      </c>
      <c r="V10" s="39">
        <f t="shared" si="1"/>
        <v>47900</v>
      </c>
      <c r="W10" s="40" t="str">
        <f t="shared" si="2"/>
        <v>물.자</v>
      </c>
      <c r="X10" s="35" t="s">
        <v>3181</v>
      </c>
      <c r="Y10" s="35"/>
    </row>
    <row r="11" spans="1:25" ht="34.700000000000003" customHeight="1" x14ac:dyDescent="0.3">
      <c r="A11" s="9" t="s">
        <v>2058</v>
      </c>
      <c r="B11" s="10" t="s">
        <v>2055</v>
      </c>
      <c r="C11" s="10" t="s">
        <v>1553</v>
      </c>
      <c r="D11" s="9" t="s">
        <v>1010</v>
      </c>
      <c r="E11" s="33">
        <v>0</v>
      </c>
      <c r="F11" s="9"/>
      <c r="G11" s="33">
        <v>54900</v>
      </c>
      <c r="H11" s="9" t="s">
        <v>3201</v>
      </c>
      <c r="I11" s="33">
        <v>0</v>
      </c>
      <c r="J11" s="9"/>
      <c r="K11" s="33">
        <v>0</v>
      </c>
      <c r="L11" s="9"/>
      <c r="M11" s="33">
        <v>50000</v>
      </c>
      <c r="N11" s="9" t="s">
        <v>3202</v>
      </c>
      <c r="O11" s="33">
        <v>50000</v>
      </c>
      <c r="P11" s="22" t="s">
        <v>3191</v>
      </c>
      <c r="Q11" s="15"/>
      <c r="R11" s="17" t="s">
        <v>2059</v>
      </c>
      <c r="S11" s="3" t="str">
        <f ca="1">HYPERLINK("#"&amp;재료비목록표!G2&amp;"!A"&amp;ROW(재료비목록표!A10),"자재7 →")</f>
        <v>자재7 →</v>
      </c>
      <c r="T11" s="36">
        <v>50000</v>
      </c>
      <c r="U11" s="38">
        <f t="shared" si="0"/>
        <v>5</v>
      </c>
      <c r="V11" s="39">
        <f t="shared" si="1"/>
        <v>50000</v>
      </c>
      <c r="W11" s="40" t="str">
        <f t="shared" si="2"/>
        <v>거래</v>
      </c>
    </row>
    <row r="12" spans="1:25" ht="34.700000000000003" customHeight="1" x14ac:dyDescent="0.3">
      <c r="A12" s="9" t="s">
        <v>2060</v>
      </c>
      <c r="B12" s="10" t="s">
        <v>2055</v>
      </c>
      <c r="C12" s="10" t="s">
        <v>2061</v>
      </c>
      <c r="D12" s="9" t="s">
        <v>1010</v>
      </c>
      <c r="E12" s="33">
        <v>301173</v>
      </c>
      <c r="F12" s="9" t="s">
        <v>3197</v>
      </c>
      <c r="G12" s="33">
        <v>410000</v>
      </c>
      <c r="H12" s="9" t="s">
        <v>3203</v>
      </c>
      <c r="I12" s="33">
        <v>0</v>
      </c>
      <c r="J12" s="9"/>
      <c r="K12" s="33">
        <v>0</v>
      </c>
      <c r="L12" s="9"/>
      <c r="M12" s="33">
        <v>274000</v>
      </c>
      <c r="N12" s="9" t="s">
        <v>3202</v>
      </c>
      <c r="O12" s="33">
        <v>274000</v>
      </c>
      <c r="P12" s="22" t="s">
        <v>3191</v>
      </c>
      <c r="Q12" s="15"/>
      <c r="R12" s="17" t="s">
        <v>2062</v>
      </c>
      <c r="S12" s="3" t="str">
        <f ca="1">HYPERLINK("#"&amp;재료비목록표!G2&amp;"!A"&amp;ROW(재료비목록표!A11),"자재8 →")</f>
        <v>자재8 →</v>
      </c>
      <c r="T12" s="36">
        <v>274000</v>
      </c>
      <c r="U12" s="38">
        <f t="shared" si="0"/>
        <v>5</v>
      </c>
      <c r="V12" s="39">
        <f t="shared" si="1"/>
        <v>274000</v>
      </c>
      <c r="W12" s="40" t="str">
        <f t="shared" si="2"/>
        <v>거래</v>
      </c>
    </row>
    <row r="13" spans="1:25" ht="34.700000000000003" customHeight="1" x14ac:dyDescent="0.3">
      <c r="A13" s="9" t="s">
        <v>2063</v>
      </c>
      <c r="B13" s="10" t="s">
        <v>2055</v>
      </c>
      <c r="C13" s="10" t="s">
        <v>1556</v>
      </c>
      <c r="D13" s="9" t="s">
        <v>1010</v>
      </c>
      <c r="E13" s="33">
        <v>319929</v>
      </c>
      <c r="F13" s="9" t="s">
        <v>3204</v>
      </c>
      <c r="G13" s="33">
        <v>561000</v>
      </c>
      <c r="H13" s="9" t="s">
        <v>3205</v>
      </c>
      <c r="I13" s="33">
        <v>0</v>
      </c>
      <c r="J13" s="9"/>
      <c r="K13" s="33">
        <v>0</v>
      </c>
      <c r="L13" s="9"/>
      <c r="M13" s="33">
        <v>411000</v>
      </c>
      <c r="N13" s="9" t="s">
        <v>3206</v>
      </c>
      <c r="O13" s="33">
        <v>319929</v>
      </c>
      <c r="P13" s="22" t="s">
        <v>3187</v>
      </c>
      <c r="Q13" s="15"/>
      <c r="R13" s="17" t="s">
        <v>2064</v>
      </c>
      <c r="S13" s="3" t="str">
        <f ca="1">HYPERLINK("#"&amp;재료비목록표!G2&amp;"!A"&amp;ROW(재료비목록표!A12),"자재9 →")</f>
        <v>자재9 →</v>
      </c>
      <c r="T13" s="36">
        <v>319929</v>
      </c>
      <c r="U13" s="38">
        <f t="shared" si="0"/>
        <v>1</v>
      </c>
      <c r="V13" s="39">
        <f t="shared" si="1"/>
        <v>319929</v>
      </c>
      <c r="W13" s="40" t="str">
        <f t="shared" si="2"/>
        <v>가.정</v>
      </c>
    </row>
    <row r="14" spans="1:25" ht="34.700000000000003" customHeight="1" x14ac:dyDescent="0.3">
      <c r="A14" s="9" t="s">
        <v>2065</v>
      </c>
      <c r="B14" s="10" t="s">
        <v>2066</v>
      </c>
      <c r="C14" s="10" t="s">
        <v>2067</v>
      </c>
      <c r="D14" s="9" t="s">
        <v>2068</v>
      </c>
      <c r="E14" s="33">
        <v>1817</v>
      </c>
      <c r="F14" s="9" t="s">
        <v>3207</v>
      </c>
      <c r="G14" s="33">
        <v>0</v>
      </c>
      <c r="H14" s="9"/>
      <c r="I14" s="33">
        <v>0</v>
      </c>
      <c r="J14" s="9"/>
      <c r="K14" s="33">
        <v>0</v>
      </c>
      <c r="L14" s="9"/>
      <c r="M14" s="33">
        <v>0</v>
      </c>
      <c r="N14" s="9"/>
      <c r="O14" s="33">
        <v>1817</v>
      </c>
      <c r="P14" s="22" t="s">
        <v>3187</v>
      </c>
      <c r="Q14" s="15"/>
      <c r="R14" s="17" t="s">
        <v>2069</v>
      </c>
      <c r="S14" s="3" t="str">
        <f ca="1">HYPERLINK("#"&amp;재료비목록표!G2&amp;"!A"&amp;ROW(재료비목록표!A13),"자재10 →")</f>
        <v>자재10 →</v>
      </c>
      <c r="T14" s="36">
        <v>1817</v>
      </c>
      <c r="U14" s="38">
        <f t="shared" si="0"/>
        <v>1</v>
      </c>
      <c r="V14" s="39">
        <f t="shared" si="1"/>
        <v>1817</v>
      </c>
      <c r="W14" s="40" t="str">
        <f t="shared" si="2"/>
        <v>가.정</v>
      </c>
    </row>
    <row r="15" spans="1:25" ht="34.700000000000003" customHeight="1" x14ac:dyDescent="0.3">
      <c r="A15" s="9" t="s">
        <v>2070</v>
      </c>
      <c r="B15" s="10" t="s">
        <v>2071</v>
      </c>
      <c r="C15" s="10" t="s">
        <v>2072</v>
      </c>
      <c r="D15" s="9" t="s">
        <v>1010</v>
      </c>
      <c r="E15" s="33">
        <v>0</v>
      </c>
      <c r="F15" s="9"/>
      <c r="G15" s="33">
        <v>24000</v>
      </c>
      <c r="H15" s="9" t="s">
        <v>3208</v>
      </c>
      <c r="I15" s="33">
        <v>25350</v>
      </c>
      <c r="J15" s="9" t="s">
        <v>3209</v>
      </c>
      <c r="K15" s="33">
        <v>0</v>
      </c>
      <c r="L15" s="9"/>
      <c r="M15" s="33">
        <v>19670</v>
      </c>
      <c r="N15" s="9" t="s">
        <v>3210</v>
      </c>
      <c r="O15" s="33">
        <v>19670</v>
      </c>
      <c r="P15" s="22" t="s">
        <v>3191</v>
      </c>
      <c r="Q15" s="15"/>
      <c r="R15" s="17" t="s">
        <v>2073</v>
      </c>
      <c r="S15" s="3" t="str">
        <f ca="1">HYPERLINK("#"&amp;재료비목록표!G2&amp;"!A"&amp;ROW(재료비목록표!A14),"자재11 →")</f>
        <v>자재11 →</v>
      </c>
      <c r="T15" s="36">
        <v>19670</v>
      </c>
      <c r="U15" s="38">
        <f t="shared" si="0"/>
        <v>5</v>
      </c>
      <c r="V15" s="39">
        <f t="shared" si="1"/>
        <v>19670</v>
      </c>
      <c r="W15" s="40" t="str">
        <f t="shared" si="2"/>
        <v>거래</v>
      </c>
    </row>
    <row r="16" spans="1:25" ht="34.700000000000003" customHeight="1" x14ac:dyDescent="0.3">
      <c r="A16" s="9" t="s">
        <v>2074</v>
      </c>
      <c r="B16" s="10" t="s">
        <v>2075</v>
      </c>
      <c r="C16" s="10" t="s">
        <v>2076</v>
      </c>
      <c r="D16" s="9" t="s">
        <v>1010</v>
      </c>
      <c r="E16" s="33">
        <v>0</v>
      </c>
      <c r="F16" s="9"/>
      <c r="G16" s="33">
        <v>1680</v>
      </c>
      <c r="H16" s="9" t="s">
        <v>3211</v>
      </c>
      <c r="I16" s="33">
        <v>0</v>
      </c>
      <c r="J16" s="9"/>
      <c r="K16" s="33">
        <v>0</v>
      </c>
      <c r="L16" s="9"/>
      <c r="M16" s="33">
        <v>1680</v>
      </c>
      <c r="N16" s="9" t="s">
        <v>3212</v>
      </c>
      <c r="O16" s="33">
        <v>1680</v>
      </c>
      <c r="P16" s="22" t="s">
        <v>3188</v>
      </c>
      <c r="Q16" s="15"/>
      <c r="R16" s="17" t="s">
        <v>2077</v>
      </c>
      <c r="S16" s="3" t="str">
        <f ca="1">HYPERLINK("#"&amp;재료비목록표!G2&amp;"!A"&amp;ROW(재료비목록표!A15),"자재12 →")</f>
        <v>자재12 →</v>
      </c>
      <c r="T16" s="36">
        <v>1680</v>
      </c>
      <c r="U16" s="38">
        <f t="shared" si="0"/>
        <v>2</v>
      </c>
      <c r="V16" s="39">
        <f t="shared" si="1"/>
        <v>1680</v>
      </c>
      <c r="W16" s="40" t="str">
        <f t="shared" si="2"/>
        <v>물.자</v>
      </c>
    </row>
    <row r="17" spans="1:23" ht="34.700000000000003" customHeight="1" x14ac:dyDescent="0.3">
      <c r="A17" s="9" t="s">
        <v>2078</v>
      </c>
      <c r="B17" s="10" t="s">
        <v>2075</v>
      </c>
      <c r="C17" s="10" t="s">
        <v>2079</v>
      </c>
      <c r="D17" s="9" t="s">
        <v>1010</v>
      </c>
      <c r="E17" s="33">
        <v>0</v>
      </c>
      <c r="F17" s="9"/>
      <c r="G17" s="33">
        <v>2520</v>
      </c>
      <c r="H17" s="9" t="s">
        <v>3211</v>
      </c>
      <c r="I17" s="33">
        <v>0</v>
      </c>
      <c r="J17" s="9"/>
      <c r="K17" s="33">
        <v>0</v>
      </c>
      <c r="L17" s="9"/>
      <c r="M17" s="33">
        <v>2520</v>
      </c>
      <c r="N17" s="9" t="s">
        <v>3212</v>
      </c>
      <c r="O17" s="33">
        <v>2520</v>
      </c>
      <c r="P17" s="22" t="s">
        <v>3188</v>
      </c>
      <c r="Q17" s="15"/>
      <c r="R17" s="17" t="s">
        <v>2080</v>
      </c>
      <c r="S17" s="3" t="str">
        <f ca="1">HYPERLINK("#"&amp;재료비목록표!G2&amp;"!A"&amp;ROW(재료비목록표!A16),"자재13 →")</f>
        <v>자재13 →</v>
      </c>
      <c r="T17" s="36">
        <v>2520</v>
      </c>
      <c r="U17" s="38">
        <f t="shared" si="0"/>
        <v>2</v>
      </c>
      <c r="V17" s="39">
        <f t="shared" si="1"/>
        <v>2520</v>
      </c>
      <c r="W17" s="40" t="str">
        <f t="shared" si="2"/>
        <v>물.자</v>
      </c>
    </row>
    <row r="18" spans="1:23" ht="34.700000000000003" customHeight="1" x14ac:dyDescent="0.3">
      <c r="A18" s="9" t="s">
        <v>2081</v>
      </c>
      <c r="B18" s="10" t="s">
        <v>2075</v>
      </c>
      <c r="C18" s="10" t="s">
        <v>2082</v>
      </c>
      <c r="D18" s="9" t="s">
        <v>1010</v>
      </c>
      <c r="E18" s="33">
        <v>0</v>
      </c>
      <c r="F18" s="9"/>
      <c r="G18" s="33">
        <v>3000</v>
      </c>
      <c r="H18" s="9" t="s">
        <v>3211</v>
      </c>
      <c r="I18" s="33">
        <v>0</v>
      </c>
      <c r="J18" s="9"/>
      <c r="K18" s="33">
        <v>0</v>
      </c>
      <c r="L18" s="9"/>
      <c r="M18" s="33">
        <v>3000</v>
      </c>
      <c r="N18" s="9" t="s">
        <v>3212</v>
      </c>
      <c r="O18" s="33">
        <v>3000</v>
      </c>
      <c r="P18" s="22" t="s">
        <v>3188</v>
      </c>
      <c r="Q18" s="15"/>
      <c r="R18" s="17" t="s">
        <v>2083</v>
      </c>
      <c r="S18" s="3" t="str">
        <f ca="1">HYPERLINK("#"&amp;재료비목록표!G2&amp;"!A"&amp;ROW(재료비목록표!A17),"자재14 →")</f>
        <v>자재14 →</v>
      </c>
      <c r="T18" s="36">
        <v>3000</v>
      </c>
      <c r="U18" s="38">
        <f t="shared" si="0"/>
        <v>2</v>
      </c>
      <c r="V18" s="39">
        <f t="shared" si="1"/>
        <v>3000</v>
      </c>
      <c r="W18" s="40" t="str">
        <f t="shared" si="2"/>
        <v>물.자</v>
      </c>
    </row>
    <row r="19" spans="1:23" ht="34.700000000000003" customHeight="1" x14ac:dyDescent="0.3">
      <c r="A19" s="9" t="s">
        <v>2084</v>
      </c>
      <c r="B19" s="10" t="s">
        <v>2075</v>
      </c>
      <c r="C19" s="10" t="s">
        <v>2085</v>
      </c>
      <c r="D19" s="9" t="s">
        <v>1010</v>
      </c>
      <c r="E19" s="33">
        <v>0</v>
      </c>
      <c r="F19" s="9"/>
      <c r="G19" s="33">
        <v>3900</v>
      </c>
      <c r="H19" s="9" t="s">
        <v>3211</v>
      </c>
      <c r="I19" s="33">
        <v>0</v>
      </c>
      <c r="J19" s="9"/>
      <c r="K19" s="33">
        <v>0</v>
      </c>
      <c r="L19" s="9"/>
      <c r="M19" s="33">
        <v>3900</v>
      </c>
      <c r="N19" s="9" t="s">
        <v>3212</v>
      </c>
      <c r="O19" s="33">
        <v>3900</v>
      </c>
      <c r="P19" s="22" t="s">
        <v>3188</v>
      </c>
      <c r="Q19" s="15"/>
      <c r="R19" s="17" t="s">
        <v>2086</v>
      </c>
      <c r="S19" s="3" t="str">
        <f ca="1">HYPERLINK("#"&amp;재료비목록표!G2&amp;"!A"&amp;ROW(재료비목록표!A18),"자재15 →")</f>
        <v>자재15 →</v>
      </c>
      <c r="T19" s="36">
        <v>3900</v>
      </c>
      <c r="U19" s="38">
        <f t="shared" si="0"/>
        <v>2</v>
      </c>
      <c r="V19" s="39">
        <f t="shared" si="1"/>
        <v>3900</v>
      </c>
      <c r="W19" s="40" t="str">
        <f t="shared" si="2"/>
        <v>물.자</v>
      </c>
    </row>
    <row r="20" spans="1:23" ht="34.700000000000003" customHeight="1" x14ac:dyDescent="0.3">
      <c r="A20" s="9" t="s">
        <v>2087</v>
      </c>
      <c r="B20" s="10" t="s">
        <v>2075</v>
      </c>
      <c r="C20" s="10" t="s">
        <v>2088</v>
      </c>
      <c r="D20" s="9" t="s">
        <v>1010</v>
      </c>
      <c r="E20" s="33">
        <v>0</v>
      </c>
      <c r="F20" s="9"/>
      <c r="G20" s="33">
        <v>4980</v>
      </c>
      <c r="H20" s="9" t="s">
        <v>3211</v>
      </c>
      <c r="I20" s="33">
        <v>0</v>
      </c>
      <c r="J20" s="9"/>
      <c r="K20" s="33">
        <v>0</v>
      </c>
      <c r="L20" s="9"/>
      <c r="M20" s="33">
        <v>4980</v>
      </c>
      <c r="N20" s="9" t="s">
        <v>3212</v>
      </c>
      <c r="O20" s="33">
        <v>4980</v>
      </c>
      <c r="P20" s="22" t="s">
        <v>3188</v>
      </c>
      <c r="Q20" s="15"/>
      <c r="R20" s="17" t="s">
        <v>2089</v>
      </c>
      <c r="S20" s="3" t="str">
        <f ca="1">HYPERLINK("#"&amp;재료비목록표!G2&amp;"!A"&amp;ROW(재료비목록표!A19),"자재16 →")</f>
        <v>자재16 →</v>
      </c>
      <c r="T20" s="36">
        <v>4980</v>
      </c>
      <c r="U20" s="38">
        <f t="shared" si="0"/>
        <v>2</v>
      </c>
      <c r="V20" s="39">
        <f t="shared" si="1"/>
        <v>4980</v>
      </c>
      <c r="W20" s="40" t="str">
        <f t="shared" si="2"/>
        <v>물.자</v>
      </c>
    </row>
    <row r="21" spans="1:23" ht="34.700000000000003" customHeight="1" x14ac:dyDescent="0.3">
      <c r="A21" s="9" t="s">
        <v>2090</v>
      </c>
      <c r="B21" s="10" t="s">
        <v>2075</v>
      </c>
      <c r="C21" s="10" t="s">
        <v>2091</v>
      </c>
      <c r="D21" s="9" t="s">
        <v>1010</v>
      </c>
      <c r="E21" s="33">
        <v>0</v>
      </c>
      <c r="F21" s="9"/>
      <c r="G21" s="33">
        <v>1100</v>
      </c>
      <c r="H21" s="9" t="s">
        <v>3211</v>
      </c>
      <c r="I21" s="33">
        <v>0</v>
      </c>
      <c r="J21" s="9"/>
      <c r="K21" s="33">
        <v>0</v>
      </c>
      <c r="L21" s="9"/>
      <c r="M21" s="33">
        <v>850</v>
      </c>
      <c r="N21" s="9" t="s">
        <v>3212</v>
      </c>
      <c r="O21" s="33">
        <v>850</v>
      </c>
      <c r="P21" s="22" t="s">
        <v>3191</v>
      </c>
      <c r="Q21" s="15"/>
      <c r="R21" s="17" t="s">
        <v>2092</v>
      </c>
      <c r="S21" s="3" t="str">
        <f ca="1">HYPERLINK("#"&amp;재료비목록표!G2&amp;"!A"&amp;ROW(재료비목록표!A20),"자재17 →")</f>
        <v>자재17 →</v>
      </c>
      <c r="T21" s="36">
        <v>850</v>
      </c>
      <c r="U21" s="38">
        <f t="shared" si="0"/>
        <v>5</v>
      </c>
      <c r="V21" s="39">
        <f t="shared" si="1"/>
        <v>850</v>
      </c>
      <c r="W21" s="40" t="str">
        <f t="shared" si="2"/>
        <v>거래</v>
      </c>
    </row>
    <row r="22" spans="1:23" ht="34.700000000000003" customHeight="1" x14ac:dyDescent="0.3">
      <c r="A22" s="9" t="s">
        <v>2093</v>
      </c>
      <c r="B22" s="10" t="s">
        <v>2075</v>
      </c>
      <c r="C22" s="10" t="s">
        <v>2094</v>
      </c>
      <c r="D22" s="9" t="s">
        <v>1010</v>
      </c>
      <c r="E22" s="33">
        <v>0</v>
      </c>
      <c r="F22" s="9"/>
      <c r="G22" s="33">
        <v>1250</v>
      </c>
      <c r="H22" s="9" t="s">
        <v>3211</v>
      </c>
      <c r="I22" s="33">
        <v>0</v>
      </c>
      <c r="J22" s="9"/>
      <c r="K22" s="33">
        <v>0</v>
      </c>
      <c r="L22" s="9"/>
      <c r="M22" s="33">
        <v>1250</v>
      </c>
      <c r="N22" s="9" t="s">
        <v>3212</v>
      </c>
      <c r="O22" s="33">
        <v>1250</v>
      </c>
      <c r="P22" s="22" t="s">
        <v>3188</v>
      </c>
      <c r="Q22" s="15"/>
      <c r="R22" s="17" t="s">
        <v>2095</v>
      </c>
      <c r="S22" s="3" t="str">
        <f ca="1">HYPERLINK("#"&amp;재료비목록표!G2&amp;"!A"&amp;ROW(재료비목록표!A21),"자재18 →")</f>
        <v>자재18 →</v>
      </c>
      <c r="T22" s="36">
        <v>1250</v>
      </c>
      <c r="U22" s="38">
        <f t="shared" si="0"/>
        <v>2</v>
      </c>
      <c r="V22" s="39">
        <f t="shared" si="1"/>
        <v>1250</v>
      </c>
      <c r="W22" s="40" t="str">
        <f t="shared" si="2"/>
        <v>물.자</v>
      </c>
    </row>
    <row r="23" spans="1:23" ht="34.700000000000003" customHeight="1" x14ac:dyDescent="0.3">
      <c r="A23" s="9" t="s">
        <v>2096</v>
      </c>
      <c r="B23" s="10" t="s">
        <v>2097</v>
      </c>
      <c r="C23" s="10" t="s">
        <v>2098</v>
      </c>
      <c r="D23" s="9" t="s">
        <v>2099</v>
      </c>
      <c r="E23" s="33">
        <v>0</v>
      </c>
      <c r="F23" s="9"/>
      <c r="G23" s="33">
        <v>-355</v>
      </c>
      <c r="H23" s="9" t="s">
        <v>3213</v>
      </c>
      <c r="I23" s="33">
        <v>-300</v>
      </c>
      <c r="J23" s="9" t="s">
        <v>3214</v>
      </c>
      <c r="K23" s="33">
        <v>0</v>
      </c>
      <c r="L23" s="9"/>
      <c r="M23" s="33">
        <v>-435</v>
      </c>
      <c r="N23" s="9" t="s">
        <v>3215</v>
      </c>
      <c r="O23" s="33">
        <v>-435</v>
      </c>
      <c r="P23" s="22" t="s">
        <v>3191</v>
      </c>
      <c r="Q23" s="15"/>
      <c r="R23" s="17" t="s">
        <v>2100</v>
      </c>
      <c r="S23" s="3" t="str">
        <f ca="1">HYPERLINK("#"&amp;재료비목록표!G2&amp;"!A"&amp;ROW(재료비목록표!A22),"자재19 →")</f>
        <v>자재19 →</v>
      </c>
      <c r="T23" s="36">
        <v>-435</v>
      </c>
      <c r="U23" s="38">
        <f t="shared" si="0"/>
        <v>5</v>
      </c>
      <c r="V23" s="39">
        <f t="shared" si="1"/>
        <v>-435</v>
      </c>
      <c r="W23" s="40" t="str">
        <f t="shared" si="2"/>
        <v>거래</v>
      </c>
    </row>
    <row r="24" spans="1:23" ht="34.700000000000003" customHeight="1" x14ac:dyDescent="0.3">
      <c r="A24" s="9" t="s">
        <v>2101</v>
      </c>
      <c r="B24" s="10" t="s">
        <v>2102</v>
      </c>
      <c r="C24" s="10"/>
      <c r="D24" s="9" t="s">
        <v>2039</v>
      </c>
      <c r="E24" s="33">
        <v>0</v>
      </c>
      <c r="F24" s="9"/>
      <c r="G24" s="33">
        <v>-1850</v>
      </c>
      <c r="H24" s="9" t="s">
        <v>3213</v>
      </c>
      <c r="I24" s="33">
        <v>-1500</v>
      </c>
      <c r="J24" s="9" t="s">
        <v>3216</v>
      </c>
      <c r="K24" s="33">
        <v>0</v>
      </c>
      <c r="L24" s="9"/>
      <c r="M24" s="33">
        <v>-1850</v>
      </c>
      <c r="N24" s="9" t="s">
        <v>3217</v>
      </c>
      <c r="O24" s="33">
        <v>-1850</v>
      </c>
      <c r="P24" s="22" t="s">
        <v>3188</v>
      </c>
      <c r="Q24" s="15"/>
      <c r="R24" s="17" t="s">
        <v>2103</v>
      </c>
      <c r="S24" s="3" t="str">
        <f ca="1">HYPERLINK("#"&amp;재료비목록표!G2&amp;"!A"&amp;ROW(재료비목록표!A23),"자재20 →")</f>
        <v>자재20 →</v>
      </c>
      <c r="T24" s="36">
        <v>-1850</v>
      </c>
      <c r="U24" s="38">
        <f t="shared" si="0"/>
        <v>2</v>
      </c>
      <c r="V24" s="39">
        <f t="shared" si="1"/>
        <v>-1850</v>
      </c>
      <c r="W24" s="40" t="str">
        <f t="shared" si="2"/>
        <v>물.자</v>
      </c>
    </row>
    <row r="25" spans="1:23" ht="34.700000000000003" customHeight="1" x14ac:dyDescent="0.3">
      <c r="A25" s="9" t="s">
        <v>2104</v>
      </c>
      <c r="B25" s="10" t="s">
        <v>1488</v>
      </c>
      <c r="C25" s="10" t="s">
        <v>1496</v>
      </c>
      <c r="D25" s="9" t="s">
        <v>1490</v>
      </c>
      <c r="E25" s="33">
        <v>0</v>
      </c>
      <c r="F25" s="9"/>
      <c r="G25" s="33">
        <v>45700</v>
      </c>
      <c r="H25" s="9" t="s">
        <v>3218</v>
      </c>
      <c r="I25" s="33">
        <v>51465</v>
      </c>
      <c r="J25" s="9" t="s">
        <v>3219</v>
      </c>
      <c r="K25" s="33">
        <v>0</v>
      </c>
      <c r="L25" s="9"/>
      <c r="M25" s="33">
        <v>48907</v>
      </c>
      <c r="N25" s="9" t="s">
        <v>3220</v>
      </c>
      <c r="O25" s="33">
        <v>45700</v>
      </c>
      <c r="P25" s="22" t="s">
        <v>3188</v>
      </c>
      <c r="Q25" s="15"/>
      <c r="R25" s="17" t="s">
        <v>2105</v>
      </c>
      <c r="S25" s="3" t="str">
        <f ca="1">HYPERLINK("#"&amp;재료비목록표!G2&amp;"!A"&amp;ROW(재료비목록표!A24),"자재21 →")</f>
        <v>자재21 →</v>
      </c>
      <c r="T25" s="36">
        <v>45700</v>
      </c>
      <c r="U25" s="38">
        <f t="shared" si="0"/>
        <v>2</v>
      </c>
      <c r="V25" s="39">
        <f t="shared" si="1"/>
        <v>45700</v>
      </c>
      <c r="W25" s="40" t="str">
        <f t="shared" si="2"/>
        <v>물.자</v>
      </c>
    </row>
    <row r="26" spans="1:23" ht="34.700000000000003" customHeight="1" x14ac:dyDescent="0.3">
      <c r="A26" s="9" t="s">
        <v>2106</v>
      </c>
      <c r="B26" s="10" t="s">
        <v>1488</v>
      </c>
      <c r="C26" s="10" t="s">
        <v>2107</v>
      </c>
      <c r="D26" s="9" t="s">
        <v>1490</v>
      </c>
      <c r="E26" s="33">
        <v>0</v>
      </c>
      <c r="F26" s="9"/>
      <c r="G26" s="33">
        <v>60410</v>
      </c>
      <c r="H26" s="9" t="s">
        <v>3218</v>
      </c>
      <c r="I26" s="33">
        <v>68003</v>
      </c>
      <c r="J26" s="9" t="s">
        <v>3219</v>
      </c>
      <c r="K26" s="33">
        <v>0</v>
      </c>
      <c r="L26" s="9"/>
      <c r="M26" s="33">
        <v>64623</v>
      </c>
      <c r="N26" s="9" t="s">
        <v>3220</v>
      </c>
      <c r="O26" s="33">
        <v>60410</v>
      </c>
      <c r="P26" s="22" t="s">
        <v>3188</v>
      </c>
      <c r="Q26" s="15"/>
      <c r="R26" s="17" t="s">
        <v>2108</v>
      </c>
      <c r="S26" s="3" t="str">
        <f ca="1">HYPERLINK("#"&amp;재료비목록표!G2&amp;"!A"&amp;ROW(재료비목록표!A25),"자재22 →")</f>
        <v>자재22 →</v>
      </c>
      <c r="T26" s="36">
        <v>60410</v>
      </c>
      <c r="U26" s="38">
        <f t="shared" si="0"/>
        <v>2</v>
      </c>
      <c r="V26" s="39">
        <f t="shared" si="1"/>
        <v>60410</v>
      </c>
      <c r="W26" s="40" t="str">
        <f t="shared" si="2"/>
        <v>물.자</v>
      </c>
    </row>
    <row r="27" spans="1:23" ht="34.700000000000003" customHeight="1" x14ac:dyDescent="0.3">
      <c r="A27" s="9" t="s">
        <v>2109</v>
      </c>
      <c r="B27" s="10" t="s">
        <v>1488</v>
      </c>
      <c r="C27" s="10" t="s">
        <v>2110</v>
      </c>
      <c r="D27" s="9" t="s">
        <v>1490</v>
      </c>
      <c r="E27" s="33">
        <v>0</v>
      </c>
      <c r="F27" s="9"/>
      <c r="G27" s="33">
        <v>77440</v>
      </c>
      <c r="H27" s="9" t="s">
        <v>3218</v>
      </c>
      <c r="I27" s="33">
        <v>87231</v>
      </c>
      <c r="J27" s="9" t="s">
        <v>3219</v>
      </c>
      <c r="K27" s="33">
        <v>0</v>
      </c>
      <c r="L27" s="9"/>
      <c r="M27" s="33">
        <v>82895</v>
      </c>
      <c r="N27" s="9" t="s">
        <v>3220</v>
      </c>
      <c r="O27" s="33">
        <v>77440</v>
      </c>
      <c r="P27" s="22" t="s">
        <v>3188</v>
      </c>
      <c r="Q27" s="15"/>
      <c r="R27" s="17" t="s">
        <v>2111</v>
      </c>
      <c r="S27" s="3" t="str">
        <f ca="1">HYPERLINK("#"&amp;재료비목록표!G2&amp;"!A"&amp;ROW(재료비목록표!A26),"자재23 →")</f>
        <v>자재23 →</v>
      </c>
      <c r="T27" s="36">
        <v>77440</v>
      </c>
      <c r="U27" s="38">
        <f t="shared" si="0"/>
        <v>2</v>
      </c>
      <c r="V27" s="39">
        <f t="shared" si="1"/>
        <v>77440</v>
      </c>
      <c r="W27" s="40" t="str">
        <f t="shared" si="2"/>
        <v>물.자</v>
      </c>
    </row>
    <row r="28" spans="1:23" ht="34.700000000000003" customHeight="1" x14ac:dyDescent="0.3">
      <c r="A28" s="9" t="s">
        <v>2112</v>
      </c>
      <c r="B28" s="10" t="s">
        <v>1488</v>
      </c>
      <c r="C28" s="10" t="s">
        <v>1508</v>
      </c>
      <c r="D28" s="9" t="s">
        <v>1490</v>
      </c>
      <c r="E28" s="33">
        <v>0</v>
      </c>
      <c r="F28" s="9"/>
      <c r="G28" s="33">
        <v>172830</v>
      </c>
      <c r="H28" s="9" t="s">
        <v>3218</v>
      </c>
      <c r="I28" s="33">
        <v>194503</v>
      </c>
      <c r="J28" s="9" t="s">
        <v>3219</v>
      </c>
      <c r="K28" s="33">
        <v>0</v>
      </c>
      <c r="L28" s="9"/>
      <c r="M28" s="33">
        <v>184834</v>
      </c>
      <c r="N28" s="9" t="s">
        <v>3220</v>
      </c>
      <c r="O28" s="33">
        <v>172830</v>
      </c>
      <c r="P28" s="22" t="s">
        <v>3188</v>
      </c>
      <c r="Q28" s="15"/>
      <c r="R28" s="17" t="s">
        <v>2113</v>
      </c>
      <c r="S28" s="3" t="str">
        <f ca="1">HYPERLINK("#"&amp;재료비목록표!G2&amp;"!A"&amp;ROW(재료비목록표!A27),"자재24 →")</f>
        <v>자재24 →</v>
      </c>
      <c r="T28" s="36">
        <v>172830</v>
      </c>
      <c r="U28" s="38">
        <f t="shared" si="0"/>
        <v>2</v>
      </c>
      <c r="V28" s="39">
        <f t="shared" si="1"/>
        <v>172830</v>
      </c>
      <c r="W28" s="40" t="str">
        <f t="shared" si="2"/>
        <v>물.자</v>
      </c>
    </row>
    <row r="29" spans="1:23" ht="34.700000000000003" customHeight="1" x14ac:dyDescent="0.3">
      <c r="A29" s="9" t="s">
        <v>2114</v>
      </c>
      <c r="B29" s="10" t="s">
        <v>1488</v>
      </c>
      <c r="C29" s="10" t="s">
        <v>1489</v>
      </c>
      <c r="D29" s="9" t="s">
        <v>1490</v>
      </c>
      <c r="E29" s="33">
        <v>0</v>
      </c>
      <c r="F29" s="9"/>
      <c r="G29" s="33">
        <v>23120</v>
      </c>
      <c r="H29" s="9" t="s">
        <v>3218</v>
      </c>
      <c r="I29" s="33">
        <v>26087</v>
      </c>
      <c r="J29" s="9" t="s">
        <v>3219</v>
      </c>
      <c r="K29" s="33">
        <v>0</v>
      </c>
      <c r="L29" s="9"/>
      <c r="M29" s="33">
        <v>24791</v>
      </c>
      <c r="N29" s="9" t="s">
        <v>3220</v>
      </c>
      <c r="O29" s="33">
        <v>23120</v>
      </c>
      <c r="P29" s="22" t="s">
        <v>3188</v>
      </c>
      <c r="Q29" s="15"/>
      <c r="R29" s="17" t="s">
        <v>2115</v>
      </c>
      <c r="S29" s="3" t="str">
        <f ca="1">HYPERLINK("#"&amp;재료비목록표!G2&amp;"!A"&amp;ROW(재료비목록표!A28),"자재25 →")</f>
        <v>자재25 →</v>
      </c>
      <c r="T29" s="36">
        <v>23120</v>
      </c>
      <c r="U29" s="38">
        <f t="shared" si="0"/>
        <v>2</v>
      </c>
      <c r="V29" s="39">
        <f t="shared" si="1"/>
        <v>23120</v>
      </c>
      <c r="W29" s="40" t="str">
        <f t="shared" si="2"/>
        <v>물.자</v>
      </c>
    </row>
    <row r="30" spans="1:23" ht="34.700000000000003" customHeight="1" x14ac:dyDescent="0.3">
      <c r="A30" s="9" t="s">
        <v>2116</v>
      </c>
      <c r="B30" s="10" t="s">
        <v>1488</v>
      </c>
      <c r="C30" s="10" t="s">
        <v>1493</v>
      </c>
      <c r="D30" s="9" t="s">
        <v>1490</v>
      </c>
      <c r="E30" s="33">
        <v>0</v>
      </c>
      <c r="F30" s="9"/>
      <c r="G30" s="33">
        <v>35310</v>
      </c>
      <c r="H30" s="9" t="s">
        <v>3218</v>
      </c>
      <c r="I30" s="33">
        <v>39812</v>
      </c>
      <c r="J30" s="9" t="s">
        <v>3219</v>
      </c>
      <c r="K30" s="33">
        <v>0</v>
      </c>
      <c r="L30" s="9"/>
      <c r="M30" s="33">
        <v>37833</v>
      </c>
      <c r="N30" s="9" t="s">
        <v>3220</v>
      </c>
      <c r="O30" s="33">
        <v>35310</v>
      </c>
      <c r="P30" s="22" t="s">
        <v>3188</v>
      </c>
      <c r="Q30" s="15"/>
      <c r="R30" s="17" t="s">
        <v>2117</v>
      </c>
      <c r="S30" s="3" t="str">
        <f ca="1">HYPERLINK("#"&amp;재료비목록표!G2&amp;"!A"&amp;ROW(재료비목록표!A29),"자재26 →")</f>
        <v>자재26 →</v>
      </c>
      <c r="T30" s="36">
        <v>35310</v>
      </c>
      <c r="U30" s="38">
        <f t="shared" si="0"/>
        <v>2</v>
      </c>
      <c r="V30" s="39">
        <f t="shared" si="1"/>
        <v>35310</v>
      </c>
      <c r="W30" s="40" t="str">
        <f t="shared" si="2"/>
        <v>물.자</v>
      </c>
    </row>
    <row r="31" spans="1:23" ht="34.700000000000003" customHeight="1" x14ac:dyDescent="0.3">
      <c r="A31" s="9" t="s">
        <v>2118</v>
      </c>
      <c r="B31" s="10" t="s">
        <v>2119</v>
      </c>
      <c r="C31" s="10" t="s">
        <v>2120</v>
      </c>
      <c r="D31" s="9" t="s">
        <v>2121</v>
      </c>
      <c r="E31" s="33">
        <v>0</v>
      </c>
      <c r="F31" s="9"/>
      <c r="G31" s="33">
        <v>65000</v>
      </c>
      <c r="H31" s="9" t="s">
        <v>3221</v>
      </c>
      <c r="I31" s="33">
        <v>72500</v>
      </c>
      <c r="J31" s="9" t="s">
        <v>3222</v>
      </c>
      <c r="K31" s="33">
        <v>0</v>
      </c>
      <c r="L31" s="9"/>
      <c r="M31" s="33">
        <v>0</v>
      </c>
      <c r="N31" s="9"/>
      <c r="O31" s="33">
        <v>65000</v>
      </c>
      <c r="P31" s="22" t="s">
        <v>3188</v>
      </c>
      <c r="Q31" s="15"/>
      <c r="R31" s="17" t="s">
        <v>2122</v>
      </c>
      <c r="S31" s="3" t="str">
        <f ca="1">HYPERLINK("#"&amp;재료비목록표!G2&amp;"!A"&amp;ROW(재료비목록표!A30),"자재27 →")</f>
        <v>자재27 →</v>
      </c>
      <c r="T31" s="36">
        <v>65000</v>
      </c>
      <c r="U31" s="38">
        <f t="shared" si="0"/>
        <v>2</v>
      </c>
      <c r="V31" s="39">
        <f t="shared" si="1"/>
        <v>65000</v>
      </c>
      <c r="W31" s="40" t="str">
        <f t="shared" si="2"/>
        <v>물.자</v>
      </c>
    </row>
    <row r="32" spans="1:23" ht="34.700000000000003" customHeight="1" x14ac:dyDescent="0.3">
      <c r="A32" s="9" t="s">
        <v>2123</v>
      </c>
      <c r="B32" s="10" t="s">
        <v>2124</v>
      </c>
      <c r="C32" s="10" t="s">
        <v>546</v>
      </c>
      <c r="D32" s="9" t="s">
        <v>14</v>
      </c>
      <c r="E32" s="33">
        <v>0</v>
      </c>
      <c r="F32" s="9"/>
      <c r="G32" s="33">
        <v>5802100</v>
      </c>
      <c r="H32" s="9" t="s">
        <v>3223</v>
      </c>
      <c r="I32" s="33">
        <v>0</v>
      </c>
      <c r="J32" s="9"/>
      <c r="K32" s="33">
        <v>0</v>
      </c>
      <c r="L32" s="9"/>
      <c r="M32" s="33">
        <v>0</v>
      </c>
      <c r="N32" s="9"/>
      <c r="O32" s="33">
        <v>5802100</v>
      </c>
      <c r="P32" s="22" t="s">
        <v>3188</v>
      </c>
      <c r="Q32" s="15"/>
      <c r="R32" s="17" t="s">
        <v>2125</v>
      </c>
      <c r="S32" s="3" t="str">
        <f ca="1">HYPERLINK("#"&amp;재료비목록표!G2&amp;"!A"&amp;ROW(재료비목록표!A31),"자재28 →")</f>
        <v>자재28 →</v>
      </c>
      <c r="T32" s="36">
        <v>5802100</v>
      </c>
      <c r="U32" s="38">
        <f t="shared" si="0"/>
        <v>2</v>
      </c>
      <c r="V32" s="39">
        <f t="shared" si="1"/>
        <v>5802100</v>
      </c>
      <c r="W32" s="40" t="str">
        <f t="shared" si="2"/>
        <v>물.자</v>
      </c>
    </row>
    <row r="33" spans="1:23" ht="34.700000000000003" customHeight="1" x14ac:dyDescent="0.3">
      <c r="A33" s="9" t="s">
        <v>2126</v>
      </c>
      <c r="B33" s="10" t="s">
        <v>2127</v>
      </c>
      <c r="C33" s="10" t="s">
        <v>2128</v>
      </c>
      <c r="D33" s="9" t="s">
        <v>14</v>
      </c>
      <c r="E33" s="33">
        <v>0</v>
      </c>
      <c r="F33" s="9"/>
      <c r="G33" s="33">
        <v>5463900</v>
      </c>
      <c r="H33" s="9" t="s">
        <v>3223</v>
      </c>
      <c r="I33" s="33">
        <v>0</v>
      </c>
      <c r="J33" s="9"/>
      <c r="K33" s="33">
        <v>0</v>
      </c>
      <c r="L33" s="9"/>
      <c r="M33" s="33">
        <v>0</v>
      </c>
      <c r="N33" s="9"/>
      <c r="O33" s="33">
        <v>5463900</v>
      </c>
      <c r="P33" s="22" t="s">
        <v>3188</v>
      </c>
      <c r="Q33" s="15"/>
      <c r="R33" s="17" t="s">
        <v>2129</v>
      </c>
      <c r="S33" s="3" t="str">
        <f ca="1">HYPERLINK("#"&amp;재료비목록표!G2&amp;"!A"&amp;ROW(재료비목록표!A32),"자재29 →")</f>
        <v>자재29 →</v>
      </c>
      <c r="T33" s="36">
        <v>5463900</v>
      </c>
      <c r="U33" s="38">
        <f t="shared" si="0"/>
        <v>2</v>
      </c>
      <c r="V33" s="39">
        <f t="shared" si="1"/>
        <v>5463900</v>
      </c>
      <c r="W33" s="40" t="str">
        <f t="shared" si="2"/>
        <v>물.자</v>
      </c>
    </row>
    <row r="34" spans="1:23" ht="34.700000000000003" customHeight="1" x14ac:dyDescent="0.3">
      <c r="A34" s="9" t="s">
        <v>2130</v>
      </c>
      <c r="B34" s="10" t="s">
        <v>683</v>
      </c>
      <c r="C34" s="10" t="s">
        <v>2131</v>
      </c>
      <c r="D34" s="9" t="s">
        <v>14</v>
      </c>
      <c r="E34" s="33">
        <v>0</v>
      </c>
      <c r="F34" s="9"/>
      <c r="G34" s="33">
        <v>305000</v>
      </c>
      <c r="H34" s="9" t="s">
        <v>3223</v>
      </c>
      <c r="I34" s="33">
        <v>0</v>
      </c>
      <c r="J34" s="9"/>
      <c r="K34" s="33">
        <v>0</v>
      </c>
      <c r="L34" s="9"/>
      <c r="M34" s="33">
        <v>0</v>
      </c>
      <c r="N34" s="9"/>
      <c r="O34" s="33">
        <v>305000</v>
      </c>
      <c r="P34" s="22" t="s">
        <v>3188</v>
      </c>
      <c r="Q34" s="15"/>
      <c r="R34" s="17" t="s">
        <v>2132</v>
      </c>
      <c r="S34" s="3" t="str">
        <f ca="1">HYPERLINK("#"&amp;재료비목록표!G2&amp;"!A"&amp;ROW(재료비목록표!A33),"자재30 →")</f>
        <v>자재30 →</v>
      </c>
      <c r="T34" s="36">
        <v>305000</v>
      </c>
      <c r="U34" s="38">
        <f t="shared" si="0"/>
        <v>2</v>
      </c>
      <c r="V34" s="39">
        <f t="shared" si="1"/>
        <v>305000</v>
      </c>
      <c r="W34" s="40" t="str">
        <f t="shared" si="2"/>
        <v>물.자</v>
      </c>
    </row>
    <row r="35" spans="1:23" ht="34.700000000000003" customHeight="1" x14ac:dyDescent="0.3">
      <c r="A35" s="9" t="s">
        <v>2133</v>
      </c>
      <c r="B35" s="10" t="s">
        <v>2134</v>
      </c>
      <c r="C35" s="10" t="s">
        <v>2135</v>
      </c>
      <c r="D35" s="9" t="s">
        <v>1010</v>
      </c>
      <c r="E35" s="33">
        <v>0</v>
      </c>
      <c r="F35" s="9"/>
      <c r="G35" s="33">
        <v>219920</v>
      </c>
      <c r="H35" s="9" t="s">
        <v>3224</v>
      </c>
      <c r="I35" s="33">
        <v>296558</v>
      </c>
      <c r="J35" s="9" t="s">
        <v>3225</v>
      </c>
      <c r="K35" s="33">
        <v>0</v>
      </c>
      <c r="L35" s="9"/>
      <c r="M35" s="33">
        <v>0</v>
      </c>
      <c r="N35" s="9"/>
      <c r="O35" s="33">
        <v>219920</v>
      </c>
      <c r="P35" s="22" t="s">
        <v>3188</v>
      </c>
      <c r="Q35" s="15"/>
      <c r="R35" s="17" t="s">
        <v>2136</v>
      </c>
      <c r="S35" s="3" t="str">
        <f ca="1">HYPERLINK("#"&amp;재료비목록표!G2&amp;"!A"&amp;ROW(재료비목록표!A34),"자재31 →")</f>
        <v>자재31 →</v>
      </c>
      <c r="T35" s="36">
        <v>219920</v>
      </c>
      <c r="U35" s="38">
        <f t="shared" si="0"/>
        <v>2</v>
      </c>
      <c r="V35" s="39">
        <f t="shared" si="1"/>
        <v>219920</v>
      </c>
      <c r="W35" s="40" t="str">
        <f t="shared" si="2"/>
        <v>물.자</v>
      </c>
    </row>
    <row r="36" spans="1:23" ht="34.700000000000003" customHeight="1" x14ac:dyDescent="0.3">
      <c r="A36" s="9" t="s">
        <v>2137</v>
      </c>
      <c r="B36" s="10" t="s">
        <v>2134</v>
      </c>
      <c r="C36" s="10" t="s">
        <v>2138</v>
      </c>
      <c r="D36" s="9" t="s">
        <v>1010</v>
      </c>
      <c r="E36" s="33">
        <v>0</v>
      </c>
      <c r="F36" s="9"/>
      <c r="G36" s="33">
        <v>284090</v>
      </c>
      <c r="H36" s="9" t="s">
        <v>3224</v>
      </c>
      <c r="I36" s="33">
        <v>373089</v>
      </c>
      <c r="J36" s="9" t="s">
        <v>3225</v>
      </c>
      <c r="K36" s="33">
        <v>0</v>
      </c>
      <c r="L36" s="9"/>
      <c r="M36" s="33">
        <v>0</v>
      </c>
      <c r="N36" s="9"/>
      <c r="O36" s="33">
        <v>284090</v>
      </c>
      <c r="P36" s="22" t="s">
        <v>3188</v>
      </c>
      <c r="Q36" s="15"/>
      <c r="R36" s="17" t="s">
        <v>2139</v>
      </c>
      <c r="S36" s="3" t="str">
        <f ca="1">HYPERLINK("#"&amp;재료비목록표!G2&amp;"!A"&amp;ROW(재료비목록표!A35),"자재32 →")</f>
        <v>자재32 →</v>
      </c>
      <c r="T36" s="36">
        <v>284090</v>
      </c>
      <c r="U36" s="38">
        <f t="shared" si="0"/>
        <v>2</v>
      </c>
      <c r="V36" s="39">
        <f t="shared" si="1"/>
        <v>284090</v>
      </c>
      <c r="W36" s="40" t="str">
        <f t="shared" si="2"/>
        <v>물.자</v>
      </c>
    </row>
    <row r="37" spans="1:23" ht="34.700000000000003" customHeight="1" x14ac:dyDescent="0.3">
      <c r="A37" s="9" t="s">
        <v>2140</v>
      </c>
      <c r="B37" s="10" t="s">
        <v>2134</v>
      </c>
      <c r="C37" s="10" t="s">
        <v>2141</v>
      </c>
      <c r="D37" s="9" t="s">
        <v>1010</v>
      </c>
      <c r="E37" s="33">
        <v>0</v>
      </c>
      <c r="F37" s="9"/>
      <c r="G37" s="33">
        <v>399990</v>
      </c>
      <c r="H37" s="9" t="s">
        <v>3224</v>
      </c>
      <c r="I37" s="33">
        <v>516585</v>
      </c>
      <c r="J37" s="9" t="s">
        <v>3225</v>
      </c>
      <c r="K37" s="33">
        <v>0</v>
      </c>
      <c r="L37" s="9"/>
      <c r="M37" s="33">
        <v>0</v>
      </c>
      <c r="N37" s="9"/>
      <c r="O37" s="33">
        <v>399990</v>
      </c>
      <c r="P37" s="22" t="s">
        <v>3188</v>
      </c>
      <c r="Q37" s="15"/>
      <c r="R37" s="17" t="s">
        <v>2142</v>
      </c>
      <c r="S37" s="3" t="str">
        <f ca="1">HYPERLINK("#"&amp;재료비목록표!G2&amp;"!A"&amp;ROW(재료비목록표!A36),"자재33 →")</f>
        <v>자재33 →</v>
      </c>
      <c r="T37" s="36">
        <v>399990</v>
      </c>
      <c r="U37" s="38">
        <f t="shared" si="0"/>
        <v>2</v>
      </c>
      <c r="V37" s="39">
        <f t="shared" si="1"/>
        <v>399990</v>
      </c>
      <c r="W37" s="40" t="str">
        <f t="shared" si="2"/>
        <v>물.자</v>
      </c>
    </row>
    <row r="38" spans="1:23" ht="34.700000000000003" customHeight="1" x14ac:dyDescent="0.3">
      <c r="A38" s="9" t="s">
        <v>2143</v>
      </c>
      <c r="B38" s="10" t="s">
        <v>2134</v>
      </c>
      <c r="C38" s="10" t="s">
        <v>2144</v>
      </c>
      <c r="D38" s="9" t="s">
        <v>1010</v>
      </c>
      <c r="E38" s="33">
        <v>0</v>
      </c>
      <c r="F38" s="9"/>
      <c r="G38" s="33">
        <v>516740</v>
      </c>
      <c r="H38" s="9" t="s">
        <v>3224</v>
      </c>
      <c r="I38" s="33">
        <v>660083</v>
      </c>
      <c r="J38" s="9" t="s">
        <v>3225</v>
      </c>
      <c r="K38" s="33">
        <v>0</v>
      </c>
      <c r="L38" s="9"/>
      <c r="M38" s="33">
        <v>0</v>
      </c>
      <c r="N38" s="9"/>
      <c r="O38" s="33">
        <v>516740</v>
      </c>
      <c r="P38" s="22" t="s">
        <v>3188</v>
      </c>
      <c r="Q38" s="15"/>
      <c r="R38" s="17" t="s">
        <v>2145</v>
      </c>
      <c r="S38" s="3" t="str">
        <f ca="1">HYPERLINK("#"&amp;재료비목록표!G2&amp;"!A"&amp;ROW(재료비목록표!A37),"자재34 →")</f>
        <v>자재34 →</v>
      </c>
      <c r="T38" s="36">
        <v>516740</v>
      </c>
      <c r="U38" s="38">
        <f t="shared" si="0"/>
        <v>2</v>
      </c>
      <c r="V38" s="39">
        <f t="shared" si="1"/>
        <v>516740</v>
      </c>
      <c r="W38" s="40" t="str">
        <f t="shared" si="2"/>
        <v>물.자</v>
      </c>
    </row>
    <row r="39" spans="1:23" ht="34.700000000000003" customHeight="1" x14ac:dyDescent="0.3">
      <c r="A39" s="9" t="s">
        <v>2146</v>
      </c>
      <c r="B39" s="10" t="s">
        <v>12</v>
      </c>
      <c r="C39" s="10" t="s">
        <v>2147</v>
      </c>
      <c r="D39" s="9" t="s">
        <v>14</v>
      </c>
      <c r="E39" s="33">
        <v>0</v>
      </c>
      <c r="F39" s="9"/>
      <c r="G39" s="33">
        <v>0</v>
      </c>
      <c r="H39" s="9"/>
      <c r="I39" s="33">
        <v>14000000</v>
      </c>
      <c r="J39" s="9" t="s">
        <v>3226</v>
      </c>
      <c r="K39" s="33">
        <v>0</v>
      </c>
      <c r="L39" s="9"/>
      <c r="M39" s="33">
        <v>18588000</v>
      </c>
      <c r="N39" s="9" t="s">
        <v>3212</v>
      </c>
      <c r="O39" s="33">
        <v>14000000</v>
      </c>
      <c r="P39" s="22" t="s">
        <v>3189</v>
      </c>
      <c r="Q39" s="15"/>
      <c r="R39" s="17" t="s">
        <v>2148</v>
      </c>
      <c r="S39" s="3" t="str">
        <f ca="1">HYPERLINK("#"&amp;재료비목록표!G2&amp;"!A"&amp;ROW(재료비목록표!A38),"자재35 →")</f>
        <v>자재35 →</v>
      </c>
      <c r="T39" s="36">
        <v>14000000</v>
      </c>
      <c r="U39" s="38">
        <f t="shared" si="0"/>
        <v>3</v>
      </c>
      <c r="V39" s="39">
        <f t="shared" si="1"/>
        <v>14000000</v>
      </c>
      <c r="W39" s="40" t="str">
        <f t="shared" si="2"/>
        <v>물.정</v>
      </c>
    </row>
    <row r="40" spans="1:23" ht="34.700000000000003" customHeight="1" x14ac:dyDescent="0.3">
      <c r="A40" s="9" t="s">
        <v>2149</v>
      </c>
      <c r="B40" s="10" t="s">
        <v>12</v>
      </c>
      <c r="C40" s="10" t="s">
        <v>47</v>
      </c>
      <c r="D40" s="9" t="s">
        <v>14</v>
      </c>
      <c r="E40" s="33">
        <v>0</v>
      </c>
      <c r="F40" s="9"/>
      <c r="G40" s="33">
        <v>0</v>
      </c>
      <c r="H40" s="9"/>
      <c r="I40" s="33">
        <v>99500000</v>
      </c>
      <c r="J40" s="9" t="s">
        <v>3226</v>
      </c>
      <c r="K40" s="33">
        <v>0</v>
      </c>
      <c r="L40" s="9"/>
      <c r="M40" s="33">
        <v>115641000</v>
      </c>
      <c r="N40" s="9" t="s">
        <v>3212</v>
      </c>
      <c r="O40" s="33">
        <v>99500000</v>
      </c>
      <c r="P40" s="22" t="s">
        <v>3189</v>
      </c>
      <c r="Q40" s="15"/>
      <c r="R40" s="17" t="s">
        <v>2150</v>
      </c>
      <c r="S40" s="3" t="str">
        <f ca="1">HYPERLINK("#"&amp;재료비목록표!G2&amp;"!A"&amp;ROW(재료비목록표!A39),"자재36 →")</f>
        <v>자재36 →</v>
      </c>
      <c r="T40" s="36">
        <v>99500000</v>
      </c>
      <c r="U40" s="38">
        <f t="shared" si="0"/>
        <v>3</v>
      </c>
      <c r="V40" s="39">
        <f t="shared" si="1"/>
        <v>99500000</v>
      </c>
      <c r="W40" s="40" t="str">
        <f t="shared" si="2"/>
        <v>물.정</v>
      </c>
    </row>
    <row r="41" spans="1:23" ht="34.700000000000003" customHeight="1" x14ac:dyDescent="0.3">
      <c r="A41" s="9" t="s">
        <v>2151</v>
      </c>
      <c r="B41" s="10" t="s">
        <v>12</v>
      </c>
      <c r="C41" s="10" t="s">
        <v>2152</v>
      </c>
      <c r="D41" s="9" t="s">
        <v>14</v>
      </c>
      <c r="E41" s="33">
        <v>0</v>
      </c>
      <c r="F41" s="9"/>
      <c r="G41" s="33">
        <v>0</v>
      </c>
      <c r="H41" s="9"/>
      <c r="I41" s="33">
        <v>16000000</v>
      </c>
      <c r="J41" s="9" t="s">
        <v>3226</v>
      </c>
      <c r="K41" s="33">
        <v>0</v>
      </c>
      <c r="L41" s="9"/>
      <c r="M41" s="33">
        <v>20855000</v>
      </c>
      <c r="N41" s="9" t="s">
        <v>3212</v>
      </c>
      <c r="O41" s="33">
        <v>16000000</v>
      </c>
      <c r="P41" s="22" t="s">
        <v>3189</v>
      </c>
      <c r="Q41" s="15"/>
      <c r="R41" s="17" t="s">
        <v>2153</v>
      </c>
      <c r="S41" s="3" t="str">
        <f ca="1">HYPERLINK("#"&amp;재료비목록표!G2&amp;"!A"&amp;ROW(재료비목록표!A40),"자재37 →")</f>
        <v>자재37 →</v>
      </c>
      <c r="T41" s="36">
        <v>16000000</v>
      </c>
      <c r="U41" s="38">
        <f t="shared" si="0"/>
        <v>3</v>
      </c>
      <c r="V41" s="39">
        <f t="shared" si="1"/>
        <v>16000000</v>
      </c>
      <c r="W41" s="40" t="str">
        <f t="shared" si="2"/>
        <v>물.정</v>
      </c>
    </row>
    <row r="42" spans="1:23" ht="34.700000000000003" customHeight="1" x14ac:dyDescent="0.3">
      <c r="A42" s="9" t="s">
        <v>2154</v>
      </c>
      <c r="B42" s="10" t="s">
        <v>12</v>
      </c>
      <c r="C42" s="10" t="s">
        <v>2155</v>
      </c>
      <c r="D42" s="9" t="s">
        <v>14</v>
      </c>
      <c r="E42" s="33">
        <v>0</v>
      </c>
      <c r="F42" s="9"/>
      <c r="G42" s="33">
        <v>0</v>
      </c>
      <c r="H42" s="9"/>
      <c r="I42" s="33">
        <v>18500000</v>
      </c>
      <c r="J42" s="9" t="s">
        <v>3226</v>
      </c>
      <c r="K42" s="33">
        <v>0</v>
      </c>
      <c r="L42" s="9"/>
      <c r="M42" s="33">
        <v>25168000</v>
      </c>
      <c r="N42" s="9" t="s">
        <v>3212</v>
      </c>
      <c r="O42" s="33">
        <v>18500000</v>
      </c>
      <c r="P42" s="22" t="s">
        <v>3189</v>
      </c>
      <c r="Q42" s="15"/>
      <c r="R42" s="17" t="s">
        <v>2156</v>
      </c>
      <c r="S42" s="3" t="str">
        <f ca="1">HYPERLINK("#"&amp;재료비목록표!G2&amp;"!A"&amp;ROW(재료비목록표!A41),"자재38 →")</f>
        <v>자재38 →</v>
      </c>
      <c r="T42" s="36">
        <v>18500000</v>
      </c>
      <c r="U42" s="38">
        <f t="shared" si="0"/>
        <v>3</v>
      </c>
      <c r="V42" s="39">
        <f t="shared" si="1"/>
        <v>18500000</v>
      </c>
      <c r="W42" s="40" t="str">
        <f t="shared" si="2"/>
        <v>물.정</v>
      </c>
    </row>
    <row r="43" spans="1:23" ht="34.700000000000003" customHeight="1" x14ac:dyDescent="0.3">
      <c r="A43" s="9" t="s">
        <v>2157</v>
      </c>
      <c r="B43" s="10" t="s">
        <v>12</v>
      </c>
      <c r="C43" s="10" t="s">
        <v>2158</v>
      </c>
      <c r="D43" s="9" t="s">
        <v>14</v>
      </c>
      <c r="E43" s="33">
        <v>0</v>
      </c>
      <c r="F43" s="9"/>
      <c r="G43" s="33">
        <v>0</v>
      </c>
      <c r="H43" s="9"/>
      <c r="I43" s="33">
        <v>21000000</v>
      </c>
      <c r="J43" s="9" t="s">
        <v>3226</v>
      </c>
      <c r="K43" s="33">
        <v>0</v>
      </c>
      <c r="L43" s="9"/>
      <c r="M43" s="33">
        <v>25790000</v>
      </c>
      <c r="N43" s="9" t="s">
        <v>3212</v>
      </c>
      <c r="O43" s="33">
        <v>21000000</v>
      </c>
      <c r="P43" s="22" t="s">
        <v>3189</v>
      </c>
      <c r="Q43" s="15"/>
      <c r="R43" s="17" t="s">
        <v>2159</v>
      </c>
      <c r="S43" s="3" t="str">
        <f ca="1">HYPERLINK("#"&amp;재료비목록표!G2&amp;"!A"&amp;ROW(재료비목록표!A42),"자재39 →")</f>
        <v>자재39 →</v>
      </c>
      <c r="T43" s="36">
        <v>21000000</v>
      </c>
      <c r="U43" s="38">
        <f t="shared" si="0"/>
        <v>3</v>
      </c>
      <c r="V43" s="39">
        <f t="shared" si="1"/>
        <v>21000000</v>
      </c>
      <c r="W43" s="40" t="str">
        <f t="shared" si="2"/>
        <v>물.정</v>
      </c>
    </row>
    <row r="44" spans="1:23" ht="34.700000000000003" customHeight="1" x14ac:dyDescent="0.3">
      <c r="A44" s="9" t="s">
        <v>2160</v>
      </c>
      <c r="B44" s="10" t="s">
        <v>12</v>
      </c>
      <c r="C44" s="10" t="s">
        <v>2161</v>
      </c>
      <c r="D44" s="9" t="s">
        <v>14</v>
      </c>
      <c r="E44" s="33">
        <v>0</v>
      </c>
      <c r="F44" s="9"/>
      <c r="G44" s="33">
        <v>0</v>
      </c>
      <c r="H44" s="9"/>
      <c r="I44" s="33">
        <v>8000000</v>
      </c>
      <c r="J44" s="9" t="s">
        <v>3226</v>
      </c>
      <c r="K44" s="33">
        <v>0</v>
      </c>
      <c r="L44" s="9"/>
      <c r="M44" s="33">
        <v>11129000</v>
      </c>
      <c r="N44" s="9" t="s">
        <v>3212</v>
      </c>
      <c r="O44" s="33">
        <v>8000000</v>
      </c>
      <c r="P44" s="22" t="s">
        <v>3189</v>
      </c>
      <c r="Q44" s="15"/>
      <c r="R44" s="17" t="s">
        <v>2162</v>
      </c>
      <c r="S44" s="3" t="str">
        <f ca="1">HYPERLINK("#"&amp;재료비목록표!G2&amp;"!A"&amp;ROW(재료비목록표!A43),"자재40 →")</f>
        <v>자재40 →</v>
      </c>
      <c r="T44" s="36">
        <v>8000000</v>
      </c>
      <c r="U44" s="38">
        <f t="shared" si="0"/>
        <v>3</v>
      </c>
      <c r="V44" s="39">
        <f t="shared" si="1"/>
        <v>8000000</v>
      </c>
      <c r="W44" s="40" t="str">
        <f t="shared" si="2"/>
        <v>물.정</v>
      </c>
    </row>
    <row r="45" spans="1:23" ht="34.700000000000003" customHeight="1" x14ac:dyDescent="0.3">
      <c r="A45" s="9" t="s">
        <v>2163</v>
      </c>
      <c r="B45" s="10" t="s">
        <v>12</v>
      </c>
      <c r="C45" s="10" t="s">
        <v>2164</v>
      </c>
      <c r="D45" s="9" t="s">
        <v>14</v>
      </c>
      <c r="E45" s="33">
        <v>0</v>
      </c>
      <c r="F45" s="9"/>
      <c r="G45" s="33">
        <v>0</v>
      </c>
      <c r="H45" s="9"/>
      <c r="I45" s="33">
        <v>23500000</v>
      </c>
      <c r="J45" s="9" t="s">
        <v>3226</v>
      </c>
      <c r="K45" s="33">
        <v>0</v>
      </c>
      <c r="L45" s="9"/>
      <c r="M45" s="33">
        <v>21177000</v>
      </c>
      <c r="N45" s="9" t="s">
        <v>3212</v>
      </c>
      <c r="O45" s="33">
        <v>21177000</v>
      </c>
      <c r="P45" s="22" t="s">
        <v>3191</v>
      </c>
      <c r="Q45" s="15"/>
      <c r="R45" s="17" t="s">
        <v>2165</v>
      </c>
      <c r="S45" s="3" t="str">
        <f ca="1">HYPERLINK("#"&amp;재료비목록표!G2&amp;"!A"&amp;ROW(재료비목록표!A44),"자재41 →")</f>
        <v>자재41 →</v>
      </c>
      <c r="T45" s="36">
        <v>21177000</v>
      </c>
      <c r="U45" s="38">
        <f t="shared" si="0"/>
        <v>5</v>
      </c>
      <c r="V45" s="39">
        <f t="shared" si="1"/>
        <v>21177000</v>
      </c>
      <c r="W45" s="40" t="str">
        <f t="shared" si="2"/>
        <v>거래</v>
      </c>
    </row>
    <row r="46" spans="1:23" ht="34.700000000000003" customHeight="1" x14ac:dyDescent="0.3">
      <c r="A46" s="9" t="s">
        <v>2166</v>
      </c>
      <c r="B46" s="10" t="s">
        <v>12</v>
      </c>
      <c r="C46" s="10" t="s">
        <v>17</v>
      </c>
      <c r="D46" s="9" t="s">
        <v>14</v>
      </c>
      <c r="E46" s="33">
        <v>0</v>
      </c>
      <c r="F46" s="9"/>
      <c r="G46" s="33">
        <v>0</v>
      </c>
      <c r="H46" s="9"/>
      <c r="I46" s="33">
        <v>9500000</v>
      </c>
      <c r="J46" s="9" t="s">
        <v>3226</v>
      </c>
      <c r="K46" s="33">
        <v>0</v>
      </c>
      <c r="L46" s="9"/>
      <c r="M46" s="33">
        <v>11937000</v>
      </c>
      <c r="N46" s="9" t="s">
        <v>3212</v>
      </c>
      <c r="O46" s="33">
        <v>9500000</v>
      </c>
      <c r="P46" s="22" t="s">
        <v>3189</v>
      </c>
      <c r="Q46" s="15"/>
      <c r="R46" s="17" t="s">
        <v>2167</v>
      </c>
      <c r="S46" s="3" t="str">
        <f ca="1">HYPERLINK("#"&amp;재료비목록표!G2&amp;"!A"&amp;ROW(재료비목록표!A45),"자재42 →")</f>
        <v>자재42 →</v>
      </c>
      <c r="T46" s="36">
        <v>9500000</v>
      </c>
      <c r="U46" s="38">
        <f t="shared" si="0"/>
        <v>3</v>
      </c>
      <c r="V46" s="39">
        <f t="shared" si="1"/>
        <v>9500000</v>
      </c>
      <c r="W46" s="40" t="str">
        <f t="shared" si="2"/>
        <v>물.정</v>
      </c>
    </row>
    <row r="47" spans="1:23" ht="34.700000000000003" customHeight="1" x14ac:dyDescent="0.3">
      <c r="A47" s="9" t="s">
        <v>2168</v>
      </c>
      <c r="B47" s="10" t="s">
        <v>12</v>
      </c>
      <c r="C47" s="10" t="s">
        <v>2169</v>
      </c>
      <c r="D47" s="9" t="s">
        <v>14</v>
      </c>
      <c r="E47" s="33">
        <v>0</v>
      </c>
      <c r="F47" s="9"/>
      <c r="G47" s="33">
        <v>0</v>
      </c>
      <c r="H47" s="9"/>
      <c r="I47" s="33">
        <v>26000000</v>
      </c>
      <c r="J47" s="9" t="s">
        <v>3226</v>
      </c>
      <c r="K47" s="33">
        <v>0</v>
      </c>
      <c r="L47" s="9"/>
      <c r="M47" s="33">
        <v>32429000</v>
      </c>
      <c r="N47" s="9" t="s">
        <v>3212</v>
      </c>
      <c r="O47" s="33">
        <v>26000000</v>
      </c>
      <c r="P47" s="22" t="s">
        <v>3189</v>
      </c>
      <c r="Q47" s="15"/>
      <c r="R47" s="17" t="s">
        <v>2170</v>
      </c>
      <c r="S47" s="3" t="str">
        <f ca="1">HYPERLINK("#"&amp;재료비목록표!G2&amp;"!A"&amp;ROW(재료비목록표!A46),"자재43 →")</f>
        <v>자재43 →</v>
      </c>
      <c r="T47" s="36">
        <v>26000000</v>
      </c>
      <c r="U47" s="38">
        <f t="shared" si="0"/>
        <v>3</v>
      </c>
      <c r="V47" s="39">
        <f t="shared" si="1"/>
        <v>26000000</v>
      </c>
      <c r="W47" s="40" t="str">
        <f t="shared" si="2"/>
        <v>물.정</v>
      </c>
    </row>
    <row r="48" spans="1:23" ht="34.700000000000003" customHeight="1" x14ac:dyDescent="0.3">
      <c r="A48" s="9" t="s">
        <v>2171</v>
      </c>
      <c r="B48" s="10" t="s">
        <v>12</v>
      </c>
      <c r="C48" s="10" t="s">
        <v>2172</v>
      </c>
      <c r="D48" s="9" t="s">
        <v>14</v>
      </c>
      <c r="E48" s="33">
        <v>0</v>
      </c>
      <c r="F48" s="9"/>
      <c r="G48" s="33">
        <v>0</v>
      </c>
      <c r="H48" s="9"/>
      <c r="I48" s="33">
        <v>32000000</v>
      </c>
      <c r="J48" s="9" t="s">
        <v>3226</v>
      </c>
      <c r="K48" s="33">
        <v>0</v>
      </c>
      <c r="L48" s="9"/>
      <c r="M48" s="33">
        <v>38808000</v>
      </c>
      <c r="N48" s="9" t="s">
        <v>3212</v>
      </c>
      <c r="O48" s="33">
        <v>32000000</v>
      </c>
      <c r="P48" s="22" t="s">
        <v>3189</v>
      </c>
      <c r="Q48" s="15"/>
      <c r="R48" s="17" t="s">
        <v>2173</v>
      </c>
      <c r="S48" s="3" t="str">
        <f ca="1">HYPERLINK("#"&amp;재료비목록표!G2&amp;"!A"&amp;ROW(재료비목록표!A47),"자재44 →")</f>
        <v>자재44 →</v>
      </c>
      <c r="T48" s="36">
        <v>32000000</v>
      </c>
      <c r="U48" s="38">
        <f t="shared" si="0"/>
        <v>3</v>
      </c>
      <c r="V48" s="39">
        <f t="shared" si="1"/>
        <v>32000000</v>
      </c>
      <c r="W48" s="40" t="str">
        <f t="shared" si="2"/>
        <v>물.정</v>
      </c>
    </row>
    <row r="49" spans="1:23" ht="34.700000000000003" customHeight="1" x14ac:dyDescent="0.3">
      <c r="A49" s="9" t="s">
        <v>2174</v>
      </c>
      <c r="B49" s="10" t="s">
        <v>12</v>
      </c>
      <c r="C49" s="10" t="s">
        <v>2175</v>
      </c>
      <c r="D49" s="9" t="s">
        <v>14</v>
      </c>
      <c r="E49" s="33">
        <v>0</v>
      </c>
      <c r="F49" s="9"/>
      <c r="G49" s="33">
        <v>0</v>
      </c>
      <c r="H49" s="9"/>
      <c r="I49" s="33">
        <v>11000000</v>
      </c>
      <c r="J49" s="9" t="s">
        <v>3226</v>
      </c>
      <c r="K49" s="33">
        <v>0</v>
      </c>
      <c r="L49" s="9"/>
      <c r="M49" s="33">
        <v>13973000</v>
      </c>
      <c r="N49" s="9" t="s">
        <v>3212</v>
      </c>
      <c r="O49" s="33">
        <v>11000000</v>
      </c>
      <c r="P49" s="22" t="s">
        <v>3189</v>
      </c>
      <c r="Q49" s="15"/>
      <c r="R49" s="17" t="s">
        <v>2176</v>
      </c>
      <c r="S49" s="3" t="str">
        <f ca="1">HYPERLINK("#"&amp;재료비목록표!G2&amp;"!A"&amp;ROW(재료비목록표!A48),"자재45 →")</f>
        <v>자재45 →</v>
      </c>
      <c r="T49" s="36">
        <v>11000000</v>
      </c>
      <c r="U49" s="38">
        <f t="shared" si="0"/>
        <v>3</v>
      </c>
      <c r="V49" s="39">
        <f t="shared" si="1"/>
        <v>11000000</v>
      </c>
      <c r="W49" s="40" t="str">
        <f t="shared" si="2"/>
        <v>물.정</v>
      </c>
    </row>
    <row r="50" spans="1:23" ht="34.700000000000003" customHeight="1" x14ac:dyDescent="0.3">
      <c r="A50" s="9" t="s">
        <v>2177</v>
      </c>
      <c r="B50" s="10" t="s">
        <v>12</v>
      </c>
      <c r="C50" s="10" t="s">
        <v>2178</v>
      </c>
      <c r="D50" s="9" t="s">
        <v>14</v>
      </c>
      <c r="E50" s="33">
        <v>0</v>
      </c>
      <c r="F50" s="9"/>
      <c r="G50" s="33">
        <v>0</v>
      </c>
      <c r="H50" s="9"/>
      <c r="I50" s="33">
        <v>39000000</v>
      </c>
      <c r="J50" s="9" t="s">
        <v>3226</v>
      </c>
      <c r="K50" s="33">
        <v>0</v>
      </c>
      <c r="L50" s="9"/>
      <c r="M50" s="33">
        <v>46610000</v>
      </c>
      <c r="N50" s="9" t="s">
        <v>3212</v>
      </c>
      <c r="O50" s="33">
        <v>39000000</v>
      </c>
      <c r="P50" s="22" t="s">
        <v>3189</v>
      </c>
      <c r="Q50" s="15"/>
      <c r="R50" s="17" t="s">
        <v>2179</v>
      </c>
      <c r="S50" s="3" t="str">
        <f ca="1">HYPERLINK("#"&amp;재료비목록표!G2&amp;"!A"&amp;ROW(재료비목록표!A49),"자재46 →")</f>
        <v>자재46 →</v>
      </c>
      <c r="T50" s="36">
        <v>39000000</v>
      </c>
      <c r="U50" s="38">
        <f t="shared" si="0"/>
        <v>3</v>
      </c>
      <c r="V50" s="39">
        <f t="shared" si="1"/>
        <v>39000000</v>
      </c>
      <c r="W50" s="40" t="str">
        <f t="shared" si="2"/>
        <v>물.정</v>
      </c>
    </row>
    <row r="51" spans="1:23" ht="34.700000000000003" customHeight="1" x14ac:dyDescent="0.3">
      <c r="A51" s="9" t="s">
        <v>2180</v>
      </c>
      <c r="B51" s="10" t="s">
        <v>12</v>
      </c>
      <c r="C51" s="10" t="s">
        <v>2181</v>
      </c>
      <c r="D51" s="9" t="s">
        <v>14</v>
      </c>
      <c r="E51" s="33">
        <v>0</v>
      </c>
      <c r="F51" s="9"/>
      <c r="G51" s="33">
        <v>0</v>
      </c>
      <c r="H51" s="9"/>
      <c r="I51" s="33">
        <v>12500000</v>
      </c>
      <c r="J51" s="9" t="s">
        <v>3226</v>
      </c>
      <c r="K51" s="33">
        <v>0</v>
      </c>
      <c r="L51" s="9"/>
      <c r="M51" s="33">
        <v>16539000</v>
      </c>
      <c r="N51" s="9" t="s">
        <v>3212</v>
      </c>
      <c r="O51" s="33">
        <v>12500000</v>
      </c>
      <c r="P51" s="22" t="s">
        <v>3189</v>
      </c>
      <c r="Q51" s="15"/>
      <c r="R51" s="17" t="s">
        <v>2182</v>
      </c>
      <c r="S51" s="3" t="str">
        <f ca="1">HYPERLINK("#"&amp;재료비목록표!G2&amp;"!A"&amp;ROW(재료비목록표!A50),"자재47 →")</f>
        <v>자재47 →</v>
      </c>
      <c r="T51" s="36">
        <v>12500000</v>
      </c>
      <c r="U51" s="38">
        <f t="shared" si="0"/>
        <v>3</v>
      </c>
      <c r="V51" s="39">
        <f t="shared" si="1"/>
        <v>12500000</v>
      </c>
      <c r="W51" s="40" t="str">
        <f t="shared" si="2"/>
        <v>물.정</v>
      </c>
    </row>
    <row r="52" spans="1:23" ht="34.700000000000003" customHeight="1" x14ac:dyDescent="0.3">
      <c r="A52" s="9" t="s">
        <v>2183</v>
      </c>
      <c r="B52" s="10" t="s">
        <v>123</v>
      </c>
      <c r="C52" s="10" t="s">
        <v>2147</v>
      </c>
      <c r="D52" s="9" t="s">
        <v>14</v>
      </c>
      <c r="E52" s="33">
        <v>0</v>
      </c>
      <c r="F52" s="9"/>
      <c r="G52" s="33">
        <v>0</v>
      </c>
      <c r="H52" s="9"/>
      <c r="I52" s="33">
        <v>7500000</v>
      </c>
      <c r="J52" s="9" t="s">
        <v>3226</v>
      </c>
      <c r="K52" s="33">
        <v>0</v>
      </c>
      <c r="L52" s="9"/>
      <c r="M52" s="33">
        <v>0</v>
      </c>
      <c r="N52" s="9"/>
      <c r="O52" s="33">
        <v>7500000</v>
      </c>
      <c r="P52" s="22" t="s">
        <v>3189</v>
      </c>
      <c r="Q52" s="15"/>
      <c r="R52" s="17" t="s">
        <v>2184</v>
      </c>
      <c r="S52" s="3" t="str">
        <f ca="1">HYPERLINK("#"&amp;재료비목록표!G2&amp;"!A"&amp;ROW(재료비목록표!A51),"자재48 →")</f>
        <v>자재48 →</v>
      </c>
      <c r="T52" s="36">
        <v>7500000</v>
      </c>
      <c r="U52" s="38">
        <f t="shared" si="0"/>
        <v>3</v>
      </c>
      <c r="V52" s="39">
        <f t="shared" si="1"/>
        <v>7500000</v>
      </c>
      <c r="W52" s="40" t="str">
        <f t="shared" si="2"/>
        <v>물.정</v>
      </c>
    </row>
    <row r="53" spans="1:23" ht="34.700000000000003" customHeight="1" x14ac:dyDescent="0.3">
      <c r="A53" s="9" t="s">
        <v>2185</v>
      </c>
      <c r="B53" s="10" t="s">
        <v>123</v>
      </c>
      <c r="C53" s="10" t="s">
        <v>47</v>
      </c>
      <c r="D53" s="9" t="s">
        <v>14</v>
      </c>
      <c r="E53" s="33">
        <v>0</v>
      </c>
      <c r="F53" s="9"/>
      <c r="G53" s="33">
        <v>0</v>
      </c>
      <c r="H53" s="9"/>
      <c r="I53" s="33">
        <v>62000000</v>
      </c>
      <c r="J53" s="9" t="s">
        <v>3226</v>
      </c>
      <c r="K53" s="33">
        <v>0</v>
      </c>
      <c r="L53" s="9"/>
      <c r="M53" s="33">
        <v>0</v>
      </c>
      <c r="N53" s="9"/>
      <c r="O53" s="33">
        <v>62000000</v>
      </c>
      <c r="P53" s="22" t="s">
        <v>3189</v>
      </c>
      <c r="Q53" s="15"/>
      <c r="R53" s="17" t="s">
        <v>2186</v>
      </c>
      <c r="S53" s="3" t="str">
        <f ca="1">HYPERLINK("#"&amp;재료비목록표!G2&amp;"!A"&amp;ROW(재료비목록표!A52),"자재49 →")</f>
        <v>자재49 →</v>
      </c>
      <c r="T53" s="36">
        <v>62000000</v>
      </c>
      <c r="U53" s="38">
        <f t="shared" si="0"/>
        <v>3</v>
      </c>
      <c r="V53" s="39">
        <f t="shared" si="1"/>
        <v>62000000</v>
      </c>
      <c r="W53" s="40" t="str">
        <f t="shared" si="2"/>
        <v>물.정</v>
      </c>
    </row>
    <row r="54" spans="1:23" ht="34.700000000000003" customHeight="1" x14ac:dyDescent="0.3">
      <c r="A54" s="9" t="s">
        <v>2187</v>
      </c>
      <c r="B54" s="10" t="s">
        <v>123</v>
      </c>
      <c r="C54" s="10" t="s">
        <v>2152</v>
      </c>
      <c r="D54" s="9" t="s">
        <v>14</v>
      </c>
      <c r="E54" s="33">
        <v>0</v>
      </c>
      <c r="F54" s="9"/>
      <c r="G54" s="33">
        <v>0</v>
      </c>
      <c r="H54" s="9"/>
      <c r="I54" s="33">
        <v>9600000</v>
      </c>
      <c r="J54" s="9" t="s">
        <v>3226</v>
      </c>
      <c r="K54" s="33">
        <v>0</v>
      </c>
      <c r="L54" s="9"/>
      <c r="M54" s="33">
        <v>0</v>
      </c>
      <c r="N54" s="9"/>
      <c r="O54" s="33">
        <v>9600000</v>
      </c>
      <c r="P54" s="22" t="s">
        <v>3189</v>
      </c>
      <c r="Q54" s="15"/>
      <c r="R54" s="17" t="s">
        <v>2188</v>
      </c>
      <c r="S54" s="3" t="str">
        <f ca="1">HYPERLINK("#"&amp;재료비목록표!G2&amp;"!A"&amp;ROW(재료비목록표!A53),"자재50 →")</f>
        <v>자재50 →</v>
      </c>
      <c r="T54" s="36">
        <v>9600000</v>
      </c>
      <c r="U54" s="38">
        <f t="shared" si="0"/>
        <v>3</v>
      </c>
      <c r="V54" s="39">
        <f t="shared" si="1"/>
        <v>9600000</v>
      </c>
      <c r="W54" s="40" t="str">
        <f t="shared" si="2"/>
        <v>물.정</v>
      </c>
    </row>
    <row r="55" spans="1:23" ht="34.700000000000003" customHeight="1" x14ac:dyDescent="0.3">
      <c r="A55" s="9" t="s">
        <v>2189</v>
      </c>
      <c r="B55" s="10" t="s">
        <v>123</v>
      </c>
      <c r="C55" s="10" t="s">
        <v>2155</v>
      </c>
      <c r="D55" s="9" t="s">
        <v>14</v>
      </c>
      <c r="E55" s="33">
        <v>0</v>
      </c>
      <c r="F55" s="9"/>
      <c r="G55" s="33">
        <v>0</v>
      </c>
      <c r="H55" s="9"/>
      <c r="I55" s="33">
        <v>12000000</v>
      </c>
      <c r="J55" s="9" t="s">
        <v>3226</v>
      </c>
      <c r="K55" s="33">
        <v>0</v>
      </c>
      <c r="L55" s="9"/>
      <c r="M55" s="33">
        <v>0</v>
      </c>
      <c r="N55" s="9"/>
      <c r="O55" s="33">
        <v>12000000</v>
      </c>
      <c r="P55" s="22" t="s">
        <v>3189</v>
      </c>
      <c r="Q55" s="15"/>
      <c r="R55" s="17" t="s">
        <v>2190</v>
      </c>
      <c r="S55" s="3" t="str">
        <f ca="1">HYPERLINK("#"&amp;재료비목록표!G2&amp;"!A"&amp;ROW(재료비목록표!A54),"자재51 →")</f>
        <v>자재51 →</v>
      </c>
      <c r="T55" s="36">
        <v>12000000</v>
      </c>
      <c r="U55" s="38">
        <f t="shared" si="0"/>
        <v>3</v>
      </c>
      <c r="V55" s="39">
        <f t="shared" si="1"/>
        <v>12000000</v>
      </c>
      <c r="W55" s="40" t="str">
        <f t="shared" si="2"/>
        <v>물.정</v>
      </c>
    </row>
    <row r="56" spans="1:23" ht="34.700000000000003" customHeight="1" x14ac:dyDescent="0.3">
      <c r="A56" s="9" t="s">
        <v>2191</v>
      </c>
      <c r="B56" s="10" t="s">
        <v>123</v>
      </c>
      <c r="C56" s="10" t="s">
        <v>2158</v>
      </c>
      <c r="D56" s="9" t="s">
        <v>14</v>
      </c>
      <c r="E56" s="33">
        <v>0</v>
      </c>
      <c r="F56" s="9"/>
      <c r="G56" s="33">
        <v>0</v>
      </c>
      <c r="H56" s="9"/>
      <c r="I56" s="33">
        <v>12500000</v>
      </c>
      <c r="J56" s="9" t="s">
        <v>3226</v>
      </c>
      <c r="K56" s="33">
        <v>0</v>
      </c>
      <c r="L56" s="9"/>
      <c r="M56" s="33">
        <v>0</v>
      </c>
      <c r="N56" s="9"/>
      <c r="O56" s="33">
        <v>12500000</v>
      </c>
      <c r="P56" s="22" t="s">
        <v>3189</v>
      </c>
      <c r="Q56" s="15"/>
      <c r="R56" s="17" t="s">
        <v>2192</v>
      </c>
      <c r="S56" s="3" t="str">
        <f ca="1">HYPERLINK("#"&amp;재료비목록표!G2&amp;"!A"&amp;ROW(재료비목록표!A55),"자재52 →")</f>
        <v>자재52 →</v>
      </c>
      <c r="T56" s="36">
        <v>12500000</v>
      </c>
      <c r="U56" s="38">
        <f t="shared" si="0"/>
        <v>3</v>
      </c>
      <c r="V56" s="39">
        <f t="shared" si="1"/>
        <v>12500000</v>
      </c>
      <c r="W56" s="40" t="str">
        <f t="shared" si="2"/>
        <v>물.정</v>
      </c>
    </row>
    <row r="57" spans="1:23" ht="34.700000000000003" customHeight="1" x14ac:dyDescent="0.3">
      <c r="A57" s="9" t="s">
        <v>2193</v>
      </c>
      <c r="B57" s="10" t="s">
        <v>123</v>
      </c>
      <c r="C57" s="10" t="s">
        <v>2161</v>
      </c>
      <c r="D57" s="9" t="s">
        <v>14</v>
      </c>
      <c r="E57" s="33">
        <v>0</v>
      </c>
      <c r="F57" s="9"/>
      <c r="G57" s="33">
        <v>0</v>
      </c>
      <c r="H57" s="9"/>
      <c r="I57" s="33">
        <v>1900000</v>
      </c>
      <c r="J57" s="9" t="s">
        <v>3226</v>
      </c>
      <c r="K57" s="33">
        <v>0</v>
      </c>
      <c r="L57" s="9"/>
      <c r="M57" s="33">
        <v>0</v>
      </c>
      <c r="N57" s="9"/>
      <c r="O57" s="33">
        <v>1900000</v>
      </c>
      <c r="P57" s="22" t="s">
        <v>3189</v>
      </c>
      <c r="Q57" s="15"/>
      <c r="R57" s="17" t="s">
        <v>2194</v>
      </c>
      <c r="S57" s="3" t="str">
        <f ca="1">HYPERLINK("#"&amp;재료비목록표!G2&amp;"!A"&amp;ROW(재료비목록표!A56),"자재53 →")</f>
        <v>자재53 →</v>
      </c>
      <c r="T57" s="36">
        <v>1900000</v>
      </c>
      <c r="U57" s="38">
        <f t="shared" si="0"/>
        <v>3</v>
      </c>
      <c r="V57" s="39">
        <f t="shared" si="1"/>
        <v>1900000</v>
      </c>
      <c r="W57" s="40" t="str">
        <f t="shared" si="2"/>
        <v>물.정</v>
      </c>
    </row>
    <row r="58" spans="1:23" ht="34.700000000000003" customHeight="1" x14ac:dyDescent="0.3">
      <c r="A58" s="9" t="s">
        <v>2195</v>
      </c>
      <c r="B58" s="10" t="s">
        <v>123</v>
      </c>
      <c r="C58" s="10" t="s">
        <v>2164</v>
      </c>
      <c r="D58" s="9" t="s">
        <v>14</v>
      </c>
      <c r="E58" s="33">
        <v>0</v>
      </c>
      <c r="F58" s="9"/>
      <c r="G58" s="33">
        <v>0</v>
      </c>
      <c r="H58" s="9"/>
      <c r="I58" s="33">
        <v>13500000</v>
      </c>
      <c r="J58" s="9" t="s">
        <v>3226</v>
      </c>
      <c r="K58" s="33">
        <v>0</v>
      </c>
      <c r="L58" s="9"/>
      <c r="M58" s="33">
        <v>0</v>
      </c>
      <c r="N58" s="9"/>
      <c r="O58" s="33">
        <v>13500000</v>
      </c>
      <c r="P58" s="22" t="s">
        <v>3189</v>
      </c>
      <c r="Q58" s="15"/>
      <c r="R58" s="17" t="s">
        <v>2196</v>
      </c>
      <c r="S58" s="3" t="str">
        <f ca="1">HYPERLINK("#"&amp;재료비목록표!G2&amp;"!A"&amp;ROW(재료비목록표!A57),"자재54 →")</f>
        <v>자재54 →</v>
      </c>
      <c r="T58" s="36">
        <v>13500000</v>
      </c>
      <c r="U58" s="38">
        <f t="shared" si="0"/>
        <v>3</v>
      </c>
      <c r="V58" s="39">
        <f t="shared" si="1"/>
        <v>13500000</v>
      </c>
      <c r="W58" s="40" t="str">
        <f t="shared" si="2"/>
        <v>물.정</v>
      </c>
    </row>
    <row r="59" spans="1:23" ht="34.700000000000003" customHeight="1" x14ac:dyDescent="0.3">
      <c r="A59" s="9" t="s">
        <v>2197</v>
      </c>
      <c r="B59" s="10" t="s">
        <v>123</v>
      </c>
      <c r="C59" s="10" t="s">
        <v>17</v>
      </c>
      <c r="D59" s="9" t="s">
        <v>14</v>
      </c>
      <c r="E59" s="33">
        <v>0</v>
      </c>
      <c r="F59" s="9"/>
      <c r="G59" s="33">
        <v>0</v>
      </c>
      <c r="H59" s="9"/>
      <c r="I59" s="33">
        <v>2800000</v>
      </c>
      <c r="J59" s="9" t="s">
        <v>3226</v>
      </c>
      <c r="K59" s="33">
        <v>0</v>
      </c>
      <c r="L59" s="9"/>
      <c r="M59" s="33">
        <v>0</v>
      </c>
      <c r="N59" s="9"/>
      <c r="O59" s="33">
        <v>2800000</v>
      </c>
      <c r="P59" s="22" t="s">
        <v>3189</v>
      </c>
      <c r="Q59" s="15"/>
      <c r="R59" s="17" t="s">
        <v>2198</v>
      </c>
      <c r="S59" s="3" t="str">
        <f ca="1">HYPERLINK("#"&amp;재료비목록표!G2&amp;"!A"&amp;ROW(재료비목록표!A58),"자재55 →")</f>
        <v>자재55 →</v>
      </c>
      <c r="T59" s="36">
        <v>2800000</v>
      </c>
      <c r="U59" s="38">
        <f t="shared" si="0"/>
        <v>3</v>
      </c>
      <c r="V59" s="39">
        <f t="shared" si="1"/>
        <v>2800000</v>
      </c>
      <c r="W59" s="40" t="str">
        <f t="shared" si="2"/>
        <v>물.정</v>
      </c>
    </row>
    <row r="60" spans="1:23" ht="34.700000000000003" customHeight="1" x14ac:dyDescent="0.3">
      <c r="A60" s="9" t="s">
        <v>2199</v>
      </c>
      <c r="B60" s="10" t="s">
        <v>123</v>
      </c>
      <c r="C60" s="10" t="s">
        <v>2169</v>
      </c>
      <c r="D60" s="9" t="s">
        <v>14</v>
      </c>
      <c r="E60" s="33">
        <v>0</v>
      </c>
      <c r="F60" s="9"/>
      <c r="G60" s="33">
        <v>0</v>
      </c>
      <c r="H60" s="9"/>
      <c r="I60" s="33">
        <v>15000000</v>
      </c>
      <c r="J60" s="9" t="s">
        <v>3226</v>
      </c>
      <c r="K60" s="33">
        <v>0</v>
      </c>
      <c r="L60" s="9"/>
      <c r="M60" s="33">
        <v>0</v>
      </c>
      <c r="N60" s="9"/>
      <c r="O60" s="33">
        <v>15000000</v>
      </c>
      <c r="P60" s="22" t="s">
        <v>3189</v>
      </c>
      <c r="Q60" s="15"/>
      <c r="R60" s="17" t="s">
        <v>2200</v>
      </c>
      <c r="S60" s="3" t="str">
        <f ca="1">HYPERLINK("#"&amp;재료비목록표!G2&amp;"!A"&amp;ROW(재료비목록표!A59),"자재56 →")</f>
        <v>자재56 →</v>
      </c>
      <c r="T60" s="36">
        <v>15000000</v>
      </c>
      <c r="U60" s="38">
        <f t="shared" si="0"/>
        <v>3</v>
      </c>
      <c r="V60" s="39">
        <f t="shared" si="1"/>
        <v>15000000</v>
      </c>
      <c r="W60" s="40" t="str">
        <f t="shared" si="2"/>
        <v>물.정</v>
      </c>
    </row>
    <row r="61" spans="1:23" ht="34.700000000000003" customHeight="1" x14ac:dyDescent="0.3">
      <c r="A61" s="9" t="s">
        <v>2201</v>
      </c>
      <c r="B61" s="10" t="s">
        <v>123</v>
      </c>
      <c r="C61" s="10" t="s">
        <v>2172</v>
      </c>
      <c r="D61" s="9" t="s">
        <v>14</v>
      </c>
      <c r="E61" s="33">
        <v>0</v>
      </c>
      <c r="F61" s="9"/>
      <c r="G61" s="33">
        <v>0</v>
      </c>
      <c r="H61" s="9"/>
      <c r="I61" s="33">
        <v>17000000</v>
      </c>
      <c r="J61" s="9" t="s">
        <v>3226</v>
      </c>
      <c r="K61" s="33">
        <v>0</v>
      </c>
      <c r="L61" s="9"/>
      <c r="M61" s="33">
        <v>0</v>
      </c>
      <c r="N61" s="9"/>
      <c r="O61" s="33">
        <v>17000000</v>
      </c>
      <c r="P61" s="22" t="s">
        <v>3189</v>
      </c>
      <c r="Q61" s="15"/>
      <c r="R61" s="17" t="s">
        <v>2202</v>
      </c>
      <c r="S61" s="3" t="str">
        <f ca="1">HYPERLINK("#"&amp;재료비목록표!G2&amp;"!A"&amp;ROW(재료비목록표!A60),"자재57 →")</f>
        <v>자재57 →</v>
      </c>
      <c r="T61" s="36">
        <v>17000000</v>
      </c>
      <c r="U61" s="38">
        <f t="shared" si="0"/>
        <v>3</v>
      </c>
      <c r="V61" s="39">
        <f t="shared" si="1"/>
        <v>17000000</v>
      </c>
      <c r="W61" s="40" t="str">
        <f t="shared" si="2"/>
        <v>물.정</v>
      </c>
    </row>
    <row r="62" spans="1:23" ht="34.700000000000003" customHeight="1" x14ac:dyDescent="0.3">
      <c r="A62" s="9" t="s">
        <v>2203</v>
      </c>
      <c r="B62" s="10" t="s">
        <v>123</v>
      </c>
      <c r="C62" s="10" t="s">
        <v>2204</v>
      </c>
      <c r="D62" s="9" t="s">
        <v>14</v>
      </c>
      <c r="E62" s="33">
        <v>0</v>
      </c>
      <c r="F62" s="9"/>
      <c r="G62" s="33">
        <v>0</v>
      </c>
      <c r="H62" s="9"/>
      <c r="I62" s="33">
        <v>4700000</v>
      </c>
      <c r="J62" s="9" t="s">
        <v>3226</v>
      </c>
      <c r="K62" s="33">
        <v>0</v>
      </c>
      <c r="L62" s="9"/>
      <c r="M62" s="33">
        <v>0</v>
      </c>
      <c r="N62" s="9"/>
      <c r="O62" s="33">
        <v>4700000</v>
      </c>
      <c r="P62" s="22" t="s">
        <v>3189</v>
      </c>
      <c r="Q62" s="15"/>
      <c r="R62" s="17" t="s">
        <v>2205</v>
      </c>
      <c r="S62" s="3" t="str">
        <f ca="1">HYPERLINK("#"&amp;재료비목록표!G2&amp;"!A"&amp;ROW(재료비목록표!A61),"자재58 →")</f>
        <v>자재58 →</v>
      </c>
      <c r="T62" s="36">
        <v>4700000</v>
      </c>
      <c r="U62" s="38">
        <f t="shared" si="0"/>
        <v>3</v>
      </c>
      <c r="V62" s="39">
        <f t="shared" si="1"/>
        <v>4700000</v>
      </c>
      <c r="W62" s="40" t="str">
        <f t="shared" si="2"/>
        <v>물.정</v>
      </c>
    </row>
    <row r="63" spans="1:23" ht="34.700000000000003" customHeight="1" x14ac:dyDescent="0.3">
      <c r="A63" s="9" t="s">
        <v>2206</v>
      </c>
      <c r="B63" s="10" t="s">
        <v>123</v>
      </c>
      <c r="C63" s="10" t="s">
        <v>2178</v>
      </c>
      <c r="D63" s="9" t="s">
        <v>14</v>
      </c>
      <c r="E63" s="33">
        <v>0</v>
      </c>
      <c r="F63" s="9"/>
      <c r="G63" s="33">
        <v>0</v>
      </c>
      <c r="H63" s="9"/>
      <c r="I63" s="33">
        <v>17700000</v>
      </c>
      <c r="J63" s="9" t="s">
        <v>3226</v>
      </c>
      <c r="K63" s="33">
        <v>0</v>
      </c>
      <c r="L63" s="9"/>
      <c r="M63" s="33">
        <v>0</v>
      </c>
      <c r="N63" s="9"/>
      <c r="O63" s="33">
        <v>17700000</v>
      </c>
      <c r="P63" s="22" t="s">
        <v>3189</v>
      </c>
      <c r="Q63" s="15"/>
      <c r="R63" s="17" t="s">
        <v>2207</v>
      </c>
      <c r="S63" s="3" t="str">
        <f ca="1">HYPERLINK("#"&amp;재료비목록표!G2&amp;"!A"&amp;ROW(재료비목록표!A62),"자재59 →")</f>
        <v>자재59 →</v>
      </c>
      <c r="T63" s="36">
        <v>17700000</v>
      </c>
      <c r="U63" s="38">
        <f t="shared" si="0"/>
        <v>3</v>
      </c>
      <c r="V63" s="39">
        <f t="shared" si="1"/>
        <v>17700000</v>
      </c>
      <c r="W63" s="40" t="str">
        <f t="shared" si="2"/>
        <v>물.정</v>
      </c>
    </row>
    <row r="64" spans="1:23" ht="34.700000000000003" customHeight="1" x14ac:dyDescent="0.3">
      <c r="A64" s="9" t="s">
        <v>2208</v>
      </c>
      <c r="B64" s="10" t="s">
        <v>123</v>
      </c>
      <c r="C64" s="10" t="s">
        <v>2181</v>
      </c>
      <c r="D64" s="9" t="s">
        <v>14</v>
      </c>
      <c r="E64" s="33">
        <v>0</v>
      </c>
      <c r="F64" s="9"/>
      <c r="G64" s="33">
        <v>0</v>
      </c>
      <c r="H64" s="9"/>
      <c r="I64" s="33">
        <v>6700000</v>
      </c>
      <c r="J64" s="9" t="s">
        <v>3226</v>
      </c>
      <c r="K64" s="33">
        <v>0</v>
      </c>
      <c r="L64" s="9"/>
      <c r="M64" s="33">
        <v>0</v>
      </c>
      <c r="N64" s="9"/>
      <c r="O64" s="33">
        <v>6700000</v>
      </c>
      <c r="P64" s="22" t="s">
        <v>3189</v>
      </c>
      <c r="Q64" s="15"/>
      <c r="R64" s="17" t="s">
        <v>2209</v>
      </c>
      <c r="S64" s="3" t="str">
        <f ca="1">HYPERLINK("#"&amp;재료비목록표!G2&amp;"!A"&amp;ROW(재료비목록표!A63),"자재60 →")</f>
        <v>자재60 →</v>
      </c>
      <c r="T64" s="36">
        <v>6700000</v>
      </c>
      <c r="U64" s="38">
        <f t="shared" si="0"/>
        <v>3</v>
      </c>
      <c r="V64" s="39">
        <f t="shared" si="1"/>
        <v>6700000</v>
      </c>
      <c r="W64" s="40" t="str">
        <f t="shared" si="2"/>
        <v>물.정</v>
      </c>
    </row>
    <row r="65" spans="1:23" ht="34.700000000000003" customHeight="1" x14ac:dyDescent="0.3">
      <c r="A65" s="9" t="s">
        <v>2210</v>
      </c>
      <c r="B65" s="10" t="s">
        <v>2211</v>
      </c>
      <c r="C65" s="10"/>
      <c r="D65" s="9" t="s">
        <v>2212</v>
      </c>
      <c r="E65" s="33">
        <v>0</v>
      </c>
      <c r="F65" s="9"/>
      <c r="G65" s="33">
        <v>0</v>
      </c>
      <c r="H65" s="9"/>
      <c r="I65" s="33">
        <v>0</v>
      </c>
      <c r="J65" s="9"/>
      <c r="K65" s="33">
        <v>788000</v>
      </c>
      <c r="L65" s="9" t="s">
        <v>3227</v>
      </c>
      <c r="M65" s="33">
        <v>0</v>
      </c>
      <c r="N65" s="9"/>
      <c r="O65" s="33">
        <v>788000</v>
      </c>
      <c r="P65" s="22" t="s">
        <v>3190</v>
      </c>
      <c r="Q65" s="15"/>
      <c r="R65" s="17" t="s">
        <v>2213</v>
      </c>
      <c r="S65" s="3" t="str">
        <f ca="1">HYPERLINK("#"&amp;재료비목록표!G2&amp;"!A"&amp;ROW(재료비목록표!A64),"자재61 →")</f>
        <v>자재61 →</v>
      </c>
      <c r="T65" s="36">
        <v>788000</v>
      </c>
      <c r="U65" s="38">
        <f t="shared" si="0"/>
        <v>4</v>
      </c>
      <c r="V65" s="39">
        <f t="shared" si="1"/>
        <v>788000</v>
      </c>
      <c r="W65" s="40" t="str">
        <f t="shared" si="2"/>
        <v>견적 1</v>
      </c>
    </row>
    <row r="66" spans="1:23" ht="34.700000000000003" customHeight="1" x14ac:dyDescent="0.3">
      <c r="A66" s="9" t="s">
        <v>2214</v>
      </c>
      <c r="B66" s="10" t="s">
        <v>2215</v>
      </c>
      <c r="C66" s="10"/>
      <c r="D66" s="9" t="s">
        <v>1010</v>
      </c>
      <c r="E66" s="33">
        <v>0</v>
      </c>
      <c r="F66" s="9"/>
      <c r="G66" s="33">
        <v>0</v>
      </c>
      <c r="H66" s="9"/>
      <c r="I66" s="33">
        <v>0</v>
      </c>
      <c r="J66" s="9"/>
      <c r="K66" s="33">
        <v>128000</v>
      </c>
      <c r="L66" s="9" t="s">
        <v>3227</v>
      </c>
      <c r="M66" s="33">
        <v>0</v>
      </c>
      <c r="N66" s="9"/>
      <c r="O66" s="33">
        <v>128000</v>
      </c>
      <c r="P66" s="22" t="s">
        <v>3190</v>
      </c>
      <c r="Q66" s="15"/>
      <c r="R66" s="17" t="s">
        <v>2216</v>
      </c>
      <c r="S66" s="3" t="str">
        <f ca="1">HYPERLINK("#"&amp;재료비목록표!G2&amp;"!A"&amp;ROW(재료비목록표!A65),"자재62 →")</f>
        <v>자재62 →</v>
      </c>
      <c r="T66" s="36">
        <v>128000</v>
      </c>
      <c r="U66" s="38">
        <f t="shared" si="0"/>
        <v>4</v>
      </c>
      <c r="V66" s="39">
        <f t="shared" si="1"/>
        <v>128000</v>
      </c>
      <c r="W66" s="40" t="str">
        <f t="shared" si="2"/>
        <v>견적 1</v>
      </c>
    </row>
    <row r="67" spans="1:23" ht="34.700000000000003" customHeight="1" x14ac:dyDescent="0.3">
      <c r="A67" s="9" t="s">
        <v>2217</v>
      </c>
      <c r="B67" s="10" t="s">
        <v>2218</v>
      </c>
      <c r="C67" s="10" t="s">
        <v>2219</v>
      </c>
      <c r="D67" s="9" t="s">
        <v>1010</v>
      </c>
      <c r="E67" s="33">
        <v>0</v>
      </c>
      <c r="F67" s="9"/>
      <c r="G67" s="33">
        <v>54000</v>
      </c>
      <c r="H67" s="9" t="s">
        <v>3228</v>
      </c>
      <c r="I67" s="33">
        <v>0</v>
      </c>
      <c r="J67" s="9"/>
      <c r="K67" s="33">
        <v>0</v>
      </c>
      <c r="L67" s="9"/>
      <c r="M67" s="33">
        <v>0</v>
      </c>
      <c r="N67" s="9"/>
      <c r="O67" s="33">
        <v>54000</v>
      </c>
      <c r="P67" s="22" t="s">
        <v>3188</v>
      </c>
      <c r="Q67" s="15"/>
      <c r="R67" s="17" t="s">
        <v>2220</v>
      </c>
      <c r="S67" s="3" t="str">
        <f ca="1">HYPERLINK("#"&amp;재료비목록표!G2&amp;"!A"&amp;ROW(재료비목록표!A66),"자재63 →")</f>
        <v>자재63 →</v>
      </c>
      <c r="T67" s="36">
        <v>54000</v>
      </c>
      <c r="U67" s="38">
        <f t="shared" si="0"/>
        <v>2</v>
      </c>
      <c r="V67" s="39">
        <f t="shared" si="1"/>
        <v>54000</v>
      </c>
      <c r="W67" s="40" t="str">
        <f t="shared" si="2"/>
        <v>물.자</v>
      </c>
    </row>
    <row r="68" spans="1:23" ht="34.700000000000003" customHeight="1" x14ac:dyDescent="0.3">
      <c r="A68" s="9" t="s">
        <v>2221</v>
      </c>
      <c r="B68" s="10" t="s">
        <v>2218</v>
      </c>
      <c r="C68" s="10" t="s">
        <v>2222</v>
      </c>
      <c r="D68" s="9" t="s">
        <v>1010</v>
      </c>
      <c r="E68" s="33">
        <v>0</v>
      </c>
      <c r="F68" s="9"/>
      <c r="G68" s="33">
        <v>76000</v>
      </c>
      <c r="H68" s="9" t="s">
        <v>3228</v>
      </c>
      <c r="I68" s="33">
        <v>0</v>
      </c>
      <c r="J68" s="9"/>
      <c r="K68" s="33">
        <v>0</v>
      </c>
      <c r="L68" s="9"/>
      <c r="M68" s="33">
        <v>0</v>
      </c>
      <c r="N68" s="9"/>
      <c r="O68" s="33">
        <v>76000</v>
      </c>
      <c r="P68" s="22" t="s">
        <v>3188</v>
      </c>
      <c r="Q68" s="15"/>
      <c r="R68" s="17" t="s">
        <v>2223</v>
      </c>
      <c r="S68" s="3" t="str">
        <f ca="1">HYPERLINK("#"&amp;재료비목록표!G2&amp;"!A"&amp;ROW(재료비목록표!A67),"자재64 →")</f>
        <v>자재64 →</v>
      </c>
      <c r="T68" s="36">
        <v>76000</v>
      </c>
      <c r="U68" s="38">
        <f t="shared" si="0"/>
        <v>2</v>
      </c>
      <c r="V68" s="39">
        <f t="shared" si="1"/>
        <v>76000</v>
      </c>
      <c r="W68" s="40" t="str">
        <f t="shared" si="2"/>
        <v>물.자</v>
      </c>
    </row>
    <row r="69" spans="1:23" ht="34.700000000000003" customHeight="1" x14ac:dyDescent="0.3">
      <c r="A69" s="9" t="s">
        <v>2224</v>
      </c>
      <c r="B69" s="10" t="s">
        <v>2218</v>
      </c>
      <c r="C69" s="10" t="s">
        <v>2225</v>
      </c>
      <c r="D69" s="9" t="s">
        <v>1010</v>
      </c>
      <c r="E69" s="33">
        <v>0</v>
      </c>
      <c r="F69" s="9"/>
      <c r="G69" s="33">
        <v>13500</v>
      </c>
      <c r="H69" s="9" t="s">
        <v>3228</v>
      </c>
      <c r="I69" s="33">
        <v>0</v>
      </c>
      <c r="J69" s="9"/>
      <c r="K69" s="33">
        <v>0</v>
      </c>
      <c r="L69" s="9"/>
      <c r="M69" s="33">
        <v>0</v>
      </c>
      <c r="N69" s="9"/>
      <c r="O69" s="33">
        <v>13500</v>
      </c>
      <c r="P69" s="22" t="s">
        <v>3188</v>
      </c>
      <c r="Q69" s="15"/>
      <c r="R69" s="17" t="s">
        <v>2226</v>
      </c>
      <c r="S69" s="3" t="str">
        <f ca="1">HYPERLINK("#"&amp;재료비목록표!G2&amp;"!A"&amp;ROW(재료비목록표!A68),"자재65 →")</f>
        <v>자재65 →</v>
      </c>
      <c r="T69" s="36">
        <v>13500</v>
      </c>
      <c r="U69" s="38">
        <f t="shared" ref="U69:U132" si="3">IF(OR(V69=0,ISERROR(MATCH(V69,E69:M69,0))),"",CHOOSE(TRUNC((MATCH(V69,E69:M69,0)/2+1)),1,2,3,4,5))</f>
        <v>2</v>
      </c>
      <c r="V69" s="39">
        <f t="shared" ref="V69:V132" si="4">IF(AND(E69=0,G69=0,I69=0,K69=0,M69=0),T69,MIN(IF(E69=0,MAX(E69:M69),E69),IF(G69=0,MAX(E69:M69),G69),IF(I69=0,MAX(E69:M69),I69),IF(K69=0,MAX(E69:M69),K69),IF(M69=0,MAX(E69:M69),M69)))</f>
        <v>13500</v>
      </c>
      <c r="W69" s="40" t="str">
        <f t="shared" ref="W69:W132" si="5">IF(OR(O69=0,U69=""),"",CHOOSE(U69,Y$5,Y$6,Y$7,Y$8,Y$9))</f>
        <v>물.자</v>
      </c>
    </row>
    <row r="70" spans="1:23" ht="34.700000000000003" customHeight="1" x14ac:dyDescent="0.3">
      <c r="A70" s="9" t="s">
        <v>2227</v>
      </c>
      <c r="B70" s="10" t="s">
        <v>2218</v>
      </c>
      <c r="C70" s="10" t="s">
        <v>2228</v>
      </c>
      <c r="D70" s="9" t="s">
        <v>1010</v>
      </c>
      <c r="E70" s="33">
        <v>0</v>
      </c>
      <c r="F70" s="9"/>
      <c r="G70" s="33">
        <v>141000</v>
      </c>
      <c r="H70" s="9" t="s">
        <v>3228</v>
      </c>
      <c r="I70" s="33">
        <v>0</v>
      </c>
      <c r="J70" s="9"/>
      <c r="K70" s="33">
        <v>0</v>
      </c>
      <c r="L70" s="9"/>
      <c r="M70" s="33">
        <v>0</v>
      </c>
      <c r="N70" s="9"/>
      <c r="O70" s="33">
        <v>141000</v>
      </c>
      <c r="P70" s="22" t="s">
        <v>3188</v>
      </c>
      <c r="Q70" s="15"/>
      <c r="R70" s="17" t="s">
        <v>2229</v>
      </c>
      <c r="S70" s="3" t="str">
        <f ca="1">HYPERLINK("#"&amp;재료비목록표!G2&amp;"!A"&amp;ROW(재료비목록표!A69),"자재66 →")</f>
        <v>자재66 →</v>
      </c>
      <c r="T70" s="36">
        <v>141000</v>
      </c>
      <c r="U70" s="38">
        <f t="shared" si="3"/>
        <v>2</v>
      </c>
      <c r="V70" s="39">
        <f t="shared" si="4"/>
        <v>141000</v>
      </c>
      <c r="W70" s="40" t="str">
        <f t="shared" si="5"/>
        <v>물.자</v>
      </c>
    </row>
    <row r="71" spans="1:23" ht="34.700000000000003" customHeight="1" x14ac:dyDescent="0.3">
      <c r="A71" s="9" t="s">
        <v>2230</v>
      </c>
      <c r="B71" s="10" t="s">
        <v>2218</v>
      </c>
      <c r="C71" s="10" t="s">
        <v>1416</v>
      </c>
      <c r="D71" s="9" t="s">
        <v>1010</v>
      </c>
      <c r="E71" s="33">
        <v>0</v>
      </c>
      <c r="F71" s="9"/>
      <c r="G71" s="33">
        <v>14500</v>
      </c>
      <c r="H71" s="9" t="s">
        <v>3228</v>
      </c>
      <c r="I71" s="33">
        <v>0</v>
      </c>
      <c r="J71" s="9"/>
      <c r="K71" s="33">
        <v>0</v>
      </c>
      <c r="L71" s="9"/>
      <c r="M71" s="33">
        <v>0</v>
      </c>
      <c r="N71" s="9"/>
      <c r="O71" s="33">
        <v>14500</v>
      </c>
      <c r="P71" s="22" t="s">
        <v>3188</v>
      </c>
      <c r="Q71" s="15"/>
      <c r="R71" s="17" t="s">
        <v>2231</v>
      </c>
      <c r="S71" s="3" t="str">
        <f ca="1">HYPERLINK("#"&amp;재료비목록표!G2&amp;"!A"&amp;ROW(재료비목록표!A70),"자재67 →")</f>
        <v>자재67 →</v>
      </c>
      <c r="T71" s="36">
        <v>14500</v>
      </c>
      <c r="U71" s="38">
        <f t="shared" si="3"/>
        <v>2</v>
      </c>
      <c r="V71" s="39">
        <f t="shared" si="4"/>
        <v>14500</v>
      </c>
      <c r="W71" s="40" t="str">
        <f t="shared" si="5"/>
        <v>물.자</v>
      </c>
    </row>
    <row r="72" spans="1:23" ht="34.700000000000003" customHeight="1" x14ac:dyDescent="0.3">
      <c r="A72" s="9" t="s">
        <v>2232</v>
      </c>
      <c r="B72" s="10" t="s">
        <v>2218</v>
      </c>
      <c r="C72" s="10" t="s">
        <v>2233</v>
      </c>
      <c r="D72" s="9" t="s">
        <v>1010</v>
      </c>
      <c r="E72" s="33">
        <v>0</v>
      </c>
      <c r="F72" s="9"/>
      <c r="G72" s="33">
        <v>16000</v>
      </c>
      <c r="H72" s="9" t="s">
        <v>3228</v>
      </c>
      <c r="I72" s="33">
        <v>0</v>
      </c>
      <c r="J72" s="9"/>
      <c r="K72" s="33">
        <v>0</v>
      </c>
      <c r="L72" s="9"/>
      <c r="M72" s="33">
        <v>0</v>
      </c>
      <c r="N72" s="9"/>
      <c r="O72" s="33">
        <v>16000</v>
      </c>
      <c r="P72" s="22" t="s">
        <v>3188</v>
      </c>
      <c r="Q72" s="15"/>
      <c r="R72" s="17" t="s">
        <v>2234</v>
      </c>
      <c r="S72" s="3" t="str">
        <f ca="1">HYPERLINK("#"&amp;재료비목록표!G2&amp;"!A"&amp;ROW(재료비목록표!A71),"자재68 →")</f>
        <v>자재68 →</v>
      </c>
      <c r="T72" s="36">
        <v>16000</v>
      </c>
      <c r="U72" s="38">
        <f t="shared" si="3"/>
        <v>2</v>
      </c>
      <c r="V72" s="39">
        <f t="shared" si="4"/>
        <v>16000</v>
      </c>
      <c r="W72" s="40" t="str">
        <f t="shared" si="5"/>
        <v>물.자</v>
      </c>
    </row>
    <row r="73" spans="1:23" ht="34.700000000000003" customHeight="1" x14ac:dyDescent="0.3">
      <c r="A73" s="9" t="s">
        <v>2235</v>
      </c>
      <c r="B73" s="10" t="s">
        <v>2218</v>
      </c>
      <c r="C73" s="10" t="s">
        <v>1419</v>
      </c>
      <c r="D73" s="9" t="s">
        <v>1010</v>
      </c>
      <c r="E73" s="33">
        <v>0</v>
      </c>
      <c r="F73" s="9"/>
      <c r="G73" s="33">
        <v>17000</v>
      </c>
      <c r="H73" s="9" t="s">
        <v>3228</v>
      </c>
      <c r="I73" s="33">
        <v>0</v>
      </c>
      <c r="J73" s="9"/>
      <c r="K73" s="33">
        <v>0</v>
      </c>
      <c r="L73" s="9"/>
      <c r="M73" s="33">
        <v>0</v>
      </c>
      <c r="N73" s="9"/>
      <c r="O73" s="33">
        <v>17000</v>
      </c>
      <c r="P73" s="22" t="s">
        <v>3188</v>
      </c>
      <c r="Q73" s="15"/>
      <c r="R73" s="17" t="s">
        <v>2236</v>
      </c>
      <c r="S73" s="3" t="str">
        <f ca="1">HYPERLINK("#"&amp;재료비목록표!G2&amp;"!A"&amp;ROW(재료비목록표!A72),"자재69 →")</f>
        <v>자재69 →</v>
      </c>
      <c r="T73" s="36">
        <v>17000</v>
      </c>
      <c r="U73" s="38">
        <f t="shared" si="3"/>
        <v>2</v>
      </c>
      <c r="V73" s="39">
        <f t="shared" si="4"/>
        <v>17000</v>
      </c>
      <c r="W73" s="40" t="str">
        <f t="shared" si="5"/>
        <v>물.자</v>
      </c>
    </row>
    <row r="74" spans="1:23" ht="34.700000000000003" customHeight="1" x14ac:dyDescent="0.3">
      <c r="A74" s="9" t="s">
        <v>2237</v>
      </c>
      <c r="B74" s="10" t="s">
        <v>2218</v>
      </c>
      <c r="C74" s="10" t="s">
        <v>2238</v>
      </c>
      <c r="D74" s="9" t="s">
        <v>1010</v>
      </c>
      <c r="E74" s="33">
        <v>0</v>
      </c>
      <c r="F74" s="9"/>
      <c r="G74" s="33">
        <v>18000</v>
      </c>
      <c r="H74" s="9" t="s">
        <v>3228</v>
      </c>
      <c r="I74" s="33">
        <v>0</v>
      </c>
      <c r="J74" s="9"/>
      <c r="K74" s="33">
        <v>0</v>
      </c>
      <c r="L74" s="9"/>
      <c r="M74" s="33">
        <v>0</v>
      </c>
      <c r="N74" s="9"/>
      <c r="O74" s="33">
        <v>18000</v>
      </c>
      <c r="P74" s="22" t="s">
        <v>3188</v>
      </c>
      <c r="Q74" s="15"/>
      <c r="R74" s="17" t="s">
        <v>2239</v>
      </c>
      <c r="S74" s="3" t="str">
        <f ca="1">HYPERLINK("#"&amp;재료비목록표!G2&amp;"!A"&amp;ROW(재료비목록표!A73),"자재70 →")</f>
        <v>자재70 →</v>
      </c>
      <c r="T74" s="36">
        <v>18000</v>
      </c>
      <c r="U74" s="38">
        <f t="shared" si="3"/>
        <v>2</v>
      </c>
      <c r="V74" s="39">
        <f t="shared" si="4"/>
        <v>18000</v>
      </c>
      <c r="W74" s="40" t="str">
        <f t="shared" si="5"/>
        <v>물.자</v>
      </c>
    </row>
    <row r="75" spans="1:23" ht="34.700000000000003" customHeight="1" x14ac:dyDescent="0.3">
      <c r="A75" s="9" t="s">
        <v>2240</v>
      </c>
      <c r="B75" s="10" t="s">
        <v>2218</v>
      </c>
      <c r="C75" s="10" t="s">
        <v>2241</v>
      </c>
      <c r="D75" s="9" t="s">
        <v>1010</v>
      </c>
      <c r="E75" s="33">
        <v>0</v>
      </c>
      <c r="F75" s="9"/>
      <c r="G75" s="33">
        <v>27000</v>
      </c>
      <c r="H75" s="9" t="s">
        <v>3228</v>
      </c>
      <c r="I75" s="33">
        <v>0</v>
      </c>
      <c r="J75" s="9"/>
      <c r="K75" s="33">
        <v>0</v>
      </c>
      <c r="L75" s="9"/>
      <c r="M75" s="33">
        <v>0</v>
      </c>
      <c r="N75" s="9"/>
      <c r="O75" s="33">
        <v>27000</v>
      </c>
      <c r="P75" s="22" t="s">
        <v>3188</v>
      </c>
      <c r="Q75" s="15"/>
      <c r="R75" s="17" t="s">
        <v>2242</v>
      </c>
      <c r="S75" s="3" t="str">
        <f ca="1">HYPERLINK("#"&amp;재료비목록표!G2&amp;"!A"&amp;ROW(재료비목록표!A74),"자재71 →")</f>
        <v>자재71 →</v>
      </c>
      <c r="T75" s="36">
        <v>27000</v>
      </c>
      <c r="U75" s="38">
        <f t="shared" si="3"/>
        <v>2</v>
      </c>
      <c r="V75" s="39">
        <f t="shared" si="4"/>
        <v>27000</v>
      </c>
      <c r="W75" s="40" t="str">
        <f t="shared" si="5"/>
        <v>물.자</v>
      </c>
    </row>
    <row r="76" spans="1:23" ht="34.700000000000003" customHeight="1" x14ac:dyDescent="0.3">
      <c r="A76" s="9" t="s">
        <v>2243</v>
      </c>
      <c r="B76" s="10" t="s">
        <v>2218</v>
      </c>
      <c r="C76" s="10" t="s">
        <v>2244</v>
      </c>
      <c r="D76" s="9" t="s">
        <v>1010</v>
      </c>
      <c r="E76" s="33">
        <v>0</v>
      </c>
      <c r="F76" s="9"/>
      <c r="G76" s="33">
        <v>47000</v>
      </c>
      <c r="H76" s="9" t="s">
        <v>3228</v>
      </c>
      <c r="I76" s="33">
        <v>0</v>
      </c>
      <c r="J76" s="9"/>
      <c r="K76" s="33">
        <v>0</v>
      </c>
      <c r="L76" s="9"/>
      <c r="M76" s="33">
        <v>0</v>
      </c>
      <c r="N76" s="9"/>
      <c r="O76" s="33">
        <v>47000</v>
      </c>
      <c r="P76" s="22" t="s">
        <v>3188</v>
      </c>
      <c r="Q76" s="15"/>
      <c r="R76" s="17" t="s">
        <v>2245</v>
      </c>
      <c r="S76" s="3" t="str">
        <f ca="1">HYPERLINK("#"&amp;재료비목록표!G2&amp;"!A"&amp;ROW(재료비목록표!A75),"자재72 →")</f>
        <v>자재72 →</v>
      </c>
      <c r="T76" s="36">
        <v>47000</v>
      </c>
      <c r="U76" s="38">
        <f t="shared" si="3"/>
        <v>2</v>
      </c>
      <c r="V76" s="39">
        <f t="shared" si="4"/>
        <v>47000</v>
      </c>
      <c r="W76" s="40" t="str">
        <f t="shared" si="5"/>
        <v>물.자</v>
      </c>
    </row>
    <row r="77" spans="1:23" ht="34.700000000000003" customHeight="1" x14ac:dyDescent="0.3">
      <c r="A77" s="9" t="s">
        <v>2246</v>
      </c>
      <c r="B77" s="10" t="s">
        <v>2247</v>
      </c>
      <c r="C77" s="10" t="s">
        <v>2248</v>
      </c>
      <c r="D77" s="9" t="s">
        <v>1676</v>
      </c>
      <c r="E77" s="33">
        <v>0</v>
      </c>
      <c r="F77" s="9"/>
      <c r="G77" s="33">
        <v>22000</v>
      </c>
      <c r="H77" s="9" t="s">
        <v>3229</v>
      </c>
      <c r="I77" s="33">
        <v>0</v>
      </c>
      <c r="J77" s="9"/>
      <c r="K77" s="33">
        <v>0</v>
      </c>
      <c r="L77" s="9"/>
      <c r="M77" s="33">
        <v>0</v>
      </c>
      <c r="N77" s="9"/>
      <c r="O77" s="33">
        <v>22000</v>
      </c>
      <c r="P77" s="22" t="s">
        <v>3188</v>
      </c>
      <c r="Q77" s="15"/>
      <c r="R77" s="17" t="s">
        <v>2249</v>
      </c>
      <c r="S77" s="3" t="str">
        <f ca="1">HYPERLINK("#"&amp;재료비목록표!G2&amp;"!A"&amp;ROW(재료비목록표!A76),"자재73 →")</f>
        <v>자재73 →</v>
      </c>
      <c r="T77" s="36">
        <v>22000</v>
      </c>
      <c r="U77" s="38">
        <f t="shared" si="3"/>
        <v>2</v>
      </c>
      <c r="V77" s="39">
        <f t="shared" si="4"/>
        <v>22000</v>
      </c>
      <c r="W77" s="40" t="str">
        <f t="shared" si="5"/>
        <v>물.자</v>
      </c>
    </row>
    <row r="78" spans="1:23" ht="34.700000000000003" customHeight="1" x14ac:dyDescent="0.3">
      <c r="A78" s="9" t="s">
        <v>2250</v>
      </c>
      <c r="B78" s="10" t="s">
        <v>2251</v>
      </c>
      <c r="C78" s="10" t="s">
        <v>2252</v>
      </c>
      <c r="D78" s="9" t="s">
        <v>1010</v>
      </c>
      <c r="E78" s="33">
        <v>0</v>
      </c>
      <c r="F78" s="9"/>
      <c r="G78" s="33">
        <v>120000</v>
      </c>
      <c r="H78" s="9" t="s">
        <v>3230</v>
      </c>
      <c r="I78" s="33">
        <v>131470</v>
      </c>
      <c r="J78" s="9" t="s">
        <v>3231</v>
      </c>
      <c r="K78" s="33">
        <v>0</v>
      </c>
      <c r="L78" s="9"/>
      <c r="M78" s="33">
        <v>0</v>
      </c>
      <c r="N78" s="9"/>
      <c r="O78" s="33">
        <v>120000</v>
      </c>
      <c r="P78" s="22" t="s">
        <v>3188</v>
      </c>
      <c r="Q78" s="15"/>
      <c r="R78" s="17" t="s">
        <v>2253</v>
      </c>
      <c r="S78" s="3" t="str">
        <f ca="1">HYPERLINK("#"&amp;재료비목록표!G2&amp;"!A"&amp;ROW(재료비목록표!A77),"자재74 →")</f>
        <v>자재74 →</v>
      </c>
      <c r="T78" s="36">
        <v>120000</v>
      </c>
      <c r="U78" s="38">
        <f t="shared" si="3"/>
        <v>2</v>
      </c>
      <c r="V78" s="39">
        <f t="shared" si="4"/>
        <v>120000</v>
      </c>
      <c r="W78" s="40" t="str">
        <f t="shared" si="5"/>
        <v>물.자</v>
      </c>
    </row>
    <row r="79" spans="1:23" ht="34.700000000000003" customHeight="1" x14ac:dyDescent="0.3">
      <c r="A79" s="9" t="s">
        <v>2254</v>
      </c>
      <c r="B79" s="10" t="s">
        <v>2251</v>
      </c>
      <c r="C79" s="10" t="s">
        <v>2255</v>
      </c>
      <c r="D79" s="9" t="s">
        <v>1010</v>
      </c>
      <c r="E79" s="33">
        <v>0</v>
      </c>
      <c r="F79" s="9"/>
      <c r="G79" s="33">
        <v>160000</v>
      </c>
      <c r="H79" s="9" t="s">
        <v>3230</v>
      </c>
      <c r="I79" s="33">
        <v>221760</v>
      </c>
      <c r="J79" s="9" t="s">
        <v>3231</v>
      </c>
      <c r="K79" s="33">
        <v>0</v>
      </c>
      <c r="L79" s="9"/>
      <c r="M79" s="33">
        <v>0</v>
      </c>
      <c r="N79" s="9"/>
      <c r="O79" s="33">
        <v>160000</v>
      </c>
      <c r="P79" s="22" t="s">
        <v>3188</v>
      </c>
      <c r="Q79" s="15"/>
      <c r="R79" s="17" t="s">
        <v>2256</v>
      </c>
      <c r="S79" s="3" t="str">
        <f ca="1">HYPERLINK("#"&amp;재료비목록표!G2&amp;"!A"&amp;ROW(재료비목록표!A78),"자재75 →")</f>
        <v>자재75 →</v>
      </c>
      <c r="T79" s="36">
        <v>160000</v>
      </c>
      <c r="U79" s="38">
        <f t="shared" si="3"/>
        <v>2</v>
      </c>
      <c r="V79" s="39">
        <f t="shared" si="4"/>
        <v>160000</v>
      </c>
      <c r="W79" s="40" t="str">
        <f t="shared" si="5"/>
        <v>물.자</v>
      </c>
    </row>
    <row r="80" spans="1:23" ht="34.700000000000003" customHeight="1" x14ac:dyDescent="0.3">
      <c r="A80" s="9" t="s">
        <v>2257</v>
      </c>
      <c r="B80" s="10" t="s">
        <v>2251</v>
      </c>
      <c r="C80" s="10" t="s">
        <v>1895</v>
      </c>
      <c r="D80" s="9" t="s">
        <v>1010</v>
      </c>
      <c r="E80" s="33">
        <v>0</v>
      </c>
      <c r="F80" s="9"/>
      <c r="G80" s="33">
        <v>200000</v>
      </c>
      <c r="H80" s="9" t="s">
        <v>3230</v>
      </c>
      <c r="I80" s="33">
        <v>475200</v>
      </c>
      <c r="J80" s="9" t="s">
        <v>3231</v>
      </c>
      <c r="K80" s="33">
        <v>0</v>
      </c>
      <c r="L80" s="9"/>
      <c r="M80" s="33">
        <v>0</v>
      </c>
      <c r="N80" s="9"/>
      <c r="O80" s="33">
        <v>200000</v>
      </c>
      <c r="P80" s="22" t="s">
        <v>3188</v>
      </c>
      <c r="Q80" s="15"/>
      <c r="R80" s="17" t="s">
        <v>2258</v>
      </c>
      <c r="S80" s="3" t="str">
        <f ca="1">HYPERLINK("#"&amp;재료비목록표!G2&amp;"!A"&amp;ROW(재료비목록표!A79),"자재76 →")</f>
        <v>자재76 →</v>
      </c>
      <c r="T80" s="36">
        <v>200000</v>
      </c>
      <c r="U80" s="38">
        <f t="shared" si="3"/>
        <v>2</v>
      </c>
      <c r="V80" s="39">
        <f t="shared" si="4"/>
        <v>200000</v>
      </c>
      <c r="W80" s="40" t="str">
        <f t="shared" si="5"/>
        <v>물.자</v>
      </c>
    </row>
    <row r="81" spans="1:23" ht="34.700000000000003" customHeight="1" x14ac:dyDescent="0.3">
      <c r="A81" s="9" t="s">
        <v>2259</v>
      </c>
      <c r="B81" s="10" t="s">
        <v>2251</v>
      </c>
      <c r="C81" s="10" t="s">
        <v>2260</v>
      </c>
      <c r="D81" s="9" t="s">
        <v>1010</v>
      </c>
      <c r="E81" s="33">
        <v>0</v>
      </c>
      <c r="F81" s="9"/>
      <c r="G81" s="33">
        <v>240000</v>
      </c>
      <c r="H81" s="9" t="s">
        <v>3230</v>
      </c>
      <c r="I81" s="33">
        <v>0</v>
      </c>
      <c r="J81" s="9"/>
      <c r="K81" s="33">
        <v>0</v>
      </c>
      <c r="L81" s="9"/>
      <c r="M81" s="33">
        <v>0</v>
      </c>
      <c r="N81" s="9"/>
      <c r="O81" s="33">
        <v>240000</v>
      </c>
      <c r="P81" s="22" t="s">
        <v>3188</v>
      </c>
      <c r="Q81" s="15"/>
      <c r="R81" s="17" t="s">
        <v>2261</v>
      </c>
      <c r="S81" s="3" t="str">
        <f ca="1">HYPERLINK("#"&amp;재료비목록표!G2&amp;"!A"&amp;ROW(재료비목록표!A80),"자재77 →")</f>
        <v>자재77 →</v>
      </c>
      <c r="T81" s="36">
        <v>240000</v>
      </c>
      <c r="U81" s="38">
        <f t="shared" si="3"/>
        <v>2</v>
      </c>
      <c r="V81" s="39">
        <f t="shared" si="4"/>
        <v>240000</v>
      </c>
      <c r="W81" s="40" t="str">
        <f t="shared" si="5"/>
        <v>물.자</v>
      </c>
    </row>
    <row r="82" spans="1:23" ht="34.700000000000003" customHeight="1" x14ac:dyDescent="0.3">
      <c r="A82" s="9" t="s">
        <v>2262</v>
      </c>
      <c r="B82" s="10" t="s">
        <v>2263</v>
      </c>
      <c r="C82" s="10" t="s">
        <v>2264</v>
      </c>
      <c r="D82" s="9" t="s">
        <v>1603</v>
      </c>
      <c r="E82" s="33">
        <v>0</v>
      </c>
      <c r="F82" s="9"/>
      <c r="G82" s="33">
        <v>42000</v>
      </c>
      <c r="H82" s="9" t="s">
        <v>3232</v>
      </c>
      <c r="I82" s="33">
        <v>37000</v>
      </c>
      <c r="J82" s="9" t="s">
        <v>3233</v>
      </c>
      <c r="K82" s="33">
        <v>0</v>
      </c>
      <c r="L82" s="9"/>
      <c r="M82" s="33">
        <v>37000</v>
      </c>
      <c r="N82" s="9" t="s">
        <v>3234</v>
      </c>
      <c r="O82" s="33">
        <v>37000</v>
      </c>
      <c r="P82" s="22" t="s">
        <v>3189</v>
      </c>
      <c r="Q82" s="15"/>
      <c r="R82" s="17" t="s">
        <v>2265</v>
      </c>
      <c r="S82" s="3" t="str">
        <f ca="1">HYPERLINK("#"&amp;재료비목록표!G2&amp;"!A"&amp;ROW(재료비목록표!A81),"자재78 →")</f>
        <v>자재78 →</v>
      </c>
      <c r="T82" s="36">
        <v>37000</v>
      </c>
      <c r="U82" s="38">
        <f t="shared" si="3"/>
        <v>3</v>
      </c>
      <c r="V82" s="39">
        <f t="shared" si="4"/>
        <v>37000</v>
      </c>
      <c r="W82" s="40" t="str">
        <f t="shared" si="5"/>
        <v>물.정</v>
      </c>
    </row>
    <row r="83" spans="1:23" ht="34.700000000000003" customHeight="1" x14ac:dyDescent="0.3">
      <c r="A83" s="9" t="s">
        <v>2266</v>
      </c>
      <c r="B83" s="10" t="s">
        <v>2267</v>
      </c>
      <c r="C83" s="10" t="s">
        <v>2268</v>
      </c>
      <c r="D83" s="9" t="s">
        <v>1010</v>
      </c>
      <c r="E83" s="33">
        <v>0</v>
      </c>
      <c r="F83" s="9"/>
      <c r="G83" s="33">
        <v>0</v>
      </c>
      <c r="H83" s="9"/>
      <c r="I83" s="33">
        <v>400000</v>
      </c>
      <c r="J83" s="9" t="s">
        <v>3235</v>
      </c>
      <c r="K83" s="33">
        <v>0</v>
      </c>
      <c r="L83" s="9"/>
      <c r="M83" s="33">
        <v>607200</v>
      </c>
      <c r="N83" s="9" t="s">
        <v>3212</v>
      </c>
      <c r="O83" s="33">
        <v>400000</v>
      </c>
      <c r="P83" s="22" t="s">
        <v>3189</v>
      </c>
      <c r="Q83" s="15"/>
      <c r="R83" s="17" t="s">
        <v>2269</v>
      </c>
      <c r="S83" s="3" t="str">
        <f ca="1">HYPERLINK("#"&amp;재료비목록표!G2&amp;"!A"&amp;ROW(재료비목록표!A82),"자재79 →")</f>
        <v>자재79 →</v>
      </c>
      <c r="T83" s="36">
        <v>400000</v>
      </c>
      <c r="U83" s="38">
        <f t="shared" si="3"/>
        <v>3</v>
      </c>
      <c r="V83" s="39">
        <f t="shared" si="4"/>
        <v>400000</v>
      </c>
      <c r="W83" s="40" t="str">
        <f t="shared" si="5"/>
        <v>물.정</v>
      </c>
    </row>
    <row r="84" spans="1:23" ht="34.700000000000003" customHeight="1" x14ac:dyDescent="0.3">
      <c r="A84" s="9" t="s">
        <v>2270</v>
      </c>
      <c r="B84" s="10" t="s">
        <v>2267</v>
      </c>
      <c r="C84" s="10" t="s">
        <v>2271</v>
      </c>
      <c r="D84" s="9" t="s">
        <v>1010</v>
      </c>
      <c r="E84" s="33">
        <v>0</v>
      </c>
      <c r="F84" s="9"/>
      <c r="G84" s="33">
        <v>0</v>
      </c>
      <c r="H84" s="9"/>
      <c r="I84" s="33">
        <v>400000</v>
      </c>
      <c r="J84" s="9" t="s">
        <v>3235</v>
      </c>
      <c r="K84" s="33">
        <v>0</v>
      </c>
      <c r="L84" s="9"/>
      <c r="M84" s="33">
        <v>834900</v>
      </c>
      <c r="N84" s="9" t="s">
        <v>3212</v>
      </c>
      <c r="O84" s="33">
        <v>400000</v>
      </c>
      <c r="P84" s="22" t="s">
        <v>3189</v>
      </c>
      <c r="Q84" s="15"/>
      <c r="R84" s="17" t="s">
        <v>2272</v>
      </c>
      <c r="S84" s="3" t="str">
        <f ca="1">HYPERLINK("#"&amp;재료비목록표!G2&amp;"!A"&amp;ROW(재료비목록표!A83),"자재80 →")</f>
        <v>자재80 →</v>
      </c>
      <c r="T84" s="36">
        <v>400000</v>
      </c>
      <c r="U84" s="38">
        <f t="shared" si="3"/>
        <v>3</v>
      </c>
      <c r="V84" s="39">
        <f t="shared" si="4"/>
        <v>400000</v>
      </c>
      <c r="W84" s="40" t="str">
        <f t="shared" si="5"/>
        <v>물.정</v>
      </c>
    </row>
    <row r="85" spans="1:23" ht="34.700000000000003" customHeight="1" x14ac:dyDescent="0.3">
      <c r="A85" s="9" t="s">
        <v>2273</v>
      </c>
      <c r="B85" s="10" t="s">
        <v>2274</v>
      </c>
      <c r="C85" s="10"/>
      <c r="D85" s="9" t="s">
        <v>1010</v>
      </c>
      <c r="E85" s="33">
        <v>0</v>
      </c>
      <c r="F85" s="9"/>
      <c r="G85" s="33">
        <v>0</v>
      </c>
      <c r="H85" s="9"/>
      <c r="I85" s="33">
        <v>0</v>
      </c>
      <c r="J85" s="9"/>
      <c r="K85" s="33">
        <v>53000</v>
      </c>
      <c r="L85" s="9" t="s">
        <v>3236</v>
      </c>
      <c r="M85" s="33">
        <v>0</v>
      </c>
      <c r="N85" s="9"/>
      <c r="O85" s="33">
        <v>53000</v>
      </c>
      <c r="P85" s="22" t="s">
        <v>3190</v>
      </c>
      <c r="Q85" s="15"/>
      <c r="R85" s="17" t="s">
        <v>2275</v>
      </c>
      <c r="S85" s="3" t="str">
        <f ca="1">HYPERLINK("#"&amp;재료비목록표!G2&amp;"!A"&amp;ROW(재료비목록표!A84),"자재81 →")</f>
        <v>자재81 →</v>
      </c>
      <c r="T85" s="36">
        <v>53000</v>
      </c>
      <c r="U85" s="38">
        <f t="shared" si="3"/>
        <v>4</v>
      </c>
      <c r="V85" s="39">
        <f t="shared" si="4"/>
        <v>53000</v>
      </c>
      <c r="W85" s="40" t="str">
        <f t="shared" si="5"/>
        <v>견적 1</v>
      </c>
    </row>
    <row r="86" spans="1:23" ht="34.700000000000003" customHeight="1" x14ac:dyDescent="0.3">
      <c r="A86" s="9" t="s">
        <v>2276</v>
      </c>
      <c r="B86" s="10" t="s">
        <v>2277</v>
      </c>
      <c r="C86" s="10" t="s">
        <v>2278</v>
      </c>
      <c r="D86" s="9" t="s">
        <v>2279</v>
      </c>
      <c r="E86" s="33">
        <v>0</v>
      </c>
      <c r="F86" s="9"/>
      <c r="G86" s="33">
        <v>5900</v>
      </c>
      <c r="H86" s="9" t="s">
        <v>3237</v>
      </c>
      <c r="I86" s="33">
        <v>5600</v>
      </c>
      <c r="J86" s="9" t="s">
        <v>3238</v>
      </c>
      <c r="K86" s="33">
        <v>0</v>
      </c>
      <c r="L86" s="9"/>
      <c r="M86" s="33">
        <v>0</v>
      </c>
      <c r="N86" s="9"/>
      <c r="O86" s="33">
        <v>5600</v>
      </c>
      <c r="P86" s="22" t="s">
        <v>3189</v>
      </c>
      <c r="Q86" s="15"/>
      <c r="R86" s="17" t="s">
        <v>2280</v>
      </c>
      <c r="S86" s="3" t="str">
        <f ca="1">HYPERLINK("#"&amp;재료비목록표!G2&amp;"!A"&amp;ROW(재료비목록표!A85),"자재82 →")</f>
        <v>자재82 →</v>
      </c>
      <c r="T86" s="36">
        <v>5600</v>
      </c>
      <c r="U86" s="38">
        <f t="shared" si="3"/>
        <v>3</v>
      </c>
      <c r="V86" s="39">
        <f t="shared" si="4"/>
        <v>5600</v>
      </c>
      <c r="W86" s="40" t="str">
        <f t="shared" si="5"/>
        <v>물.정</v>
      </c>
    </row>
    <row r="87" spans="1:23" ht="34.700000000000003" customHeight="1" x14ac:dyDescent="0.3">
      <c r="A87" s="9" t="s">
        <v>2281</v>
      </c>
      <c r="B87" s="10" t="s">
        <v>2282</v>
      </c>
      <c r="C87" s="10" t="s">
        <v>2283</v>
      </c>
      <c r="D87" s="9" t="s">
        <v>1010</v>
      </c>
      <c r="E87" s="33">
        <v>0</v>
      </c>
      <c r="F87" s="9"/>
      <c r="G87" s="33">
        <v>0</v>
      </c>
      <c r="H87" s="9"/>
      <c r="I87" s="33">
        <v>0</v>
      </c>
      <c r="J87" s="9"/>
      <c r="K87" s="33">
        <v>587000</v>
      </c>
      <c r="L87" s="9" t="s">
        <v>3236</v>
      </c>
      <c r="M87" s="33">
        <v>0</v>
      </c>
      <c r="N87" s="9"/>
      <c r="O87" s="33">
        <v>587000</v>
      </c>
      <c r="P87" s="22" t="s">
        <v>3190</v>
      </c>
      <c r="Q87" s="15"/>
      <c r="R87" s="17" t="s">
        <v>2284</v>
      </c>
      <c r="S87" s="3" t="str">
        <f ca="1">HYPERLINK("#"&amp;재료비목록표!G2&amp;"!A"&amp;ROW(재료비목록표!A86),"자재83 →")</f>
        <v>자재83 →</v>
      </c>
      <c r="T87" s="36">
        <v>587000</v>
      </c>
      <c r="U87" s="38">
        <f t="shared" si="3"/>
        <v>4</v>
      </c>
      <c r="V87" s="39">
        <f t="shared" si="4"/>
        <v>587000</v>
      </c>
      <c r="W87" s="40" t="str">
        <f t="shared" si="5"/>
        <v>견적 1</v>
      </c>
    </row>
    <row r="88" spans="1:23" ht="34.700000000000003" customHeight="1" x14ac:dyDescent="0.3">
      <c r="A88" s="9" t="s">
        <v>2285</v>
      </c>
      <c r="B88" s="10" t="s">
        <v>2282</v>
      </c>
      <c r="C88" s="10" t="s">
        <v>2286</v>
      </c>
      <c r="D88" s="9" t="s">
        <v>1010</v>
      </c>
      <c r="E88" s="33">
        <v>0</v>
      </c>
      <c r="F88" s="9"/>
      <c r="G88" s="33">
        <v>0</v>
      </c>
      <c r="H88" s="9"/>
      <c r="I88" s="33">
        <v>0</v>
      </c>
      <c r="J88" s="9"/>
      <c r="K88" s="33">
        <v>1628000</v>
      </c>
      <c r="L88" s="9" t="s">
        <v>3227</v>
      </c>
      <c r="M88" s="33">
        <v>0</v>
      </c>
      <c r="N88" s="9"/>
      <c r="O88" s="33">
        <v>1628000</v>
      </c>
      <c r="P88" s="22" t="s">
        <v>3190</v>
      </c>
      <c r="Q88" s="15"/>
      <c r="R88" s="17" t="s">
        <v>2287</v>
      </c>
      <c r="S88" s="3" t="str">
        <f ca="1">HYPERLINK("#"&amp;재료비목록표!G2&amp;"!A"&amp;ROW(재료비목록표!A87),"자재84 →")</f>
        <v>자재84 →</v>
      </c>
      <c r="T88" s="36">
        <v>1628000</v>
      </c>
      <c r="U88" s="38">
        <f t="shared" si="3"/>
        <v>4</v>
      </c>
      <c r="V88" s="39">
        <f t="shared" si="4"/>
        <v>1628000</v>
      </c>
      <c r="W88" s="40" t="str">
        <f t="shared" si="5"/>
        <v>견적 1</v>
      </c>
    </row>
    <row r="89" spans="1:23" ht="34.700000000000003" customHeight="1" x14ac:dyDescent="0.3">
      <c r="A89" s="9" t="s">
        <v>2288</v>
      </c>
      <c r="B89" s="10" t="s">
        <v>2282</v>
      </c>
      <c r="C89" s="10" t="s">
        <v>2289</v>
      </c>
      <c r="D89" s="9" t="s">
        <v>1010</v>
      </c>
      <c r="E89" s="33">
        <v>0</v>
      </c>
      <c r="F89" s="9"/>
      <c r="G89" s="33">
        <v>0</v>
      </c>
      <c r="H89" s="9"/>
      <c r="I89" s="33">
        <v>0</v>
      </c>
      <c r="J89" s="9"/>
      <c r="K89" s="33">
        <v>2054000</v>
      </c>
      <c r="L89" s="9" t="s">
        <v>3239</v>
      </c>
      <c r="M89" s="33">
        <v>0</v>
      </c>
      <c r="N89" s="9"/>
      <c r="O89" s="33">
        <v>2054000</v>
      </c>
      <c r="P89" s="22" t="s">
        <v>3190</v>
      </c>
      <c r="Q89" s="15"/>
      <c r="R89" s="17" t="s">
        <v>2290</v>
      </c>
      <c r="S89" s="3" t="str">
        <f ca="1">HYPERLINK("#"&amp;재료비목록표!G2&amp;"!A"&amp;ROW(재료비목록표!A88),"자재85 →")</f>
        <v>자재85 →</v>
      </c>
      <c r="T89" s="36">
        <v>2054000</v>
      </c>
      <c r="U89" s="38">
        <f t="shared" si="3"/>
        <v>4</v>
      </c>
      <c r="V89" s="39">
        <f t="shared" si="4"/>
        <v>2054000</v>
      </c>
      <c r="W89" s="40" t="str">
        <f t="shared" si="5"/>
        <v>견적 1</v>
      </c>
    </row>
    <row r="90" spans="1:23" ht="34.700000000000003" customHeight="1" x14ac:dyDescent="0.3">
      <c r="A90" s="9" t="s">
        <v>2291</v>
      </c>
      <c r="B90" s="10" t="s">
        <v>2282</v>
      </c>
      <c r="C90" s="10" t="s">
        <v>2292</v>
      </c>
      <c r="D90" s="9" t="s">
        <v>1010</v>
      </c>
      <c r="E90" s="33">
        <v>0</v>
      </c>
      <c r="F90" s="9"/>
      <c r="G90" s="33">
        <v>0</v>
      </c>
      <c r="H90" s="9"/>
      <c r="I90" s="33">
        <v>0</v>
      </c>
      <c r="J90" s="9"/>
      <c r="K90" s="33">
        <v>2700000</v>
      </c>
      <c r="L90" s="9" t="s">
        <v>3239</v>
      </c>
      <c r="M90" s="33">
        <v>0</v>
      </c>
      <c r="N90" s="9"/>
      <c r="O90" s="33">
        <v>2700000</v>
      </c>
      <c r="P90" s="22" t="s">
        <v>3190</v>
      </c>
      <c r="Q90" s="15"/>
      <c r="R90" s="17" t="s">
        <v>2293</v>
      </c>
      <c r="S90" s="3" t="str">
        <f ca="1">HYPERLINK("#"&amp;재료비목록표!G2&amp;"!A"&amp;ROW(재료비목록표!A89),"자재86 →")</f>
        <v>자재86 →</v>
      </c>
      <c r="T90" s="36">
        <v>2700000</v>
      </c>
      <c r="U90" s="38">
        <f t="shared" si="3"/>
        <v>4</v>
      </c>
      <c r="V90" s="39">
        <f t="shared" si="4"/>
        <v>2700000</v>
      </c>
      <c r="W90" s="40" t="str">
        <f t="shared" si="5"/>
        <v>견적 1</v>
      </c>
    </row>
    <row r="91" spans="1:23" ht="34.700000000000003" customHeight="1" x14ac:dyDescent="0.3">
      <c r="A91" s="9" t="s">
        <v>2294</v>
      </c>
      <c r="B91" s="10" t="s">
        <v>2282</v>
      </c>
      <c r="C91" s="10" t="s">
        <v>2295</v>
      </c>
      <c r="D91" s="9" t="s">
        <v>1010</v>
      </c>
      <c r="E91" s="33">
        <v>0</v>
      </c>
      <c r="F91" s="9"/>
      <c r="G91" s="33">
        <v>0</v>
      </c>
      <c r="H91" s="9"/>
      <c r="I91" s="33">
        <v>0</v>
      </c>
      <c r="J91" s="9"/>
      <c r="K91" s="33">
        <v>3384000</v>
      </c>
      <c r="L91" s="9" t="s">
        <v>3239</v>
      </c>
      <c r="M91" s="33">
        <v>0</v>
      </c>
      <c r="N91" s="9"/>
      <c r="O91" s="33">
        <v>3384000</v>
      </c>
      <c r="P91" s="22" t="s">
        <v>3190</v>
      </c>
      <c r="Q91" s="15"/>
      <c r="R91" s="17" t="s">
        <v>2296</v>
      </c>
      <c r="S91" s="3" t="str">
        <f ca="1">HYPERLINK("#"&amp;재료비목록표!G2&amp;"!A"&amp;ROW(재료비목록표!A90),"자재87 →")</f>
        <v>자재87 →</v>
      </c>
      <c r="T91" s="36">
        <v>3384000</v>
      </c>
      <c r="U91" s="38">
        <f t="shared" si="3"/>
        <v>4</v>
      </c>
      <c r="V91" s="39">
        <f t="shared" si="4"/>
        <v>3384000</v>
      </c>
      <c r="W91" s="40" t="str">
        <f t="shared" si="5"/>
        <v>견적 1</v>
      </c>
    </row>
    <row r="92" spans="1:23" ht="34.700000000000003" customHeight="1" x14ac:dyDescent="0.3">
      <c r="A92" s="9" t="s">
        <v>2297</v>
      </c>
      <c r="B92" s="10" t="s">
        <v>2282</v>
      </c>
      <c r="C92" s="10" t="s">
        <v>2298</v>
      </c>
      <c r="D92" s="9" t="s">
        <v>1010</v>
      </c>
      <c r="E92" s="33">
        <v>0</v>
      </c>
      <c r="F92" s="9"/>
      <c r="G92" s="33">
        <v>0</v>
      </c>
      <c r="H92" s="9"/>
      <c r="I92" s="33">
        <v>0</v>
      </c>
      <c r="J92" s="9"/>
      <c r="K92" s="33">
        <v>416000</v>
      </c>
      <c r="L92" s="9" t="s">
        <v>3227</v>
      </c>
      <c r="M92" s="33">
        <v>0</v>
      </c>
      <c r="N92" s="9"/>
      <c r="O92" s="33">
        <v>416000</v>
      </c>
      <c r="P92" s="22" t="s">
        <v>3190</v>
      </c>
      <c r="Q92" s="15"/>
      <c r="R92" s="17" t="s">
        <v>2299</v>
      </c>
      <c r="S92" s="3" t="str">
        <f ca="1">HYPERLINK("#"&amp;재료비목록표!G2&amp;"!A"&amp;ROW(재료비목록표!A91),"자재88 →")</f>
        <v>자재88 →</v>
      </c>
      <c r="T92" s="36">
        <v>416000</v>
      </c>
      <c r="U92" s="38">
        <f t="shared" si="3"/>
        <v>4</v>
      </c>
      <c r="V92" s="39">
        <f t="shared" si="4"/>
        <v>416000</v>
      </c>
      <c r="W92" s="40" t="str">
        <f t="shared" si="5"/>
        <v>견적 1</v>
      </c>
    </row>
    <row r="93" spans="1:23" ht="34.700000000000003" customHeight="1" x14ac:dyDescent="0.3">
      <c r="A93" s="9" t="s">
        <v>2300</v>
      </c>
      <c r="B93" s="10" t="s">
        <v>2301</v>
      </c>
      <c r="C93" s="10"/>
      <c r="D93" s="9" t="s">
        <v>2302</v>
      </c>
      <c r="E93" s="33">
        <v>0</v>
      </c>
      <c r="F93" s="9"/>
      <c r="G93" s="33">
        <v>7200</v>
      </c>
      <c r="H93" s="9" t="s">
        <v>3240</v>
      </c>
      <c r="I93" s="33">
        <v>7700</v>
      </c>
      <c r="J93" s="9" t="s">
        <v>3241</v>
      </c>
      <c r="K93" s="33">
        <v>0</v>
      </c>
      <c r="L93" s="9"/>
      <c r="M93" s="33">
        <v>7222</v>
      </c>
      <c r="N93" s="9" t="s">
        <v>3242</v>
      </c>
      <c r="O93" s="33">
        <v>7200</v>
      </c>
      <c r="P93" s="22" t="s">
        <v>3188</v>
      </c>
      <c r="Q93" s="15"/>
      <c r="R93" s="17" t="s">
        <v>2303</v>
      </c>
      <c r="S93" s="3" t="str">
        <f ca="1">HYPERLINK("#"&amp;재료비목록표!G2&amp;"!A"&amp;ROW(재료비목록표!A92),"자재89 →")</f>
        <v>자재89 →</v>
      </c>
      <c r="T93" s="36">
        <v>7200</v>
      </c>
      <c r="U93" s="38">
        <f t="shared" si="3"/>
        <v>2</v>
      </c>
      <c r="V93" s="39">
        <f t="shared" si="4"/>
        <v>7200</v>
      </c>
      <c r="W93" s="40" t="str">
        <f t="shared" si="5"/>
        <v>물.자</v>
      </c>
    </row>
    <row r="94" spans="1:23" ht="34.700000000000003" customHeight="1" x14ac:dyDescent="0.3">
      <c r="A94" s="9" t="s">
        <v>2304</v>
      </c>
      <c r="B94" s="10" t="s">
        <v>2305</v>
      </c>
      <c r="C94" s="10" t="s">
        <v>2306</v>
      </c>
      <c r="D94" s="9" t="s">
        <v>2307</v>
      </c>
      <c r="E94" s="33">
        <v>0</v>
      </c>
      <c r="F94" s="9"/>
      <c r="G94" s="33">
        <v>0</v>
      </c>
      <c r="H94" s="9"/>
      <c r="I94" s="33">
        <v>2944</v>
      </c>
      <c r="J94" s="9" t="s">
        <v>3241</v>
      </c>
      <c r="K94" s="33">
        <v>0</v>
      </c>
      <c r="L94" s="9"/>
      <c r="M94" s="33">
        <v>0</v>
      </c>
      <c r="N94" s="9"/>
      <c r="O94" s="33">
        <v>2944</v>
      </c>
      <c r="P94" s="22" t="s">
        <v>3189</v>
      </c>
      <c r="Q94" s="15"/>
      <c r="R94" s="17" t="s">
        <v>2308</v>
      </c>
      <c r="S94" s="3" t="str">
        <f ca="1">HYPERLINK("#"&amp;재료비목록표!G2&amp;"!A"&amp;ROW(재료비목록표!A93),"자재90 →")</f>
        <v>자재90 →</v>
      </c>
      <c r="T94" s="36">
        <v>2944</v>
      </c>
      <c r="U94" s="38">
        <f t="shared" si="3"/>
        <v>3</v>
      </c>
      <c r="V94" s="39">
        <f t="shared" si="4"/>
        <v>2944</v>
      </c>
      <c r="W94" s="40" t="str">
        <f t="shared" si="5"/>
        <v>물.정</v>
      </c>
    </row>
    <row r="95" spans="1:23" ht="34.700000000000003" customHeight="1" x14ac:dyDescent="0.3">
      <c r="A95" s="9" t="s">
        <v>2309</v>
      </c>
      <c r="B95" s="10" t="s">
        <v>2310</v>
      </c>
      <c r="C95" s="10" t="s">
        <v>2311</v>
      </c>
      <c r="D95" s="9" t="s">
        <v>2212</v>
      </c>
      <c r="E95" s="33">
        <v>0</v>
      </c>
      <c r="F95" s="9"/>
      <c r="G95" s="33">
        <v>0</v>
      </c>
      <c r="H95" s="9"/>
      <c r="I95" s="33">
        <v>0</v>
      </c>
      <c r="J95" s="9"/>
      <c r="K95" s="33">
        <v>0</v>
      </c>
      <c r="L95" s="9"/>
      <c r="M95" s="33">
        <v>396000</v>
      </c>
      <c r="N95" s="9" t="s">
        <v>3212</v>
      </c>
      <c r="O95" s="33">
        <v>396000</v>
      </c>
      <c r="P95" s="22" t="s">
        <v>3191</v>
      </c>
      <c r="Q95" s="15"/>
      <c r="R95" s="17" t="s">
        <v>2312</v>
      </c>
      <c r="S95" s="3" t="str">
        <f ca="1">HYPERLINK("#"&amp;재료비목록표!G2&amp;"!A"&amp;ROW(재료비목록표!A94),"자재91 →")</f>
        <v>자재91 →</v>
      </c>
      <c r="T95" s="36">
        <v>396000</v>
      </c>
      <c r="U95" s="38">
        <f t="shared" si="3"/>
        <v>5</v>
      </c>
      <c r="V95" s="39">
        <f t="shared" si="4"/>
        <v>396000</v>
      </c>
      <c r="W95" s="40" t="str">
        <f t="shared" si="5"/>
        <v>거래</v>
      </c>
    </row>
    <row r="96" spans="1:23" ht="34.700000000000003" customHeight="1" x14ac:dyDescent="0.3">
      <c r="A96" s="9" t="s">
        <v>2313</v>
      </c>
      <c r="B96" s="10" t="s">
        <v>2310</v>
      </c>
      <c r="C96" s="10" t="s">
        <v>2314</v>
      </c>
      <c r="D96" s="9" t="s">
        <v>2212</v>
      </c>
      <c r="E96" s="33">
        <v>0</v>
      </c>
      <c r="F96" s="9"/>
      <c r="G96" s="33">
        <v>0</v>
      </c>
      <c r="H96" s="9"/>
      <c r="I96" s="33">
        <v>0</v>
      </c>
      <c r="J96" s="9"/>
      <c r="K96" s="33">
        <v>0</v>
      </c>
      <c r="L96" s="9"/>
      <c r="M96" s="33">
        <v>528000</v>
      </c>
      <c r="N96" s="9" t="s">
        <v>3212</v>
      </c>
      <c r="O96" s="33">
        <v>528000</v>
      </c>
      <c r="P96" s="22" t="s">
        <v>3191</v>
      </c>
      <c r="Q96" s="15"/>
      <c r="R96" s="17" t="s">
        <v>2315</v>
      </c>
      <c r="S96" s="3" t="str">
        <f ca="1">HYPERLINK("#"&amp;재료비목록표!G2&amp;"!A"&amp;ROW(재료비목록표!A95),"자재92 →")</f>
        <v>자재92 →</v>
      </c>
      <c r="T96" s="36">
        <v>528000</v>
      </c>
      <c r="U96" s="38">
        <f t="shared" si="3"/>
        <v>5</v>
      </c>
      <c r="V96" s="39">
        <f t="shared" si="4"/>
        <v>528000</v>
      </c>
      <c r="W96" s="40" t="str">
        <f t="shared" si="5"/>
        <v>거래</v>
      </c>
    </row>
    <row r="97" spans="1:23" ht="34.700000000000003" customHeight="1" x14ac:dyDescent="0.3">
      <c r="A97" s="9" t="s">
        <v>2316</v>
      </c>
      <c r="B97" s="10" t="s">
        <v>705</v>
      </c>
      <c r="C97" s="10" t="s">
        <v>2317</v>
      </c>
      <c r="D97" s="9" t="s">
        <v>14</v>
      </c>
      <c r="E97" s="33">
        <v>0</v>
      </c>
      <c r="F97" s="9"/>
      <c r="G97" s="33">
        <v>3680000</v>
      </c>
      <c r="H97" s="9" t="s">
        <v>3243</v>
      </c>
      <c r="I97" s="33">
        <v>3662000</v>
      </c>
      <c r="J97" s="9" t="s">
        <v>3244</v>
      </c>
      <c r="K97" s="33">
        <v>0</v>
      </c>
      <c r="L97" s="9"/>
      <c r="M97" s="33">
        <v>4500000</v>
      </c>
      <c r="N97" s="9" t="s">
        <v>3212</v>
      </c>
      <c r="O97" s="33">
        <v>3662000</v>
      </c>
      <c r="P97" s="22" t="s">
        <v>3189</v>
      </c>
      <c r="Q97" s="15"/>
      <c r="R97" s="17" t="s">
        <v>2318</v>
      </c>
      <c r="S97" s="3" t="str">
        <f ca="1">HYPERLINK("#"&amp;재료비목록표!G2&amp;"!A"&amp;ROW(재료비목록표!A96),"자재93 →")</f>
        <v>자재93 →</v>
      </c>
      <c r="T97" s="36">
        <v>3662000</v>
      </c>
      <c r="U97" s="38">
        <f t="shared" si="3"/>
        <v>3</v>
      </c>
      <c r="V97" s="39">
        <f t="shared" si="4"/>
        <v>3662000</v>
      </c>
      <c r="W97" s="40" t="str">
        <f t="shared" si="5"/>
        <v>물.정</v>
      </c>
    </row>
    <row r="98" spans="1:23" ht="34.700000000000003" customHeight="1" x14ac:dyDescent="0.3">
      <c r="A98" s="9" t="s">
        <v>2319</v>
      </c>
      <c r="B98" s="10" t="s">
        <v>705</v>
      </c>
      <c r="C98" s="10" t="s">
        <v>2320</v>
      </c>
      <c r="D98" s="9" t="s">
        <v>14</v>
      </c>
      <c r="E98" s="33">
        <v>0</v>
      </c>
      <c r="F98" s="9"/>
      <c r="G98" s="33">
        <v>970000</v>
      </c>
      <c r="H98" s="9" t="s">
        <v>3245</v>
      </c>
      <c r="I98" s="33">
        <v>1187000</v>
      </c>
      <c r="J98" s="9" t="s">
        <v>3246</v>
      </c>
      <c r="K98" s="33">
        <v>0</v>
      </c>
      <c r="L98" s="9"/>
      <c r="M98" s="33">
        <v>1100000</v>
      </c>
      <c r="N98" s="9" t="s">
        <v>3247</v>
      </c>
      <c r="O98" s="33">
        <v>970000</v>
      </c>
      <c r="P98" s="22" t="s">
        <v>3188</v>
      </c>
      <c r="Q98" s="15"/>
      <c r="R98" s="17" t="s">
        <v>2321</v>
      </c>
      <c r="S98" s="3" t="str">
        <f ca="1">HYPERLINK("#"&amp;재료비목록표!G2&amp;"!A"&amp;ROW(재료비목록표!A97),"자재94 →")</f>
        <v>자재94 →</v>
      </c>
      <c r="T98" s="36">
        <v>970000</v>
      </c>
      <c r="U98" s="38">
        <f t="shared" si="3"/>
        <v>2</v>
      </c>
      <c r="V98" s="39">
        <f t="shared" si="4"/>
        <v>970000</v>
      </c>
      <c r="W98" s="40" t="str">
        <f t="shared" si="5"/>
        <v>물.자</v>
      </c>
    </row>
    <row r="99" spans="1:23" ht="34.700000000000003" customHeight="1" x14ac:dyDescent="0.3">
      <c r="A99" s="9" t="s">
        <v>2322</v>
      </c>
      <c r="B99" s="10" t="s">
        <v>705</v>
      </c>
      <c r="C99" s="10" t="s">
        <v>2323</v>
      </c>
      <c r="D99" s="9" t="s">
        <v>14</v>
      </c>
      <c r="E99" s="33">
        <v>0</v>
      </c>
      <c r="F99" s="9"/>
      <c r="G99" s="33">
        <v>1050000</v>
      </c>
      <c r="H99" s="9" t="s">
        <v>3248</v>
      </c>
      <c r="I99" s="33">
        <v>1200000</v>
      </c>
      <c r="J99" s="9" t="s">
        <v>3249</v>
      </c>
      <c r="K99" s="33">
        <v>0</v>
      </c>
      <c r="L99" s="9"/>
      <c r="M99" s="33">
        <v>1200000</v>
      </c>
      <c r="N99" s="9" t="s">
        <v>3250</v>
      </c>
      <c r="O99" s="33">
        <v>1050000</v>
      </c>
      <c r="P99" s="22" t="s">
        <v>3188</v>
      </c>
      <c r="Q99" s="15"/>
      <c r="R99" s="17" t="s">
        <v>2324</v>
      </c>
      <c r="S99" s="3" t="str">
        <f ca="1">HYPERLINK("#"&amp;재료비목록표!G2&amp;"!A"&amp;ROW(재료비목록표!A98),"자재95 →")</f>
        <v>자재95 →</v>
      </c>
      <c r="T99" s="36">
        <v>1050000</v>
      </c>
      <c r="U99" s="38">
        <f t="shared" si="3"/>
        <v>2</v>
      </c>
      <c r="V99" s="39">
        <f t="shared" si="4"/>
        <v>1050000</v>
      </c>
      <c r="W99" s="40" t="str">
        <f t="shared" si="5"/>
        <v>물.자</v>
      </c>
    </row>
    <row r="100" spans="1:23" ht="34.700000000000003" customHeight="1" x14ac:dyDescent="0.3">
      <c r="A100" s="9" t="s">
        <v>2325</v>
      </c>
      <c r="B100" s="10" t="s">
        <v>705</v>
      </c>
      <c r="C100" s="10" t="s">
        <v>2326</v>
      </c>
      <c r="D100" s="9" t="s">
        <v>14</v>
      </c>
      <c r="E100" s="33">
        <v>0</v>
      </c>
      <c r="F100" s="9"/>
      <c r="G100" s="33">
        <v>1780000</v>
      </c>
      <c r="H100" s="9" t="s">
        <v>3243</v>
      </c>
      <c r="I100" s="33">
        <v>1880000</v>
      </c>
      <c r="J100" s="9" t="s">
        <v>3244</v>
      </c>
      <c r="K100" s="33">
        <v>0</v>
      </c>
      <c r="L100" s="9"/>
      <c r="M100" s="33">
        <v>1500000</v>
      </c>
      <c r="N100" s="9" t="s">
        <v>3212</v>
      </c>
      <c r="O100" s="33">
        <v>1500000</v>
      </c>
      <c r="P100" s="22" t="s">
        <v>3191</v>
      </c>
      <c r="Q100" s="15"/>
      <c r="R100" s="17" t="s">
        <v>2327</v>
      </c>
      <c r="S100" s="3" t="str">
        <f ca="1">HYPERLINK("#"&amp;재료비목록표!G2&amp;"!A"&amp;ROW(재료비목록표!A99),"자재96 →")</f>
        <v>자재96 →</v>
      </c>
      <c r="T100" s="36">
        <v>1500000</v>
      </c>
      <c r="U100" s="38">
        <f t="shared" si="3"/>
        <v>5</v>
      </c>
      <c r="V100" s="39">
        <f t="shared" si="4"/>
        <v>1500000</v>
      </c>
      <c r="W100" s="40" t="str">
        <f t="shared" si="5"/>
        <v>거래</v>
      </c>
    </row>
    <row r="101" spans="1:23" ht="34.700000000000003" customHeight="1" x14ac:dyDescent="0.3">
      <c r="A101" s="9" t="s">
        <v>2328</v>
      </c>
      <c r="B101" s="10" t="s">
        <v>705</v>
      </c>
      <c r="C101" s="10" t="s">
        <v>2329</v>
      </c>
      <c r="D101" s="9" t="s">
        <v>14</v>
      </c>
      <c r="E101" s="33">
        <v>0</v>
      </c>
      <c r="F101" s="9"/>
      <c r="G101" s="33">
        <v>2100000</v>
      </c>
      <c r="H101" s="9" t="s">
        <v>3243</v>
      </c>
      <c r="I101" s="33">
        <v>3166000</v>
      </c>
      <c r="J101" s="9" t="s">
        <v>3244</v>
      </c>
      <c r="K101" s="33">
        <v>0</v>
      </c>
      <c r="L101" s="9"/>
      <c r="M101" s="33">
        <v>1800000</v>
      </c>
      <c r="N101" s="9" t="s">
        <v>3212</v>
      </c>
      <c r="O101" s="33">
        <v>1800000</v>
      </c>
      <c r="P101" s="22" t="s">
        <v>3191</v>
      </c>
      <c r="Q101" s="15"/>
      <c r="R101" s="17" t="s">
        <v>2330</v>
      </c>
      <c r="S101" s="3" t="str">
        <f ca="1">HYPERLINK("#"&amp;재료비목록표!G2&amp;"!A"&amp;ROW(재료비목록표!A100),"자재97 →")</f>
        <v>자재97 →</v>
      </c>
      <c r="T101" s="36">
        <v>1800000</v>
      </c>
      <c r="U101" s="38">
        <f t="shared" si="3"/>
        <v>5</v>
      </c>
      <c r="V101" s="39">
        <f t="shared" si="4"/>
        <v>1800000</v>
      </c>
      <c r="W101" s="40" t="str">
        <f t="shared" si="5"/>
        <v>거래</v>
      </c>
    </row>
    <row r="102" spans="1:23" ht="34.700000000000003" customHeight="1" x14ac:dyDescent="0.3">
      <c r="A102" s="9" t="s">
        <v>2331</v>
      </c>
      <c r="B102" s="10" t="s">
        <v>705</v>
      </c>
      <c r="C102" s="10" t="s">
        <v>2332</v>
      </c>
      <c r="D102" s="9" t="s">
        <v>14</v>
      </c>
      <c r="E102" s="33">
        <v>0</v>
      </c>
      <c r="F102" s="9"/>
      <c r="G102" s="33">
        <v>2700000</v>
      </c>
      <c r="H102" s="9" t="s">
        <v>3243</v>
      </c>
      <c r="I102" s="33">
        <v>3662000</v>
      </c>
      <c r="J102" s="9" t="s">
        <v>3244</v>
      </c>
      <c r="K102" s="33">
        <v>0</v>
      </c>
      <c r="L102" s="9"/>
      <c r="M102" s="33">
        <v>2300000</v>
      </c>
      <c r="N102" s="9" t="s">
        <v>3212</v>
      </c>
      <c r="O102" s="33">
        <v>2300000</v>
      </c>
      <c r="P102" s="22" t="s">
        <v>3191</v>
      </c>
      <c r="Q102" s="15"/>
      <c r="R102" s="17" t="s">
        <v>2333</v>
      </c>
      <c r="S102" s="3" t="str">
        <f ca="1">HYPERLINK("#"&amp;재료비목록표!G2&amp;"!A"&amp;ROW(재료비목록표!A101),"자재98 →")</f>
        <v>자재98 →</v>
      </c>
      <c r="T102" s="36">
        <v>2300000</v>
      </c>
      <c r="U102" s="38">
        <f t="shared" si="3"/>
        <v>5</v>
      </c>
      <c r="V102" s="39">
        <f t="shared" si="4"/>
        <v>2300000</v>
      </c>
      <c r="W102" s="40" t="str">
        <f t="shared" si="5"/>
        <v>거래</v>
      </c>
    </row>
    <row r="103" spans="1:23" ht="34.700000000000003" customHeight="1" x14ac:dyDescent="0.3">
      <c r="A103" s="9" t="s">
        <v>2334</v>
      </c>
      <c r="B103" s="10" t="s">
        <v>724</v>
      </c>
      <c r="C103" s="10" t="s">
        <v>2335</v>
      </c>
      <c r="D103" s="9" t="s">
        <v>14</v>
      </c>
      <c r="E103" s="33">
        <v>0</v>
      </c>
      <c r="F103" s="9"/>
      <c r="G103" s="33">
        <v>8400000</v>
      </c>
      <c r="H103" s="9" t="s">
        <v>3243</v>
      </c>
      <c r="I103" s="33">
        <v>14943000</v>
      </c>
      <c r="J103" s="9" t="s">
        <v>3244</v>
      </c>
      <c r="K103" s="33">
        <v>0</v>
      </c>
      <c r="L103" s="9"/>
      <c r="M103" s="33">
        <v>6500000</v>
      </c>
      <c r="N103" s="9" t="s">
        <v>3212</v>
      </c>
      <c r="O103" s="33">
        <v>6500000</v>
      </c>
      <c r="P103" s="22" t="s">
        <v>3191</v>
      </c>
      <c r="Q103" s="15"/>
      <c r="R103" s="17" t="s">
        <v>2336</v>
      </c>
      <c r="S103" s="3" t="str">
        <f ca="1">HYPERLINK("#"&amp;재료비목록표!G2&amp;"!A"&amp;ROW(재료비목록표!A102),"자재99 →")</f>
        <v>자재99 →</v>
      </c>
      <c r="T103" s="36">
        <v>6500000</v>
      </c>
      <c r="U103" s="38">
        <f t="shared" si="3"/>
        <v>5</v>
      </c>
      <c r="V103" s="39">
        <f t="shared" si="4"/>
        <v>6500000</v>
      </c>
      <c r="W103" s="40" t="str">
        <f t="shared" si="5"/>
        <v>거래</v>
      </c>
    </row>
    <row r="104" spans="1:23" ht="34.700000000000003" customHeight="1" x14ac:dyDescent="0.3">
      <c r="A104" s="9" t="s">
        <v>2337</v>
      </c>
      <c r="B104" s="10" t="s">
        <v>724</v>
      </c>
      <c r="C104" s="10" t="s">
        <v>2338</v>
      </c>
      <c r="D104" s="9" t="s">
        <v>14</v>
      </c>
      <c r="E104" s="33">
        <v>0</v>
      </c>
      <c r="F104" s="9"/>
      <c r="G104" s="33">
        <v>12400000</v>
      </c>
      <c r="H104" s="9" t="s">
        <v>3243</v>
      </c>
      <c r="I104" s="33">
        <v>19554000</v>
      </c>
      <c r="J104" s="9" t="s">
        <v>3244</v>
      </c>
      <c r="K104" s="33">
        <v>0</v>
      </c>
      <c r="L104" s="9"/>
      <c r="M104" s="33">
        <v>10500000</v>
      </c>
      <c r="N104" s="9" t="s">
        <v>3212</v>
      </c>
      <c r="O104" s="33">
        <v>10500000</v>
      </c>
      <c r="P104" s="22" t="s">
        <v>3191</v>
      </c>
      <c r="Q104" s="15"/>
      <c r="R104" s="17" t="s">
        <v>2339</v>
      </c>
      <c r="S104" s="3" t="str">
        <f ca="1">HYPERLINK("#"&amp;재료비목록표!G2&amp;"!A"&amp;ROW(재료비목록표!A103),"자재100 →")</f>
        <v>자재100 →</v>
      </c>
      <c r="T104" s="36">
        <v>10500000</v>
      </c>
      <c r="U104" s="38">
        <f t="shared" si="3"/>
        <v>5</v>
      </c>
      <c r="V104" s="39">
        <f t="shared" si="4"/>
        <v>10500000</v>
      </c>
      <c r="W104" s="40" t="str">
        <f t="shared" si="5"/>
        <v>거래</v>
      </c>
    </row>
    <row r="105" spans="1:23" ht="34.700000000000003" customHeight="1" x14ac:dyDescent="0.3">
      <c r="A105" s="9" t="s">
        <v>2340</v>
      </c>
      <c r="B105" s="10" t="s">
        <v>724</v>
      </c>
      <c r="C105" s="10" t="s">
        <v>2341</v>
      </c>
      <c r="D105" s="9" t="s">
        <v>14</v>
      </c>
      <c r="E105" s="33">
        <v>0</v>
      </c>
      <c r="F105" s="9"/>
      <c r="G105" s="33">
        <v>17950000</v>
      </c>
      <c r="H105" s="9" t="s">
        <v>3243</v>
      </c>
      <c r="I105" s="33">
        <v>36616000</v>
      </c>
      <c r="J105" s="9" t="s">
        <v>3244</v>
      </c>
      <c r="K105" s="33">
        <v>0</v>
      </c>
      <c r="L105" s="9"/>
      <c r="M105" s="33">
        <v>12500000</v>
      </c>
      <c r="N105" s="9" t="s">
        <v>3212</v>
      </c>
      <c r="O105" s="33">
        <v>12500000</v>
      </c>
      <c r="P105" s="22" t="s">
        <v>3191</v>
      </c>
      <c r="Q105" s="15"/>
      <c r="R105" s="17" t="s">
        <v>2342</v>
      </c>
      <c r="S105" s="3" t="str">
        <f ca="1">HYPERLINK("#"&amp;재료비목록표!G2&amp;"!A"&amp;ROW(재료비목록표!A104),"자재101 →")</f>
        <v>자재101 →</v>
      </c>
      <c r="T105" s="36">
        <v>12500000</v>
      </c>
      <c r="U105" s="38">
        <f t="shared" si="3"/>
        <v>5</v>
      </c>
      <c r="V105" s="39">
        <f t="shared" si="4"/>
        <v>12500000</v>
      </c>
      <c r="W105" s="40" t="str">
        <f t="shared" si="5"/>
        <v>거래</v>
      </c>
    </row>
    <row r="106" spans="1:23" ht="34.700000000000003" customHeight="1" x14ac:dyDescent="0.3">
      <c r="A106" s="9" t="s">
        <v>2343</v>
      </c>
      <c r="B106" s="10" t="s">
        <v>724</v>
      </c>
      <c r="C106" s="10" t="s">
        <v>2344</v>
      </c>
      <c r="D106" s="9" t="s">
        <v>14</v>
      </c>
      <c r="E106" s="33">
        <v>0</v>
      </c>
      <c r="F106" s="9"/>
      <c r="G106" s="33">
        <v>19780000</v>
      </c>
      <c r="H106" s="9" t="s">
        <v>3243</v>
      </c>
      <c r="I106" s="33">
        <v>38200000</v>
      </c>
      <c r="J106" s="9" t="s">
        <v>3244</v>
      </c>
      <c r="K106" s="33">
        <v>0</v>
      </c>
      <c r="L106" s="9"/>
      <c r="M106" s="33">
        <v>15000000</v>
      </c>
      <c r="N106" s="9" t="s">
        <v>3212</v>
      </c>
      <c r="O106" s="33">
        <v>15000000</v>
      </c>
      <c r="P106" s="22" t="s">
        <v>3191</v>
      </c>
      <c r="Q106" s="15"/>
      <c r="R106" s="17" t="s">
        <v>2345</v>
      </c>
      <c r="S106" s="3" t="str">
        <f ca="1">HYPERLINK("#"&amp;재료비목록표!G2&amp;"!A"&amp;ROW(재료비목록표!A105),"자재102 →")</f>
        <v>자재102 →</v>
      </c>
      <c r="T106" s="36">
        <v>15000000</v>
      </c>
      <c r="U106" s="38">
        <f t="shared" si="3"/>
        <v>5</v>
      </c>
      <c r="V106" s="39">
        <f t="shared" si="4"/>
        <v>15000000</v>
      </c>
      <c r="W106" s="40" t="str">
        <f t="shared" si="5"/>
        <v>거래</v>
      </c>
    </row>
    <row r="107" spans="1:23" ht="34.700000000000003" customHeight="1" x14ac:dyDescent="0.3">
      <c r="A107" s="9" t="s">
        <v>2346</v>
      </c>
      <c r="B107" s="10" t="s">
        <v>982</v>
      </c>
      <c r="C107" s="10" t="s">
        <v>2347</v>
      </c>
      <c r="D107" s="9" t="s">
        <v>1010</v>
      </c>
      <c r="E107" s="33">
        <v>0</v>
      </c>
      <c r="F107" s="9"/>
      <c r="G107" s="33">
        <v>3820000</v>
      </c>
      <c r="H107" s="9" t="s">
        <v>3251</v>
      </c>
      <c r="I107" s="33">
        <v>0</v>
      </c>
      <c r="J107" s="9"/>
      <c r="K107" s="33">
        <v>0</v>
      </c>
      <c r="L107" s="9"/>
      <c r="M107" s="33">
        <v>3600000</v>
      </c>
      <c r="N107" s="9" t="s">
        <v>3252</v>
      </c>
      <c r="O107" s="33">
        <v>3600000</v>
      </c>
      <c r="P107" s="22" t="s">
        <v>3191</v>
      </c>
      <c r="Q107" s="15"/>
      <c r="R107" s="17" t="s">
        <v>2348</v>
      </c>
      <c r="S107" s="3" t="str">
        <f ca="1">HYPERLINK("#"&amp;재료비목록표!G2&amp;"!A"&amp;ROW(재료비목록표!A106),"자재103 →")</f>
        <v>자재103 →</v>
      </c>
      <c r="T107" s="36">
        <v>3600000</v>
      </c>
      <c r="U107" s="38">
        <f t="shared" si="3"/>
        <v>5</v>
      </c>
      <c r="V107" s="39">
        <f t="shared" si="4"/>
        <v>3600000</v>
      </c>
      <c r="W107" s="40" t="str">
        <f t="shared" si="5"/>
        <v>거래</v>
      </c>
    </row>
    <row r="108" spans="1:23" ht="34.700000000000003" customHeight="1" x14ac:dyDescent="0.3">
      <c r="A108" s="9" t="s">
        <v>2349</v>
      </c>
      <c r="B108" s="10" t="s">
        <v>982</v>
      </c>
      <c r="C108" s="10" t="s">
        <v>2350</v>
      </c>
      <c r="D108" s="9" t="s">
        <v>1010</v>
      </c>
      <c r="E108" s="33">
        <v>0</v>
      </c>
      <c r="F108" s="9"/>
      <c r="G108" s="33">
        <v>4370000</v>
      </c>
      <c r="H108" s="9" t="s">
        <v>3251</v>
      </c>
      <c r="I108" s="33">
        <v>0</v>
      </c>
      <c r="J108" s="9"/>
      <c r="K108" s="33">
        <v>0</v>
      </c>
      <c r="L108" s="9"/>
      <c r="M108" s="33">
        <v>4200000</v>
      </c>
      <c r="N108" s="9" t="s">
        <v>3252</v>
      </c>
      <c r="O108" s="33">
        <v>4200000</v>
      </c>
      <c r="P108" s="22" t="s">
        <v>3191</v>
      </c>
      <c r="Q108" s="15"/>
      <c r="R108" s="17" t="s">
        <v>2351</v>
      </c>
      <c r="S108" s="3" t="str">
        <f ca="1">HYPERLINK("#"&amp;재료비목록표!G2&amp;"!A"&amp;ROW(재료비목록표!A107),"자재104 →")</f>
        <v>자재104 →</v>
      </c>
      <c r="T108" s="36">
        <v>4200000</v>
      </c>
      <c r="U108" s="38">
        <f t="shared" si="3"/>
        <v>5</v>
      </c>
      <c r="V108" s="39">
        <f t="shared" si="4"/>
        <v>4200000</v>
      </c>
      <c r="W108" s="40" t="str">
        <f t="shared" si="5"/>
        <v>거래</v>
      </c>
    </row>
    <row r="109" spans="1:23" ht="34.700000000000003" customHeight="1" x14ac:dyDescent="0.3">
      <c r="A109" s="9" t="s">
        <v>2352</v>
      </c>
      <c r="B109" s="10" t="s">
        <v>982</v>
      </c>
      <c r="C109" s="10" t="s">
        <v>2353</v>
      </c>
      <c r="D109" s="9" t="s">
        <v>1010</v>
      </c>
      <c r="E109" s="33">
        <v>0</v>
      </c>
      <c r="F109" s="9"/>
      <c r="G109" s="33">
        <v>5360000</v>
      </c>
      <c r="H109" s="9" t="s">
        <v>3251</v>
      </c>
      <c r="I109" s="33">
        <v>0</v>
      </c>
      <c r="J109" s="9"/>
      <c r="K109" s="33">
        <v>0</v>
      </c>
      <c r="L109" s="9"/>
      <c r="M109" s="33">
        <v>4550000</v>
      </c>
      <c r="N109" s="9" t="s">
        <v>3252</v>
      </c>
      <c r="O109" s="33">
        <v>4550000</v>
      </c>
      <c r="P109" s="22" t="s">
        <v>3191</v>
      </c>
      <c r="Q109" s="15"/>
      <c r="R109" s="17" t="s">
        <v>2354</v>
      </c>
      <c r="S109" s="3" t="str">
        <f ca="1">HYPERLINK("#"&amp;재료비목록표!G2&amp;"!A"&amp;ROW(재료비목록표!A108),"자재105 →")</f>
        <v>자재105 →</v>
      </c>
      <c r="T109" s="36">
        <v>4550000</v>
      </c>
      <c r="U109" s="38">
        <f t="shared" si="3"/>
        <v>5</v>
      </c>
      <c r="V109" s="39">
        <f t="shared" si="4"/>
        <v>4550000</v>
      </c>
      <c r="W109" s="40" t="str">
        <f t="shared" si="5"/>
        <v>거래</v>
      </c>
    </row>
    <row r="110" spans="1:23" ht="34.700000000000003" customHeight="1" x14ac:dyDescent="0.3">
      <c r="A110" s="9" t="s">
        <v>2355</v>
      </c>
      <c r="B110" s="10" t="s">
        <v>982</v>
      </c>
      <c r="C110" s="10" t="s">
        <v>2356</v>
      </c>
      <c r="D110" s="9" t="s">
        <v>1010</v>
      </c>
      <c r="E110" s="33">
        <v>0</v>
      </c>
      <c r="F110" s="9"/>
      <c r="G110" s="33">
        <v>5680000</v>
      </c>
      <c r="H110" s="9" t="s">
        <v>3251</v>
      </c>
      <c r="I110" s="33">
        <v>0</v>
      </c>
      <c r="J110" s="9"/>
      <c r="K110" s="33">
        <v>0</v>
      </c>
      <c r="L110" s="9"/>
      <c r="M110" s="33">
        <v>5700000</v>
      </c>
      <c r="N110" s="9" t="s">
        <v>3252</v>
      </c>
      <c r="O110" s="33">
        <v>5680000</v>
      </c>
      <c r="P110" s="22" t="s">
        <v>3188</v>
      </c>
      <c r="Q110" s="15"/>
      <c r="R110" s="17" t="s">
        <v>2357</v>
      </c>
      <c r="S110" s="3" t="str">
        <f ca="1">HYPERLINK("#"&amp;재료비목록표!G2&amp;"!A"&amp;ROW(재료비목록표!A109),"자재106 →")</f>
        <v>자재106 →</v>
      </c>
      <c r="T110" s="36">
        <v>5680000</v>
      </c>
      <c r="U110" s="38">
        <f t="shared" si="3"/>
        <v>2</v>
      </c>
      <c r="V110" s="39">
        <f t="shared" si="4"/>
        <v>5680000</v>
      </c>
      <c r="W110" s="40" t="str">
        <f t="shared" si="5"/>
        <v>물.자</v>
      </c>
    </row>
    <row r="111" spans="1:23" ht="34.700000000000003" customHeight="1" x14ac:dyDescent="0.3">
      <c r="A111" s="9" t="s">
        <v>2358</v>
      </c>
      <c r="B111" s="10" t="s">
        <v>2359</v>
      </c>
      <c r="C111" s="10" t="s">
        <v>2360</v>
      </c>
      <c r="D111" s="9" t="s">
        <v>1010</v>
      </c>
      <c r="E111" s="33">
        <v>0</v>
      </c>
      <c r="F111" s="9"/>
      <c r="G111" s="33">
        <v>328000</v>
      </c>
      <c r="H111" s="9" t="s">
        <v>3253</v>
      </c>
      <c r="I111" s="33">
        <v>315800</v>
      </c>
      <c r="J111" s="9" t="s">
        <v>3254</v>
      </c>
      <c r="K111" s="33">
        <v>0</v>
      </c>
      <c r="L111" s="9"/>
      <c r="M111" s="33">
        <v>254500</v>
      </c>
      <c r="N111" s="9" t="s">
        <v>3252</v>
      </c>
      <c r="O111" s="33">
        <v>254500</v>
      </c>
      <c r="P111" s="22" t="s">
        <v>3191</v>
      </c>
      <c r="Q111" s="15"/>
      <c r="R111" s="17" t="s">
        <v>2361</v>
      </c>
      <c r="S111" s="3" t="str">
        <f ca="1">HYPERLINK("#"&amp;재료비목록표!G2&amp;"!A"&amp;ROW(재료비목록표!A110),"자재107 →")</f>
        <v>자재107 →</v>
      </c>
      <c r="T111" s="36">
        <v>254500</v>
      </c>
      <c r="U111" s="38">
        <f t="shared" si="3"/>
        <v>5</v>
      </c>
      <c r="V111" s="39">
        <f t="shared" si="4"/>
        <v>254500</v>
      </c>
      <c r="W111" s="40" t="str">
        <f t="shared" si="5"/>
        <v>거래</v>
      </c>
    </row>
    <row r="112" spans="1:23" ht="34.700000000000003" customHeight="1" x14ac:dyDescent="0.3">
      <c r="A112" s="9" t="s">
        <v>2362</v>
      </c>
      <c r="B112" s="10" t="s">
        <v>2359</v>
      </c>
      <c r="C112" s="10" t="s">
        <v>2363</v>
      </c>
      <c r="D112" s="9" t="s">
        <v>1010</v>
      </c>
      <c r="E112" s="33">
        <v>0</v>
      </c>
      <c r="F112" s="9"/>
      <c r="G112" s="33">
        <v>575000</v>
      </c>
      <c r="H112" s="9" t="s">
        <v>3253</v>
      </c>
      <c r="I112" s="33">
        <v>418900</v>
      </c>
      <c r="J112" s="9" t="s">
        <v>3254</v>
      </c>
      <c r="K112" s="33">
        <v>0</v>
      </c>
      <c r="L112" s="9"/>
      <c r="M112" s="33">
        <v>436200</v>
      </c>
      <c r="N112" s="9" t="s">
        <v>3252</v>
      </c>
      <c r="O112" s="33">
        <v>418900</v>
      </c>
      <c r="P112" s="22" t="s">
        <v>3189</v>
      </c>
      <c r="Q112" s="15"/>
      <c r="R112" s="17" t="s">
        <v>2364</v>
      </c>
      <c r="S112" s="3" t="str">
        <f ca="1">HYPERLINK("#"&amp;재료비목록표!G2&amp;"!A"&amp;ROW(재료비목록표!A111),"자재108 →")</f>
        <v>자재108 →</v>
      </c>
      <c r="T112" s="36">
        <v>418900</v>
      </c>
      <c r="U112" s="38">
        <f t="shared" si="3"/>
        <v>3</v>
      </c>
      <c r="V112" s="39">
        <f t="shared" si="4"/>
        <v>418900</v>
      </c>
      <c r="W112" s="40" t="str">
        <f t="shared" si="5"/>
        <v>물.정</v>
      </c>
    </row>
    <row r="113" spans="1:23" ht="34.700000000000003" customHeight="1" x14ac:dyDescent="0.3">
      <c r="A113" s="9" t="s">
        <v>2365</v>
      </c>
      <c r="B113" s="10" t="s">
        <v>2359</v>
      </c>
      <c r="C113" s="10" t="s">
        <v>2366</v>
      </c>
      <c r="D113" s="9" t="s">
        <v>1010</v>
      </c>
      <c r="E113" s="33">
        <v>0</v>
      </c>
      <c r="F113" s="9"/>
      <c r="G113" s="33">
        <v>753000</v>
      </c>
      <c r="H113" s="9" t="s">
        <v>3253</v>
      </c>
      <c r="I113" s="33">
        <v>650300</v>
      </c>
      <c r="J113" s="9" t="s">
        <v>3254</v>
      </c>
      <c r="K113" s="33">
        <v>0</v>
      </c>
      <c r="L113" s="9"/>
      <c r="M113" s="33">
        <v>790700</v>
      </c>
      <c r="N113" s="9" t="s">
        <v>3252</v>
      </c>
      <c r="O113" s="33">
        <v>650300</v>
      </c>
      <c r="P113" s="22" t="s">
        <v>3189</v>
      </c>
      <c r="Q113" s="15"/>
      <c r="R113" s="17" t="s">
        <v>2367</v>
      </c>
      <c r="S113" s="3" t="str">
        <f ca="1">HYPERLINK("#"&amp;재료비목록표!G2&amp;"!A"&amp;ROW(재료비목록표!A112),"자재109 →")</f>
        <v>자재109 →</v>
      </c>
      <c r="T113" s="36">
        <v>650300</v>
      </c>
      <c r="U113" s="38">
        <f t="shared" si="3"/>
        <v>3</v>
      </c>
      <c r="V113" s="39">
        <f t="shared" si="4"/>
        <v>650300</v>
      </c>
      <c r="W113" s="40" t="str">
        <f t="shared" si="5"/>
        <v>물.정</v>
      </c>
    </row>
    <row r="114" spans="1:23" ht="34.700000000000003" customHeight="1" x14ac:dyDescent="0.3">
      <c r="A114" s="9" t="s">
        <v>2368</v>
      </c>
      <c r="B114" s="10" t="s">
        <v>2359</v>
      </c>
      <c r="C114" s="10" t="s">
        <v>2369</v>
      </c>
      <c r="D114" s="9" t="s">
        <v>1010</v>
      </c>
      <c r="E114" s="33">
        <v>0</v>
      </c>
      <c r="F114" s="9"/>
      <c r="G114" s="33">
        <v>171700</v>
      </c>
      <c r="H114" s="9" t="s">
        <v>3253</v>
      </c>
      <c r="I114" s="33">
        <v>254300</v>
      </c>
      <c r="J114" s="9" t="s">
        <v>3254</v>
      </c>
      <c r="K114" s="33">
        <v>0</v>
      </c>
      <c r="L114" s="9"/>
      <c r="M114" s="33">
        <v>114700</v>
      </c>
      <c r="N114" s="9" t="s">
        <v>3252</v>
      </c>
      <c r="O114" s="33">
        <v>114700</v>
      </c>
      <c r="P114" s="22" t="s">
        <v>3191</v>
      </c>
      <c r="Q114" s="15"/>
      <c r="R114" s="17" t="s">
        <v>2370</v>
      </c>
      <c r="S114" s="3" t="str">
        <f ca="1">HYPERLINK("#"&amp;재료비목록표!G2&amp;"!A"&amp;ROW(재료비목록표!A113),"자재110 →")</f>
        <v>자재110 →</v>
      </c>
      <c r="T114" s="36">
        <v>114700</v>
      </c>
      <c r="U114" s="38">
        <f t="shared" si="3"/>
        <v>5</v>
      </c>
      <c r="V114" s="39">
        <f t="shared" si="4"/>
        <v>114700</v>
      </c>
      <c r="W114" s="40" t="str">
        <f t="shared" si="5"/>
        <v>거래</v>
      </c>
    </row>
    <row r="115" spans="1:23" ht="34.700000000000003" customHeight="1" x14ac:dyDescent="0.3">
      <c r="A115" s="9" t="s">
        <v>2371</v>
      </c>
      <c r="B115" s="10" t="s">
        <v>2359</v>
      </c>
      <c r="C115" s="10" t="s">
        <v>2372</v>
      </c>
      <c r="D115" s="9" t="s">
        <v>1010</v>
      </c>
      <c r="E115" s="33">
        <v>0</v>
      </c>
      <c r="F115" s="9"/>
      <c r="G115" s="33">
        <v>216000</v>
      </c>
      <c r="H115" s="9" t="s">
        <v>3253</v>
      </c>
      <c r="I115" s="33">
        <v>277200</v>
      </c>
      <c r="J115" s="9" t="s">
        <v>3254</v>
      </c>
      <c r="K115" s="33">
        <v>0</v>
      </c>
      <c r="L115" s="9"/>
      <c r="M115" s="33">
        <v>148900</v>
      </c>
      <c r="N115" s="9" t="s">
        <v>3252</v>
      </c>
      <c r="O115" s="33">
        <v>148900</v>
      </c>
      <c r="P115" s="22" t="s">
        <v>3191</v>
      </c>
      <c r="Q115" s="15"/>
      <c r="R115" s="17" t="s">
        <v>2373</v>
      </c>
      <c r="S115" s="3" t="str">
        <f ca="1">HYPERLINK("#"&amp;재료비목록표!G2&amp;"!A"&amp;ROW(재료비목록표!A114),"자재111 →")</f>
        <v>자재111 →</v>
      </c>
      <c r="T115" s="36">
        <v>148900</v>
      </c>
      <c r="U115" s="38">
        <f t="shared" si="3"/>
        <v>5</v>
      </c>
      <c r="V115" s="39">
        <f t="shared" si="4"/>
        <v>148900</v>
      </c>
      <c r="W115" s="40" t="str">
        <f t="shared" si="5"/>
        <v>거래</v>
      </c>
    </row>
    <row r="116" spans="1:23" ht="34.700000000000003" customHeight="1" x14ac:dyDescent="0.3">
      <c r="A116" s="9" t="s">
        <v>2374</v>
      </c>
      <c r="B116" s="10" t="s">
        <v>2375</v>
      </c>
      <c r="C116" s="10" t="s">
        <v>2376</v>
      </c>
      <c r="D116" s="9" t="s">
        <v>1010</v>
      </c>
      <c r="E116" s="33">
        <v>0</v>
      </c>
      <c r="F116" s="9"/>
      <c r="G116" s="33">
        <v>2500</v>
      </c>
      <c r="H116" s="9" t="s">
        <v>3255</v>
      </c>
      <c r="I116" s="33">
        <v>0</v>
      </c>
      <c r="J116" s="9"/>
      <c r="K116" s="33">
        <v>0</v>
      </c>
      <c r="L116" s="9"/>
      <c r="M116" s="33">
        <v>0</v>
      </c>
      <c r="N116" s="9"/>
      <c r="O116" s="33">
        <v>2500</v>
      </c>
      <c r="P116" s="22" t="s">
        <v>3188</v>
      </c>
      <c r="Q116" s="15"/>
      <c r="R116" s="17" t="s">
        <v>2377</v>
      </c>
      <c r="S116" s="3" t="str">
        <f ca="1">HYPERLINK("#"&amp;재료비목록표!G2&amp;"!A"&amp;ROW(재료비목록표!A115),"자재112 →")</f>
        <v>자재112 →</v>
      </c>
      <c r="T116" s="36">
        <v>2500</v>
      </c>
      <c r="U116" s="38">
        <f t="shared" si="3"/>
        <v>2</v>
      </c>
      <c r="V116" s="39">
        <f t="shared" si="4"/>
        <v>2500</v>
      </c>
      <c r="W116" s="40" t="str">
        <f t="shared" si="5"/>
        <v>물.자</v>
      </c>
    </row>
    <row r="117" spans="1:23" ht="34.700000000000003" customHeight="1" x14ac:dyDescent="0.3">
      <c r="A117" s="9" t="s">
        <v>2378</v>
      </c>
      <c r="B117" s="10" t="s">
        <v>2379</v>
      </c>
      <c r="C117" s="10" t="s">
        <v>2380</v>
      </c>
      <c r="D117" s="9" t="s">
        <v>1010</v>
      </c>
      <c r="E117" s="33">
        <v>0</v>
      </c>
      <c r="F117" s="9"/>
      <c r="G117" s="33">
        <v>1400</v>
      </c>
      <c r="H117" s="9" t="s">
        <v>3255</v>
      </c>
      <c r="I117" s="33">
        <v>0</v>
      </c>
      <c r="J117" s="9"/>
      <c r="K117" s="33">
        <v>0</v>
      </c>
      <c r="L117" s="9"/>
      <c r="M117" s="33">
        <v>0</v>
      </c>
      <c r="N117" s="9"/>
      <c r="O117" s="33">
        <v>1400</v>
      </c>
      <c r="P117" s="22" t="s">
        <v>3188</v>
      </c>
      <c r="Q117" s="15"/>
      <c r="R117" s="17" t="s">
        <v>2381</v>
      </c>
      <c r="S117" s="3" t="str">
        <f ca="1">HYPERLINK("#"&amp;재료비목록표!G2&amp;"!A"&amp;ROW(재료비목록표!A116),"자재113 →")</f>
        <v>자재113 →</v>
      </c>
      <c r="T117" s="36">
        <v>1400</v>
      </c>
      <c r="U117" s="38">
        <f t="shared" si="3"/>
        <v>2</v>
      </c>
      <c r="V117" s="39">
        <f t="shared" si="4"/>
        <v>1400</v>
      </c>
      <c r="W117" s="40" t="str">
        <f t="shared" si="5"/>
        <v>물.자</v>
      </c>
    </row>
    <row r="118" spans="1:23" ht="34.700000000000003" customHeight="1" x14ac:dyDescent="0.3">
      <c r="A118" s="9" t="s">
        <v>2382</v>
      </c>
      <c r="B118" s="10" t="s">
        <v>2383</v>
      </c>
      <c r="C118" s="10" t="s">
        <v>2376</v>
      </c>
      <c r="D118" s="9" t="s">
        <v>1010</v>
      </c>
      <c r="E118" s="33">
        <v>0</v>
      </c>
      <c r="F118" s="9"/>
      <c r="G118" s="33">
        <v>16000</v>
      </c>
      <c r="H118" s="9" t="s">
        <v>3255</v>
      </c>
      <c r="I118" s="33">
        <v>0</v>
      </c>
      <c r="J118" s="9"/>
      <c r="K118" s="33">
        <v>0</v>
      </c>
      <c r="L118" s="9"/>
      <c r="M118" s="33">
        <v>0</v>
      </c>
      <c r="N118" s="9"/>
      <c r="O118" s="33">
        <v>16000</v>
      </c>
      <c r="P118" s="22" t="s">
        <v>3188</v>
      </c>
      <c r="Q118" s="15"/>
      <c r="R118" s="17" t="s">
        <v>2384</v>
      </c>
      <c r="S118" s="3" t="str">
        <f ca="1">HYPERLINK("#"&amp;재료비목록표!G2&amp;"!A"&amp;ROW(재료비목록표!A117),"자재114 →")</f>
        <v>자재114 →</v>
      </c>
      <c r="T118" s="36">
        <v>16000</v>
      </c>
      <c r="U118" s="38">
        <f t="shared" si="3"/>
        <v>2</v>
      </c>
      <c r="V118" s="39">
        <f t="shared" si="4"/>
        <v>16000</v>
      </c>
      <c r="W118" s="40" t="str">
        <f t="shared" si="5"/>
        <v>물.자</v>
      </c>
    </row>
    <row r="119" spans="1:23" ht="34.700000000000003" customHeight="1" x14ac:dyDescent="0.3">
      <c r="A119" s="9" t="s">
        <v>2385</v>
      </c>
      <c r="B119" s="10" t="s">
        <v>2386</v>
      </c>
      <c r="C119" s="10" t="s">
        <v>2387</v>
      </c>
      <c r="D119" s="9" t="s">
        <v>1010</v>
      </c>
      <c r="E119" s="33">
        <v>0</v>
      </c>
      <c r="F119" s="9"/>
      <c r="G119" s="33">
        <v>138100</v>
      </c>
      <c r="H119" s="9" t="s">
        <v>3256</v>
      </c>
      <c r="I119" s="33">
        <v>0</v>
      </c>
      <c r="J119" s="9"/>
      <c r="K119" s="33">
        <v>0</v>
      </c>
      <c r="L119" s="9"/>
      <c r="M119" s="33">
        <v>0</v>
      </c>
      <c r="N119" s="9"/>
      <c r="O119" s="33">
        <v>138100</v>
      </c>
      <c r="P119" s="22" t="s">
        <v>3188</v>
      </c>
      <c r="Q119" s="15"/>
      <c r="R119" s="17" t="s">
        <v>2388</v>
      </c>
      <c r="S119" s="3" t="str">
        <f ca="1">HYPERLINK("#"&amp;재료비목록표!G2&amp;"!A"&amp;ROW(재료비목록표!A118),"자재115 →")</f>
        <v>자재115 →</v>
      </c>
      <c r="T119" s="36">
        <v>138100</v>
      </c>
      <c r="U119" s="38">
        <f t="shared" si="3"/>
        <v>2</v>
      </c>
      <c r="V119" s="39">
        <f t="shared" si="4"/>
        <v>138100</v>
      </c>
      <c r="W119" s="40" t="str">
        <f t="shared" si="5"/>
        <v>물.자</v>
      </c>
    </row>
    <row r="120" spans="1:23" ht="34.700000000000003" customHeight="1" x14ac:dyDescent="0.3">
      <c r="A120" s="9" t="s">
        <v>2389</v>
      </c>
      <c r="B120" s="10" t="s">
        <v>2386</v>
      </c>
      <c r="C120" s="10" t="s">
        <v>2390</v>
      </c>
      <c r="D120" s="9" t="s">
        <v>1010</v>
      </c>
      <c r="E120" s="33">
        <v>0</v>
      </c>
      <c r="F120" s="9"/>
      <c r="G120" s="33">
        <v>181900</v>
      </c>
      <c r="H120" s="9" t="s">
        <v>3256</v>
      </c>
      <c r="I120" s="33">
        <v>0</v>
      </c>
      <c r="J120" s="9"/>
      <c r="K120" s="33">
        <v>0</v>
      </c>
      <c r="L120" s="9"/>
      <c r="M120" s="33">
        <v>0</v>
      </c>
      <c r="N120" s="9"/>
      <c r="O120" s="33">
        <v>181900</v>
      </c>
      <c r="P120" s="22" t="s">
        <v>3188</v>
      </c>
      <c r="Q120" s="15"/>
      <c r="R120" s="17" t="s">
        <v>2391</v>
      </c>
      <c r="S120" s="3" t="str">
        <f ca="1">HYPERLINK("#"&amp;재료비목록표!G2&amp;"!A"&amp;ROW(재료비목록표!A119),"자재116 →")</f>
        <v>자재116 →</v>
      </c>
      <c r="T120" s="36">
        <v>181900</v>
      </c>
      <c r="U120" s="38">
        <f t="shared" si="3"/>
        <v>2</v>
      </c>
      <c r="V120" s="39">
        <f t="shared" si="4"/>
        <v>181900</v>
      </c>
      <c r="W120" s="40" t="str">
        <f t="shared" si="5"/>
        <v>물.자</v>
      </c>
    </row>
    <row r="121" spans="1:23" ht="34.700000000000003" customHeight="1" x14ac:dyDescent="0.3">
      <c r="A121" s="9" t="s">
        <v>2392</v>
      </c>
      <c r="B121" s="10" t="s">
        <v>2393</v>
      </c>
      <c r="C121" s="10" t="s">
        <v>2394</v>
      </c>
      <c r="D121" s="9" t="s">
        <v>1010</v>
      </c>
      <c r="E121" s="33">
        <v>0</v>
      </c>
      <c r="F121" s="9"/>
      <c r="G121" s="33">
        <v>20000</v>
      </c>
      <c r="H121" s="9" t="s">
        <v>3257</v>
      </c>
      <c r="I121" s="33">
        <v>20000</v>
      </c>
      <c r="J121" s="9" t="s">
        <v>3258</v>
      </c>
      <c r="K121" s="33">
        <v>0</v>
      </c>
      <c r="L121" s="9"/>
      <c r="M121" s="33">
        <v>20000</v>
      </c>
      <c r="N121" s="9" t="s">
        <v>3259</v>
      </c>
      <c r="O121" s="33">
        <v>20000</v>
      </c>
      <c r="P121" s="22" t="s">
        <v>3188</v>
      </c>
      <c r="Q121" s="15"/>
      <c r="R121" s="17" t="s">
        <v>2395</v>
      </c>
      <c r="S121" s="3" t="str">
        <f ca="1">HYPERLINK("#"&amp;재료비목록표!G2&amp;"!A"&amp;ROW(재료비목록표!A120),"자재117 →")</f>
        <v>자재117 →</v>
      </c>
      <c r="T121" s="36">
        <v>20000</v>
      </c>
      <c r="U121" s="38">
        <f t="shared" si="3"/>
        <v>2</v>
      </c>
      <c r="V121" s="39">
        <f t="shared" si="4"/>
        <v>20000</v>
      </c>
      <c r="W121" s="40" t="str">
        <f t="shared" si="5"/>
        <v>물.자</v>
      </c>
    </row>
    <row r="122" spans="1:23" ht="34.700000000000003" customHeight="1" x14ac:dyDescent="0.3">
      <c r="A122" s="9" t="s">
        <v>2396</v>
      </c>
      <c r="B122" s="10" t="s">
        <v>2393</v>
      </c>
      <c r="C122" s="10" t="s">
        <v>2397</v>
      </c>
      <c r="D122" s="9" t="s">
        <v>1010</v>
      </c>
      <c r="E122" s="33">
        <v>0</v>
      </c>
      <c r="F122" s="9"/>
      <c r="G122" s="33">
        <v>23000</v>
      </c>
      <c r="H122" s="9" t="s">
        <v>3257</v>
      </c>
      <c r="I122" s="33">
        <v>23000</v>
      </c>
      <c r="J122" s="9" t="s">
        <v>3258</v>
      </c>
      <c r="K122" s="33">
        <v>0</v>
      </c>
      <c r="L122" s="9"/>
      <c r="M122" s="33">
        <v>23000</v>
      </c>
      <c r="N122" s="9" t="s">
        <v>3259</v>
      </c>
      <c r="O122" s="33">
        <v>23000</v>
      </c>
      <c r="P122" s="22" t="s">
        <v>3188</v>
      </c>
      <c r="Q122" s="15"/>
      <c r="R122" s="17" t="s">
        <v>2398</v>
      </c>
      <c r="S122" s="3" t="str">
        <f ca="1">HYPERLINK("#"&amp;재료비목록표!G2&amp;"!A"&amp;ROW(재료비목록표!A121),"자재118 →")</f>
        <v>자재118 →</v>
      </c>
      <c r="T122" s="36">
        <v>23000</v>
      </c>
      <c r="U122" s="38">
        <f t="shared" si="3"/>
        <v>2</v>
      </c>
      <c r="V122" s="39">
        <f t="shared" si="4"/>
        <v>23000</v>
      </c>
      <c r="W122" s="40" t="str">
        <f t="shared" si="5"/>
        <v>물.자</v>
      </c>
    </row>
    <row r="123" spans="1:23" ht="34.700000000000003" customHeight="1" x14ac:dyDescent="0.3">
      <c r="A123" s="9" t="s">
        <v>2399</v>
      </c>
      <c r="B123" s="10" t="s">
        <v>2393</v>
      </c>
      <c r="C123" s="10" t="s">
        <v>2400</v>
      </c>
      <c r="D123" s="9" t="s">
        <v>1010</v>
      </c>
      <c r="E123" s="33">
        <v>0</v>
      </c>
      <c r="F123" s="9"/>
      <c r="G123" s="33">
        <v>40000</v>
      </c>
      <c r="H123" s="9" t="s">
        <v>3257</v>
      </c>
      <c r="I123" s="33">
        <v>40000</v>
      </c>
      <c r="J123" s="9" t="s">
        <v>3258</v>
      </c>
      <c r="K123" s="33">
        <v>0</v>
      </c>
      <c r="L123" s="9"/>
      <c r="M123" s="33">
        <v>40000</v>
      </c>
      <c r="N123" s="9" t="s">
        <v>3259</v>
      </c>
      <c r="O123" s="33">
        <v>40000</v>
      </c>
      <c r="P123" s="22" t="s">
        <v>3188</v>
      </c>
      <c r="Q123" s="15"/>
      <c r="R123" s="17" t="s">
        <v>2401</v>
      </c>
      <c r="S123" s="3" t="str">
        <f ca="1">HYPERLINK("#"&amp;재료비목록표!G2&amp;"!A"&amp;ROW(재료비목록표!A122),"자재119 →")</f>
        <v>자재119 →</v>
      </c>
      <c r="T123" s="36">
        <v>40000</v>
      </c>
      <c r="U123" s="38">
        <f t="shared" si="3"/>
        <v>2</v>
      </c>
      <c r="V123" s="39">
        <f t="shared" si="4"/>
        <v>40000</v>
      </c>
      <c r="W123" s="40" t="str">
        <f t="shared" si="5"/>
        <v>물.자</v>
      </c>
    </row>
    <row r="124" spans="1:23" ht="34.700000000000003" customHeight="1" x14ac:dyDescent="0.3">
      <c r="A124" s="9" t="s">
        <v>2402</v>
      </c>
      <c r="B124" s="10" t="s">
        <v>2393</v>
      </c>
      <c r="C124" s="10" t="s">
        <v>2403</v>
      </c>
      <c r="D124" s="9" t="s">
        <v>1010</v>
      </c>
      <c r="E124" s="33">
        <v>0</v>
      </c>
      <c r="F124" s="9"/>
      <c r="G124" s="33">
        <v>48000</v>
      </c>
      <c r="H124" s="9" t="s">
        <v>3257</v>
      </c>
      <c r="I124" s="33">
        <v>48000</v>
      </c>
      <c r="J124" s="9" t="s">
        <v>3258</v>
      </c>
      <c r="K124" s="33">
        <v>0</v>
      </c>
      <c r="L124" s="9"/>
      <c r="M124" s="33">
        <v>48000</v>
      </c>
      <c r="N124" s="9" t="s">
        <v>3259</v>
      </c>
      <c r="O124" s="33">
        <v>48000</v>
      </c>
      <c r="P124" s="22" t="s">
        <v>3188</v>
      </c>
      <c r="Q124" s="15"/>
      <c r="R124" s="17" t="s">
        <v>2404</v>
      </c>
      <c r="S124" s="3" t="str">
        <f ca="1">HYPERLINK("#"&amp;재료비목록표!G2&amp;"!A"&amp;ROW(재료비목록표!A123),"자재120 →")</f>
        <v>자재120 →</v>
      </c>
      <c r="T124" s="36">
        <v>48000</v>
      </c>
      <c r="U124" s="38">
        <f t="shared" si="3"/>
        <v>2</v>
      </c>
      <c r="V124" s="39">
        <f t="shared" si="4"/>
        <v>48000</v>
      </c>
      <c r="W124" s="40" t="str">
        <f t="shared" si="5"/>
        <v>물.자</v>
      </c>
    </row>
    <row r="125" spans="1:23" ht="34.700000000000003" customHeight="1" x14ac:dyDescent="0.3">
      <c r="A125" s="9" t="s">
        <v>2405</v>
      </c>
      <c r="B125" s="10" t="s">
        <v>2393</v>
      </c>
      <c r="C125" s="10" t="s">
        <v>2406</v>
      </c>
      <c r="D125" s="9" t="s">
        <v>1010</v>
      </c>
      <c r="E125" s="33">
        <v>0</v>
      </c>
      <c r="F125" s="9"/>
      <c r="G125" s="33">
        <v>65000</v>
      </c>
      <c r="H125" s="9" t="s">
        <v>3257</v>
      </c>
      <c r="I125" s="33">
        <v>65000</v>
      </c>
      <c r="J125" s="9" t="s">
        <v>3258</v>
      </c>
      <c r="K125" s="33">
        <v>0</v>
      </c>
      <c r="L125" s="9"/>
      <c r="M125" s="33">
        <v>65000</v>
      </c>
      <c r="N125" s="9" t="s">
        <v>3259</v>
      </c>
      <c r="O125" s="33">
        <v>65000</v>
      </c>
      <c r="P125" s="22" t="s">
        <v>3188</v>
      </c>
      <c r="Q125" s="15"/>
      <c r="R125" s="17" t="s">
        <v>2407</v>
      </c>
      <c r="S125" s="3" t="str">
        <f ca="1">HYPERLINK("#"&amp;재료비목록표!G2&amp;"!A"&amp;ROW(재료비목록표!A124),"자재121 →")</f>
        <v>자재121 →</v>
      </c>
      <c r="T125" s="36">
        <v>65000</v>
      </c>
      <c r="U125" s="38">
        <f t="shared" si="3"/>
        <v>2</v>
      </c>
      <c r="V125" s="39">
        <f t="shared" si="4"/>
        <v>65000</v>
      </c>
      <c r="W125" s="40" t="str">
        <f t="shared" si="5"/>
        <v>물.자</v>
      </c>
    </row>
    <row r="126" spans="1:23" ht="34.700000000000003" customHeight="1" x14ac:dyDescent="0.3">
      <c r="A126" s="9" t="s">
        <v>2408</v>
      </c>
      <c r="B126" s="10" t="s">
        <v>571</v>
      </c>
      <c r="C126" s="10" t="s">
        <v>2409</v>
      </c>
      <c r="D126" s="9" t="s">
        <v>14</v>
      </c>
      <c r="E126" s="33">
        <v>0</v>
      </c>
      <c r="F126" s="9"/>
      <c r="G126" s="33">
        <v>10062000</v>
      </c>
      <c r="H126" s="9" t="s">
        <v>3260</v>
      </c>
      <c r="I126" s="33">
        <v>6078000</v>
      </c>
      <c r="J126" s="9" t="s">
        <v>3261</v>
      </c>
      <c r="K126" s="33">
        <v>0</v>
      </c>
      <c r="L126" s="9"/>
      <c r="M126" s="33">
        <v>0</v>
      </c>
      <c r="N126" s="9"/>
      <c r="O126" s="33">
        <v>6078000</v>
      </c>
      <c r="P126" s="22" t="s">
        <v>3189</v>
      </c>
      <c r="Q126" s="15"/>
      <c r="R126" s="17" t="s">
        <v>2410</v>
      </c>
      <c r="S126" s="3" t="str">
        <f ca="1">HYPERLINK("#"&amp;재료비목록표!G2&amp;"!A"&amp;ROW(재료비목록표!A125),"자재122 →")</f>
        <v>자재122 →</v>
      </c>
      <c r="T126" s="36">
        <v>6078000</v>
      </c>
      <c r="U126" s="38">
        <f t="shared" si="3"/>
        <v>3</v>
      </c>
      <c r="V126" s="39">
        <f t="shared" si="4"/>
        <v>6078000</v>
      </c>
      <c r="W126" s="40" t="str">
        <f t="shared" si="5"/>
        <v>물.정</v>
      </c>
    </row>
    <row r="127" spans="1:23" ht="34.700000000000003" customHeight="1" x14ac:dyDescent="0.3">
      <c r="A127" s="9" t="s">
        <v>2411</v>
      </c>
      <c r="B127" s="10" t="s">
        <v>571</v>
      </c>
      <c r="C127" s="10" t="s">
        <v>2412</v>
      </c>
      <c r="D127" s="9" t="s">
        <v>14</v>
      </c>
      <c r="E127" s="33">
        <v>0</v>
      </c>
      <c r="F127" s="9"/>
      <c r="G127" s="33">
        <v>15067000</v>
      </c>
      <c r="H127" s="9" t="s">
        <v>3260</v>
      </c>
      <c r="I127" s="33">
        <v>8040000</v>
      </c>
      <c r="J127" s="9" t="s">
        <v>3261</v>
      </c>
      <c r="K127" s="33">
        <v>0</v>
      </c>
      <c r="L127" s="9"/>
      <c r="M127" s="33">
        <v>0</v>
      </c>
      <c r="N127" s="9"/>
      <c r="O127" s="33">
        <v>8040000</v>
      </c>
      <c r="P127" s="22" t="s">
        <v>3189</v>
      </c>
      <c r="Q127" s="15"/>
      <c r="R127" s="17" t="s">
        <v>2413</v>
      </c>
      <c r="S127" s="3" t="str">
        <f ca="1">HYPERLINK("#"&amp;재료비목록표!G2&amp;"!A"&amp;ROW(재료비목록표!A126),"자재123 →")</f>
        <v>자재123 →</v>
      </c>
      <c r="T127" s="36">
        <v>8040000</v>
      </c>
      <c r="U127" s="38">
        <f t="shared" si="3"/>
        <v>3</v>
      </c>
      <c r="V127" s="39">
        <f t="shared" si="4"/>
        <v>8040000</v>
      </c>
      <c r="W127" s="40" t="str">
        <f t="shared" si="5"/>
        <v>물.정</v>
      </c>
    </row>
    <row r="128" spans="1:23" ht="34.700000000000003" customHeight="1" x14ac:dyDescent="0.3">
      <c r="A128" s="9" t="s">
        <v>2414</v>
      </c>
      <c r="B128" s="10" t="s">
        <v>571</v>
      </c>
      <c r="C128" s="10" t="s">
        <v>2415</v>
      </c>
      <c r="D128" s="9" t="s">
        <v>14</v>
      </c>
      <c r="E128" s="33">
        <v>0</v>
      </c>
      <c r="F128" s="9"/>
      <c r="G128" s="33">
        <v>2276000</v>
      </c>
      <c r="H128" s="9" t="s">
        <v>3260</v>
      </c>
      <c r="I128" s="33">
        <v>1698000</v>
      </c>
      <c r="J128" s="9" t="s">
        <v>3261</v>
      </c>
      <c r="K128" s="33">
        <v>0</v>
      </c>
      <c r="L128" s="9"/>
      <c r="M128" s="33">
        <v>0</v>
      </c>
      <c r="N128" s="9"/>
      <c r="O128" s="33">
        <v>1698000</v>
      </c>
      <c r="P128" s="22" t="s">
        <v>3189</v>
      </c>
      <c r="Q128" s="15"/>
      <c r="R128" s="17" t="s">
        <v>2416</v>
      </c>
      <c r="S128" s="3" t="str">
        <f ca="1">HYPERLINK("#"&amp;재료비목록표!G2&amp;"!A"&amp;ROW(재료비목록표!A127),"자재124 →")</f>
        <v>자재124 →</v>
      </c>
      <c r="T128" s="36">
        <v>1698000</v>
      </c>
      <c r="U128" s="38">
        <f t="shared" si="3"/>
        <v>3</v>
      </c>
      <c r="V128" s="39">
        <f t="shared" si="4"/>
        <v>1698000</v>
      </c>
      <c r="W128" s="40" t="str">
        <f t="shared" si="5"/>
        <v>물.정</v>
      </c>
    </row>
    <row r="129" spans="1:23" ht="34.700000000000003" customHeight="1" x14ac:dyDescent="0.3">
      <c r="A129" s="9" t="s">
        <v>2417</v>
      </c>
      <c r="B129" s="10" t="s">
        <v>571</v>
      </c>
      <c r="C129" s="10" t="s">
        <v>2418</v>
      </c>
      <c r="D129" s="9" t="s">
        <v>14</v>
      </c>
      <c r="E129" s="33">
        <v>0</v>
      </c>
      <c r="F129" s="9"/>
      <c r="G129" s="33">
        <v>17396000</v>
      </c>
      <c r="H129" s="9" t="s">
        <v>3260</v>
      </c>
      <c r="I129" s="33">
        <v>9642000</v>
      </c>
      <c r="J129" s="9" t="s">
        <v>3261</v>
      </c>
      <c r="K129" s="33">
        <v>0</v>
      </c>
      <c r="L129" s="9"/>
      <c r="M129" s="33">
        <v>0</v>
      </c>
      <c r="N129" s="9"/>
      <c r="O129" s="33">
        <v>9642000</v>
      </c>
      <c r="P129" s="22" t="s">
        <v>3189</v>
      </c>
      <c r="Q129" s="15"/>
      <c r="R129" s="17" t="s">
        <v>2419</v>
      </c>
      <c r="S129" s="3" t="str">
        <f ca="1">HYPERLINK("#"&amp;재료비목록표!G2&amp;"!A"&amp;ROW(재료비목록표!A128),"자재125 →")</f>
        <v>자재125 →</v>
      </c>
      <c r="T129" s="36">
        <v>9642000</v>
      </c>
      <c r="U129" s="38">
        <f t="shared" si="3"/>
        <v>3</v>
      </c>
      <c r="V129" s="39">
        <f t="shared" si="4"/>
        <v>9642000</v>
      </c>
      <c r="W129" s="40" t="str">
        <f t="shared" si="5"/>
        <v>물.정</v>
      </c>
    </row>
    <row r="130" spans="1:23" ht="34.700000000000003" customHeight="1" x14ac:dyDescent="0.3">
      <c r="A130" s="9" t="s">
        <v>2420</v>
      </c>
      <c r="B130" s="10" t="s">
        <v>571</v>
      </c>
      <c r="C130" s="10" t="s">
        <v>2421</v>
      </c>
      <c r="D130" s="9" t="s">
        <v>14</v>
      </c>
      <c r="E130" s="33">
        <v>0</v>
      </c>
      <c r="F130" s="9"/>
      <c r="G130" s="33">
        <v>3384000</v>
      </c>
      <c r="H130" s="9" t="s">
        <v>3260</v>
      </c>
      <c r="I130" s="33">
        <v>2532000</v>
      </c>
      <c r="J130" s="9" t="s">
        <v>3261</v>
      </c>
      <c r="K130" s="33">
        <v>0</v>
      </c>
      <c r="L130" s="9"/>
      <c r="M130" s="33">
        <v>0</v>
      </c>
      <c r="N130" s="9"/>
      <c r="O130" s="33">
        <v>2532000</v>
      </c>
      <c r="P130" s="22" t="s">
        <v>3189</v>
      </c>
      <c r="Q130" s="15"/>
      <c r="R130" s="17" t="s">
        <v>2422</v>
      </c>
      <c r="S130" s="3" t="str">
        <f ca="1">HYPERLINK("#"&amp;재료비목록표!G2&amp;"!A"&amp;ROW(재료비목록표!A129),"자재126 →")</f>
        <v>자재126 →</v>
      </c>
      <c r="T130" s="36">
        <v>2532000</v>
      </c>
      <c r="U130" s="38">
        <f t="shared" si="3"/>
        <v>3</v>
      </c>
      <c r="V130" s="39">
        <f t="shared" si="4"/>
        <v>2532000</v>
      </c>
      <c r="W130" s="40" t="str">
        <f t="shared" si="5"/>
        <v>물.정</v>
      </c>
    </row>
    <row r="131" spans="1:23" ht="34.700000000000003" customHeight="1" x14ac:dyDescent="0.3">
      <c r="A131" s="9" t="s">
        <v>2423</v>
      </c>
      <c r="B131" s="10" t="s">
        <v>571</v>
      </c>
      <c r="C131" s="10" t="s">
        <v>2424</v>
      </c>
      <c r="D131" s="9" t="s">
        <v>14</v>
      </c>
      <c r="E131" s="33">
        <v>0</v>
      </c>
      <c r="F131" s="9"/>
      <c r="G131" s="33">
        <v>20447000</v>
      </c>
      <c r="H131" s="9" t="s">
        <v>3260</v>
      </c>
      <c r="I131" s="33">
        <v>13878000</v>
      </c>
      <c r="J131" s="9" t="s">
        <v>3261</v>
      </c>
      <c r="K131" s="33">
        <v>0</v>
      </c>
      <c r="L131" s="9"/>
      <c r="M131" s="33">
        <v>0</v>
      </c>
      <c r="N131" s="9"/>
      <c r="O131" s="33">
        <v>13878000</v>
      </c>
      <c r="P131" s="22" t="s">
        <v>3189</v>
      </c>
      <c r="Q131" s="15"/>
      <c r="R131" s="17" t="s">
        <v>2425</v>
      </c>
      <c r="S131" s="3" t="str">
        <f ca="1">HYPERLINK("#"&amp;재료비목록표!G2&amp;"!A"&amp;ROW(재료비목록표!A130),"자재127 →")</f>
        <v>자재127 →</v>
      </c>
      <c r="T131" s="36">
        <v>13878000</v>
      </c>
      <c r="U131" s="38">
        <f t="shared" si="3"/>
        <v>3</v>
      </c>
      <c r="V131" s="39">
        <f t="shared" si="4"/>
        <v>13878000</v>
      </c>
      <c r="W131" s="40" t="str">
        <f t="shared" si="5"/>
        <v>물.정</v>
      </c>
    </row>
    <row r="132" spans="1:23" ht="34.700000000000003" customHeight="1" x14ac:dyDescent="0.3">
      <c r="A132" s="9" t="s">
        <v>2426</v>
      </c>
      <c r="B132" s="10" t="s">
        <v>571</v>
      </c>
      <c r="C132" s="10" t="s">
        <v>2427</v>
      </c>
      <c r="D132" s="9" t="s">
        <v>14</v>
      </c>
      <c r="E132" s="33">
        <v>0</v>
      </c>
      <c r="F132" s="9"/>
      <c r="G132" s="33">
        <v>5452000</v>
      </c>
      <c r="H132" s="9" t="s">
        <v>3260</v>
      </c>
      <c r="I132" s="33">
        <v>4026000</v>
      </c>
      <c r="J132" s="9" t="s">
        <v>3261</v>
      </c>
      <c r="K132" s="33">
        <v>0</v>
      </c>
      <c r="L132" s="9"/>
      <c r="M132" s="33">
        <v>0</v>
      </c>
      <c r="N132" s="9"/>
      <c r="O132" s="33">
        <v>4026000</v>
      </c>
      <c r="P132" s="22" t="s">
        <v>3189</v>
      </c>
      <c r="Q132" s="15"/>
      <c r="R132" s="17" t="s">
        <v>2428</v>
      </c>
      <c r="S132" s="3" t="str">
        <f ca="1">HYPERLINK("#"&amp;재료비목록표!G2&amp;"!A"&amp;ROW(재료비목록표!A131),"자재128 →")</f>
        <v>자재128 →</v>
      </c>
      <c r="T132" s="36">
        <v>4026000</v>
      </c>
      <c r="U132" s="38">
        <f t="shared" si="3"/>
        <v>3</v>
      </c>
      <c r="V132" s="39">
        <f t="shared" si="4"/>
        <v>4026000</v>
      </c>
      <c r="W132" s="40" t="str">
        <f t="shared" si="5"/>
        <v>물.정</v>
      </c>
    </row>
    <row r="133" spans="1:23" ht="34.700000000000003" customHeight="1" x14ac:dyDescent="0.3">
      <c r="A133" s="9" t="s">
        <v>2429</v>
      </c>
      <c r="B133" s="10" t="s">
        <v>571</v>
      </c>
      <c r="C133" s="10" t="s">
        <v>2430</v>
      </c>
      <c r="D133" s="9" t="s">
        <v>14</v>
      </c>
      <c r="E133" s="33">
        <v>0</v>
      </c>
      <c r="F133" s="9"/>
      <c r="G133" s="33">
        <v>21693000</v>
      </c>
      <c r="H133" s="9" t="s">
        <v>3260</v>
      </c>
      <c r="I133" s="33">
        <v>16653000</v>
      </c>
      <c r="J133" s="9" t="s">
        <v>3261</v>
      </c>
      <c r="K133" s="33">
        <v>0</v>
      </c>
      <c r="L133" s="9"/>
      <c r="M133" s="33">
        <v>0</v>
      </c>
      <c r="N133" s="9"/>
      <c r="O133" s="33">
        <v>16653000</v>
      </c>
      <c r="P133" s="22" t="s">
        <v>3189</v>
      </c>
      <c r="Q133" s="15"/>
      <c r="R133" s="17" t="s">
        <v>2431</v>
      </c>
      <c r="S133" s="3" t="str">
        <f ca="1">HYPERLINK("#"&amp;재료비목록표!G2&amp;"!A"&amp;ROW(재료비목록표!A132),"자재129 →")</f>
        <v>자재129 →</v>
      </c>
      <c r="T133" s="36">
        <v>16653000</v>
      </c>
      <c r="U133" s="38">
        <f t="shared" ref="U133:U196" si="6">IF(OR(V133=0,ISERROR(MATCH(V133,E133:M133,0))),"",CHOOSE(TRUNC((MATCH(V133,E133:M133,0)/2+1)),1,2,3,4,5))</f>
        <v>3</v>
      </c>
      <c r="V133" s="39">
        <f t="shared" ref="V133:V196" si="7">IF(AND(E133=0,G133=0,I133=0,K133=0,M133=0),T133,MIN(IF(E133=0,MAX(E133:M133),E133),IF(G133=0,MAX(E133:M133),G133),IF(I133=0,MAX(E133:M133),I133),IF(K133=0,MAX(E133:M133),K133),IF(M133=0,MAX(E133:M133),M133)))</f>
        <v>16653000</v>
      </c>
      <c r="W133" s="40" t="str">
        <f t="shared" ref="W133:W196" si="8">IF(OR(O133=0,U133=""),"",CHOOSE(U133,Y$5,Y$6,Y$7,Y$8,Y$9))</f>
        <v>물.정</v>
      </c>
    </row>
    <row r="134" spans="1:23" ht="34.700000000000003" customHeight="1" x14ac:dyDescent="0.3">
      <c r="A134" s="9" t="s">
        <v>2432</v>
      </c>
      <c r="B134" s="10" t="s">
        <v>571</v>
      </c>
      <c r="C134" s="10" t="s">
        <v>2433</v>
      </c>
      <c r="D134" s="9" t="s">
        <v>14</v>
      </c>
      <c r="E134" s="33">
        <v>0</v>
      </c>
      <c r="F134" s="9"/>
      <c r="G134" s="33">
        <v>30576000</v>
      </c>
      <c r="H134" s="9" t="s">
        <v>3260</v>
      </c>
      <c r="I134" s="33">
        <v>19984000</v>
      </c>
      <c r="J134" s="9" t="s">
        <v>3261</v>
      </c>
      <c r="K134" s="33">
        <v>0</v>
      </c>
      <c r="L134" s="9"/>
      <c r="M134" s="33">
        <v>0</v>
      </c>
      <c r="N134" s="9"/>
      <c r="O134" s="33">
        <v>19984000</v>
      </c>
      <c r="P134" s="22" t="s">
        <v>3189</v>
      </c>
      <c r="Q134" s="15"/>
      <c r="R134" s="17" t="s">
        <v>2434</v>
      </c>
      <c r="S134" s="3" t="str">
        <f ca="1">HYPERLINK("#"&amp;재료비목록표!G2&amp;"!A"&amp;ROW(재료비목록표!A133),"자재130 →")</f>
        <v>자재130 →</v>
      </c>
      <c r="T134" s="36">
        <v>19984000</v>
      </c>
      <c r="U134" s="38">
        <f t="shared" si="6"/>
        <v>3</v>
      </c>
      <c r="V134" s="39">
        <f t="shared" si="7"/>
        <v>19984000</v>
      </c>
      <c r="W134" s="40" t="str">
        <f t="shared" si="8"/>
        <v>물.정</v>
      </c>
    </row>
    <row r="135" spans="1:23" ht="34.700000000000003" customHeight="1" x14ac:dyDescent="0.3">
      <c r="A135" s="9" t="s">
        <v>2435</v>
      </c>
      <c r="B135" s="10" t="s">
        <v>571</v>
      </c>
      <c r="C135" s="10" t="s">
        <v>2436</v>
      </c>
      <c r="D135" s="9" t="s">
        <v>14</v>
      </c>
      <c r="E135" s="33">
        <v>0</v>
      </c>
      <c r="F135" s="9"/>
      <c r="G135" s="33">
        <v>4328000</v>
      </c>
      <c r="H135" s="9" t="s">
        <v>3260</v>
      </c>
      <c r="I135" s="33">
        <v>3282000</v>
      </c>
      <c r="J135" s="9" t="s">
        <v>3261</v>
      </c>
      <c r="K135" s="33">
        <v>0</v>
      </c>
      <c r="L135" s="9"/>
      <c r="M135" s="33">
        <v>0</v>
      </c>
      <c r="N135" s="9"/>
      <c r="O135" s="33">
        <v>3282000</v>
      </c>
      <c r="P135" s="22" t="s">
        <v>3189</v>
      </c>
      <c r="Q135" s="15"/>
      <c r="R135" s="17" t="s">
        <v>2437</v>
      </c>
      <c r="S135" s="3" t="str">
        <f ca="1">HYPERLINK("#"&amp;재료비목록표!G2&amp;"!A"&amp;ROW(재료비목록표!A134),"자재131 →")</f>
        <v>자재131 →</v>
      </c>
      <c r="T135" s="36">
        <v>3282000</v>
      </c>
      <c r="U135" s="38">
        <f t="shared" si="6"/>
        <v>3</v>
      </c>
      <c r="V135" s="39">
        <f t="shared" si="7"/>
        <v>3282000</v>
      </c>
      <c r="W135" s="40" t="str">
        <f t="shared" si="8"/>
        <v>물.정</v>
      </c>
    </row>
    <row r="136" spans="1:23" ht="34.700000000000003" customHeight="1" x14ac:dyDescent="0.3">
      <c r="A136" s="9" t="s">
        <v>2438</v>
      </c>
      <c r="B136" s="10" t="s">
        <v>571</v>
      </c>
      <c r="C136" s="10" t="s">
        <v>2439</v>
      </c>
      <c r="D136" s="9" t="s">
        <v>14</v>
      </c>
      <c r="E136" s="33">
        <v>0</v>
      </c>
      <c r="F136" s="9"/>
      <c r="G136" s="33">
        <v>40865000</v>
      </c>
      <c r="H136" s="9" t="s">
        <v>3260</v>
      </c>
      <c r="I136" s="33">
        <v>23981000</v>
      </c>
      <c r="J136" s="9" t="s">
        <v>3261</v>
      </c>
      <c r="K136" s="33">
        <v>0</v>
      </c>
      <c r="L136" s="9"/>
      <c r="M136" s="33">
        <v>0</v>
      </c>
      <c r="N136" s="9"/>
      <c r="O136" s="33">
        <v>23981000</v>
      </c>
      <c r="P136" s="22" t="s">
        <v>3189</v>
      </c>
      <c r="Q136" s="15"/>
      <c r="R136" s="17" t="s">
        <v>2440</v>
      </c>
      <c r="S136" s="3" t="str">
        <f ca="1">HYPERLINK("#"&amp;재료비목록표!G2&amp;"!A"&amp;ROW(재료비목록표!A135),"자재132 →")</f>
        <v>자재132 →</v>
      </c>
      <c r="T136" s="36">
        <v>23981000</v>
      </c>
      <c r="U136" s="38">
        <f t="shared" si="6"/>
        <v>3</v>
      </c>
      <c r="V136" s="39">
        <f t="shared" si="7"/>
        <v>23981000</v>
      </c>
      <c r="W136" s="40" t="str">
        <f t="shared" si="8"/>
        <v>물.정</v>
      </c>
    </row>
    <row r="137" spans="1:23" ht="34.700000000000003" customHeight="1" x14ac:dyDescent="0.3">
      <c r="A137" s="9" t="s">
        <v>2441</v>
      </c>
      <c r="B137" s="10" t="s">
        <v>571</v>
      </c>
      <c r="C137" s="10" t="s">
        <v>2442</v>
      </c>
      <c r="D137" s="9" t="s">
        <v>14</v>
      </c>
      <c r="E137" s="33">
        <v>0</v>
      </c>
      <c r="F137" s="9"/>
      <c r="G137" s="33">
        <v>8024000</v>
      </c>
      <c r="H137" s="9" t="s">
        <v>3260</v>
      </c>
      <c r="I137" s="33">
        <v>5976000</v>
      </c>
      <c r="J137" s="9" t="s">
        <v>3261</v>
      </c>
      <c r="K137" s="33">
        <v>0</v>
      </c>
      <c r="L137" s="9"/>
      <c r="M137" s="33">
        <v>0</v>
      </c>
      <c r="N137" s="9"/>
      <c r="O137" s="33">
        <v>5976000</v>
      </c>
      <c r="P137" s="22" t="s">
        <v>3189</v>
      </c>
      <c r="Q137" s="15"/>
      <c r="R137" s="17" t="s">
        <v>2443</v>
      </c>
      <c r="S137" s="3" t="str">
        <f ca="1">HYPERLINK("#"&amp;재료비목록표!G2&amp;"!A"&amp;ROW(재료비목록표!A136),"자재133 →")</f>
        <v>자재133 →</v>
      </c>
      <c r="T137" s="36">
        <v>5976000</v>
      </c>
      <c r="U137" s="38">
        <f t="shared" si="6"/>
        <v>3</v>
      </c>
      <c r="V137" s="39">
        <f t="shared" si="7"/>
        <v>5976000</v>
      </c>
      <c r="W137" s="40" t="str">
        <f t="shared" si="8"/>
        <v>물.정</v>
      </c>
    </row>
    <row r="138" spans="1:23" ht="34.700000000000003" customHeight="1" x14ac:dyDescent="0.3">
      <c r="A138" s="9" t="s">
        <v>2444</v>
      </c>
      <c r="B138" s="10" t="s">
        <v>2445</v>
      </c>
      <c r="C138" s="10"/>
      <c r="D138" s="9" t="s">
        <v>2212</v>
      </c>
      <c r="E138" s="33">
        <v>0</v>
      </c>
      <c r="F138" s="9"/>
      <c r="G138" s="33">
        <v>0</v>
      </c>
      <c r="H138" s="9"/>
      <c r="I138" s="33">
        <v>0</v>
      </c>
      <c r="J138" s="9"/>
      <c r="K138" s="33">
        <v>143000</v>
      </c>
      <c r="L138" s="9" t="s">
        <v>3227</v>
      </c>
      <c r="M138" s="33">
        <v>0</v>
      </c>
      <c r="N138" s="9"/>
      <c r="O138" s="33">
        <v>143000</v>
      </c>
      <c r="P138" s="22" t="s">
        <v>3190</v>
      </c>
      <c r="Q138" s="15"/>
      <c r="R138" s="17" t="s">
        <v>2446</v>
      </c>
      <c r="S138" s="3" t="str">
        <f ca="1">HYPERLINK("#"&amp;재료비목록표!G2&amp;"!A"&amp;ROW(재료비목록표!A137),"자재134 →")</f>
        <v>자재134 →</v>
      </c>
      <c r="T138" s="36">
        <v>143000</v>
      </c>
      <c r="U138" s="38">
        <f t="shared" si="6"/>
        <v>4</v>
      </c>
      <c r="V138" s="39">
        <f t="shared" si="7"/>
        <v>143000</v>
      </c>
      <c r="W138" s="40" t="str">
        <f t="shared" si="8"/>
        <v>견적 1</v>
      </c>
    </row>
    <row r="139" spans="1:23" ht="34.700000000000003" customHeight="1" x14ac:dyDescent="0.3">
      <c r="A139" s="9" t="s">
        <v>2447</v>
      </c>
      <c r="B139" s="10" t="s">
        <v>2448</v>
      </c>
      <c r="C139" s="10" t="s">
        <v>2449</v>
      </c>
      <c r="D139" s="9" t="s">
        <v>1010</v>
      </c>
      <c r="E139" s="33">
        <v>0</v>
      </c>
      <c r="F139" s="9"/>
      <c r="G139" s="33">
        <v>10630</v>
      </c>
      <c r="H139" s="9" t="s">
        <v>3262</v>
      </c>
      <c r="I139" s="33">
        <v>10630</v>
      </c>
      <c r="J139" s="9" t="s">
        <v>3263</v>
      </c>
      <c r="K139" s="33">
        <v>0</v>
      </c>
      <c r="L139" s="9"/>
      <c r="M139" s="33">
        <v>0</v>
      </c>
      <c r="N139" s="9"/>
      <c r="O139" s="33">
        <v>10630</v>
      </c>
      <c r="P139" s="22" t="s">
        <v>3188</v>
      </c>
      <c r="Q139" s="15"/>
      <c r="R139" s="17" t="s">
        <v>2450</v>
      </c>
      <c r="S139" s="3" t="str">
        <f ca="1">HYPERLINK("#"&amp;재료비목록표!G2&amp;"!A"&amp;ROW(재료비목록표!A138),"자재135 →")</f>
        <v>자재135 →</v>
      </c>
      <c r="T139" s="36">
        <v>10630</v>
      </c>
      <c r="U139" s="38">
        <f t="shared" si="6"/>
        <v>2</v>
      </c>
      <c r="V139" s="39">
        <f t="shared" si="7"/>
        <v>10630</v>
      </c>
      <c r="W139" s="40" t="str">
        <f t="shared" si="8"/>
        <v>물.자</v>
      </c>
    </row>
    <row r="140" spans="1:23" ht="34.700000000000003" customHeight="1" x14ac:dyDescent="0.3">
      <c r="A140" s="9" t="s">
        <v>2451</v>
      </c>
      <c r="B140" s="10" t="s">
        <v>2448</v>
      </c>
      <c r="C140" s="10" t="s">
        <v>2452</v>
      </c>
      <c r="D140" s="9" t="s">
        <v>1010</v>
      </c>
      <c r="E140" s="33">
        <v>0</v>
      </c>
      <c r="F140" s="9"/>
      <c r="G140" s="33">
        <v>17200</v>
      </c>
      <c r="H140" s="9" t="s">
        <v>3262</v>
      </c>
      <c r="I140" s="33">
        <v>17200</v>
      </c>
      <c r="J140" s="9" t="s">
        <v>3263</v>
      </c>
      <c r="K140" s="33">
        <v>0</v>
      </c>
      <c r="L140" s="9"/>
      <c r="M140" s="33">
        <v>0</v>
      </c>
      <c r="N140" s="9"/>
      <c r="O140" s="33">
        <v>17200</v>
      </c>
      <c r="P140" s="22" t="s">
        <v>3188</v>
      </c>
      <c r="Q140" s="15"/>
      <c r="R140" s="17" t="s">
        <v>2453</v>
      </c>
      <c r="S140" s="3" t="str">
        <f ca="1">HYPERLINK("#"&amp;재료비목록표!G2&amp;"!A"&amp;ROW(재료비목록표!A139),"자재136 →")</f>
        <v>자재136 →</v>
      </c>
      <c r="T140" s="36">
        <v>17200</v>
      </c>
      <c r="U140" s="38">
        <f t="shared" si="6"/>
        <v>2</v>
      </c>
      <c r="V140" s="39">
        <f t="shared" si="7"/>
        <v>17200</v>
      </c>
      <c r="W140" s="40" t="str">
        <f t="shared" si="8"/>
        <v>물.자</v>
      </c>
    </row>
    <row r="141" spans="1:23" ht="34.700000000000003" customHeight="1" x14ac:dyDescent="0.3">
      <c r="A141" s="9" t="s">
        <v>2454</v>
      </c>
      <c r="B141" s="10" t="s">
        <v>2448</v>
      </c>
      <c r="C141" s="10" t="s">
        <v>2455</v>
      </c>
      <c r="D141" s="9" t="s">
        <v>1010</v>
      </c>
      <c r="E141" s="33">
        <v>0</v>
      </c>
      <c r="F141" s="9"/>
      <c r="G141" s="33">
        <v>26170</v>
      </c>
      <c r="H141" s="9" t="s">
        <v>3262</v>
      </c>
      <c r="I141" s="33">
        <v>26170</v>
      </c>
      <c r="J141" s="9" t="s">
        <v>3263</v>
      </c>
      <c r="K141" s="33">
        <v>0</v>
      </c>
      <c r="L141" s="9"/>
      <c r="M141" s="33">
        <v>0</v>
      </c>
      <c r="N141" s="9"/>
      <c r="O141" s="33">
        <v>26170</v>
      </c>
      <c r="P141" s="22" t="s">
        <v>3188</v>
      </c>
      <c r="Q141" s="15"/>
      <c r="R141" s="17" t="s">
        <v>2456</v>
      </c>
      <c r="S141" s="3" t="str">
        <f ca="1">HYPERLINK("#"&amp;재료비목록표!G2&amp;"!A"&amp;ROW(재료비목록표!A140),"자재137 →")</f>
        <v>자재137 →</v>
      </c>
      <c r="T141" s="36">
        <v>26170</v>
      </c>
      <c r="U141" s="38">
        <f t="shared" si="6"/>
        <v>2</v>
      </c>
      <c r="V141" s="39">
        <f t="shared" si="7"/>
        <v>26170</v>
      </c>
      <c r="W141" s="40" t="str">
        <f t="shared" si="8"/>
        <v>물.자</v>
      </c>
    </row>
    <row r="142" spans="1:23" ht="34.700000000000003" customHeight="1" x14ac:dyDescent="0.3">
      <c r="A142" s="9" t="s">
        <v>2457</v>
      </c>
      <c r="B142" s="10" t="s">
        <v>2448</v>
      </c>
      <c r="C142" s="10" t="s">
        <v>2458</v>
      </c>
      <c r="D142" s="9" t="s">
        <v>1010</v>
      </c>
      <c r="E142" s="33">
        <v>0</v>
      </c>
      <c r="F142" s="9"/>
      <c r="G142" s="33">
        <v>32730</v>
      </c>
      <c r="H142" s="9" t="s">
        <v>3262</v>
      </c>
      <c r="I142" s="33">
        <v>32730</v>
      </c>
      <c r="J142" s="9" t="s">
        <v>3263</v>
      </c>
      <c r="K142" s="33">
        <v>0</v>
      </c>
      <c r="L142" s="9"/>
      <c r="M142" s="33">
        <v>0</v>
      </c>
      <c r="N142" s="9"/>
      <c r="O142" s="33">
        <v>32730</v>
      </c>
      <c r="P142" s="22" t="s">
        <v>3188</v>
      </c>
      <c r="Q142" s="15"/>
      <c r="R142" s="17" t="s">
        <v>2459</v>
      </c>
      <c r="S142" s="3" t="str">
        <f ca="1">HYPERLINK("#"&amp;재료비목록표!G2&amp;"!A"&amp;ROW(재료비목록표!A141),"자재138 →")</f>
        <v>자재138 →</v>
      </c>
      <c r="T142" s="36">
        <v>32730</v>
      </c>
      <c r="U142" s="38">
        <f t="shared" si="6"/>
        <v>2</v>
      </c>
      <c r="V142" s="39">
        <f t="shared" si="7"/>
        <v>32730</v>
      </c>
      <c r="W142" s="40" t="str">
        <f t="shared" si="8"/>
        <v>물.자</v>
      </c>
    </row>
    <row r="143" spans="1:23" ht="34.700000000000003" customHeight="1" x14ac:dyDescent="0.3">
      <c r="A143" s="9" t="s">
        <v>2460</v>
      </c>
      <c r="B143" s="10" t="s">
        <v>2461</v>
      </c>
      <c r="C143" s="10" t="s">
        <v>1013</v>
      </c>
      <c r="D143" s="9" t="s">
        <v>1010</v>
      </c>
      <c r="E143" s="33">
        <v>0</v>
      </c>
      <c r="F143" s="9"/>
      <c r="G143" s="33">
        <v>469000</v>
      </c>
      <c r="H143" s="9" t="s">
        <v>3264</v>
      </c>
      <c r="I143" s="33">
        <v>0</v>
      </c>
      <c r="J143" s="9"/>
      <c r="K143" s="33">
        <v>0</v>
      </c>
      <c r="L143" s="9"/>
      <c r="M143" s="33">
        <v>487000</v>
      </c>
      <c r="N143" s="9" t="s">
        <v>3265</v>
      </c>
      <c r="O143" s="33">
        <v>469000</v>
      </c>
      <c r="P143" s="22" t="s">
        <v>3188</v>
      </c>
      <c r="Q143" s="15"/>
      <c r="R143" s="17" t="s">
        <v>2462</v>
      </c>
      <c r="S143" s="3" t="str">
        <f ca="1">HYPERLINK("#"&amp;재료비목록표!G2&amp;"!A"&amp;ROW(재료비목록표!A142),"자재139 →")</f>
        <v>자재139 →</v>
      </c>
      <c r="T143" s="36">
        <v>469000</v>
      </c>
      <c r="U143" s="38">
        <f t="shared" si="6"/>
        <v>2</v>
      </c>
      <c r="V143" s="39">
        <f t="shared" si="7"/>
        <v>469000</v>
      </c>
      <c r="W143" s="40" t="str">
        <f t="shared" si="8"/>
        <v>물.자</v>
      </c>
    </row>
    <row r="144" spans="1:23" ht="34.700000000000003" customHeight="1" x14ac:dyDescent="0.3">
      <c r="A144" s="9" t="s">
        <v>2463</v>
      </c>
      <c r="B144" s="10" t="s">
        <v>2461</v>
      </c>
      <c r="C144" s="10" t="s">
        <v>1016</v>
      </c>
      <c r="D144" s="9" t="s">
        <v>1010</v>
      </c>
      <c r="E144" s="33">
        <v>0</v>
      </c>
      <c r="F144" s="9"/>
      <c r="G144" s="33">
        <v>859000</v>
      </c>
      <c r="H144" s="9" t="s">
        <v>3264</v>
      </c>
      <c r="I144" s="33">
        <v>0</v>
      </c>
      <c r="J144" s="9"/>
      <c r="K144" s="33">
        <v>0</v>
      </c>
      <c r="L144" s="9"/>
      <c r="M144" s="33">
        <v>900000</v>
      </c>
      <c r="N144" s="9" t="s">
        <v>3265</v>
      </c>
      <c r="O144" s="33">
        <v>859000</v>
      </c>
      <c r="P144" s="22" t="s">
        <v>3188</v>
      </c>
      <c r="Q144" s="15"/>
      <c r="R144" s="17" t="s">
        <v>2464</v>
      </c>
      <c r="S144" s="3" t="str">
        <f ca="1">HYPERLINK("#"&amp;재료비목록표!G2&amp;"!A"&amp;ROW(재료비목록표!A143),"자재140 →")</f>
        <v>자재140 →</v>
      </c>
      <c r="T144" s="36">
        <v>859000</v>
      </c>
      <c r="U144" s="38">
        <f t="shared" si="6"/>
        <v>2</v>
      </c>
      <c r="V144" s="39">
        <f t="shared" si="7"/>
        <v>859000</v>
      </c>
      <c r="W144" s="40" t="str">
        <f t="shared" si="8"/>
        <v>물.자</v>
      </c>
    </row>
    <row r="145" spans="1:23" ht="34.700000000000003" customHeight="1" x14ac:dyDescent="0.3">
      <c r="A145" s="9" t="s">
        <v>2465</v>
      </c>
      <c r="B145" s="10" t="s">
        <v>2461</v>
      </c>
      <c r="C145" s="10" t="s">
        <v>1019</v>
      </c>
      <c r="D145" s="9" t="s">
        <v>1010</v>
      </c>
      <c r="E145" s="33">
        <v>0</v>
      </c>
      <c r="F145" s="9"/>
      <c r="G145" s="33">
        <v>1200000</v>
      </c>
      <c r="H145" s="9" t="s">
        <v>3264</v>
      </c>
      <c r="I145" s="33">
        <v>0</v>
      </c>
      <c r="J145" s="9"/>
      <c r="K145" s="33">
        <v>0</v>
      </c>
      <c r="L145" s="9"/>
      <c r="M145" s="33">
        <v>1254000</v>
      </c>
      <c r="N145" s="9" t="s">
        <v>3265</v>
      </c>
      <c r="O145" s="33">
        <v>1200000</v>
      </c>
      <c r="P145" s="22" t="s">
        <v>3188</v>
      </c>
      <c r="Q145" s="15"/>
      <c r="R145" s="17" t="s">
        <v>2466</v>
      </c>
      <c r="S145" s="3" t="str">
        <f ca="1">HYPERLINK("#"&amp;재료비목록표!G2&amp;"!A"&amp;ROW(재료비목록표!A144),"자재141 →")</f>
        <v>자재141 →</v>
      </c>
      <c r="T145" s="36">
        <v>1200000</v>
      </c>
      <c r="U145" s="38">
        <f t="shared" si="6"/>
        <v>2</v>
      </c>
      <c r="V145" s="39">
        <f t="shared" si="7"/>
        <v>1200000</v>
      </c>
      <c r="W145" s="40" t="str">
        <f t="shared" si="8"/>
        <v>물.자</v>
      </c>
    </row>
    <row r="146" spans="1:23" ht="34.700000000000003" customHeight="1" x14ac:dyDescent="0.3">
      <c r="A146" s="9" t="s">
        <v>2467</v>
      </c>
      <c r="B146" s="10" t="s">
        <v>2461</v>
      </c>
      <c r="C146" s="10" t="s">
        <v>1009</v>
      </c>
      <c r="D146" s="9" t="s">
        <v>1010</v>
      </c>
      <c r="E146" s="33">
        <v>0</v>
      </c>
      <c r="F146" s="9"/>
      <c r="G146" s="33">
        <v>391000</v>
      </c>
      <c r="H146" s="9" t="s">
        <v>3264</v>
      </c>
      <c r="I146" s="33">
        <v>0</v>
      </c>
      <c r="J146" s="9"/>
      <c r="K146" s="33">
        <v>0</v>
      </c>
      <c r="L146" s="9"/>
      <c r="M146" s="33">
        <v>406000</v>
      </c>
      <c r="N146" s="9" t="s">
        <v>3265</v>
      </c>
      <c r="O146" s="33">
        <v>391000</v>
      </c>
      <c r="P146" s="22" t="s">
        <v>3188</v>
      </c>
      <c r="Q146" s="15"/>
      <c r="R146" s="17" t="s">
        <v>2468</v>
      </c>
      <c r="S146" s="3" t="str">
        <f ca="1">HYPERLINK("#"&amp;재료비목록표!G2&amp;"!A"&amp;ROW(재료비목록표!A145),"자재142 →")</f>
        <v>자재142 →</v>
      </c>
      <c r="T146" s="36">
        <v>391000</v>
      </c>
      <c r="U146" s="38">
        <f t="shared" si="6"/>
        <v>2</v>
      </c>
      <c r="V146" s="39">
        <f t="shared" si="7"/>
        <v>391000</v>
      </c>
      <c r="W146" s="40" t="str">
        <f t="shared" si="8"/>
        <v>물.자</v>
      </c>
    </row>
    <row r="147" spans="1:23" ht="34.700000000000003" customHeight="1" x14ac:dyDescent="0.3">
      <c r="A147" s="9" t="s">
        <v>2469</v>
      </c>
      <c r="B147" s="10" t="s">
        <v>223</v>
      </c>
      <c r="C147" s="10" t="s">
        <v>2470</v>
      </c>
      <c r="D147" s="9" t="s">
        <v>14</v>
      </c>
      <c r="E147" s="33">
        <v>0</v>
      </c>
      <c r="F147" s="9"/>
      <c r="G147" s="33">
        <v>0</v>
      </c>
      <c r="H147" s="9"/>
      <c r="I147" s="33">
        <v>0</v>
      </c>
      <c r="J147" s="9"/>
      <c r="K147" s="33">
        <v>6043000</v>
      </c>
      <c r="L147" s="9" t="s">
        <v>3227</v>
      </c>
      <c r="M147" s="33">
        <v>0</v>
      </c>
      <c r="N147" s="9"/>
      <c r="O147" s="33">
        <v>6043000</v>
      </c>
      <c r="P147" s="22" t="s">
        <v>3190</v>
      </c>
      <c r="Q147" s="15"/>
      <c r="R147" s="17" t="s">
        <v>2471</v>
      </c>
      <c r="S147" s="3" t="str">
        <f ca="1">HYPERLINK("#"&amp;재료비목록표!G2&amp;"!A"&amp;ROW(재료비목록표!A146),"자재143 →")</f>
        <v>자재143 →</v>
      </c>
      <c r="T147" s="36">
        <v>6043000</v>
      </c>
      <c r="U147" s="38">
        <f t="shared" si="6"/>
        <v>4</v>
      </c>
      <c r="V147" s="39">
        <f t="shared" si="7"/>
        <v>6043000</v>
      </c>
      <c r="W147" s="40" t="str">
        <f t="shared" si="8"/>
        <v>견적 1</v>
      </c>
    </row>
    <row r="148" spans="1:23" ht="34.700000000000003" customHeight="1" x14ac:dyDescent="0.3">
      <c r="A148" s="9" t="s">
        <v>2472</v>
      </c>
      <c r="B148" s="10" t="s">
        <v>223</v>
      </c>
      <c r="C148" s="10" t="s">
        <v>2473</v>
      </c>
      <c r="D148" s="9" t="s">
        <v>14</v>
      </c>
      <c r="E148" s="33">
        <v>0</v>
      </c>
      <c r="F148" s="9"/>
      <c r="G148" s="33">
        <v>0</v>
      </c>
      <c r="H148" s="9"/>
      <c r="I148" s="33">
        <v>0</v>
      </c>
      <c r="J148" s="9"/>
      <c r="K148" s="33">
        <v>31423000</v>
      </c>
      <c r="L148" s="9" t="s">
        <v>3239</v>
      </c>
      <c r="M148" s="33">
        <v>0</v>
      </c>
      <c r="N148" s="9"/>
      <c r="O148" s="33">
        <v>31423000</v>
      </c>
      <c r="P148" s="22" t="s">
        <v>3190</v>
      </c>
      <c r="Q148" s="15"/>
      <c r="R148" s="17" t="s">
        <v>2474</v>
      </c>
      <c r="S148" s="3" t="str">
        <f ca="1">HYPERLINK("#"&amp;재료비목록표!G2&amp;"!A"&amp;ROW(재료비목록표!A147),"자재144 →")</f>
        <v>자재144 →</v>
      </c>
      <c r="T148" s="36">
        <v>31423000</v>
      </c>
      <c r="U148" s="38">
        <f t="shared" si="6"/>
        <v>4</v>
      </c>
      <c r="V148" s="39">
        <f t="shared" si="7"/>
        <v>31423000</v>
      </c>
      <c r="W148" s="40" t="str">
        <f t="shared" si="8"/>
        <v>견적 1</v>
      </c>
    </row>
    <row r="149" spans="1:23" ht="34.700000000000003" customHeight="1" x14ac:dyDescent="0.3">
      <c r="A149" s="9" t="s">
        <v>2475</v>
      </c>
      <c r="B149" s="10" t="s">
        <v>223</v>
      </c>
      <c r="C149" s="10" t="s">
        <v>2476</v>
      </c>
      <c r="D149" s="9" t="s">
        <v>14</v>
      </c>
      <c r="E149" s="33">
        <v>0</v>
      </c>
      <c r="F149" s="9"/>
      <c r="G149" s="33">
        <v>0</v>
      </c>
      <c r="H149" s="9"/>
      <c r="I149" s="33">
        <v>0</v>
      </c>
      <c r="J149" s="9"/>
      <c r="K149" s="33">
        <v>6962000</v>
      </c>
      <c r="L149" s="9" t="s">
        <v>3227</v>
      </c>
      <c r="M149" s="33">
        <v>0</v>
      </c>
      <c r="N149" s="9"/>
      <c r="O149" s="33">
        <v>6962000</v>
      </c>
      <c r="P149" s="22" t="s">
        <v>3190</v>
      </c>
      <c r="Q149" s="15"/>
      <c r="R149" s="17" t="s">
        <v>2477</v>
      </c>
      <c r="S149" s="3" t="str">
        <f ca="1">HYPERLINK("#"&amp;재료비목록표!G2&amp;"!A"&amp;ROW(재료비목록표!A148),"자재145 →")</f>
        <v>자재145 →</v>
      </c>
      <c r="T149" s="36">
        <v>6962000</v>
      </c>
      <c r="U149" s="38">
        <f t="shared" si="6"/>
        <v>4</v>
      </c>
      <c r="V149" s="39">
        <f t="shared" si="7"/>
        <v>6962000</v>
      </c>
      <c r="W149" s="40" t="str">
        <f t="shared" si="8"/>
        <v>견적 1</v>
      </c>
    </row>
    <row r="150" spans="1:23" ht="34.700000000000003" customHeight="1" x14ac:dyDescent="0.3">
      <c r="A150" s="9" t="s">
        <v>2478</v>
      </c>
      <c r="B150" s="10" t="s">
        <v>223</v>
      </c>
      <c r="C150" s="10" t="s">
        <v>2479</v>
      </c>
      <c r="D150" s="9" t="s">
        <v>14</v>
      </c>
      <c r="E150" s="33">
        <v>0</v>
      </c>
      <c r="F150" s="9"/>
      <c r="G150" s="33">
        <v>0</v>
      </c>
      <c r="H150" s="9"/>
      <c r="I150" s="33">
        <v>0</v>
      </c>
      <c r="J150" s="9"/>
      <c r="K150" s="33">
        <v>7976000</v>
      </c>
      <c r="L150" s="9" t="s">
        <v>3239</v>
      </c>
      <c r="M150" s="33">
        <v>0</v>
      </c>
      <c r="N150" s="9"/>
      <c r="O150" s="33">
        <v>7976000</v>
      </c>
      <c r="P150" s="22" t="s">
        <v>3190</v>
      </c>
      <c r="Q150" s="15"/>
      <c r="R150" s="17" t="s">
        <v>2480</v>
      </c>
      <c r="S150" s="3" t="str">
        <f ca="1">HYPERLINK("#"&amp;재료비목록표!G2&amp;"!A"&amp;ROW(재료비목록표!A149),"자재146 →")</f>
        <v>자재146 →</v>
      </c>
      <c r="T150" s="36">
        <v>7976000</v>
      </c>
      <c r="U150" s="38">
        <f t="shared" si="6"/>
        <v>4</v>
      </c>
      <c r="V150" s="39">
        <f t="shared" si="7"/>
        <v>7976000</v>
      </c>
      <c r="W150" s="40" t="str">
        <f t="shared" si="8"/>
        <v>견적 1</v>
      </c>
    </row>
    <row r="151" spans="1:23" ht="34.700000000000003" customHeight="1" x14ac:dyDescent="0.3">
      <c r="A151" s="9" t="s">
        <v>2481</v>
      </c>
      <c r="B151" s="10" t="s">
        <v>223</v>
      </c>
      <c r="C151" s="10" t="s">
        <v>2482</v>
      </c>
      <c r="D151" s="9" t="s">
        <v>14</v>
      </c>
      <c r="E151" s="33">
        <v>0</v>
      </c>
      <c r="F151" s="9"/>
      <c r="G151" s="33">
        <v>0</v>
      </c>
      <c r="H151" s="9"/>
      <c r="I151" s="33">
        <v>0</v>
      </c>
      <c r="J151" s="9"/>
      <c r="K151" s="33">
        <v>8129000</v>
      </c>
      <c r="L151" s="9" t="s">
        <v>3227</v>
      </c>
      <c r="M151" s="33">
        <v>0</v>
      </c>
      <c r="N151" s="9"/>
      <c r="O151" s="33">
        <v>8129000</v>
      </c>
      <c r="P151" s="22" t="s">
        <v>3190</v>
      </c>
      <c r="Q151" s="15"/>
      <c r="R151" s="17" t="s">
        <v>2483</v>
      </c>
      <c r="S151" s="3" t="str">
        <f ca="1">HYPERLINK("#"&amp;재료비목록표!G2&amp;"!A"&amp;ROW(재료비목록표!A150),"자재147 →")</f>
        <v>자재147 →</v>
      </c>
      <c r="T151" s="36">
        <v>8129000</v>
      </c>
      <c r="U151" s="38">
        <f t="shared" si="6"/>
        <v>4</v>
      </c>
      <c r="V151" s="39">
        <f t="shared" si="7"/>
        <v>8129000</v>
      </c>
      <c r="W151" s="40" t="str">
        <f t="shared" si="8"/>
        <v>견적 1</v>
      </c>
    </row>
    <row r="152" spans="1:23" ht="34.700000000000003" customHeight="1" x14ac:dyDescent="0.3">
      <c r="A152" s="9" t="s">
        <v>2484</v>
      </c>
      <c r="B152" s="10" t="s">
        <v>223</v>
      </c>
      <c r="C152" s="10" t="s">
        <v>2485</v>
      </c>
      <c r="D152" s="9" t="s">
        <v>14</v>
      </c>
      <c r="E152" s="33">
        <v>0</v>
      </c>
      <c r="F152" s="9"/>
      <c r="G152" s="33">
        <v>0</v>
      </c>
      <c r="H152" s="9"/>
      <c r="I152" s="33">
        <v>0</v>
      </c>
      <c r="J152" s="9"/>
      <c r="K152" s="33">
        <v>1554000</v>
      </c>
      <c r="L152" s="9" t="s">
        <v>3236</v>
      </c>
      <c r="M152" s="33">
        <v>0</v>
      </c>
      <c r="N152" s="9"/>
      <c r="O152" s="33">
        <v>1554000</v>
      </c>
      <c r="P152" s="22" t="s">
        <v>3190</v>
      </c>
      <c r="Q152" s="15"/>
      <c r="R152" s="17" t="s">
        <v>2486</v>
      </c>
      <c r="S152" s="3" t="str">
        <f ca="1">HYPERLINK("#"&amp;재료비목록표!G2&amp;"!A"&amp;ROW(재료비목록표!A151),"자재148 →")</f>
        <v>자재148 →</v>
      </c>
      <c r="T152" s="36">
        <v>1554000</v>
      </c>
      <c r="U152" s="38">
        <f t="shared" si="6"/>
        <v>4</v>
      </c>
      <c r="V152" s="39">
        <f t="shared" si="7"/>
        <v>1554000</v>
      </c>
      <c r="W152" s="40" t="str">
        <f t="shared" si="8"/>
        <v>견적 1</v>
      </c>
    </row>
    <row r="153" spans="1:23" ht="34.700000000000003" customHeight="1" x14ac:dyDescent="0.3">
      <c r="A153" s="9" t="s">
        <v>2487</v>
      </c>
      <c r="B153" s="10" t="s">
        <v>223</v>
      </c>
      <c r="C153" s="10" t="s">
        <v>2488</v>
      </c>
      <c r="D153" s="9" t="s">
        <v>14</v>
      </c>
      <c r="E153" s="33">
        <v>0</v>
      </c>
      <c r="F153" s="9"/>
      <c r="G153" s="33">
        <v>0</v>
      </c>
      <c r="H153" s="9"/>
      <c r="I153" s="33">
        <v>0</v>
      </c>
      <c r="J153" s="9"/>
      <c r="K153" s="33">
        <v>8367000</v>
      </c>
      <c r="L153" s="9" t="s">
        <v>3227</v>
      </c>
      <c r="M153" s="33">
        <v>0</v>
      </c>
      <c r="N153" s="9"/>
      <c r="O153" s="33">
        <v>8367000</v>
      </c>
      <c r="P153" s="22" t="s">
        <v>3190</v>
      </c>
      <c r="Q153" s="15"/>
      <c r="R153" s="17" t="s">
        <v>2489</v>
      </c>
      <c r="S153" s="3" t="str">
        <f ca="1">HYPERLINK("#"&amp;재료비목록표!G2&amp;"!A"&amp;ROW(재료비목록표!A152),"자재149 →")</f>
        <v>자재149 →</v>
      </c>
      <c r="T153" s="36">
        <v>8367000</v>
      </c>
      <c r="U153" s="38">
        <f t="shared" si="6"/>
        <v>4</v>
      </c>
      <c r="V153" s="39">
        <f t="shared" si="7"/>
        <v>8367000</v>
      </c>
      <c r="W153" s="40" t="str">
        <f t="shared" si="8"/>
        <v>견적 1</v>
      </c>
    </row>
    <row r="154" spans="1:23" ht="34.700000000000003" customHeight="1" x14ac:dyDescent="0.3">
      <c r="A154" s="9" t="s">
        <v>2490</v>
      </c>
      <c r="B154" s="10" t="s">
        <v>223</v>
      </c>
      <c r="C154" s="10" t="s">
        <v>2491</v>
      </c>
      <c r="D154" s="9" t="s">
        <v>14</v>
      </c>
      <c r="E154" s="33">
        <v>0</v>
      </c>
      <c r="F154" s="9"/>
      <c r="G154" s="33">
        <v>0</v>
      </c>
      <c r="H154" s="9"/>
      <c r="I154" s="33">
        <v>0</v>
      </c>
      <c r="J154" s="9"/>
      <c r="K154" s="33">
        <v>2618000</v>
      </c>
      <c r="L154" s="9" t="s">
        <v>3227</v>
      </c>
      <c r="M154" s="33">
        <v>0</v>
      </c>
      <c r="N154" s="9"/>
      <c r="O154" s="33">
        <v>2618000</v>
      </c>
      <c r="P154" s="22" t="s">
        <v>3190</v>
      </c>
      <c r="Q154" s="15"/>
      <c r="R154" s="17" t="s">
        <v>2492</v>
      </c>
      <c r="S154" s="3" t="str">
        <f ca="1">HYPERLINK("#"&amp;재료비목록표!G2&amp;"!A"&amp;ROW(재료비목록표!A153),"자재150 →")</f>
        <v>자재150 →</v>
      </c>
      <c r="T154" s="36">
        <v>2618000</v>
      </c>
      <c r="U154" s="38">
        <f t="shared" si="6"/>
        <v>4</v>
      </c>
      <c r="V154" s="39">
        <f t="shared" si="7"/>
        <v>2618000</v>
      </c>
      <c r="W154" s="40" t="str">
        <f t="shared" si="8"/>
        <v>견적 1</v>
      </c>
    </row>
    <row r="155" spans="1:23" ht="34.700000000000003" customHeight="1" x14ac:dyDescent="0.3">
      <c r="A155" s="9" t="s">
        <v>2493</v>
      </c>
      <c r="B155" s="10" t="s">
        <v>223</v>
      </c>
      <c r="C155" s="10" t="s">
        <v>2494</v>
      </c>
      <c r="D155" s="9" t="s">
        <v>14</v>
      </c>
      <c r="E155" s="33">
        <v>0</v>
      </c>
      <c r="F155" s="9"/>
      <c r="G155" s="33">
        <v>0</v>
      </c>
      <c r="H155" s="9"/>
      <c r="I155" s="33">
        <v>0</v>
      </c>
      <c r="J155" s="9"/>
      <c r="K155" s="33">
        <v>8605000</v>
      </c>
      <c r="L155" s="9" t="s">
        <v>3227</v>
      </c>
      <c r="M155" s="33">
        <v>0</v>
      </c>
      <c r="N155" s="9"/>
      <c r="O155" s="33">
        <v>8605000</v>
      </c>
      <c r="P155" s="22" t="s">
        <v>3190</v>
      </c>
      <c r="Q155" s="15"/>
      <c r="R155" s="17" t="s">
        <v>2495</v>
      </c>
      <c r="S155" s="3" t="str">
        <f ca="1">HYPERLINK("#"&amp;재료비목록표!G2&amp;"!A"&amp;ROW(재료비목록표!A154),"자재151 →")</f>
        <v>자재151 →</v>
      </c>
      <c r="T155" s="36">
        <v>8605000</v>
      </c>
      <c r="U155" s="38">
        <f t="shared" si="6"/>
        <v>4</v>
      </c>
      <c r="V155" s="39">
        <f t="shared" si="7"/>
        <v>8605000</v>
      </c>
      <c r="W155" s="40" t="str">
        <f t="shared" si="8"/>
        <v>견적 1</v>
      </c>
    </row>
    <row r="156" spans="1:23" ht="34.700000000000003" customHeight="1" x14ac:dyDescent="0.3">
      <c r="A156" s="9" t="s">
        <v>2496</v>
      </c>
      <c r="B156" s="10" t="s">
        <v>223</v>
      </c>
      <c r="C156" s="10" t="s">
        <v>2497</v>
      </c>
      <c r="D156" s="9" t="s">
        <v>14</v>
      </c>
      <c r="E156" s="33">
        <v>0</v>
      </c>
      <c r="F156" s="9"/>
      <c r="G156" s="33">
        <v>0</v>
      </c>
      <c r="H156" s="9"/>
      <c r="I156" s="33">
        <v>0</v>
      </c>
      <c r="J156" s="9"/>
      <c r="K156" s="33">
        <v>11997000</v>
      </c>
      <c r="L156" s="9" t="s">
        <v>3227</v>
      </c>
      <c r="M156" s="33">
        <v>0</v>
      </c>
      <c r="N156" s="9"/>
      <c r="O156" s="33">
        <v>11997000</v>
      </c>
      <c r="P156" s="22" t="s">
        <v>3190</v>
      </c>
      <c r="Q156" s="15"/>
      <c r="R156" s="17" t="s">
        <v>2498</v>
      </c>
      <c r="S156" s="3" t="str">
        <f ca="1">HYPERLINK("#"&amp;재료비목록표!G2&amp;"!A"&amp;ROW(재료비목록표!A155),"자재152 →")</f>
        <v>자재152 →</v>
      </c>
      <c r="T156" s="36">
        <v>11997000</v>
      </c>
      <c r="U156" s="38">
        <f t="shared" si="6"/>
        <v>4</v>
      </c>
      <c r="V156" s="39">
        <f t="shared" si="7"/>
        <v>11997000</v>
      </c>
      <c r="W156" s="40" t="str">
        <f t="shared" si="8"/>
        <v>견적 1</v>
      </c>
    </row>
    <row r="157" spans="1:23" ht="34.700000000000003" customHeight="1" x14ac:dyDescent="0.3">
      <c r="A157" s="9" t="s">
        <v>2499</v>
      </c>
      <c r="B157" s="10" t="s">
        <v>223</v>
      </c>
      <c r="C157" s="10" t="s">
        <v>2500</v>
      </c>
      <c r="D157" s="9" t="s">
        <v>14</v>
      </c>
      <c r="E157" s="33">
        <v>0</v>
      </c>
      <c r="F157" s="9"/>
      <c r="G157" s="33">
        <v>0</v>
      </c>
      <c r="H157" s="9"/>
      <c r="I157" s="33">
        <v>0</v>
      </c>
      <c r="J157" s="9"/>
      <c r="K157" s="33">
        <v>4558000</v>
      </c>
      <c r="L157" s="9" t="s">
        <v>3227</v>
      </c>
      <c r="M157" s="33">
        <v>0</v>
      </c>
      <c r="N157" s="9"/>
      <c r="O157" s="33">
        <v>4558000</v>
      </c>
      <c r="P157" s="22" t="s">
        <v>3190</v>
      </c>
      <c r="Q157" s="15"/>
      <c r="R157" s="17" t="s">
        <v>2501</v>
      </c>
      <c r="S157" s="3" t="str">
        <f ca="1">HYPERLINK("#"&amp;재료비목록표!G2&amp;"!A"&amp;ROW(재료비목록표!A156),"자재153 →")</f>
        <v>자재153 →</v>
      </c>
      <c r="T157" s="36">
        <v>4558000</v>
      </c>
      <c r="U157" s="38">
        <f t="shared" si="6"/>
        <v>4</v>
      </c>
      <c r="V157" s="39">
        <f t="shared" si="7"/>
        <v>4558000</v>
      </c>
      <c r="W157" s="40" t="str">
        <f t="shared" si="8"/>
        <v>견적 1</v>
      </c>
    </row>
    <row r="158" spans="1:23" ht="34.700000000000003" customHeight="1" x14ac:dyDescent="0.3">
      <c r="A158" s="9" t="s">
        <v>2502</v>
      </c>
      <c r="B158" s="10" t="s">
        <v>223</v>
      </c>
      <c r="C158" s="10" t="s">
        <v>2503</v>
      </c>
      <c r="D158" s="9" t="s">
        <v>14</v>
      </c>
      <c r="E158" s="33">
        <v>0</v>
      </c>
      <c r="F158" s="9"/>
      <c r="G158" s="33">
        <v>0</v>
      </c>
      <c r="H158" s="9"/>
      <c r="I158" s="33">
        <v>0</v>
      </c>
      <c r="J158" s="9"/>
      <c r="K158" s="33">
        <v>13437000</v>
      </c>
      <c r="L158" s="9" t="s">
        <v>3227</v>
      </c>
      <c r="M158" s="33">
        <v>0</v>
      </c>
      <c r="N158" s="9"/>
      <c r="O158" s="33">
        <v>13437000</v>
      </c>
      <c r="P158" s="22" t="s">
        <v>3190</v>
      </c>
      <c r="Q158" s="15"/>
      <c r="R158" s="17" t="s">
        <v>2504</v>
      </c>
      <c r="S158" s="3" t="str">
        <f ca="1">HYPERLINK("#"&amp;재료비목록표!G2&amp;"!A"&amp;ROW(재료비목록표!A157),"자재154 →")</f>
        <v>자재154 →</v>
      </c>
      <c r="T158" s="36">
        <v>13437000</v>
      </c>
      <c r="U158" s="38">
        <f t="shared" si="6"/>
        <v>4</v>
      </c>
      <c r="V158" s="39">
        <f t="shared" si="7"/>
        <v>13437000</v>
      </c>
      <c r="W158" s="40" t="str">
        <f t="shared" si="8"/>
        <v>견적 1</v>
      </c>
    </row>
    <row r="159" spans="1:23" ht="34.700000000000003" customHeight="1" x14ac:dyDescent="0.3">
      <c r="A159" s="9" t="s">
        <v>2505</v>
      </c>
      <c r="B159" s="10" t="s">
        <v>223</v>
      </c>
      <c r="C159" s="10" t="s">
        <v>2506</v>
      </c>
      <c r="D159" s="9" t="s">
        <v>14</v>
      </c>
      <c r="E159" s="33">
        <v>0</v>
      </c>
      <c r="F159" s="9"/>
      <c r="G159" s="33">
        <v>0</v>
      </c>
      <c r="H159" s="9"/>
      <c r="I159" s="33">
        <v>0</v>
      </c>
      <c r="J159" s="9"/>
      <c r="K159" s="33">
        <v>4761000</v>
      </c>
      <c r="L159" s="9" t="s">
        <v>3227</v>
      </c>
      <c r="M159" s="33">
        <v>0</v>
      </c>
      <c r="N159" s="9"/>
      <c r="O159" s="33">
        <v>4761000</v>
      </c>
      <c r="P159" s="22" t="s">
        <v>3190</v>
      </c>
      <c r="Q159" s="15"/>
      <c r="R159" s="17" t="s">
        <v>2507</v>
      </c>
      <c r="S159" s="3" t="str">
        <f ca="1">HYPERLINK("#"&amp;재료비목록표!G2&amp;"!A"&amp;ROW(재료비목록표!A158),"자재155 →")</f>
        <v>자재155 →</v>
      </c>
      <c r="T159" s="36">
        <v>4761000</v>
      </c>
      <c r="U159" s="38">
        <f t="shared" si="6"/>
        <v>4</v>
      </c>
      <c r="V159" s="39">
        <f t="shared" si="7"/>
        <v>4761000</v>
      </c>
      <c r="W159" s="40" t="str">
        <f t="shared" si="8"/>
        <v>견적 1</v>
      </c>
    </row>
    <row r="160" spans="1:23" ht="34.700000000000003" customHeight="1" x14ac:dyDescent="0.3">
      <c r="A160" s="9" t="s">
        <v>2508</v>
      </c>
      <c r="B160" s="10" t="s">
        <v>336</v>
      </c>
      <c r="C160" s="10" t="s">
        <v>2509</v>
      </c>
      <c r="D160" s="9" t="s">
        <v>14</v>
      </c>
      <c r="E160" s="33">
        <v>0</v>
      </c>
      <c r="F160" s="9"/>
      <c r="G160" s="33">
        <v>0</v>
      </c>
      <c r="H160" s="9"/>
      <c r="I160" s="33">
        <v>0</v>
      </c>
      <c r="J160" s="9"/>
      <c r="K160" s="33">
        <v>3977000</v>
      </c>
      <c r="L160" s="9" t="s">
        <v>3236</v>
      </c>
      <c r="M160" s="33">
        <v>0</v>
      </c>
      <c r="N160" s="9"/>
      <c r="O160" s="33">
        <v>3977000</v>
      </c>
      <c r="P160" s="22" t="s">
        <v>3190</v>
      </c>
      <c r="Q160" s="15"/>
      <c r="R160" s="17" t="s">
        <v>2510</v>
      </c>
      <c r="S160" s="3" t="str">
        <f ca="1">HYPERLINK("#"&amp;재료비목록표!G2&amp;"!A"&amp;ROW(재료비목록표!A159),"자재156 →")</f>
        <v>자재156 →</v>
      </c>
      <c r="T160" s="36">
        <v>3977000</v>
      </c>
      <c r="U160" s="38">
        <f t="shared" si="6"/>
        <v>4</v>
      </c>
      <c r="V160" s="39">
        <f t="shared" si="7"/>
        <v>3977000</v>
      </c>
      <c r="W160" s="40" t="str">
        <f t="shared" si="8"/>
        <v>견적 1</v>
      </c>
    </row>
    <row r="161" spans="1:23" ht="34.700000000000003" customHeight="1" x14ac:dyDescent="0.3">
      <c r="A161" s="9" t="s">
        <v>2511</v>
      </c>
      <c r="B161" s="10" t="s">
        <v>336</v>
      </c>
      <c r="C161" s="10" t="s">
        <v>373</v>
      </c>
      <c r="D161" s="9" t="s">
        <v>14</v>
      </c>
      <c r="E161" s="33">
        <v>0</v>
      </c>
      <c r="F161" s="9"/>
      <c r="G161" s="33">
        <v>0</v>
      </c>
      <c r="H161" s="9"/>
      <c r="I161" s="33">
        <v>0</v>
      </c>
      <c r="J161" s="9"/>
      <c r="K161" s="33">
        <v>38564000</v>
      </c>
      <c r="L161" s="9" t="s">
        <v>3227</v>
      </c>
      <c r="M161" s="33">
        <v>0</v>
      </c>
      <c r="N161" s="9"/>
      <c r="O161" s="33">
        <v>38564000</v>
      </c>
      <c r="P161" s="22" t="s">
        <v>3190</v>
      </c>
      <c r="Q161" s="15"/>
      <c r="R161" s="17" t="s">
        <v>2512</v>
      </c>
      <c r="S161" s="3" t="str">
        <f ca="1">HYPERLINK("#"&amp;재료비목록표!G2&amp;"!A"&amp;ROW(재료비목록표!A160),"자재157 →")</f>
        <v>자재157 →</v>
      </c>
      <c r="T161" s="36">
        <v>38564000</v>
      </c>
      <c r="U161" s="38">
        <f t="shared" si="6"/>
        <v>4</v>
      </c>
      <c r="V161" s="39">
        <f t="shared" si="7"/>
        <v>38564000</v>
      </c>
      <c r="W161" s="40" t="str">
        <f t="shared" si="8"/>
        <v>견적 1</v>
      </c>
    </row>
    <row r="162" spans="1:23" ht="34.700000000000003" customHeight="1" x14ac:dyDescent="0.3">
      <c r="A162" s="9" t="s">
        <v>2513</v>
      </c>
      <c r="B162" s="10" t="s">
        <v>336</v>
      </c>
      <c r="C162" s="10" t="s">
        <v>2514</v>
      </c>
      <c r="D162" s="9" t="s">
        <v>14</v>
      </c>
      <c r="E162" s="33">
        <v>0</v>
      </c>
      <c r="F162" s="9"/>
      <c r="G162" s="33">
        <v>0</v>
      </c>
      <c r="H162" s="9"/>
      <c r="I162" s="33">
        <v>0</v>
      </c>
      <c r="J162" s="9"/>
      <c r="K162" s="33">
        <v>4713000</v>
      </c>
      <c r="L162" s="9" t="s">
        <v>3227</v>
      </c>
      <c r="M162" s="33">
        <v>0</v>
      </c>
      <c r="N162" s="9"/>
      <c r="O162" s="33">
        <v>4713000</v>
      </c>
      <c r="P162" s="22" t="s">
        <v>3190</v>
      </c>
      <c r="Q162" s="15"/>
      <c r="R162" s="17" t="s">
        <v>2515</v>
      </c>
      <c r="S162" s="3" t="str">
        <f ca="1">HYPERLINK("#"&amp;재료비목록표!G2&amp;"!A"&amp;ROW(재료비목록표!A161),"자재158 →")</f>
        <v>자재158 →</v>
      </c>
      <c r="T162" s="36">
        <v>4713000</v>
      </c>
      <c r="U162" s="38">
        <f t="shared" si="6"/>
        <v>4</v>
      </c>
      <c r="V162" s="39">
        <f t="shared" si="7"/>
        <v>4713000</v>
      </c>
      <c r="W162" s="40" t="str">
        <f t="shared" si="8"/>
        <v>견적 1</v>
      </c>
    </row>
    <row r="163" spans="1:23" ht="34.700000000000003" customHeight="1" x14ac:dyDescent="0.3">
      <c r="A163" s="9" t="s">
        <v>2516</v>
      </c>
      <c r="B163" s="10" t="s">
        <v>336</v>
      </c>
      <c r="C163" s="10" t="s">
        <v>2517</v>
      </c>
      <c r="D163" s="9" t="s">
        <v>14</v>
      </c>
      <c r="E163" s="33">
        <v>0</v>
      </c>
      <c r="F163" s="9"/>
      <c r="G163" s="33">
        <v>0</v>
      </c>
      <c r="H163" s="9"/>
      <c r="I163" s="33">
        <v>0</v>
      </c>
      <c r="J163" s="9"/>
      <c r="K163" s="33">
        <v>5927000</v>
      </c>
      <c r="L163" s="9" t="s">
        <v>3236</v>
      </c>
      <c r="M163" s="33">
        <v>0</v>
      </c>
      <c r="N163" s="9"/>
      <c r="O163" s="33">
        <v>5927000</v>
      </c>
      <c r="P163" s="22" t="s">
        <v>3190</v>
      </c>
      <c r="Q163" s="15"/>
      <c r="R163" s="17" t="s">
        <v>2518</v>
      </c>
      <c r="S163" s="3" t="str">
        <f ca="1">HYPERLINK("#"&amp;재료비목록표!G2&amp;"!A"&amp;ROW(재료비목록표!A162),"자재159 →")</f>
        <v>자재159 →</v>
      </c>
      <c r="T163" s="36">
        <v>5927000</v>
      </c>
      <c r="U163" s="38">
        <f t="shared" si="6"/>
        <v>4</v>
      </c>
      <c r="V163" s="39">
        <f t="shared" si="7"/>
        <v>5927000</v>
      </c>
      <c r="W163" s="40" t="str">
        <f t="shared" si="8"/>
        <v>견적 1</v>
      </c>
    </row>
    <row r="164" spans="1:23" ht="34.700000000000003" customHeight="1" x14ac:dyDescent="0.3">
      <c r="A164" s="9" t="s">
        <v>2519</v>
      </c>
      <c r="B164" s="10" t="s">
        <v>336</v>
      </c>
      <c r="C164" s="10" t="s">
        <v>358</v>
      </c>
      <c r="D164" s="9" t="s">
        <v>14</v>
      </c>
      <c r="E164" s="33">
        <v>0</v>
      </c>
      <c r="F164" s="9"/>
      <c r="G164" s="33">
        <v>0</v>
      </c>
      <c r="H164" s="9"/>
      <c r="I164" s="33">
        <v>0</v>
      </c>
      <c r="J164" s="9"/>
      <c r="K164" s="33">
        <v>6665000</v>
      </c>
      <c r="L164" s="9" t="s">
        <v>3227</v>
      </c>
      <c r="M164" s="33">
        <v>0</v>
      </c>
      <c r="N164" s="9"/>
      <c r="O164" s="33">
        <v>6665000</v>
      </c>
      <c r="P164" s="22" t="s">
        <v>3190</v>
      </c>
      <c r="Q164" s="15"/>
      <c r="R164" s="17" t="s">
        <v>2520</v>
      </c>
      <c r="S164" s="3" t="str">
        <f ca="1">HYPERLINK("#"&amp;재료비목록표!G2&amp;"!A"&amp;ROW(재료비목록표!A163),"자재160 →")</f>
        <v>자재160 →</v>
      </c>
      <c r="T164" s="36">
        <v>6665000</v>
      </c>
      <c r="U164" s="38">
        <f t="shared" si="6"/>
        <v>4</v>
      </c>
      <c r="V164" s="39">
        <f t="shared" si="7"/>
        <v>6665000</v>
      </c>
      <c r="W164" s="40" t="str">
        <f t="shared" si="8"/>
        <v>견적 1</v>
      </c>
    </row>
    <row r="165" spans="1:23" ht="34.700000000000003" customHeight="1" x14ac:dyDescent="0.3">
      <c r="A165" s="9" t="s">
        <v>2521</v>
      </c>
      <c r="B165" s="10" t="s">
        <v>336</v>
      </c>
      <c r="C165" s="10" t="s">
        <v>2522</v>
      </c>
      <c r="D165" s="9" t="s">
        <v>14</v>
      </c>
      <c r="E165" s="33">
        <v>0</v>
      </c>
      <c r="F165" s="9"/>
      <c r="G165" s="33">
        <v>0</v>
      </c>
      <c r="H165" s="9"/>
      <c r="I165" s="33">
        <v>0</v>
      </c>
      <c r="J165" s="9"/>
      <c r="K165" s="33">
        <v>1181000</v>
      </c>
      <c r="L165" s="9" t="s">
        <v>3236</v>
      </c>
      <c r="M165" s="33">
        <v>0</v>
      </c>
      <c r="N165" s="9"/>
      <c r="O165" s="33">
        <v>1181000</v>
      </c>
      <c r="P165" s="22" t="s">
        <v>3190</v>
      </c>
      <c r="Q165" s="15"/>
      <c r="R165" s="17" t="s">
        <v>2523</v>
      </c>
      <c r="S165" s="3" t="str">
        <f ca="1">HYPERLINK("#"&amp;재료비목록표!G2&amp;"!A"&amp;ROW(재료비목록표!A164),"자재161 →")</f>
        <v>자재161 →</v>
      </c>
      <c r="T165" s="36">
        <v>1181000</v>
      </c>
      <c r="U165" s="38">
        <f t="shared" si="6"/>
        <v>4</v>
      </c>
      <c r="V165" s="39">
        <f t="shared" si="7"/>
        <v>1181000</v>
      </c>
      <c r="W165" s="40" t="str">
        <f t="shared" si="8"/>
        <v>견적 1</v>
      </c>
    </row>
    <row r="166" spans="1:23" ht="34.700000000000003" customHeight="1" x14ac:dyDescent="0.3">
      <c r="A166" s="9" t="s">
        <v>2524</v>
      </c>
      <c r="B166" s="10" t="s">
        <v>336</v>
      </c>
      <c r="C166" s="10" t="s">
        <v>361</v>
      </c>
      <c r="D166" s="9" t="s">
        <v>14</v>
      </c>
      <c r="E166" s="33">
        <v>0</v>
      </c>
      <c r="F166" s="9"/>
      <c r="G166" s="33">
        <v>0</v>
      </c>
      <c r="H166" s="9"/>
      <c r="I166" s="33">
        <v>0</v>
      </c>
      <c r="J166" s="9"/>
      <c r="K166" s="33">
        <v>7915000</v>
      </c>
      <c r="L166" s="9" t="s">
        <v>3227</v>
      </c>
      <c r="M166" s="33">
        <v>0</v>
      </c>
      <c r="N166" s="9"/>
      <c r="O166" s="33">
        <v>7915000</v>
      </c>
      <c r="P166" s="22" t="s">
        <v>3190</v>
      </c>
      <c r="Q166" s="15"/>
      <c r="R166" s="17" t="s">
        <v>2525</v>
      </c>
      <c r="S166" s="3" t="str">
        <f ca="1">HYPERLINK("#"&amp;재료비목록표!G2&amp;"!A"&amp;ROW(재료비목록표!A165),"자재162 →")</f>
        <v>자재162 →</v>
      </c>
      <c r="T166" s="36">
        <v>7915000</v>
      </c>
      <c r="U166" s="38">
        <f t="shared" si="6"/>
        <v>4</v>
      </c>
      <c r="V166" s="39">
        <f t="shared" si="7"/>
        <v>7915000</v>
      </c>
      <c r="W166" s="40" t="str">
        <f t="shared" si="8"/>
        <v>견적 1</v>
      </c>
    </row>
    <row r="167" spans="1:23" ht="34.700000000000003" customHeight="1" x14ac:dyDescent="0.3">
      <c r="A167" s="9" t="s">
        <v>2526</v>
      </c>
      <c r="B167" s="10" t="s">
        <v>336</v>
      </c>
      <c r="C167" s="10" t="s">
        <v>2527</v>
      </c>
      <c r="D167" s="9" t="s">
        <v>14</v>
      </c>
      <c r="E167" s="33">
        <v>0</v>
      </c>
      <c r="F167" s="9"/>
      <c r="G167" s="33">
        <v>0</v>
      </c>
      <c r="H167" s="9"/>
      <c r="I167" s="33">
        <v>0</v>
      </c>
      <c r="J167" s="9"/>
      <c r="K167" s="33">
        <v>1398000</v>
      </c>
      <c r="L167" s="9" t="s">
        <v>3236</v>
      </c>
      <c r="M167" s="33">
        <v>0</v>
      </c>
      <c r="N167" s="9"/>
      <c r="O167" s="33">
        <v>1398000</v>
      </c>
      <c r="P167" s="22" t="s">
        <v>3190</v>
      </c>
      <c r="Q167" s="15"/>
      <c r="R167" s="17" t="s">
        <v>2528</v>
      </c>
      <c r="S167" s="3" t="str">
        <f ca="1">HYPERLINK("#"&amp;재료비목록표!G2&amp;"!A"&amp;ROW(재료비목록표!A166),"자재163 →")</f>
        <v>자재163 →</v>
      </c>
      <c r="T167" s="36">
        <v>1398000</v>
      </c>
      <c r="U167" s="38">
        <f t="shared" si="6"/>
        <v>4</v>
      </c>
      <c r="V167" s="39">
        <f t="shared" si="7"/>
        <v>1398000</v>
      </c>
      <c r="W167" s="40" t="str">
        <f t="shared" si="8"/>
        <v>견적 1</v>
      </c>
    </row>
    <row r="168" spans="1:23" ht="34.700000000000003" customHeight="1" x14ac:dyDescent="0.3">
      <c r="A168" s="9" t="s">
        <v>2529</v>
      </c>
      <c r="B168" s="10" t="s">
        <v>336</v>
      </c>
      <c r="C168" s="10" t="s">
        <v>2530</v>
      </c>
      <c r="D168" s="9" t="s">
        <v>14</v>
      </c>
      <c r="E168" s="33">
        <v>0</v>
      </c>
      <c r="F168" s="9"/>
      <c r="G168" s="33">
        <v>0</v>
      </c>
      <c r="H168" s="9"/>
      <c r="I168" s="33">
        <v>0</v>
      </c>
      <c r="J168" s="9"/>
      <c r="K168" s="33">
        <v>9760000</v>
      </c>
      <c r="L168" s="9" t="s">
        <v>3236</v>
      </c>
      <c r="M168" s="33">
        <v>0</v>
      </c>
      <c r="N168" s="9"/>
      <c r="O168" s="33">
        <v>9760000</v>
      </c>
      <c r="P168" s="22" t="s">
        <v>3190</v>
      </c>
      <c r="Q168" s="15"/>
      <c r="R168" s="17" t="s">
        <v>2531</v>
      </c>
      <c r="S168" s="3" t="str">
        <f ca="1">HYPERLINK("#"&amp;재료비목록표!G2&amp;"!A"&amp;ROW(재료비목록표!A167),"자재164 →")</f>
        <v>자재164 →</v>
      </c>
      <c r="T168" s="36">
        <v>9760000</v>
      </c>
      <c r="U168" s="38">
        <f t="shared" si="6"/>
        <v>4</v>
      </c>
      <c r="V168" s="39">
        <f t="shared" si="7"/>
        <v>9760000</v>
      </c>
      <c r="W168" s="40" t="str">
        <f t="shared" si="8"/>
        <v>견적 1</v>
      </c>
    </row>
    <row r="169" spans="1:23" ht="34.700000000000003" customHeight="1" x14ac:dyDescent="0.3">
      <c r="A169" s="9" t="s">
        <v>2532</v>
      </c>
      <c r="B169" s="10" t="s">
        <v>336</v>
      </c>
      <c r="C169" s="10" t="s">
        <v>2533</v>
      </c>
      <c r="D169" s="9" t="s">
        <v>14</v>
      </c>
      <c r="E169" s="33">
        <v>0</v>
      </c>
      <c r="F169" s="9"/>
      <c r="G169" s="33">
        <v>0</v>
      </c>
      <c r="H169" s="9"/>
      <c r="I169" s="33">
        <v>0</v>
      </c>
      <c r="J169" s="9"/>
      <c r="K169" s="33">
        <v>10866000</v>
      </c>
      <c r="L169" s="9" t="s">
        <v>3227</v>
      </c>
      <c r="M169" s="33">
        <v>0</v>
      </c>
      <c r="N169" s="9"/>
      <c r="O169" s="33">
        <v>10866000</v>
      </c>
      <c r="P169" s="22" t="s">
        <v>3190</v>
      </c>
      <c r="Q169" s="15"/>
      <c r="R169" s="17" t="s">
        <v>2534</v>
      </c>
      <c r="S169" s="3" t="str">
        <f ca="1">HYPERLINK("#"&amp;재료비목록표!G2&amp;"!A"&amp;ROW(재료비목록표!A168),"자재165 →")</f>
        <v>자재165 →</v>
      </c>
      <c r="T169" s="36">
        <v>10866000</v>
      </c>
      <c r="U169" s="38">
        <f t="shared" si="6"/>
        <v>4</v>
      </c>
      <c r="V169" s="39">
        <f t="shared" si="7"/>
        <v>10866000</v>
      </c>
      <c r="W169" s="40" t="str">
        <f t="shared" si="8"/>
        <v>견적 1</v>
      </c>
    </row>
    <row r="170" spans="1:23" ht="34.700000000000003" customHeight="1" x14ac:dyDescent="0.3">
      <c r="A170" s="9" t="s">
        <v>2535</v>
      </c>
      <c r="B170" s="10" t="s">
        <v>336</v>
      </c>
      <c r="C170" s="10" t="s">
        <v>2536</v>
      </c>
      <c r="D170" s="9" t="s">
        <v>14</v>
      </c>
      <c r="E170" s="33">
        <v>0</v>
      </c>
      <c r="F170" s="9"/>
      <c r="G170" s="33">
        <v>0</v>
      </c>
      <c r="H170" s="9"/>
      <c r="I170" s="33">
        <v>0</v>
      </c>
      <c r="J170" s="9"/>
      <c r="K170" s="33">
        <v>2772000</v>
      </c>
      <c r="L170" s="9" t="s">
        <v>3236</v>
      </c>
      <c r="M170" s="33">
        <v>0</v>
      </c>
      <c r="N170" s="9"/>
      <c r="O170" s="33">
        <v>2772000</v>
      </c>
      <c r="P170" s="22" t="s">
        <v>3190</v>
      </c>
      <c r="Q170" s="15"/>
      <c r="R170" s="17" t="s">
        <v>2537</v>
      </c>
      <c r="S170" s="3" t="str">
        <f ca="1">HYPERLINK("#"&amp;재료비목록표!G2&amp;"!A"&amp;ROW(재료비목록표!A169),"자재166 →")</f>
        <v>자재166 →</v>
      </c>
      <c r="T170" s="36">
        <v>2772000</v>
      </c>
      <c r="U170" s="38">
        <f t="shared" si="6"/>
        <v>4</v>
      </c>
      <c r="V170" s="39">
        <f t="shared" si="7"/>
        <v>2772000</v>
      </c>
      <c r="W170" s="40" t="str">
        <f t="shared" si="8"/>
        <v>견적 1</v>
      </c>
    </row>
    <row r="171" spans="1:23" ht="34.700000000000003" customHeight="1" x14ac:dyDescent="0.3">
      <c r="A171" s="9" t="s">
        <v>2538</v>
      </c>
      <c r="B171" s="10" t="s">
        <v>336</v>
      </c>
      <c r="C171" s="10" t="s">
        <v>370</v>
      </c>
      <c r="D171" s="9" t="s">
        <v>14</v>
      </c>
      <c r="E171" s="33">
        <v>0</v>
      </c>
      <c r="F171" s="9"/>
      <c r="G171" s="33">
        <v>0</v>
      </c>
      <c r="H171" s="9"/>
      <c r="I171" s="33">
        <v>0</v>
      </c>
      <c r="J171" s="9"/>
      <c r="K171" s="33">
        <v>11521000</v>
      </c>
      <c r="L171" s="9" t="s">
        <v>3227</v>
      </c>
      <c r="M171" s="33">
        <v>0</v>
      </c>
      <c r="N171" s="9"/>
      <c r="O171" s="33">
        <v>11521000</v>
      </c>
      <c r="P171" s="22" t="s">
        <v>3190</v>
      </c>
      <c r="Q171" s="15"/>
      <c r="R171" s="17" t="s">
        <v>2539</v>
      </c>
      <c r="S171" s="3" t="str">
        <f ca="1">HYPERLINK("#"&amp;재료비목록표!G2&amp;"!A"&amp;ROW(재료비목록표!A170),"자재167 →")</f>
        <v>자재167 →</v>
      </c>
      <c r="T171" s="36">
        <v>11521000</v>
      </c>
      <c r="U171" s="38">
        <f t="shared" si="6"/>
        <v>4</v>
      </c>
      <c r="V171" s="39">
        <f t="shared" si="7"/>
        <v>11521000</v>
      </c>
      <c r="W171" s="40" t="str">
        <f t="shared" si="8"/>
        <v>견적 1</v>
      </c>
    </row>
    <row r="172" spans="1:23" ht="34.700000000000003" customHeight="1" x14ac:dyDescent="0.3">
      <c r="A172" s="9" t="s">
        <v>2540</v>
      </c>
      <c r="B172" s="10" t="s">
        <v>336</v>
      </c>
      <c r="C172" s="10" t="s">
        <v>2541</v>
      </c>
      <c r="D172" s="9" t="s">
        <v>14</v>
      </c>
      <c r="E172" s="33">
        <v>0</v>
      </c>
      <c r="F172" s="9"/>
      <c r="G172" s="33">
        <v>0</v>
      </c>
      <c r="H172" s="9"/>
      <c r="I172" s="33">
        <v>0</v>
      </c>
      <c r="J172" s="9"/>
      <c r="K172" s="33">
        <v>3625000</v>
      </c>
      <c r="L172" s="9" t="s">
        <v>3239</v>
      </c>
      <c r="M172" s="33">
        <v>0</v>
      </c>
      <c r="N172" s="9"/>
      <c r="O172" s="33">
        <v>3625000</v>
      </c>
      <c r="P172" s="22" t="s">
        <v>3190</v>
      </c>
      <c r="Q172" s="15"/>
      <c r="R172" s="17" t="s">
        <v>2542</v>
      </c>
      <c r="S172" s="3" t="str">
        <f ca="1">HYPERLINK("#"&amp;재료비목록표!G2&amp;"!A"&amp;ROW(재료비목록표!A171),"자재168 →")</f>
        <v>자재168 →</v>
      </c>
      <c r="T172" s="36">
        <v>3625000</v>
      </c>
      <c r="U172" s="38">
        <f t="shared" si="6"/>
        <v>4</v>
      </c>
      <c r="V172" s="39">
        <f t="shared" si="7"/>
        <v>3625000</v>
      </c>
      <c r="W172" s="40" t="str">
        <f t="shared" si="8"/>
        <v>견적 1</v>
      </c>
    </row>
    <row r="173" spans="1:23" ht="34.700000000000003" customHeight="1" x14ac:dyDescent="0.3">
      <c r="A173" s="9" t="s">
        <v>2543</v>
      </c>
      <c r="B173" s="10" t="s">
        <v>2544</v>
      </c>
      <c r="C173" s="10" t="s">
        <v>349</v>
      </c>
      <c r="D173" s="9" t="s">
        <v>1010</v>
      </c>
      <c r="E173" s="33">
        <v>0</v>
      </c>
      <c r="F173" s="9"/>
      <c r="G173" s="33">
        <v>0</v>
      </c>
      <c r="H173" s="9"/>
      <c r="I173" s="33">
        <v>0</v>
      </c>
      <c r="J173" s="9"/>
      <c r="K173" s="33">
        <v>34000</v>
      </c>
      <c r="L173" s="9" t="s">
        <v>3227</v>
      </c>
      <c r="M173" s="33">
        <v>0</v>
      </c>
      <c r="N173" s="9"/>
      <c r="O173" s="33">
        <v>34000</v>
      </c>
      <c r="P173" s="22" t="s">
        <v>3190</v>
      </c>
      <c r="Q173" s="15"/>
      <c r="R173" s="17" t="s">
        <v>2545</v>
      </c>
      <c r="S173" s="3" t="str">
        <f ca="1">HYPERLINK("#"&amp;재료비목록표!G2&amp;"!A"&amp;ROW(재료비목록표!A172),"자재169 →")</f>
        <v>자재169 →</v>
      </c>
      <c r="T173" s="36">
        <v>34000</v>
      </c>
      <c r="U173" s="38">
        <f t="shared" si="6"/>
        <v>4</v>
      </c>
      <c r="V173" s="39">
        <f t="shared" si="7"/>
        <v>34000</v>
      </c>
      <c r="W173" s="40" t="str">
        <f t="shared" si="8"/>
        <v>견적 1</v>
      </c>
    </row>
    <row r="174" spans="1:23" ht="34.700000000000003" customHeight="1" x14ac:dyDescent="0.3">
      <c r="A174" s="9" t="s">
        <v>2546</v>
      </c>
      <c r="B174" s="10" t="s">
        <v>2544</v>
      </c>
      <c r="C174" s="10" t="s">
        <v>373</v>
      </c>
      <c r="D174" s="9" t="s">
        <v>1010</v>
      </c>
      <c r="E174" s="33">
        <v>0</v>
      </c>
      <c r="F174" s="9"/>
      <c r="G174" s="33">
        <v>0</v>
      </c>
      <c r="H174" s="9"/>
      <c r="I174" s="33">
        <v>0</v>
      </c>
      <c r="J174" s="9"/>
      <c r="K174" s="33">
        <v>109000</v>
      </c>
      <c r="L174" s="9" t="s">
        <v>3236</v>
      </c>
      <c r="M174" s="33">
        <v>0</v>
      </c>
      <c r="N174" s="9"/>
      <c r="O174" s="33">
        <v>109000</v>
      </c>
      <c r="P174" s="22" t="s">
        <v>3190</v>
      </c>
      <c r="Q174" s="15"/>
      <c r="R174" s="17" t="s">
        <v>2547</v>
      </c>
      <c r="S174" s="3" t="str">
        <f ca="1">HYPERLINK("#"&amp;재료비목록표!G2&amp;"!A"&amp;ROW(재료비목록표!A173),"자재170 →")</f>
        <v>자재170 →</v>
      </c>
      <c r="T174" s="36">
        <v>109000</v>
      </c>
      <c r="U174" s="38">
        <f t="shared" si="6"/>
        <v>4</v>
      </c>
      <c r="V174" s="39">
        <f t="shared" si="7"/>
        <v>109000</v>
      </c>
      <c r="W174" s="40" t="str">
        <f t="shared" si="8"/>
        <v>견적 1</v>
      </c>
    </row>
    <row r="175" spans="1:23" ht="34.700000000000003" customHeight="1" x14ac:dyDescent="0.3">
      <c r="A175" s="9" t="s">
        <v>2548</v>
      </c>
      <c r="B175" s="10" t="s">
        <v>2544</v>
      </c>
      <c r="C175" s="10" t="s">
        <v>352</v>
      </c>
      <c r="D175" s="9" t="s">
        <v>1010</v>
      </c>
      <c r="E175" s="33">
        <v>0</v>
      </c>
      <c r="F175" s="9"/>
      <c r="G175" s="33">
        <v>0</v>
      </c>
      <c r="H175" s="9"/>
      <c r="I175" s="33">
        <v>0</v>
      </c>
      <c r="J175" s="9"/>
      <c r="K175" s="33">
        <v>34000</v>
      </c>
      <c r="L175" s="9" t="s">
        <v>3227</v>
      </c>
      <c r="M175" s="33">
        <v>0</v>
      </c>
      <c r="N175" s="9"/>
      <c r="O175" s="33">
        <v>34000</v>
      </c>
      <c r="P175" s="22" t="s">
        <v>3190</v>
      </c>
      <c r="Q175" s="15"/>
      <c r="R175" s="17" t="s">
        <v>2549</v>
      </c>
      <c r="S175" s="3" t="str">
        <f ca="1">HYPERLINK("#"&amp;재료비목록표!G2&amp;"!A"&amp;ROW(재료비목록표!A174),"자재171 →")</f>
        <v>자재171 →</v>
      </c>
      <c r="T175" s="36">
        <v>34000</v>
      </c>
      <c r="U175" s="38">
        <f t="shared" si="6"/>
        <v>4</v>
      </c>
      <c r="V175" s="39">
        <f t="shared" si="7"/>
        <v>34000</v>
      </c>
      <c r="W175" s="40" t="str">
        <f t="shared" si="8"/>
        <v>견적 1</v>
      </c>
    </row>
    <row r="176" spans="1:23" ht="34.700000000000003" customHeight="1" x14ac:dyDescent="0.3">
      <c r="A176" s="9" t="s">
        <v>2550</v>
      </c>
      <c r="B176" s="10" t="s">
        <v>2544</v>
      </c>
      <c r="C176" s="10" t="s">
        <v>355</v>
      </c>
      <c r="D176" s="9" t="s">
        <v>1010</v>
      </c>
      <c r="E176" s="33">
        <v>0</v>
      </c>
      <c r="F176" s="9"/>
      <c r="G176" s="33">
        <v>0</v>
      </c>
      <c r="H176" s="9"/>
      <c r="I176" s="33">
        <v>0</v>
      </c>
      <c r="J176" s="9"/>
      <c r="K176" s="33">
        <v>34000</v>
      </c>
      <c r="L176" s="9" t="s">
        <v>3227</v>
      </c>
      <c r="M176" s="33">
        <v>0</v>
      </c>
      <c r="N176" s="9"/>
      <c r="O176" s="33">
        <v>34000</v>
      </c>
      <c r="P176" s="22" t="s">
        <v>3190</v>
      </c>
      <c r="Q176" s="15"/>
      <c r="R176" s="17" t="s">
        <v>2551</v>
      </c>
      <c r="S176" s="3" t="str">
        <f ca="1">HYPERLINK("#"&amp;재료비목록표!G2&amp;"!A"&amp;ROW(재료비목록표!A175),"자재172 →")</f>
        <v>자재172 →</v>
      </c>
      <c r="T176" s="36">
        <v>34000</v>
      </c>
      <c r="U176" s="38">
        <f t="shared" si="6"/>
        <v>4</v>
      </c>
      <c r="V176" s="39">
        <f t="shared" si="7"/>
        <v>34000</v>
      </c>
      <c r="W176" s="40" t="str">
        <f t="shared" si="8"/>
        <v>견적 1</v>
      </c>
    </row>
    <row r="177" spans="1:23" ht="34.700000000000003" customHeight="1" x14ac:dyDescent="0.3">
      <c r="A177" s="9" t="s">
        <v>2552</v>
      </c>
      <c r="B177" s="10" t="s">
        <v>2544</v>
      </c>
      <c r="C177" s="10" t="s">
        <v>358</v>
      </c>
      <c r="D177" s="9" t="s">
        <v>1010</v>
      </c>
      <c r="E177" s="33">
        <v>0</v>
      </c>
      <c r="F177" s="9"/>
      <c r="G177" s="33">
        <v>0</v>
      </c>
      <c r="H177" s="9"/>
      <c r="I177" s="33">
        <v>0</v>
      </c>
      <c r="J177" s="9"/>
      <c r="K177" s="33">
        <v>34000</v>
      </c>
      <c r="L177" s="9" t="s">
        <v>3227</v>
      </c>
      <c r="M177" s="33">
        <v>0</v>
      </c>
      <c r="N177" s="9"/>
      <c r="O177" s="33">
        <v>34000</v>
      </c>
      <c r="P177" s="22" t="s">
        <v>3190</v>
      </c>
      <c r="Q177" s="15"/>
      <c r="R177" s="17" t="s">
        <v>2553</v>
      </c>
      <c r="S177" s="3" t="str">
        <f ca="1">HYPERLINK("#"&amp;재료비목록표!G2&amp;"!A"&amp;ROW(재료비목록표!A176),"자재173 →")</f>
        <v>자재173 →</v>
      </c>
      <c r="T177" s="36">
        <v>34000</v>
      </c>
      <c r="U177" s="38">
        <f t="shared" si="6"/>
        <v>4</v>
      </c>
      <c r="V177" s="39">
        <f t="shared" si="7"/>
        <v>34000</v>
      </c>
      <c r="W177" s="40" t="str">
        <f t="shared" si="8"/>
        <v>견적 1</v>
      </c>
    </row>
    <row r="178" spans="1:23" ht="34.700000000000003" customHeight="1" x14ac:dyDescent="0.3">
      <c r="A178" s="9" t="s">
        <v>2554</v>
      </c>
      <c r="B178" s="10" t="s">
        <v>2544</v>
      </c>
      <c r="C178" s="10" t="s">
        <v>337</v>
      </c>
      <c r="D178" s="9" t="s">
        <v>1010</v>
      </c>
      <c r="E178" s="33">
        <v>0</v>
      </c>
      <c r="F178" s="9"/>
      <c r="G178" s="33">
        <v>0</v>
      </c>
      <c r="H178" s="9"/>
      <c r="I178" s="33">
        <v>0</v>
      </c>
      <c r="J178" s="9"/>
      <c r="K178" s="33">
        <v>26000</v>
      </c>
      <c r="L178" s="9" t="s">
        <v>3227</v>
      </c>
      <c r="M178" s="33">
        <v>0</v>
      </c>
      <c r="N178" s="9"/>
      <c r="O178" s="33">
        <v>26000</v>
      </c>
      <c r="P178" s="22" t="s">
        <v>3190</v>
      </c>
      <c r="Q178" s="15"/>
      <c r="R178" s="17" t="s">
        <v>2555</v>
      </c>
      <c r="S178" s="3" t="str">
        <f ca="1">HYPERLINK("#"&amp;재료비목록표!G2&amp;"!A"&amp;ROW(재료비목록표!A177),"자재174 →")</f>
        <v>자재174 →</v>
      </c>
      <c r="T178" s="36">
        <v>26000</v>
      </c>
      <c r="U178" s="38">
        <f t="shared" si="6"/>
        <v>4</v>
      </c>
      <c r="V178" s="39">
        <f t="shared" si="7"/>
        <v>26000</v>
      </c>
      <c r="W178" s="40" t="str">
        <f t="shared" si="8"/>
        <v>견적 1</v>
      </c>
    </row>
    <row r="179" spans="1:23" ht="34.700000000000003" customHeight="1" x14ac:dyDescent="0.3">
      <c r="A179" s="9" t="s">
        <v>2556</v>
      </c>
      <c r="B179" s="10" t="s">
        <v>2544</v>
      </c>
      <c r="C179" s="10" t="s">
        <v>361</v>
      </c>
      <c r="D179" s="9" t="s">
        <v>1010</v>
      </c>
      <c r="E179" s="33">
        <v>0</v>
      </c>
      <c r="F179" s="9"/>
      <c r="G179" s="33">
        <v>0</v>
      </c>
      <c r="H179" s="9"/>
      <c r="I179" s="33">
        <v>0</v>
      </c>
      <c r="J179" s="9"/>
      <c r="K179" s="33">
        <v>45000</v>
      </c>
      <c r="L179" s="9" t="s">
        <v>3227</v>
      </c>
      <c r="M179" s="33">
        <v>0</v>
      </c>
      <c r="N179" s="9"/>
      <c r="O179" s="33">
        <v>45000</v>
      </c>
      <c r="P179" s="22" t="s">
        <v>3190</v>
      </c>
      <c r="Q179" s="15"/>
      <c r="R179" s="17" t="s">
        <v>2557</v>
      </c>
      <c r="S179" s="3" t="str">
        <f ca="1">HYPERLINK("#"&amp;재료비목록표!G2&amp;"!A"&amp;ROW(재료비목록표!A178),"자재175 →")</f>
        <v>자재175 →</v>
      </c>
      <c r="T179" s="36">
        <v>45000</v>
      </c>
      <c r="U179" s="38">
        <f t="shared" si="6"/>
        <v>4</v>
      </c>
      <c r="V179" s="39">
        <f t="shared" si="7"/>
        <v>45000</v>
      </c>
      <c r="W179" s="40" t="str">
        <f t="shared" si="8"/>
        <v>견적 1</v>
      </c>
    </row>
    <row r="180" spans="1:23" ht="34.700000000000003" customHeight="1" x14ac:dyDescent="0.3">
      <c r="A180" s="9" t="s">
        <v>2558</v>
      </c>
      <c r="B180" s="10" t="s">
        <v>2544</v>
      </c>
      <c r="C180" s="10" t="s">
        <v>340</v>
      </c>
      <c r="D180" s="9" t="s">
        <v>1010</v>
      </c>
      <c r="E180" s="33">
        <v>0</v>
      </c>
      <c r="F180" s="9"/>
      <c r="G180" s="33">
        <v>0</v>
      </c>
      <c r="H180" s="9"/>
      <c r="I180" s="33">
        <v>0</v>
      </c>
      <c r="J180" s="9"/>
      <c r="K180" s="33">
        <v>26000</v>
      </c>
      <c r="L180" s="9" t="s">
        <v>3227</v>
      </c>
      <c r="M180" s="33">
        <v>0</v>
      </c>
      <c r="N180" s="9"/>
      <c r="O180" s="33">
        <v>26000</v>
      </c>
      <c r="P180" s="22" t="s">
        <v>3190</v>
      </c>
      <c r="Q180" s="15"/>
      <c r="R180" s="17" t="s">
        <v>2559</v>
      </c>
      <c r="S180" s="3" t="str">
        <f ca="1">HYPERLINK("#"&amp;재료비목록표!G2&amp;"!A"&amp;ROW(재료비목록표!A179),"자재176 →")</f>
        <v>자재176 →</v>
      </c>
      <c r="T180" s="36">
        <v>26000</v>
      </c>
      <c r="U180" s="38">
        <f t="shared" si="6"/>
        <v>4</v>
      </c>
      <c r="V180" s="39">
        <f t="shared" si="7"/>
        <v>26000</v>
      </c>
      <c r="W180" s="40" t="str">
        <f t="shared" si="8"/>
        <v>견적 1</v>
      </c>
    </row>
    <row r="181" spans="1:23" ht="34.700000000000003" customHeight="1" x14ac:dyDescent="0.3">
      <c r="A181" s="9" t="s">
        <v>2560</v>
      </c>
      <c r="B181" s="10" t="s">
        <v>2544</v>
      </c>
      <c r="C181" s="10" t="s">
        <v>364</v>
      </c>
      <c r="D181" s="9" t="s">
        <v>1010</v>
      </c>
      <c r="E181" s="33">
        <v>0</v>
      </c>
      <c r="F181" s="9"/>
      <c r="G181" s="33">
        <v>0</v>
      </c>
      <c r="H181" s="9"/>
      <c r="I181" s="33">
        <v>0</v>
      </c>
      <c r="J181" s="9"/>
      <c r="K181" s="33">
        <v>45000</v>
      </c>
      <c r="L181" s="9" t="s">
        <v>3227</v>
      </c>
      <c r="M181" s="33">
        <v>0</v>
      </c>
      <c r="N181" s="9"/>
      <c r="O181" s="33">
        <v>45000</v>
      </c>
      <c r="P181" s="22" t="s">
        <v>3190</v>
      </c>
      <c r="Q181" s="15"/>
      <c r="R181" s="17" t="s">
        <v>2561</v>
      </c>
      <c r="S181" s="3" t="str">
        <f ca="1">HYPERLINK("#"&amp;재료비목록표!G2&amp;"!A"&amp;ROW(재료비목록표!A180),"자재177 →")</f>
        <v>자재177 →</v>
      </c>
      <c r="T181" s="36">
        <v>45000</v>
      </c>
      <c r="U181" s="38">
        <f t="shared" si="6"/>
        <v>4</v>
      </c>
      <c r="V181" s="39">
        <f t="shared" si="7"/>
        <v>45000</v>
      </c>
      <c r="W181" s="40" t="str">
        <f t="shared" si="8"/>
        <v>견적 1</v>
      </c>
    </row>
    <row r="182" spans="1:23" ht="34.700000000000003" customHeight="1" x14ac:dyDescent="0.3">
      <c r="A182" s="9" t="s">
        <v>2562</v>
      </c>
      <c r="B182" s="10" t="s">
        <v>2544</v>
      </c>
      <c r="C182" s="10" t="s">
        <v>2563</v>
      </c>
      <c r="D182" s="9" t="s">
        <v>1010</v>
      </c>
      <c r="E182" s="33">
        <v>0</v>
      </c>
      <c r="F182" s="9"/>
      <c r="G182" s="33">
        <v>0</v>
      </c>
      <c r="H182" s="9"/>
      <c r="I182" s="33">
        <v>0</v>
      </c>
      <c r="J182" s="9"/>
      <c r="K182" s="33">
        <v>45000</v>
      </c>
      <c r="L182" s="9" t="s">
        <v>3227</v>
      </c>
      <c r="M182" s="33">
        <v>0</v>
      </c>
      <c r="N182" s="9"/>
      <c r="O182" s="33">
        <v>45000</v>
      </c>
      <c r="P182" s="22" t="s">
        <v>3190</v>
      </c>
      <c r="Q182" s="15"/>
      <c r="R182" s="17" t="s">
        <v>2564</v>
      </c>
      <c r="S182" s="3" t="str">
        <f ca="1">HYPERLINK("#"&amp;재료비목록표!G2&amp;"!A"&amp;ROW(재료비목록표!A181),"자재178 →")</f>
        <v>자재178 →</v>
      </c>
      <c r="T182" s="36">
        <v>45000</v>
      </c>
      <c r="U182" s="38">
        <f t="shared" si="6"/>
        <v>4</v>
      </c>
      <c r="V182" s="39">
        <f t="shared" si="7"/>
        <v>45000</v>
      </c>
      <c r="W182" s="40" t="str">
        <f t="shared" si="8"/>
        <v>견적 1</v>
      </c>
    </row>
    <row r="183" spans="1:23" ht="34.700000000000003" customHeight="1" x14ac:dyDescent="0.3">
      <c r="A183" s="9" t="s">
        <v>2565</v>
      </c>
      <c r="B183" s="10" t="s">
        <v>2544</v>
      </c>
      <c r="C183" s="10" t="s">
        <v>343</v>
      </c>
      <c r="D183" s="9" t="s">
        <v>1010</v>
      </c>
      <c r="E183" s="33">
        <v>0</v>
      </c>
      <c r="F183" s="9"/>
      <c r="G183" s="33">
        <v>0</v>
      </c>
      <c r="H183" s="9"/>
      <c r="I183" s="33">
        <v>0</v>
      </c>
      <c r="J183" s="9"/>
      <c r="K183" s="33">
        <v>26000</v>
      </c>
      <c r="L183" s="9" t="s">
        <v>3227</v>
      </c>
      <c r="M183" s="33">
        <v>0</v>
      </c>
      <c r="N183" s="9"/>
      <c r="O183" s="33">
        <v>26000</v>
      </c>
      <c r="P183" s="22" t="s">
        <v>3190</v>
      </c>
      <c r="Q183" s="15"/>
      <c r="R183" s="17" t="s">
        <v>2566</v>
      </c>
      <c r="S183" s="3" t="str">
        <f ca="1">HYPERLINK("#"&amp;재료비목록표!G2&amp;"!A"&amp;ROW(재료비목록표!A182),"자재179 →")</f>
        <v>자재179 →</v>
      </c>
      <c r="T183" s="36">
        <v>26000</v>
      </c>
      <c r="U183" s="38">
        <f t="shared" si="6"/>
        <v>4</v>
      </c>
      <c r="V183" s="39">
        <f t="shared" si="7"/>
        <v>26000</v>
      </c>
      <c r="W183" s="40" t="str">
        <f t="shared" si="8"/>
        <v>견적 1</v>
      </c>
    </row>
    <row r="184" spans="1:23" ht="34.700000000000003" customHeight="1" x14ac:dyDescent="0.3">
      <c r="A184" s="9" t="s">
        <v>2567</v>
      </c>
      <c r="B184" s="10" t="s">
        <v>2544</v>
      </c>
      <c r="C184" s="10" t="s">
        <v>2568</v>
      </c>
      <c r="D184" s="9" t="s">
        <v>1010</v>
      </c>
      <c r="E184" s="33">
        <v>0</v>
      </c>
      <c r="F184" s="9"/>
      <c r="G184" s="33">
        <v>0</v>
      </c>
      <c r="H184" s="9"/>
      <c r="I184" s="33">
        <v>0</v>
      </c>
      <c r="J184" s="9"/>
      <c r="K184" s="33">
        <v>45000</v>
      </c>
      <c r="L184" s="9" t="s">
        <v>3236</v>
      </c>
      <c r="M184" s="33">
        <v>0</v>
      </c>
      <c r="N184" s="9"/>
      <c r="O184" s="33">
        <v>45000</v>
      </c>
      <c r="P184" s="22" t="s">
        <v>3190</v>
      </c>
      <c r="Q184" s="15"/>
      <c r="R184" s="17" t="s">
        <v>2569</v>
      </c>
      <c r="S184" s="3" t="str">
        <f ca="1">HYPERLINK("#"&amp;재료비목록표!G2&amp;"!A"&amp;ROW(재료비목록표!A183),"자재180 →")</f>
        <v>자재180 →</v>
      </c>
      <c r="T184" s="36">
        <v>45000</v>
      </c>
      <c r="U184" s="38">
        <f t="shared" si="6"/>
        <v>4</v>
      </c>
      <c r="V184" s="39">
        <f t="shared" si="7"/>
        <v>45000</v>
      </c>
      <c r="W184" s="40" t="str">
        <f t="shared" si="8"/>
        <v>견적 1</v>
      </c>
    </row>
    <row r="185" spans="1:23" ht="34.700000000000003" customHeight="1" x14ac:dyDescent="0.3">
      <c r="A185" s="9" t="s">
        <v>2570</v>
      </c>
      <c r="B185" s="10" t="s">
        <v>2544</v>
      </c>
      <c r="C185" s="10" t="s">
        <v>346</v>
      </c>
      <c r="D185" s="9" t="s">
        <v>1010</v>
      </c>
      <c r="E185" s="33">
        <v>0</v>
      </c>
      <c r="F185" s="9"/>
      <c r="G185" s="33">
        <v>0</v>
      </c>
      <c r="H185" s="9"/>
      <c r="I185" s="33">
        <v>0</v>
      </c>
      <c r="J185" s="9"/>
      <c r="K185" s="33">
        <v>26000</v>
      </c>
      <c r="L185" s="9" t="s">
        <v>3227</v>
      </c>
      <c r="M185" s="33">
        <v>0</v>
      </c>
      <c r="N185" s="9"/>
      <c r="O185" s="33">
        <v>26000</v>
      </c>
      <c r="P185" s="22" t="s">
        <v>3190</v>
      </c>
      <c r="Q185" s="15"/>
      <c r="R185" s="17" t="s">
        <v>2571</v>
      </c>
      <c r="S185" s="3" t="str">
        <f ca="1">HYPERLINK("#"&amp;재료비목록표!G2&amp;"!A"&amp;ROW(재료비목록표!A184),"자재181 →")</f>
        <v>자재181 →</v>
      </c>
      <c r="T185" s="36">
        <v>26000</v>
      </c>
      <c r="U185" s="38">
        <f t="shared" si="6"/>
        <v>4</v>
      </c>
      <c r="V185" s="39">
        <f t="shared" si="7"/>
        <v>26000</v>
      </c>
      <c r="W185" s="40" t="str">
        <f t="shared" si="8"/>
        <v>견적 1</v>
      </c>
    </row>
    <row r="186" spans="1:23" ht="34.700000000000003" customHeight="1" x14ac:dyDescent="0.3">
      <c r="A186" s="9" t="s">
        <v>2572</v>
      </c>
      <c r="B186" s="10" t="s">
        <v>2573</v>
      </c>
      <c r="C186" s="10" t="s">
        <v>349</v>
      </c>
      <c r="D186" s="9" t="s">
        <v>1010</v>
      </c>
      <c r="E186" s="33">
        <v>0</v>
      </c>
      <c r="F186" s="9"/>
      <c r="G186" s="33">
        <v>0</v>
      </c>
      <c r="H186" s="9"/>
      <c r="I186" s="33">
        <v>0</v>
      </c>
      <c r="J186" s="9"/>
      <c r="K186" s="33">
        <v>414000</v>
      </c>
      <c r="L186" s="9" t="s">
        <v>3227</v>
      </c>
      <c r="M186" s="33">
        <v>0</v>
      </c>
      <c r="N186" s="9"/>
      <c r="O186" s="33">
        <v>414000</v>
      </c>
      <c r="P186" s="22" t="s">
        <v>3190</v>
      </c>
      <c r="Q186" s="15"/>
      <c r="R186" s="17" t="s">
        <v>2574</v>
      </c>
      <c r="S186" s="3" t="str">
        <f ca="1">HYPERLINK("#"&amp;재료비목록표!G2&amp;"!A"&amp;ROW(재료비목록표!A185),"자재182 →")</f>
        <v>자재182 →</v>
      </c>
      <c r="T186" s="36">
        <v>414000</v>
      </c>
      <c r="U186" s="38">
        <f t="shared" si="6"/>
        <v>4</v>
      </c>
      <c r="V186" s="39">
        <f t="shared" si="7"/>
        <v>414000</v>
      </c>
      <c r="W186" s="40" t="str">
        <f t="shared" si="8"/>
        <v>견적 1</v>
      </c>
    </row>
    <row r="187" spans="1:23" ht="34.700000000000003" customHeight="1" x14ac:dyDescent="0.3">
      <c r="A187" s="9" t="s">
        <v>2575</v>
      </c>
      <c r="B187" s="10" t="s">
        <v>2573</v>
      </c>
      <c r="C187" s="10" t="s">
        <v>373</v>
      </c>
      <c r="D187" s="9" t="s">
        <v>1010</v>
      </c>
      <c r="E187" s="33">
        <v>0</v>
      </c>
      <c r="F187" s="9"/>
      <c r="G187" s="33">
        <v>0</v>
      </c>
      <c r="H187" s="9"/>
      <c r="I187" s="33">
        <v>0</v>
      </c>
      <c r="J187" s="9"/>
      <c r="K187" s="33">
        <v>4477000</v>
      </c>
      <c r="L187" s="9" t="s">
        <v>3227</v>
      </c>
      <c r="M187" s="33">
        <v>0</v>
      </c>
      <c r="N187" s="9"/>
      <c r="O187" s="33">
        <v>4477000</v>
      </c>
      <c r="P187" s="22" t="s">
        <v>3190</v>
      </c>
      <c r="Q187" s="15"/>
      <c r="R187" s="17" t="s">
        <v>2576</v>
      </c>
      <c r="S187" s="3" t="str">
        <f ca="1">HYPERLINK("#"&amp;재료비목록표!G2&amp;"!A"&amp;ROW(재료비목록표!A186),"자재183 →")</f>
        <v>자재183 →</v>
      </c>
      <c r="T187" s="36">
        <v>4477000</v>
      </c>
      <c r="U187" s="38">
        <f t="shared" si="6"/>
        <v>4</v>
      </c>
      <c r="V187" s="39">
        <f t="shared" si="7"/>
        <v>4477000</v>
      </c>
      <c r="W187" s="40" t="str">
        <f t="shared" si="8"/>
        <v>견적 1</v>
      </c>
    </row>
    <row r="188" spans="1:23" ht="34.700000000000003" customHeight="1" x14ac:dyDescent="0.3">
      <c r="A188" s="9" t="s">
        <v>2577</v>
      </c>
      <c r="B188" s="10" t="s">
        <v>2573</v>
      </c>
      <c r="C188" s="10" t="s">
        <v>352</v>
      </c>
      <c r="D188" s="9" t="s">
        <v>1010</v>
      </c>
      <c r="E188" s="33">
        <v>0</v>
      </c>
      <c r="F188" s="9"/>
      <c r="G188" s="33">
        <v>0</v>
      </c>
      <c r="H188" s="9"/>
      <c r="I188" s="33">
        <v>0</v>
      </c>
      <c r="J188" s="9"/>
      <c r="K188" s="33">
        <v>414000</v>
      </c>
      <c r="L188" s="9" t="s">
        <v>3227</v>
      </c>
      <c r="M188" s="33">
        <v>0</v>
      </c>
      <c r="N188" s="9"/>
      <c r="O188" s="33">
        <v>414000</v>
      </c>
      <c r="P188" s="22" t="s">
        <v>3190</v>
      </c>
      <c r="Q188" s="15"/>
      <c r="R188" s="17" t="s">
        <v>2578</v>
      </c>
      <c r="S188" s="3" t="str">
        <f ca="1">HYPERLINK("#"&amp;재료비목록표!G2&amp;"!A"&amp;ROW(재료비목록표!A187),"자재184 →")</f>
        <v>자재184 →</v>
      </c>
      <c r="T188" s="36">
        <v>414000</v>
      </c>
      <c r="U188" s="38">
        <f t="shared" si="6"/>
        <v>4</v>
      </c>
      <c r="V188" s="39">
        <f t="shared" si="7"/>
        <v>414000</v>
      </c>
      <c r="W188" s="40" t="str">
        <f t="shared" si="8"/>
        <v>견적 1</v>
      </c>
    </row>
    <row r="189" spans="1:23" ht="34.700000000000003" customHeight="1" x14ac:dyDescent="0.3">
      <c r="A189" s="9" t="s">
        <v>2579</v>
      </c>
      <c r="B189" s="10" t="s">
        <v>2573</v>
      </c>
      <c r="C189" s="10" t="s">
        <v>355</v>
      </c>
      <c r="D189" s="9" t="s">
        <v>1010</v>
      </c>
      <c r="E189" s="33">
        <v>0</v>
      </c>
      <c r="F189" s="9"/>
      <c r="G189" s="33">
        <v>0</v>
      </c>
      <c r="H189" s="9"/>
      <c r="I189" s="33">
        <v>0</v>
      </c>
      <c r="J189" s="9"/>
      <c r="K189" s="33">
        <v>414000</v>
      </c>
      <c r="L189" s="9" t="s">
        <v>3227</v>
      </c>
      <c r="M189" s="33">
        <v>0</v>
      </c>
      <c r="N189" s="9"/>
      <c r="O189" s="33">
        <v>414000</v>
      </c>
      <c r="P189" s="22" t="s">
        <v>3190</v>
      </c>
      <c r="Q189" s="15"/>
      <c r="R189" s="17" t="s">
        <v>2580</v>
      </c>
      <c r="S189" s="3" t="str">
        <f ca="1">HYPERLINK("#"&amp;재료비목록표!G2&amp;"!A"&amp;ROW(재료비목록표!A188),"자재185 →")</f>
        <v>자재185 →</v>
      </c>
      <c r="T189" s="36">
        <v>414000</v>
      </c>
      <c r="U189" s="38">
        <f t="shared" si="6"/>
        <v>4</v>
      </c>
      <c r="V189" s="39">
        <f t="shared" si="7"/>
        <v>414000</v>
      </c>
      <c r="W189" s="40" t="str">
        <f t="shared" si="8"/>
        <v>견적 1</v>
      </c>
    </row>
    <row r="190" spans="1:23" ht="34.700000000000003" customHeight="1" x14ac:dyDescent="0.3">
      <c r="A190" s="9" t="s">
        <v>2581</v>
      </c>
      <c r="B190" s="10" t="s">
        <v>2573</v>
      </c>
      <c r="C190" s="10" t="s">
        <v>358</v>
      </c>
      <c r="D190" s="9" t="s">
        <v>1010</v>
      </c>
      <c r="E190" s="33">
        <v>0</v>
      </c>
      <c r="F190" s="9"/>
      <c r="G190" s="33">
        <v>0</v>
      </c>
      <c r="H190" s="9"/>
      <c r="I190" s="33">
        <v>0</v>
      </c>
      <c r="J190" s="9"/>
      <c r="K190" s="33">
        <v>414000</v>
      </c>
      <c r="L190" s="9" t="s">
        <v>3227</v>
      </c>
      <c r="M190" s="33">
        <v>0</v>
      </c>
      <c r="N190" s="9"/>
      <c r="O190" s="33">
        <v>414000</v>
      </c>
      <c r="P190" s="22" t="s">
        <v>3190</v>
      </c>
      <c r="Q190" s="15"/>
      <c r="R190" s="17" t="s">
        <v>2582</v>
      </c>
      <c r="S190" s="3" t="str">
        <f ca="1">HYPERLINK("#"&amp;재료비목록표!G2&amp;"!A"&amp;ROW(재료비목록표!A189),"자재186 →")</f>
        <v>자재186 →</v>
      </c>
      <c r="T190" s="36">
        <v>414000</v>
      </c>
      <c r="U190" s="38">
        <f t="shared" si="6"/>
        <v>4</v>
      </c>
      <c r="V190" s="39">
        <f t="shared" si="7"/>
        <v>414000</v>
      </c>
      <c r="W190" s="40" t="str">
        <f t="shared" si="8"/>
        <v>견적 1</v>
      </c>
    </row>
    <row r="191" spans="1:23" ht="34.700000000000003" customHeight="1" x14ac:dyDescent="0.3">
      <c r="A191" s="9" t="s">
        <v>2583</v>
      </c>
      <c r="B191" s="10" t="s">
        <v>2573</v>
      </c>
      <c r="C191" s="10" t="s">
        <v>337</v>
      </c>
      <c r="D191" s="9" t="s">
        <v>1010</v>
      </c>
      <c r="E191" s="33">
        <v>0</v>
      </c>
      <c r="F191" s="9"/>
      <c r="G191" s="33">
        <v>0</v>
      </c>
      <c r="H191" s="9"/>
      <c r="I191" s="33">
        <v>0</v>
      </c>
      <c r="J191" s="9"/>
      <c r="K191" s="33">
        <v>110000</v>
      </c>
      <c r="L191" s="9" t="s">
        <v>3227</v>
      </c>
      <c r="M191" s="33">
        <v>0</v>
      </c>
      <c r="N191" s="9"/>
      <c r="O191" s="33">
        <v>110000</v>
      </c>
      <c r="P191" s="22" t="s">
        <v>3190</v>
      </c>
      <c r="Q191" s="15"/>
      <c r="R191" s="17" t="s">
        <v>2584</v>
      </c>
      <c r="S191" s="3" t="str">
        <f ca="1">HYPERLINK("#"&amp;재료비목록표!G2&amp;"!A"&amp;ROW(재료비목록표!A190),"자재187 →")</f>
        <v>자재187 →</v>
      </c>
      <c r="T191" s="36">
        <v>110000</v>
      </c>
      <c r="U191" s="38">
        <f t="shared" si="6"/>
        <v>4</v>
      </c>
      <c r="V191" s="39">
        <f t="shared" si="7"/>
        <v>110000</v>
      </c>
      <c r="W191" s="40" t="str">
        <f t="shared" si="8"/>
        <v>견적 1</v>
      </c>
    </row>
    <row r="192" spans="1:23" ht="34.700000000000003" customHeight="1" x14ac:dyDescent="0.3">
      <c r="A192" s="9" t="s">
        <v>2585</v>
      </c>
      <c r="B192" s="10" t="s">
        <v>2573</v>
      </c>
      <c r="C192" s="10" t="s">
        <v>361</v>
      </c>
      <c r="D192" s="9" t="s">
        <v>1010</v>
      </c>
      <c r="E192" s="33">
        <v>0</v>
      </c>
      <c r="F192" s="9"/>
      <c r="G192" s="33">
        <v>0</v>
      </c>
      <c r="H192" s="9"/>
      <c r="I192" s="33">
        <v>0</v>
      </c>
      <c r="J192" s="9"/>
      <c r="K192" s="33">
        <v>908000</v>
      </c>
      <c r="L192" s="9" t="s">
        <v>3227</v>
      </c>
      <c r="M192" s="33">
        <v>0</v>
      </c>
      <c r="N192" s="9"/>
      <c r="O192" s="33">
        <v>908000</v>
      </c>
      <c r="P192" s="22" t="s">
        <v>3190</v>
      </c>
      <c r="Q192" s="15"/>
      <c r="R192" s="17" t="s">
        <v>2586</v>
      </c>
      <c r="S192" s="3" t="str">
        <f ca="1">HYPERLINK("#"&amp;재료비목록표!G2&amp;"!A"&amp;ROW(재료비목록표!A191),"자재188 →")</f>
        <v>자재188 →</v>
      </c>
      <c r="T192" s="36">
        <v>908000</v>
      </c>
      <c r="U192" s="38">
        <f t="shared" si="6"/>
        <v>4</v>
      </c>
      <c r="V192" s="39">
        <f t="shared" si="7"/>
        <v>908000</v>
      </c>
      <c r="W192" s="40" t="str">
        <f t="shared" si="8"/>
        <v>견적 1</v>
      </c>
    </row>
    <row r="193" spans="1:23" ht="34.700000000000003" customHeight="1" x14ac:dyDescent="0.3">
      <c r="A193" s="9" t="s">
        <v>2587</v>
      </c>
      <c r="B193" s="10" t="s">
        <v>2573</v>
      </c>
      <c r="C193" s="10" t="s">
        <v>340</v>
      </c>
      <c r="D193" s="9" t="s">
        <v>1010</v>
      </c>
      <c r="E193" s="33">
        <v>0</v>
      </c>
      <c r="F193" s="9"/>
      <c r="G193" s="33">
        <v>0</v>
      </c>
      <c r="H193" s="9"/>
      <c r="I193" s="33">
        <v>0</v>
      </c>
      <c r="J193" s="9"/>
      <c r="K193" s="33">
        <v>110000</v>
      </c>
      <c r="L193" s="9" t="s">
        <v>3227</v>
      </c>
      <c r="M193" s="33">
        <v>0</v>
      </c>
      <c r="N193" s="9"/>
      <c r="O193" s="33">
        <v>110000</v>
      </c>
      <c r="P193" s="22" t="s">
        <v>3190</v>
      </c>
      <c r="Q193" s="15"/>
      <c r="R193" s="17" t="s">
        <v>2588</v>
      </c>
      <c r="S193" s="3" t="str">
        <f ca="1">HYPERLINK("#"&amp;재료비목록표!G2&amp;"!A"&amp;ROW(재료비목록표!A192),"자재189 →")</f>
        <v>자재189 →</v>
      </c>
      <c r="T193" s="36">
        <v>110000</v>
      </c>
      <c r="U193" s="38">
        <f t="shared" si="6"/>
        <v>4</v>
      </c>
      <c r="V193" s="39">
        <f t="shared" si="7"/>
        <v>110000</v>
      </c>
      <c r="W193" s="40" t="str">
        <f t="shared" si="8"/>
        <v>견적 1</v>
      </c>
    </row>
    <row r="194" spans="1:23" ht="34.700000000000003" customHeight="1" x14ac:dyDescent="0.3">
      <c r="A194" s="9" t="s">
        <v>2589</v>
      </c>
      <c r="B194" s="10" t="s">
        <v>2573</v>
      </c>
      <c r="C194" s="10" t="s">
        <v>364</v>
      </c>
      <c r="D194" s="9" t="s">
        <v>1010</v>
      </c>
      <c r="E194" s="33">
        <v>0</v>
      </c>
      <c r="F194" s="9"/>
      <c r="G194" s="33">
        <v>0</v>
      </c>
      <c r="H194" s="9"/>
      <c r="I194" s="33">
        <v>0</v>
      </c>
      <c r="J194" s="9"/>
      <c r="K194" s="33">
        <v>908000</v>
      </c>
      <c r="L194" s="9" t="s">
        <v>3227</v>
      </c>
      <c r="M194" s="33">
        <v>0</v>
      </c>
      <c r="N194" s="9"/>
      <c r="O194" s="33">
        <v>908000</v>
      </c>
      <c r="P194" s="22" t="s">
        <v>3190</v>
      </c>
      <c r="Q194" s="15"/>
      <c r="R194" s="17" t="s">
        <v>2590</v>
      </c>
      <c r="S194" s="3" t="str">
        <f ca="1">HYPERLINK("#"&amp;재료비목록표!G2&amp;"!A"&amp;ROW(재료비목록표!A193),"자재190 →")</f>
        <v>자재190 →</v>
      </c>
      <c r="T194" s="36">
        <v>908000</v>
      </c>
      <c r="U194" s="38">
        <f t="shared" si="6"/>
        <v>4</v>
      </c>
      <c r="V194" s="39">
        <f t="shared" si="7"/>
        <v>908000</v>
      </c>
      <c r="W194" s="40" t="str">
        <f t="shared" si="8"/>
        <v>견적 1</v>
      </c>
    </row>
    <row r="195" spans="1:23" ht="34.700000000000003" customHeight="1" x14ac:dyDescent="0.3">
      <c r="A195" s="9" t="s">
        <v>2591</v>
      </c>
      <c r="B195" s="10" t="s">
        <v>2573</v>
      </c>
      <c r="C195" s="10" t="s">
        <v>2563</v>
      </c>
      <c r="D195" s="9" t="s">
        <v>1010</v>
      </c>
      <c r="E195" s="33">
        <v>0</v>
      </c>
      <c r="F195" s="9"/>
      <c r="G195" s="33">
        <v>0</v>
      </c>
      <c r="H195" s="9"/>
      <c r="I195" s="33">
        <v>0</v>
      </c>
      <c r="J195" s="9"/>
      <c r="K195" s="33">
        <v>908000</v>
      </c>
      <c r="L195" s="9" t="s">
        <v>3227</v>
      </c>
      <c r="M195" s="33">
        <v>0</v>
      </c>
      <c r="N195" s="9"/>
      <c r="O195" s="33">
        <v>908000</v>
      </c>
      <c r="P195" s="22" t="s">
        <v>3190</v>
      </c>
      <c r="Q195" s="15"/>
      <c r="R195" s="17" t="s">
        <v>2592</v>
      </c>
      <c r="S195" s="3" t="str">
        <f ca="1">HYPERLINK("#"&amp;재료비목록표!G2&amp;"!A"&amp;ROW(재료비목록표!A194),"자재191 →")</f>
        <v>자재191 →</v>
      </c>
      <c r="T195" s="36">
        <v>908000</v>
      </c>
      <c r="U195" s="38">
        <f t="shared" si="6"/>
        <v>4</v>
      </c>
      <c r="V195" s="39">
        <f t="shared" si="7"/>
        <v>908000</v>
      </c>
      <c r="W195" s="40" t="str">
        <f t="shared" si="8"/>
        <v>견적 1</v>
      </c>
    </row>
    <row r="196" spans="1:23" ht="34.700000000000003" customHeight="1" x14ac:dyDescent="0.3">
      <c r="A196" s="9" t="s">
        <v>2593</v>
      </c>
      <c r="B196" s="10" t="s">
        <v>2573</v>
      </c>
      <c r="C196" s="10" t="s">
        <v>343</v>
      </c>
      <c r="D196" s="9" t="s">
        <v>1010</v>
      </c>
      <c r="E196" s="33">
        <v>0</v>
      </c>
      <c r="F196" s="9"/>
      <c r="G196" s="33">
        <v>0</v>
      </c>
      <c r="H196" s="9"/>
      <c r="I196" s="33">
        <v>0</v>
      </c>
      <c r="J196" s="9"/>
      <c r="K196" s="33">
        <v>110000</v>
      </c>
      <c r="L196" s="9" t="s">
        <v>3227</v>
      </c>
      <c r="M196" s="33">
        <v>0</v>
      </c>
      <c r="N196" s="9"/>
      <c r="O196" s="33">
        <v>110000</v>
      </c>
      <c r="P196" s="22" t="s">
        <v>3190</v>
      </c>
      <c r="Q196" s="15"/>
      <c r="R196" s="17" t="s">
        <v>2594</v>
      </c>
      <c r="S196" s="3" t="str">
        <f ca="1">HYPERLINK("#"&amp;재료비목록표!G2&amp;"!A"&amp;ROW(재료비목록표!A195),"자재192 →")</f>
        <v>자재192 →</v>
      </c>
      <c r="T196" s="36">
        <v>110000</v>
      </c>
      <c r="U196" s="38">
        <f t="shared" si="6"/>
        <v>4</v>
      </c>
      <c r="V196" s="39">
        <f t="shared" si="7"/>
        <v>110000</v>
      </c>
      <c r="W196" s="40" t="str">
        <f t="shared" si="8"/>
        <v>견적 1</v>
      </c>
    </row>
    <row r="197" spans="1:23" ht="34.700000000000003" customHeight="1" x14ac:dyDescent="0.3">
      <c r="A197" s="9" t="s">
        <v>2595</v>
      </c>
      <c r="B197" s="10" t="s">
        <v>2573</v>
      </c>
      <c r="C197" s="10" t="s">
        <v>2568</v>
      </c>
      <c r="D197" s="9" t="s">
        <v>1010</v>
      </c>
      <c r="E197" s="33">
        <v>0</v>
      </c>
      <c r="F197" s="9"/>
      <c r="G197" s="33">
        <v>0</v>
      </c>
      <c r="H197" s="9"/>
      <c r="I197" s="33">
        <v>0</v>
      </c>
      <c r="J197" s="9"/>
      <c r="K197" s="33">
        <v>2021000</v>
      </c>
      <c r="L197" s="9" t="s">
        <v>3227</v>
      </c>
      <c r="M197" s="33">
        <v>0</v>
      </c>
      <c r="N197" s="9"/>
      <c r="O197" s="33">
        <v>2021000</v>
      </c>
      <c r="P197" s="22" t="s">
        <v>3190</v>
      </c>
      <c r="Q197" s="15"/>
      <c r="R197" s="17" t="s">
        <v>2596</v>
      </c>
      <c r="S197" s="3" t="str">
        <f ca="1">HYPERLINK("#"&amp;재료비목록표!G2&amp;"!A"&amp;ROW(재료비목록표!A196),"자재193 →")</f>
        <v>자재193 →</v>
      </c>
      <c r="T197" s="36">
        <v>2021000</v>
      </c>
      <c r="U197" s="38">
        <f t="shared" ref="U197:U260" si="9">IF(OR(V197=0,ISERROR(MATCH(V197,E197:M197,0))),"",CHOOSE(TRUNC((MATCH(V197,E197:M197,0)/2+1)),1,2,3,4,5))</f>
        <v>4</v>
      </c>
      <c r="V197" s="39">
        <f t="shared" ref="V197:V260" si="10">IF(AND(E197=0,G197=0,I197=0,K197=0,M197=0),T197,MIN(IF(E197=0,MAX(E197:M197),E197),IF(G197=0,MAX(E197:M197),G197),IF(I197=0,MAX(E197:M197),I197),IF(K197=0,MAX(E197:M197),K197),IF(M197=0,MAX(E197:M197),M197)))</f>
        <v>2021000</v>
      </c>
      <c r="W197" s="40" t="str">
        <f t="shared" ref="W197:W260" si="11">IF(OR(O197=0,U197=""),"",CHOOSE(U197,Y$5,Y$6,Y$7,Y$8,Y$9))</f>
        <v>견적 1</v>
      </c>
    </row>
    <row r="198" spans="1:23" ht="34.700000000000003" customHeight="1" x14ac:dyDescent="0.3">
      <c r="A198" s="9" t="s">
        <v>2597</v>
      </c>
      <c r="B198" s="10" t="s">
        <v>2573</v>
      </c>
      <c r="C198" s="10" t="s">
        <v>346</v>
      </c>
      <c r="D198" s="9" t="s">
        <v>1010</v>
      </c>
      <c r="E198" s="33">
        <v>0</v>
      </c>
      <c r="F198" s="9"/>
      <c r="G198" s="33">
        <v>0</v>
      </c>
      <c r="H198" s="9"/>
      <c r="I198" s="33">
        <v>0</v>
      </c>
      <c r="J198" s="9"/>
      <c r="K198" s="33">
        <v>110000</v>
      </c>
      <c r="L198" s="9" t="s">
        <v>3227</v>
      </c>
      <c r="M198" s="33">
        <v>0</v>
      </c>
      <c r="N198" s="9"/>
      <c r="O198" s="33">
        <v>110000</v>
      </c>
      <c r="P198" s="22" t="s">
        <v>3190</v>
      </c>
      <c r="Q198" s="15"/>
      <c r="R198" s="17" t="s">
        <v>2598</v>
      </c>
      <c r="S198" s="3" t="str">
        <f ca="1">HYPERLINK("#"&amp;재료비목록표!G2&amp;"!A"&amp;ROW(재료비목록표!A197),"자재194 →")</f>
        <v>자재194 →</v>
      </c>
      <c r="T198" s="36">
        <v>110000</v>
      </c>
      <c r="U198" s="38">
        <f t="shared" si="9"/>
        <v>4</v>
      </c>
      <c r="V198" s="39">
        <f t="shared" si="10"/>
        <v>110000</v>
      </c>
      <c r="W198" s="40" t="str">
        <f t="shared" si="11"/>
        <v>견적 1</v>
      </c>
    </row>
    <row r="199" spans="1:23" ht="34.700000000000003" customHeight="1" x14ac:dyDescent="0.3">
      <c r="A199" s="9" t="s">
        <v>2599</v>
      </c>
      <c r="B199" s="10" t="s">
        <v>2600</v>
      </c>
      <c r="C199" s="10" t="s">
        <v>349</v>
      </c>
      <c r="D199" s="9" t="s">
        <v>1010</v>
      </c>
      <c r="E199" s="33">
        <v>0</v>
      </c>
      <c r="F199" s="9"/>
      <c r="G199" s="33">
        <v>0</v>
      </c>
      <c r="H199" s="9"/>
      <c r="I199" s="33">
        <v>0</v>
      </c>
      <c r="J199" s="9"/>
      <c r="K199" s="33">
        <v>102000</v>
      </c>
      <c r="L199" s="9" t="s">
        <v>3227</v>
      </c>
      <c r="M199" s="33">
        <v>0</v>
      </c>
      <c r="N199" s="9"/>
      <c r="O199" s="33">
        <v>102000</v>
      </c>
      <c r="P199" s="22" t="s">
        <v>3190</v>
      </c>
      <c r="Q199" s="15"/>
      <c r="R199" s="17" t="s">
        <v>2601</v>
      </c>
      <c r="S199" s="3" t="str">
        <f ca="1">HYPERLINK("#"&amp;재료비목록표!G2&amp;"!A"&amp;ROW(재료비목록표!A198),"자재195 →")</f>
        <v>자재195 →</v>
      </c>
      <c r="T199" s="36">
        <v>102000</v>
      </c>
      <c r="U199" s="38">
        <f t="shared" si="9"/>
        <v>4</v>
      </c>
      <c r="V199" s="39">
        <f t="shared" si="10"/>
        <v>102000</v>
      </c>
      <c r="W199" s="40" t="str">
        <f t="shared" si="11"/>
        <v>견적 1</v>
      </c>
    </row>
    <row r="200" spans="1:23" ht="34.700000000000003" customHeight="1" x14ac:dyDescent="0.3">
      <c r="A200" s="9" t="s">
        <v>2602</v>
      </c>
      <c r="B200" s="10" t="s">
        <v>2600</v>
      </c>
      <c r="C200" s="10" t="s">
        <v>373</v>
      </c>
      <c r="D200" s="9" t="s">
        <v>1010</v>
      </c>
      <c r="E200" s="33">
        <v>0</v>
      </c>
      <c r="F200" s="9"/>
      <c r="G200" s="33">
        <v>0</v>
      </c>
      <c r="H200" s="9"/>
      <c r="I200" s="33">
        <v>0</v>
      </c>
      <c r="J200" s="9"/>
      <c r="K200" s="33">
        <v>589000</v>
      </c>
      <c r="L200" s="9" t="s">
        <v>3227</v>
      </c>
      <c r="M200" s="33">
        <v>0</v>
      </c>
      <c r="N200" s="9"/>
      <c r="O200" s="33">
        <v>589000</v>
      </c>
      <c r="P200" s="22" t="s">
        <v>3190</v>
      </c>
      <c r="Q200" s="15"/>
      <c r="R200" s="17" t="s">
        <v>2603</v>
      </c>
      <c r="S200" s="3" t="str">
        <f ca="1">HYPERLINK("#"&amp;재료비목록표!G2&amp;"!A"&amp;ROW(재료비목록표!A199),"자재196 →")</f>
        <v>자재196 →</v>
      </c>
      <c r="T200" s="36">
        <v>589000</v>
      </c>
      <c r="U200" s="38">
        <f t="shared" si="9"/>
        <v>4</v>
      </c>
      <c r="V200" s="39">
        <f t="shared" si="10"/>
        <v>589000</v>
      </c>
      <c r="W200" s="40" t="str">
        <f t="shared" si="11"/>
        <v>견적 1</v>
      </c>
    </row>
    <row r="201" spans="1:23" ht="34.700000000000003" customHeight="1" x14ac:dyDescent="0.3">
      <c r="A201" s="9" t="s">
        <v>2604</v>
      </c>
      <c r="B201" s="10" t="s">
        <v>2600</v>
      </c>
      <c r="C201" s="10" t="s">
        <v>352</v>
      </c>
      <c r="D201" s="9" t="s">
        <v>1010</v>
      </c>
      <c r="E201" s="33">
        <v>0</v>
      </c>
      <c r="F201" s="9"/>
      <c r="G201" s="33">
        <v>0</v>
      </c>
      <c r="H201" s="9"/>
      <c r="I201" s="33">
        <v>0</v>
      </c>
      <c r="J201" s="9"/>
      <c r="K201" s="33">
        <v>102000</v>
      </c>
      <c r="L201" s="9" t="s">
        <v>3227</v>
      </c>
      <c r="M201" s="33">
        <v>0</v>
      </c>
      <c r="N201" s="9"/>
      <c r="O201" s="33">
        <v>102000</v>
      </c>
      <c r="P201" s="22" t="s">
        <v>3190</v>
      </c>
      <c r="Q201" s="15"/>
      <c r="R201" s="17" t="s">
        <v>2605</v>
      </c>
      <c r="S201" s="3" t="str">
        <f ca="1">HYPERLINK("#"&amp;재료비목록표!G2&amp;"!A"&amp;ROW(재료비목록표!A200),"자재197 →")</f>
        <v>자재197 →</v>
      </c>
      <c r="T201" s="36">
        <v>102000</v>
      </c>
      <c r="U201" s="38">
        <f t="shared" si="9"/>
        <v>4</v>
      </c>
      <c r="V201" s="39">
        <f t="shared" si="10"/>
        <v>102000</v>
      </c>
      <c r="W201" s="40" t="str">
        <f t="shared" si="11"/>
        <v>견적 1</v>
      </c>
    </row>
    <row r="202" spans="1:23" ht="34.700000000000003" customHeight="1" x14ac:dyDescent="0.3">
      <c r="A202" s="9" t="s">
        <v>2606</v>
      </c>
      <c r="B202" s="10" t="s">
        <v>2600</v>
      </c>
      <c r="C202" s="10" t="s">
        <v>355</v>
      </c>
      <c r="D202" s="9" t="s">
        <v>1010</v>
      </c>
      <c r="E202" s="33">
        <v>0</v>
      </c>
      <c r="F202" s="9"/>
      <c r="G202" s="33">
        <v>0</v>
      </c>
      <c r="H202" s="9"/>
      <c r="I202" s="33">
        <v>0</v>
      </c>
      <c r="J202" s="9"/>
      <c r="K202" s="33">
        <v>102000</v>
      </c>
      <c r="L202" s="9" t="s">
        <v>3227</v>
      </c>
      <c r="M202" s="33">
        <v>0</v>
      </c>
      <c r="N202" s="9"/>
      <c r="O202" s="33">
        <v>102000</v>
      </c>
      <c r="P202" s="22" t="s">
        <v>3190</v>
      </c>
      <c r="Q202" s="15"/>
      <c r="R202" s="17" t="s">
        <v>2607</v>
      </c>
      <c r="S202" s="3" t="str">
        <f ca="1">HYPERLINK("#"&amp;재료비목록표!G2&amp;"!A"&amp;ROW(재료비목록표!A201),"자재198 →")</f>
        <v>자재198 →</v>
      </c>
      <c r="T202" s="36">
        <v>102000</v>
      </c>
      <c r="U202" s="38">
        <f t="shared" si="9"/>
        <v>4</v>
      </c>
      <c r="V202" s="39">
        <f t="shared" si="10"/>
        <v>102000</v>
      </c>
      <c r="W202" s="40" t="str">
        <f t="shared" si="11"/>
        <v>견적 1</v>
      </c>
    </row>
    <row r="203" spans="1:23" ht="34.700000000000003" customHeight="1" x14ac:dyDescent="0.3">
      <c r="A203" s="9" t="s">
        <v>2608</v>
      </c>
      <c r="B203" s="10" t="s">
        <v>2600</v>
      </c>
      <c r="C203" s="10" t="s">
        <v>358</v>
      </c>
      <c r="D203" s="9" t="s">
        <v>1010</v>
      </c>
      <c r="E203" s="33">
        <v>0</v>
      </c>
      <c r="F203" s="9"/>
      <c r="G203" s="33">
        <v>0</v>
      </c>
      <c r="H203" s="9"/>
      <c r="I203" s="33">
        <v>0</v>
      </c>
      <c r="J203" s="9"/>
      <c r="K203" s="33">
        <v>102000</v>
      </c>
      <c r="L203" s="9" t="s">
        <v>3227</v>
      </c>
      <c r="M203" s="33">
        <v>0</v>
      </c>
      <c r="N203" s="9"/>
      <c r="O203" s="33">
        <v>102000</v>
      </c>
      <c r="P203" s="22" t="s">
        <v>3190</v>
      </c>
      <c r="Q203" s="15"/>
      <c r="R203" s="17" t="s">
        <v>2609</v>
      </c>
      <c r="S203" s="3" t="str">
        <f ca="1">HYPERLINK("#"&amp;재료비목록표!G2&amp;"!A"&amp;ROW(재료비목록표!A202),"자재199 →")</f>
        <v>자재199 →</v>
      </c>
      <c r="T203" s="36">
        <v>102000</v>
      </c>
      <c r="U203" s="38">
        <f t="shared" si="9"/>
        <v>4</v>
      </c>
      <c r="V203" s="39">
        <f t="shared" si="10"/>
        <v>102000</v>
      </c>
      <c r="W203" s="40" t="str">
        <f t="shared" si="11"/>
        <v>견적 1</v>
      </c>
    </row>
    <row r="204" spans="1:23" ht="34.700000000000003" customHeight="1" x14ac:dyDescent="0.3">
      <c r="A204" s="9" t="s">
        <v>2610</v>
      </c>
      <c r="B204" s="10" t="s">
        <v>2600</v>
      </c>
      <c r="C204" s="10" t="s">
        <v>337</v>
      </c>
      <c r="D204" s="9" t="s">
        <v>1010</v>
      </c>
      <c r="E204" s="33">
        <v>0</v>
      </c>
      <c r="F204" s="9"/>
      <c r="G204" s="33">
        <v>0</v>
      </c>
      <c r="H204" s="9"/>
      <c r="I204" s="33">
        <v>0</v>
      </c>
      <c r="J204" s="9"/>
      <c r="K204" s="33">
        <v>52000</v>
      </c>
      <c r="L204" s="9" t="s">
        <v>3227</v>
      </c>
      <c r="M204" s="33">
        <v>0</v>
      </c>
      <c r="N204" s="9"/>
      <c r="O204" s="33">
        <v>52000</v>
      </c>
      <c r="P204" s="22" t="s">
        <v>3190</v>
      </c>
      <c r="Q204" s="15"/>
      <c r="R204" s="17" t="s">
        <v>2611</v>
      </c>
      <c r="S204" s="3" t="str">
        <f ca="1">HYPERLINK("#"&amp;재료비목록표!G2&amp;"!A"&amp;ROW(재료비목록표!A203),"자재200 →")</f>
        <v>자재200 →</v>
      </c>
      <c r="T204" s="36">
        <v>52000</v>
      </c>
      <c r="U204" s="38">
        <f t="shared" si="9"/>
        <v>4</v>
      </c>
      <c r="V204" s="39">
        <f t="shared" si="10"/>
        <v>52000</v>
      </c>
      <c r="W204" s="40" t="str">
        <f t="shared" si="11"/>
        <v>견적 1</v>
      </c>
    </row>
    <row r="205" spans="1:23" ht="34.700000000000003" customHeight="1" x14ac:dyDescent="0.3">
      <c r="A205" s="9" t="s">
        <v>2612</v>
      </c>
      <c r="B205" s="10" t="s">
        <v>2600</v>
      </c>
      <c r="C205" s="10" t="s">
        <v>361</v>
      </c>
      <c r="D205" s="9" t="s">
        <v>1010</v>
      </c>
      <c r="E205" s="33">
        <v>0</v>
      </c>
      <c r="F205" s="9"/>
      <c r="G205" s="33">
        <v>0</v>
      </c>
      <c r="H205" s="9"/>
      <c r="I205" s="33">
        <v>0</v>
      </c>
      <c r="J205" s="9"/>
      <c r="K205" s="33">
        <v>163000</v>
      </c>
      <c r="L205" s="9" t="s">
        <v>3227</v>
      </c>
      <c r="M205" s="33">
        <v>0</v>
      </c>
      <c r="N205" s="9"/>
      <c r="O205" s="33">
        <v>163000</v>
      </c>
      <c r="P205" s="22" t="s">
        <v>3190</v>
      </c>
      <c r="Q205" s="15"/>
      <c r="R205" s="17" t="s">
        <v>2613</v>
      </c>
      <c r="S205" s="3" t="str">
        <f ca="1">HYPERLINK("#"&amp;재료비목록표!G2&amp;"!A"&amp;ROW(재료비목록표!A204),"자재201 →")</f>
        <v>자재201 →</v>
      </c>
      <c r="T205" s="36">
        <v>163000</v>
      </c>
      <c r="U205" s="38">
        <f t="shared" si="9"/>
        <v>4</v>
      </c>
      <c r="V205" s="39">
        <f t="shared" si="10"/>
        <v>163000</v>
      </c>
      <c r="W205" s="40" t="str">
        <f t="shared" si="11"/>
        <v>견적 1</v>
      </c>
    </row>
    <row r="206" spans="1:23" ht="34.700000000000003" customHeight="1" x14ac:dyDescent="0.3">
      <c r="A206" s="9" t="s">
        <v>2614</v>
      </c>
      <c r="B206" s="10" t="s">
        <v>2600</v>
      </c>
      <c r="C206" s="10" t="s">
        <v>340</v>
      </c>
      <c r="D206" s="9" t="s">
        <v>1010</v>
      </c>
      <c r="E206" s="33">
        <v>0</v>
      </c>
      <c r="F206" s="9"/>
      <c r="G206" s="33">
        <v>0</v>
      </c>
      <c r="H206" s="9"/>
      <c r="I206" s="33">
        <v>0</v>
      </c>
      <c r="J206" s="9"/>
      <c r="K206" s="33">
        <v>52000</v>
      </c>
      <c r="L206" s="9" t="s">
        <v>3227</v>
      </c>
      <c r="M206" s="33">
        <v>0</v>
      </c>
      <c r="N206" s="9"/>
      <c r="O206" s="33">
        <v>52000</v>
      </c>
      <c r="P206" s="22" t="s">
        <v>3190</v>
      </c>
      <c r="Q206" s="15"/>
      <c r="R206" s="17" t="s">
        <v>2615</v>
      </c>
      <c r="S206" s="3" t="str">
        <f ca="1">HYPERLINK("#"&amp;재료비목록표!G2&amp;"!A"&amp;ROW(재료비목록표!A205),"자재202 →")</f>
        <v>자재202 →</v>
      </c>
      <c r="T206" s="36">
        <v>52000</v>
      </c>
      <c r="U206" s="38">
        <f t="shared" si="9"/>
        <v>4</v>
      </c>
      <c r="V206" s="39">
        <f t="shared" si="10"/>
        <v>52000</v>
      </c>
      <c r="W206" s="40" t="str">
        <f t="shared" si="11"/>
        <v>견적 1</v>
      </c>
    </row>
    <row r="207" spans="1:23" ht="34.700000000000003" customHeight="1" x14ac:dyDescent="0.3">
      <c r="A207" s="9" t="s">
        <v>2616</v>
      </c>
      <c r="B207" s="10" t="s">
        <v>2600</v>
      </c>
      <c r="C207" s="10" t="s">
        <v>364</v>
      </c>
      <c r="D207" s="9" t="s">
        <v>1010</v>
      </c>
      <c r="E207" s="33">
        <v>0</v>
      </c>
      <c r="F207" s="9"/>
      <c r="G207" s="33">
        <v>0</v>
      </c>
      <c r="H207" s="9"/>
      <c r="I207" s="33">
        <v>0</v>
      </c>
      <c r="J207" s="9"/>
      <c r="K207" s="33">
        <v>163000</v>
      </c>
      <c r="L207" s="9" t="s">
        <v>3227</v>
      </c>
      <c r="M207" s="33">
        <v>0</v>
      </c>
      <c r="N207" s="9"/>
      <c r="O207" s="33">
        <v>163000</v>
      </c>
      <c r="P207" s="22" t="s">
        <v>3190</v>
      </c>
      <c r="Q207" s="15"/>
      <c r="R207" s="17" t="s">
        <v>2617</v>
      </c>
      <c r="S207" s="3" t="str">
        <f ca="1">HYPERLINK("#"&amp;재료비목록표!G2&amp;"!A"&amp;ROW(재료비목록표!A206),"자재203 →")</f>
        <v>자재203 →</v>
      </c>
      <c r="T207" s="36">
        <v>163000</v>
      </c>
      <c r="U207" s="38">
        <f t="shared" si="9"/>
        <v>4</v>
      </c>
      <c r="V207" s="39">
        <f t="shared" si="10"/>
        <v>163000</v>
      </c>
      <c r="W207" s="40" t="str">
        <f t="shared" si="11"/>
        <v>견적 1</v>
      </c>
    </row>
    <row r="208" spans="1:23" ht="34.700000000000003" customHeight="1" x14ac:dyDescent="0.3">
      <c r="A208" s="9" t="s">
        <v>2618</v>
      </c>
      <c r="B208" s="10" t="s">
        <v>2600</v>
      </c>
      <c r="C208" s="10" t="s">
        <v>2563</v>
      </c>
      <c r="D208" s="9" t="s">
        <v>1010</v>
      </c>
      <c r="E208" s="33">
        <v>0</v>
      </c>
      <c r="F208" s="9"/>
      <c r="G208" s="33">
        <v>0</v>
      </c>
      <c r="H208" s="9"/>
      <c r="I208" s="33">
        <v>0</v>
      </c>
      <c r="J208" s="9"/>
      <c r="K208" s="33">
        <v>163000</v>
      </c>
      <c r="L208" s="9" t="s">
        <v>3227</v>
      </c>
      <c r="M208" s="33">
        <v>0</v>
      </c>
      <c r="N208" s="9"/>
      <c r="O208" s="33">
        <v>163000</v>
      </c>
      <c r="P208" s="22" t="s">
        <v>3190</v>
      </c>
      <c r="Q208" s="15"/>
      <c r="R208" s="17" t="s">
        <v>2619</v>
      </c>
      <c r="S208" s="3" t="str">
        <f ca="1">HYPERLINK("#"&amp;재료비목록표!G2&amp;"!A"&amp;ROW(재료비목록표!A207),"자재204 →")</f>
        <v>자재204 →</v>
      </c>
      <c r="T208" s="36">
        <v>163000</v>
      </c>
      <c r="U208" s="38">
        <f t="shared" si="9"/>
        <v>4</v>
      </c>
      <c r="V208" s="39">
        <f t="shared" si="10"/>
        <v>163000</v>
      </c>
      <c r="W208" s="40" t="str">
        <f t="shared" si="11"/>
        <v>견적 1</v>
      </c>
    </row>
    <row r="209" spans="1:23" ht="34.700000000000003" customHeight="1" x14ac:dyDescent="0.3">
      <c r="A209" s="9" t="s">
        <v>2620</v>
      </c>
      <c r="B209" s="10" t="s">
        <v>2600</v>
      </c>
      <c r="C209" s="10" t="s">
        <v>343</v>
      </c>
      <c r="D209" s="9" t="s">
        <v>1010</v>
      </c>
      <c r="E209" s="33">
        <v>0</v>
      </c>
      <c r="F209" s="9"/>
      <c r="G209" s="33">
        <v>0</v>
      </c>
      <c r="H209" s="9"/>
      <c r="I209" s="33">
        <v>0</v>
      </c>
      <c r="J209" s="9"/>
      <c r="K209" s="33">
        <v>52000</v>
      </c>
      <c r="L209" s="9" t="s">
        <v>3227</v>
      </c>
      <c r="M209" s="33">
        <v>0</v>
      </c>
      <c r="N209" s="9"/>
      <c r="O209" s="33">
        <v>52000</v>
      </c>
      <c r="P209" s="22" t="s">
        <v>3190</v>
      </c>
      <c r="Q209" s="15"/>
      <c r="R209" s="17" t="s">
        <v>2621</v>
      </c>
      <c r="S209" s="3" t="str">
        <f ca="1">HYPERLINK("#"&amp;재료비목록표!G2&amp;"!A"&amp;ROW(재료비목록표!A208),"자재205 →")</f>
        <v>자재205 →</v>
      </c>
      <c r="T209" s="36">
        <v>52000</v>
      </c>
      <c r="U209" s="38">
        <f t="shared" si="9"/>
        <v>4</v>
      </c>
      <c r="V209" s="39">
        <f t="shared" si="10"/>
        <v>52000</v>
      </c>
      <c r="W209" s="40" t="str">
        <f t="shared" si="11"/>
        <v>견적 1</v>
      </c>
    </row>
    <row r="210" spans="1:23" ht="34.700000000000003" customHeight="1" x14ac:dyDescent="0.3">
      <c r="A210" s="9" t="s">
        <v>2622</v>
      </c>
      <c r="B210" s="10" t="s">
        <v>2600</v>
      </c>
      <c r="C210" s="10" t="s">
        <v>2568</v>
      </c>
      <c r="D210" s="9" t="s">
        <v>1010</v>
      </c>
      <c r="E210" s="33">
        <v>0</v>
      </c>
      <c r="F210" s="9"/>
      <c r="G210" s="33">
        <v>0</v>
      </c>
      <c r="H210" s="9"/>
      <c r="I210" s="33">
        <v>0</v>
      </c>
      <c r="J210" s="9"/>
      <c r="K210" s="33">
        <v>163000</v>
      </c>
      <c r="L210" s="9" t="s">
        <v>3227</v>
      </c>
      <c r="M210" s="33">
        <v>0</v>
      </c>
      <c r="N210" s="9"/>
      <c r="O210" s="33">
        <v>163000</v>
      </c>
      <c r="P210" s="22" t="s">
        <v>3190</v>
      </c>
      <c r="Q210" s="15"/>
      <c r="R210" s="17" t="s">
        <v>2623</v>
      </c>
      <c r="S210" s="3" t="str">
        <f ca="1">HYPERLINK("#"&amp;재료비목록표!G2&amp;"!A"&amp;ROW(재료비목록표!A209),"자재206 →")</f>
        <v>자재206 →</v>
      </c>
      <c r="T210" s="36">
        <v>163000</v>
      </c>
      <c r="U210" s="38">
        <f t="shared" si="9"/>
        <v>4</v>
      </c>
      <c r="V210" s="39">
        <f t="shared" si="10"/>
        <v>163000</v>
      </c>
      <c r="W210" s="40" t="str">
        <f t="shared" si="11"/>
        <v>견적 1</v>
      </c>
    </row>
    <row r="211" spans="1:23" ht="34.700000000000003" customHeight="1" x14ac:dyDescent="0.3">
      <c r="A211" s="9" t="s">
        <v>2624</v>
      </c>
      <c r="B211" s="10" t="s">
        <v>2600</v>
      </c>
      <c r="C211" s="10" t="s">
        <v>346</v>
      </c>
      <c r="D211" s="9" t="s">
        <v>1010</v>
      </c>
      <c r="E211" s="33">
        <v>0</v>
      </c>
      <c r="F211" s="9"/>
      <c r="G211" s="33">
        <v>0</v>
      </c>
      <c r="H211" s="9"/>
      <c r="I211" s="33">
        <v>0</v>
      </c>
      <c r="J211" s="9"/>
      <c r="K211" s="33">
        <v>52000</v>
      </c>
      <c r="L211" s="9" t="s">
        <v>3227</v>
      </c>
      <c r="M211" s="33">
        <v>0</v>
      </c>
      <c r="N211" s="9"/>
      <c r="O211" s="33">
        <v>52000</v>
      </c>
      <c r="P211" s="22" t="s">
        <v>3190</v>
      </c>
      <c r="Q211" s="15"/>
      <c r="R211" s="17" t="s">
        <v>2625</v>
      </c>
      <c r="S211" s="3" t="str">
        <f ca="1">HYPERLINK("#"&amp;재료비목록표!G2&amp;"!A"&amp;ROW(재료비목록표!A210),"자재207 →")</f>
        <v>자재207 →</v>
      </c>
      <c r="T211" s="36">
        <v>52000</v>
      </c>
      <c r="U211" s="38">
        <f t="shared" si="9"/>
        <v>4</v>
      </c>
      <c r="V211" s="39">
        <f t="shared" si="10"/>
        <v>52000</v>
      </c>
      <c r="W211" s="40" t="str">
        <f t="shared" si="11"/>
        <v>견적 1</v>
      </c>
    </row>
    <row r="212" spans="1:23" ht="34.700000000000003" customHeight="1" x14ac:dyDescent="0.3">
      <c r="A212" s="9" t="s">
        <v>2626</v>
      </c>
      <c r="B212" s="10" t="s">
        <v>2627</v>
      </c>
      <c r="C212" s="10" t="s">
        <v>2628</v>
      </c>
      <c r="D212" s="9" t="s">
        <v>2629</v>
      </c>
      <c r="E212" s="33">
        <v>0</v>
      </c>
      <c r="F212" s="9"/>
      <c r="G212" s="33">
        <v>3850</v>
      </c>
      <c r="H212" s="9" t="s">
        <v>3266</v>
      </c>
      <c r="I212" s="33">
        <v>0</v>
      </c>
      <c r="J212" s="9"/>
      <c r="K212" s="33">
        <v>0</v>
      </c>
      <c r="L212" s="9"/>
      <c r="M212" s="33">
        <v>0</v>
      </c>
      <c r="N212" s="9"/>
      <c r="O212" s="33">
        <v>3850</v>
      </c>
      <c r="P212" s="22" t="s">
        <v>3188</v>
      </c>
      <c r="Q212" s="15"/>
      <c r="R212" s="17" t="s">
        <v>2630</v>
      </c>
      <c r="S212" s="3" t="str">
        <f ca="1">HYPERLINK("#"&amp;재료비목록표!G2&amp;"!A"&amp;ROW(재료비목록표!A211),"자재208 →")</f>
        <v>자재208 →</v>
      </c>
      <c r="T212" s="36">
        <v>3850</v>
      </c>
      <c r="U212" s="38">
        <f t="shared" si="9"/>
        <v>2</v>
      </c>
      <c r="V212" s="39">
        <f t="shared" si="10"/>
        <v>3850</v>
      </c>
      <c r="W212" s="40" t="str">
        <f t="shared" si="11"/>
        <v>물.자</v>
      </c>
    </row>
    <row r="213" spans="1:23" ht="34.700000000000003" customHeight="1" x14ac:dyDescent="0.3">
      <c r="A213" s="9" t="s">
        <v>2631</v>
      </c>
      <c r="B213" s="10" t="s">
        <v>2632</v>
      </c>
      <c r="C213" s="10" t="s">
        <v>2633</v>
      </c>
      <c r="D213" s="9" t="s">
        <v>1010</v>
      </c>
      <c r="E213" s="33">
        <v>0</v>
      </c>
      <c r="F213" s="9"/>
      <c r="G213" s="33">
        <v>2940</v>
      </c>
      <c r="H213" s="9" t="s">
        <v>3267</v>
      </c>
      <c r="I213" s="33">
        <v>4400</v>
      </c>
      <c r="J213" s="9" t="s">
        <v>3268</v>
      </c>
      <c r="K213" s="33">
        <v>0</v>
      </c>
      <c r="L213" s="9"/>
      <c r="M213" s="33">
        <v>4840</v>
      </c>
      <c r="N213" s="9" t="s">
        <v>3269</v>
      </c>
      <c r="O213" s="33">
        <v>2940</v>
      </c>
      <c r="P213" s="22" t="s">
        <v>3188</v>
      </c>
      <c r="Q213" s="15"/>
      <c r="R213" s="17" t="s">
        <v>2634</v>
      </c>
      <c r="S213" s="3" t="str">
        <f ca="1">HYPERLINK("#"&amp;재료비목록표!G2&amp;"!A"&amp;ROW(재료비목록표!A212),"자재209 →")</f>
        <v>자재209 →</v>
      </c>
      <c r="T213" s="36">
        <v>2940</v>
      </c>
      <c r="U213" s="38">
        <f t="shared" si="9"/>
        <v>2</v>
      </c>
      <c r="V213" s="39">
        <f t="shared" si="10"/>
        <v>2940</v>
      </c>
      <c r="W213" s="40" t="str">
        <f t="shared" si="11"/>
        <v>물.자</v>
      </c>
    </row>
    <row r="214" spans="1:23" ht="34.700000000000003" customHeight="1" x14ac:dyDescent="0.3">
      <c r="A214" s="9" t="s">
        <v>2635</v>
      </c>
      <c r="B214" s="10" t="s">
        <v>2636</v>
      </c>
      <c r="C214" s="10" t="s">
        <v>2637</v>
      </c>
      <c r="D214" s="9" t="s">
        <v>1010</v>
      </c>
      <c r="E214" s="33">
        <v>0</v>
      </c>
      <c r="F214" s="9"/>
      <c r="G214" s="33">
        <v>577</v>
      </c>
      <c r="H214" s="9" t="s">
        <v>3270</v>
      </c>
      <c r="I214" s="33">
        <v>495</v>
      </c>
      <c r="J214" s="9" t="s">
        <v>3271</v>
      </c>
      <c r="K214" s="33">
        <v>0</v>
      </c>
      <c r="L214" s="9"/>
      <c r="M214" s="33">
        <v>471</v>
      </c>
      <c r="N214" s="9" t="s">
        <v>3272</v>
      </c>
      <c r="O214" s="33">
        <v>471</v>
      </c>
      <c r="P214" s="22" t="s">
        <v>3191</v>
      </c>
      <c r="Q214" s="15"/>
      <c r="R214" s="17" t="s">
        <v>2638</v>
      </c>
      <c r="S214" s="3" t="str">
        <f ca="1">HYPERLINK("#"&amp;재료비목록표!G2&amp;"!A"&amp;ROW(재료비목록표!A213),"자재210 →")</f>
        <v>자재210 →</v>
      </c>
      <c r="T214" s="36">
        <v>471</v>
      </c>
      <c r="U214" s="38">
        <f t="shared" si="9"/>
        <v>5</v>
      </c>
      <c r="V214" s="39">
        <f t="shared" si="10"/>
        <v>471</v>
      </c>
      <c r="W214" s="40" t="str">
        <f t="shared" si="11"/>
        <v>거래</v>
      </c>
    </row>
    <row r="215" spans="1:23" ht="34.700000000000003" customHeight="1" x14ac:dyDescent="0.3">
      <c r="A215" s="9" t="s">
        <v>2639</v>
      </c>
      <c r="B215" s="10" t="s">
        <v>2640</v>
      </c>
      <c r="C215" s="10" t="s">
        <v>1056</v>
      </c>
      <c r="D215" s="9" t="s">
        <v>1010</v>
      </c>
      <c r="E215" s="33">
        <v>0</v>
      </c>
      <c r="F215" s="9"/>
      <c r="G215" s="33">
        <v>860000</v>
      </c>
      <c r="H215" s="9" t="s">
        <v>3273</v>
      </c>
      <c r="I215" s="33">
        <v>0</v>
      </c>
      <c r="J215" s="9"/>
      <c r="K215" s="33">
        <v>0</v>
      </c>
      <c r="L215" s="9"/>
      <c r="M215" s="33">
        <v>860000</v>
      </c>
      <c r="N215" s="9" t="s">
        <v>3274</v>
      </c>
      <c r="O215" s="33">
        <v>860000</v>
      </c>
      <c r="P215" s="22" t="s">
        <v>3188</v>
      </c>
      <c r="Q215" s="15"/>
      <c r="R215" s="17" t="s">
        <v>2641</v>
      </c>
      <c r="S215" s="3" t="str">
        <f ca="1">HYPERLINK("#"&amp;재료비목록표!G2&amp;"!A"&amp;ROW(재료비목록표!A214),"자재211 →")</f>
        <v>자재211 →</v>
      </c>
      <c r="T215" s="36">
        <v>860000</v>
      </c>
      <c r="U215" s="38">
        <f t="shared" si="9"/>
        <v>2</v>
      </c>
      <c r="V215" s="39">
        <f t="shared" si="10"/>
        <v>860000</v>
      </c>
      <c r="W215" s="40" t="str">
        <f t="shared" si="11"/>
        <v>물.자</v>
      </c>
    </row>
    <row r="216" spans="1:23" ht="34.700000000000003" customHeight="1" x14ac:dyDescent="0.3">
      <c r="A216" s="9" t="s">
        <v>2642</v>
      </c>
      <c r="B216" s="10" t="s">
        <v>2640</v>
      </c>
      <c r="C216" s="10" t="s">
        <v>1059</v>
      </c>
      <c r="D216" s="9" t="s">
        <v>1010</v>
      </c>
      <c r="E216" s="33">
        <v>0</v>
      </c>
      <c r="F216" s="9"/>
      <c r="G216" s="33">
        <v>1480000</v>
      </c>
      <c r="H216" s="9" t="s">
        <v>3273</v>
      </c>
      <c r="I216" s="33">
        <v>0</v>
      </c>
      <c r="J216" s="9"/>
      <c r="K216" s="33">
        <v>0</v>
      </c>
      <c r="L216" s="9"/>
      <c r="M216" s="33">
        <v>1480000</v>
      </c>
      <c r="N216" s="9" t="s">
        <v>3274</v>
      </c>
      <c r="O216" s="33">
        <v>1480000</v>
      </c>
      <c r="P216" s="22" t="s">
        <v>3188</v>
      </c>
      <c r="Q216" s="15"/>
      <c r="R216" s="17" t="s">
        <v>2643</v>
      </c>
      <c r="S216" s="3" t="str">
        <f ca="1">HYPERLINK("#"&amp;재료비목록표!G2&amp;"!A"&amp;ROW(재료비목록표!A215),"자재212 →")</f>
        <v>자재212 →</v>
      </c>
      <c r="T216" s="36">
        <v>1480000</v>
      </c>
      <c r="U216" s="38">
        <f t="shared" si="9"/>
        <v>2</v>
      </c>
      <c r="V216" s="39">
        <f t="shared" si="10"/>
        <v>1480000</v>
      </c>
      <c r="W216" s="40" t="str">
        <f t="shared" si="11"/>
        <v>물.자</v>
      </c>
    </row>
    <row r="217" spans="1:23" ht="34.700000000000003" customHeight="1" x14ac:dyDescent="0.3">
      <c r="A217" s="9" t="s">
        <v>2644</v>
      </c>
      <c r="B217" s="10" t="s">
        <v>2640</v>
      </c>
      <c r="C217" s="10" t="s">
        <v>1062</v>
      </c>
      <c r="D217" s="9" t="s">
        <v>1010</v>
      </c>
      <c r="E217" s="33">
        <v>0</v>
      </c>
      <c r="F217" s="9"/>
      <c r="G217" s="33">
        <v>2050000</v>
      </c>
      <c r="H217" s="9" t="s">
        <v>3273</v>
      </c>
      <c r="I217" s="33">
        <v>0</v>
      </c>
      <c r="J217" s="9"/>
      <c r="K217" s="33">
        <v>0</v>
      </c>
      <c r="L217" s="9"/>
      <c r="M217" s="33">
        <v>2050000</v>
      </c>
      <c r="N217" s="9" t="s">
        <v>3274</v>
      </c>
      <c r="O217" s="33">
        <v>2050000</v>
      </c>
      <c r="P217" s="22" t="s">
        <v>3188</v>
      </c>
      <c r="Q217" s="15"/>
      <c r="R217" s="17" t="s">
        <v>2645</v>
      </c>
      <c r="S217" s="3" t="str">
        <f ca="1">HYPERLINK("#"&amp;재료비목록표!G2&amp;"!A"&amp;ROW(재료비목록표!A216),"자재213 →")</f>
        <v>자재213 →</v>
      </c>
      <c r="T217" s="36">
        <v>2050000</v>
      </c>
      <c r="U217" s="38">
        <f t="shared" si="9"/>
        <v>2</v>
      </c>
      <c r="V217" s="39">
        <f t="shared" si="10"/>
        <v>2050000</v>
      </c>
      <c r="W217" s="40" t="str">
        <f t="shared" si="11"/>
        <v>물.자</v>
      </c>
    </row>
    <row r="218" spans="1:23" ht="34.700000000000003" customHeight="1" x14ac:dyDescent="0.3">
      <c r="A218" s="9" t="s">
        <v>2646</v>
      </c>
      <c r="B218" s="10" t="s">
        <v>2640</v>
      </c>
      <c r="C218" s="10" t="s">
        <v>1065</v>
      </c>
      <c r="D218" s="9" t="s">
        <v>1010</v>
      </c>
      <c r="E218" s="33">
        <v>0</v>
      </c>
      <c r="F218" s="9"/>
      <c r="G218" s="33">
        <v>3630000</v>
      </c>
      <c r="H218" s="9" t="s">
        <v>3273</v>
      </c>
      <c r="I218" s="33">
        <v>0</v>
      </c>
      <c r="J218" s="9"/>
      <c r="K218" s="33">
        <v>0</v>
      </c>
      <c r="L218" s="9"/>
      <c r="M218" s="33">
        <v>3630000</v>
      </c>
      <c r="N218" s="9" t="s">
        <v>3274</v>
      </c>
      <c r="O218" s="33">
        <v>3630000</v>
      </c>
      <c r="P218" s="22" t="s">
        <v>3188</v>
      </c>
      <c r="Q218" s="15"/>
      <c r="R218" s="17" t="s">
        <v>2647</v>
      </c>
      <c r="S218" s="3" t="str">
        <f ca="1">HYPERLINK("#"&amp;재료비목록표!G2&amp;"!A"&amp;ROW(재료비목록표!A217),"자재214 →")</f>
        <v>자재214 →</v>
      </c>
      <c r="T218" s="36">
        <v>3630000</v>
      </c>
      <c r="U218" s="38">
        <f t="shared" si="9"/>
        <v>2</v>
      </c>
      <c r="V218" s="39">
        <f t="shared" si="10"/>
        <v>3630000</v>
      </c>
      <c r="W218" s="40" t="str">
        <f t="shared" si="11"/>
        <v>물.자</v>
      </c>
    </row>
    <row r="219" spans="1:23" ht="34.700000000000003" customHeight="1" x14ac:dyDescent="0.3">
      <c r="A219" s="9" t="s">
        <v>2648</v>
      </c>
      <c r="B219" s="10" t="s">
        <v>2640</v>
      </c>
      <c r="C219" s="10" t="s">
        <v>1050</v>
      </c>
      <c r="D219" s="9" t="s">
        <v>1010</v>
      </c>
      <c r="E219" s="33">
        <v>0</v>
      </c>
      <c r="F219" s="9"/>
      <c r="G219" s="33">
        <v>350000</v>
      </c>
      <c r="H219" s="9" t="s">
        <v>3275</v>
      </c>
      <c r="I219" s="33">
        <v>0</v>
      </c>
      <c r="J219" s="9"/>
      <c r="K219" s="33">
        <v>0</v>
      </c>
      <c r="L219" s="9"/>
      <c r="M219" s="33">
        <v>350000</v>
      </c>
      <c r="N219" s="9" t="s">
        <v>3276</v>
      </c>
      <c r="O219" s="33">
        <v>350000</v>
      </c>
      <c r="P219" s="22" t="s">
        <v>3188</v>
      </c>
      <c r="Q219" s="15"/>
      <c r="R219" s="17" t="s">
        <v>2649</v>
      </c>
      <c r="S219" s="3" t="str">
        <f ca="1">HYPERLINK("#"&amp;재료비목록표!G2&amp;"!A"&amp;ROW(재료비목록표!A218),"자재215 →")</f>
        <v>자재215 →</v>
      </c>
      <c r="T219" s="36">
        <v>350000</v>
      </c>
      <c r="U219" s="38">
        <f t="shared" si="9"/>
        <v>2</v>
      </c>
      <c r="V219" s="39">
        <f t="shared" si="10"/>
        <v>350000</v>
      </c>
      <c r="W219" s="40" t="str">
        <f t="shared" si="11"/>
        <v>물.자</v>
      </c>
    </row>
    <row r="220" spans="1:23" ht="34.700000000000003" customHeight="1" x14ac:dyDescent="0.3">
      <c r="A220" s="9" t="s">
        <v>2650</v>
      </c>
      <c r="B220" s="10" t="s">
        <v>2640</v>
      </c>
      <c r="C220" s="10" t="s">
        <v>1053</v>
      </c>
      <c r="D220" s="9" t="s">
        <v>1010</v>
      </c>
      <c r="E220" s="33">
        <v>0</v>
      </c>
      <c r="F220" s="9"/>
      <c r="G220" s="33">
        <v>650000</v>
      </c>
      <c r="H220" s="9" t="s">
        <v>3273</v>
      </c>
      <c r="I220" s="33">
        <v>0</v>
      </c>
      <c r="J220" s="9"/>
      <c r="K220" s="33">
        <v>0</v>
      </c>
      <c r="L220" s="9"/>
      <c r="M220" s="33">
        <v>650000</v>
      </c>
      <c r="N220" s="9" t="s">
        <v>3274</v>
      </c>
      <c r="O220" s="33">
        <v>650000</v>
      </c>
      <c r="P220" s="22" t="s">
        <v>3188</v>
      </c>
      <c r="Q220" s="15"/>
      <c r="R220" s="17" t="s">
        <v>2651</v>
      </c>
      <c r="S220" s="3" t="str">
        <f ca="1">HYPERLINK("#"&amp;재료비목록표!G2&amp;"!A"&amp;ROW(재료비목록표!A219),"자재216 →")</f>
        <v>자재216 →</v>
      </c>
      <c r="T220" s="36">
        <v>650000</v>
      </c>
      <c r="U220" s="38">
        <f t="shared" si="9"/>
        <v>2</v>
      </c>
      <c r="V220" s="39">
        <f t="shared" si="10"/>
        <v>650000</v>
      </c>
      <c r="W220" s="40" t="str">
        <f t="shared" si="11"/>
        <v>물.자</v>
      </c>
    </row>
    <row r="221" spans="1:23" ht="34.700000000000003" customHeight="1" x14ac:dyDescent="0.3">
      <c r="A221" s="9" t="s">
        <v>2652</v>
      </c>
      <c r="B221" s="10" t="s">
        <v>2653</v>
      </c>
      <c r="C221" s="10" t="s">
        <v>1050</v>
      </c>
      <c r="D221" s="9" t="s">
        <v>1010</v>
      </c>
      <c r="E221" s="33">
        <v>0</v>
      </c>
      <c r="F221" s="9"/>
      <c r="G221" s="33">
        <v>330000</v>
      </c>
      <c r="H221" s="9" t="s">
        <v>3275</v>
      </c>
      <c r="I221" s="33">
        <v>0</v>
      </c>
      <c r="J221" s="9"/>
      <c r="K221" s="33">
        <v>0</v>
      </c>
      <c r="L221" s="9"/>
      <c r="M221" s="33">
        <v>330000</v>
      </c>
      <c r="N221" s="9" t="s">
        <v>3276</v>
      </c>
      <c r="O221" s="33">
        <v>330000</v>
      </c>
      <c r="P221" s="22" t="s">
        <v>3188</v>
      </c>
      <c r="Q221" s="15"/>
      <c r="R221" s="17" t="s">
        <v>2654</v>
      </c>
      <c r="S221" s="3" t="str">
        <f ca="1">HYPERLINK("#"&amp;재료비목록표!G2&amp;"!A"&amp;ROW(재료비목록표!A220),"자재217 →")</f>
        <v>자재217 →</v>
      </c>
      <c r="T221" s="36">
        <v>330000</v>
      </c>
      <c r="U221" s="38">
        <f t="shared" si="9"/>
        <v>2</v>
      </c>
      <c r="V221" s="39">
        <f t="shared" si="10"/>
        <v>330000</v>
      </c>
      <c r="W221" s="40" t="str">
        <f t="shared" si="11"/>
        <v>물.자</v>
      </c>
    </row>
    <row r="222" spans="1:23" ht="34.700000000000003" customHeight="1" x14ac:dyDescent="0.3">
      <c r="A222" s="9" t="s">
        <v>2655</v>
      </c>
      <c r="B222" s="10" t="s">
        <v>1049</v>
      </c>
      <c r="C222" s="10" t="s">
        <v>1056</v>
      </c>
      <c r="D222" s="9" t="s">
        <v>1010</v>
      </c>
      <c r="E222" s="33">
        <v>0</v>
      </c>
      <c r="F222" s="9"/>
      <c r="G222" s="33">
        <v>820000</v>
      </c>
      <c r="H222" s="9" t="s">
        <v>3273</v>
      </c>
      <c r="I222" s="33">
        <v>0</v>
      </c>
      <c r="J222" s="9"/>
      <c r="K222" s="33">
        <v>0</v>
      </c>
      <c r="L222" s="9"/>
      <c r="M222" s="33">
        <v>820000</v>
      </c>
      <c r="N222" s="9" t="s">
        <v>3274</v>
      </c>
      <c r="O222" s="33">
        <v>820000</v>
      </c>
      <c r="P222" s="22" t="s">
        <v>3188</v>
      </c>
      <c r="Q222" s="15"/>
      <c r="R222" s="17" t="s">
        <v>2656</v>
      </c>
      <c r="S222" s="3" t="str">
        <f ca="1">HYPERLINK("#"&amp;재료비목록표!G2&amp;"!A"&amp;ROW(재료비목록표!A221),"자재218 →")</f>
        <v>자재218 →</v>
      </c>
      <c r="T222" s="36">
        <v>820000</v>
      </c>
      <c r="U222" s="38">
        <f t="shared" si="9"/>
        <v>2</v>
      </c>
      <c r="V222" s="39">
        <f t="shared" si="10"/>
        <v>820000</v>
      </c>
      <c r="W222" s="40" t="str">
        <f t="shared" si="11"/>
        <v>물.자</v>
      </c>
    </row>
    <row r="223" spans="1:23" ht="34.700000000000003" customHeight="1" x14ac:dyDescent="0.3">
      <c r="A223" s="9" t="s">
        <v>2657</v>
      </c>
      <c r="B223" s="10" t="s">
        <v>1049</v>
      </c>
      <c r="C223" s="10" t="s">
        <v>1059</v>
      </c>
      <c r="D223" s="9" t="s">
        <v>1010</v>
      </c>
      <c r="E223" s="33">
        <v>0</v>
      </c>
      <c r="F223" s="9"/>
      <c r="G223" s="33">
        <v>1450000</v>
      </c>
      <c r="H223" s="9" t="s">
        <v>3273</v>
      </c>
      <c r="I223" s="33">
        <v>1450000</v>
      </c>
      <c r="J223" s="9" t="s">
        <v>3277</v>
      </c>
      <c r="K223" s="33">
        <v>0</v>
      </c>
      <c r="L223" s="9"/>
      <c r="M223" s="33">
        <v>1450000</v>
      </c>
      <c r="N223" s="9" t="s">
        <v>3274</v>
      </c>
      <c r="O223" s="33">
        <v>1450000</v>
      </c>
      <c r="P223" s="22" t="s">
        <v>3188</v>
      </c>
      <c r="Q223" s="15"/>
      <c r="R223" s="17" t="s">
        <v>2658</v>
      </c>
      <c r="S223" s="3" t="str">
        <f ca="1">HYPERLINK("#"&amp;재료비목록표!G2&amp;"!A"&amp;ROW(재료비목록표!A222),"자재219 →")</f>
        <v>자재219 →</v>
      </c>
      <c r="T223" s="36">
        <v>1450000</v>
      </c>
      <c r="U223" s="38">
        <f t="shared" si="9"/>
        <v>2</v>
      </c>
      <c r="V223" s="39">
        <f t="shared" si="10"/>
        <v>1450000</v>
      </c>
      <c r="W223" s="40" t="str">
        <f t="shared" si="11"/>
        <v>물.자</v>
      </c>
    </row>
    <row r="224" spans="1:23" ht="34.700000000000003" customHeight="1" x14ac:dyDescent="0.3">
      <c r="A224" s="9" t="s">
        <v>2659</v>
      </c>
      <c r="B224" s="10" t="s">
        <v>1049</v>
      </c>
      <c r="C224" s="10" t="s">
        <v>1062</v>
      </c>
      <c r="D224" s="9" t="s">
        <v>1010</v>
      </c>
      <c r="E224" s="33">
        <v>0</v>
      </c>
      <c r="F224" s="9"/>
      <c r="G224" s="33">
        <v>2000000</v>
      </c>
      <c r="H224" s="9" t="s">
        <v>3273</v>
      </c>
      <c r="I224" s="33">
        <v>0</v>
      </c>
      <c r="J224" s="9"/>
      <c r="K224" s="33">
        <v>0</v>
      </c>
      <c r="L224" s="9"/>
      <c r="M224" s="33">
        <v>2000000</v>
      </c>
      <c r="N224" s="9" t="s">
        <v>3274</v>
      </c>
      <c r="O224" s="33">
        <v>2000000</v>
      </c>
      <c r="P224" s="22" t="s">
        <v>3188</v>
      </c>
      <c r="Q224" s="15"/>
      <c r="R224" s="17" t="s">
        <v>2660</v>
      </c>
      <c r="S224" s="3" t="str">
        <f ca="1">HYPERLINK("#"&amp;재료비목록표!G2&amp;"!A"&amp;ROW(재료비목록표!A223),"자재220 →")</f>
        <v>자재220 →</v>
      </c>
      <c r="T224" s="36">
        <v>2000000</v>
      </c>
      <c r="U224" s="38">
        <f t="shared" si="9"/>
        <v>2</v>
      </c>
      <c r="V224" s="39">
        <f t="shared" si="10"/>
        <v>2000000</v>
      </c>
      <c r="W224" s="40" t="str">
        <f t="shared" si="11"/>
        <v>물.자</v>
      </c>
    </row>
    <row r="225" spans="1:23" ht="34.700000000000003" customHeight="1" x14ac:dyDescent="0.3">
      <c r="A225" s="9" t="s">
        <v>2661</v>
      </c>
      <c r="B225" s="10" t="s">
        <v>1049</v>
      </c>
      <c r="C225" s="10" t="s">
        <v>1065</v>
      </c>
      <c r="D225" s="9" t="s">
        <v>1010</v>
      </c>
      <c r="E225" s="33">
        <v>0</v>
      </c>
      <c r="F225" s="9"/>
      <c r="G225" s="33">
        <v>3750000</v>
      </c>
      <c r="H225" s="9" t="s">
        <v>3273</v>
      </c>
      <c r="I225" s="33">
        <v>0</v>
      </c>
      <c r="J225" s="9"/>
      <c r="K225" s="33">
        <v>0</v>
      </c>
      <c r="L225" s="9"/>
      <c r="M225" s="33">
        <v>3750000</v>
      </c>
      <c r="N225" s="9" t="s">
        <v>3274</v>
      </c>
      <c r="O225" s="33">
        <v>3750000</v>
      </c>
      <c r="P225" s="22" t="s">
        <v>3188</v>
      </c>
      <c r="Q225" s="15"/>
      <c r="R225" s="17" t="s">
        <v>2662</v>
      </c>
      <c r="S225" s="3" t="str">
        <f ca="1">HYPERLINK("#"&amp;재료비목록표!G2&amp;"!A"&amp;ROW(재료비목록표!A224),"자재221 →")</f>
        <v>자재221 →</v>
      </c>
      <c r="T225" s="36">
        <v>3750000</v>
      </c>
      <c r="U225" s="38">
        <f t="shared" si="9"/>
        <v>2</v>
      </c>
      <c r="V225" s="39">
        <f t="shared" si="10"/>
        <v>3750000</v>
      </c>
      <c r="W225" s="40" t="str">
        <f t="shared" si="11"/>
        <v>물.자</v>
      </c>
    </row>
    <row r="226" spans="1:23" ht="34.700000000000003" customHeight="1" x14ac:dyDescent="0.3">
      <c r="A226" s="9" t="s">
        <v>2663</v>
      </c>
      <c r="B226" s="10" t="s">
        <v>1049</v>
      </c>
      <c r="C226" s="10" t="s">
        <v>1053</v>
      </c>
      <c r="D226" s="9" t="s">
        <v>1010</v>
      </c>
      <c r="E226" s="33">
        <v>0</v>
      </c>
      <c r="F226" s="9"/>
      <c r="G226" s="33">
        <v>580000</v>
      </c>
      <c r="H226" s="9" t="s">
        <v>3273</v>
      </c>
      <c r="I226" s="33">
        <v>0</v>
      </c>
      <c r="J226" s="9"/>
      <c r="K226" s="33">
        <v>0</v>
      </c>
      <c r="L226" s="9"/>
      <c r="M226" s="33">
        <v>580000</v>
      </c>
      <c r="N226" s="9" t="s">
        <v>3274</v>
      </c>
      <c r="O226" s="33">
        <v>580000</v>
      </c>
      <c r="P226" s="22" t="s">
        <v>3188</v>
      </c>
      <c r="Q226" s="15"/>
      <c r="R226" s="17" t="s">
        <v>2664</v>
      </c>
      <c r="S226" s="3" t="str">
        <f ca="1">HYPERLINK("#"&amp;재료비목록표!G2&amp;"!A"&amp;ROW(재료비목록표!A225),"자재222 →")</f>
        <v>자재222 →</v>
      </c>
      <c r="T226" s="36">
        <v>580000</v>
      </c>
      <c r="U226" s="38">
        <f t="shared" si="9"/>
        <v>2</v>
      </c>
      <c r="V226" s="39">
        <f t="shared" si="10"/>
        <v>580000</v>
      </c>
      <c r="W226" s="40" t="str">
        <f t="shared" si="11"/>
        <v>물.자</v>
      </c>
    </row>
    <row r="227" spans="1:23" ht="34.700000000000003" customHeight="1" x14ac:dyDescent="0.3">
      <c r="A227" s="9" t="s">
        <v>2665</v>
      </c>
      <c r="B227" s="10" t="s">
        <v>2666</v>
      </c>
      <c r="C227" s="10" t="s">
        <v>2667</v>
      </c>
      <c r="D227" s="9" t="s">
        <v>1010</v>
      </c>
      <c r="E227" s="33">
        <v>0</v>
      </c>
      <c r="F227" s="9"/>
      <c r="G227" s="33">
        <v>2198</v>
      </c>
      <c r="H227" s="9" t="s">
        <v>3268</v>
      </c>
      <c r="I227" s="33">
        <v>2712</v>
      </c>
      <c r="J227" s="9" t="s">
        <v>3278</v>
      </c>
      <c r="K227" s="33">
        <v>0</v>
      </c>
      <c r="L227" s="9"/>
      <c r="M227" s="33">
        <v>2197</v>
      </c>
      <c r="N227" s="9" t="s">
        <v>3274</v>
      </c>
      <c r="O227" s="33">
        <v>2197</v>
      </c>
      <c r="P227" s="22" t="s">
        <v>3191</v>
      </c>
      <c r="Q227" s="15"/>
      <c r="R227" s="17" t="s">
        <v>2668</v>
      </c>
      <c r="S227" s="3" t="str">
        <f ca="1">HYPERLINK("#"&amp;재료비목록표!G2&amp;"!A"&amp;ROW(재료비목록표!A226),"자재223 →")</f>
        <v>자재223 →</v>
      </c>
      <c r="T227" s="36">
        <v>2197</v>
      </c>
      <c r="U227" s="38">
        <f t="shared" si="9"/>
        <v>5</v>
      </c>
      <c r="V227" s="39">
        <f t="shared" si="10"/>
        <v>2197</v>
      </c>
      <c r="W227" s="40" t="str">
        <f t="shared" si="11"/>
        <v>거래</v>
      </c>
    </row>
    <row r="228" spans="1:23" ht="34.700000000000003" customHeight="1" x14ac:dyDescent="0.3">
      <c r="A228" s="9" t="s">
        <v>2669</v>
      </c>
      <c r="B228" s="10" t="s">
        <v>1178</v>
      </c>
      <c r="C228" s="10" t="s">
        <v>1056</v>
      </c>
      <c r="D228" s="9" t="s">
        <v>1010</v>
      </c>
      <c r="E228" s="33">
        <v>0</v>
      </c>
      <c r="F228" s="9"/>
      <c r="G228" s="33">
        <v>830000</v>
      </c>
      <c r="H228" s="9" t="s">
        <v>3273</v>
      </c>
      <c r="I228" s="33">
        <v>0</v>
      </c>
      <c r="J228" s="9"/>
      <c r="K228" s="33">
        <v>0</v>
      </c>
      <c r="L228" s="9"/>
      <c r="M228" s="33">
        <v>830000</v>
      </c>
      <c r="N228" s="9" t="s">
        <v>3274</v>
      </c>
      <c r="O228" s="33">
        <v>830000</v>
      </c>
      <c r="P228" s="22" t="s">
        <v>3188</v>
      </c>
      <c r="Q228" s="15"/>
      <c r="R228" s="17" t="s">
        <v>2670</v>
      </c>
      <c r="S228" s="3" t="str">
        <f ca="1">HYPERLINK("#"&amp;재료비목록표!G2&amp;"!A"&amp;ROW(재료비목록표!A227),"자재224 →")</f>
        <v>자재224 →</v>
      </c>
      <c r="T228" s="36">
        <v>830000</v>
      </c>
      <c r="U228" s="38">
        <f t="shared" si="9"/>
        <v>2</v>
      </c>
      <c r="V228" s="39">
        <f t="shared" si="10"/>
        <v>830000</v>
      </c>
      <c r="W228" s="40" t="str">
        <f t="shared" si="11"/>
        <v>물.자</v>
      </c>
    </row>
    <row r="229" spans="1:23" ht="34.700000000000003" customHeight="1" x14ac:dyDescent="0.3">
      <c r="A229" s="9" t="s">
        <v>2671</v>
      </c>
      <c r="B229" s="10" t="s">
        <v>1178</v>
      </c>
      <c r="C229" s="10" t="s">
        <v>1059</v>
      </c>
      <c r="D229" s="9" t="s">
        <v>1010</v>
      </c>
      <c r="E229" s="33">
        <v>0</v>
      </c>
      <c r="F229" s="9"/>
      <c r="G229" s="33">
        <v>1450000</v>
      </c>
      <c r="H229" s="9" t="s">
        <v>3273</v>
      </c>
      <c r="I229" s="33">
        <v>0</v>
      </c>
      <c r="J229" s="9"/>
      <c r="K229" s="33">
        <v>0</v>
      </c>
      <c r="L229" s="9"/>
      <c r="M229" s="33">
        <v>1450000</v>
      </c>
      <c r="N229" s="9" t="s">
        <v>3274</v>
      </c>
      <c r="O229" s="33">
        <v>1450000</v>
      </c>
      <c r="P229" s="22" t="s">
        <v>3188</v>
      </c>
      <c r="Q229" s="15"/>
      <c r="R229" s="17" t="s">
        <v>2672</v>
      </c>
      <c r="S229" s="3" t="str">
        <f ca="1">HYPERLINK("#"&amp;재료비목록표!G2&amp;"!A"&amp;ROW(재료비목록표!A228),"자재225 →")</f>
        <v>자재225 →</v>
      </c>
      <c r="T229" s="36">
        <v>1450000</v>
      </c>
      <c r="U229" s="38">
        <f t="shared" si="9"/>
        <v>2</v>
      </c>
      <c r="V229" s="39">
        <f t="shared" si="10"/>
        <v>1450000</v>
      </c>
      <c r="W229" s="40" t="str">
        <f t="shared" si="11"/>
        <v>물.자</v>
      </c>
    </row>
    <row r="230" spans="1:23" ht="34.700000000000003" customHeight="1" x14ac:dyDescent="0.3">
      <c r="A230" s="9" t="s">
        <v>2673</v>
      </c>
      <c r="B230" s="10" t="s">
        <v>1178</v>
      </c>
      <c r="C230" s="10" t="s">
        <v>1062</v>
      </c>
      <c r="D230" s="9" t="s">
        <v>1010</v>
      </c>
      <c r="E230" s="33">
        <v>0</v>
      </c>
      <c r="F230" s="9"/>
      <c r="G230" s="33">
        <v>2230000</v>
      </c>
      <c r="H230" s="9" t="s">
        <v>3273</v>
      </c>
      <c r="I230" s="33">
        <v>0</v>
      </c>
      <c r="J230" s="9"/>
      <c r="K230" s="33">
        <v>0</v>
      </c>
      <c r="L230" s="9"/>
      <c r="M230" s="33">
        <v>2230000</v>
      </c>
      <c r="N230" s="9" t="s">
        <v>3274</v>
      </c>
      <c r="O230" s="33">
        <v>2230000</v>
      </c>
      <c r="P230" s="22" t="s">
        <v>3188</v>
      </c>
      <c r="Q230" s="15"/>
      <c r="R230" s="17" t="s">
        <v>2674</v>
      </c>
      <c r="S230" s="3" t="str">
        <f ca="1">HYPERLINK("#"&amp;재료비목록표!G2&amp;"!A"&amp;ROW(재료비목록표!A229),"자재226 →")</f>
        <v>자재226 →</v>
      </c>
      <c r="T230" s="36">
        <v>2230000</v>
      </c>
      <c r="U230" s="38">
        <f t="shared" si="9"/>
        <v>2</v>
      </c>
      <c r="V230" s="39">
        <f t="shared" si="10"/>
        <v>2230000</v>
      </c>
      <c r="W230" s="40" t="str">
        <f t="shared" si="11"/>
        <v>물.자</v>
      </c>
    </row>
    <row r="231" spans="1:23" ht="34.700000000000003" customHeight="1" x14ac:dyDescent="0.3">
      <c r="A231" s="9" t="s">
        <v>2675</v>
      </c>
      <c r="B231" s="10" t="s">
        <v>1178</v>
      </c>
      <c r="C231" s="10" t="s">
        <v>1065</v>
      </c>
      <c r="D231" s="9" t="s">
        <v>1010</v>
      </c>
      <c r="E231" s="33">
        <v>0</v>
      </c>
      <c r="F231" s="9"/>
      <c r="G231" s="33">
        <v>3800000</v>
      </c>
      <c r="H231" s="9" t="s">
        <v>3273</v>
      </c>
      <c r="I231" s="33">
        <v>0</v>
      </c>
      <c r="J231" s="9"/>
      <c r="K231" s="33">
        <v>0</v>
      </c>
      <c r="L231" s="9"/>
      <c r="M231" s="33">
        <v>3800000</v>
      </c>
      <c r="N231" s="9" t="s">
        <v>3274</v>
      </c>
      <c r="O231" s="33">
        <v>3800000</v>
      </c>
      <c r="P231" s="22" t="s">
        <v>3188</v>
      </c>
      <c r="Q231" s="15"/>
      <c r="R231" s="17" t="s">
        <v>2676</v>
      </c>
      <c r="S231" s="3" t="str">
        <f ca="1">HYPERLINK("#"&amp;재료비목록표!G2&amp;"!A"&amp;ROW(재료비목록표!A230),"자재227 →")</f>
        <v>자재227 →</v>
      </c>
      <c r="T231" s="36">
        <v>3800000</v>
      </c>
      <c r="U231" s="38">
        <f t="shared" si="9"/>
        <v>2</v>
      </c>
      <c r="V231" s="39">
        <f t="shared" si="10"/>
        <v>3800000</v>
      </c>
      <c r="W231" s="40" t="str">
        <f t="shared" si="11"/>
        <v>물.자</v>
      </c>
    </row>
    <row r="232" spans="1:23" ht="34.700000000000003" customHeight="1" x14ac:dyDescent="0.3">
      <c r="A232" s="9" t="s">
        <v>2677</v>
      </c>
      <c r="B232" s="10" t="s">
        <v>1178</v>
      </c>
      <c r="C232" s="10" t="s">
        <v>1053</v>
      </c>
      <c r="D232" s="9" t="s">
        <v>1010</v>
      </c>
      <c r="E232" s="33">
        <v>0</v>
      </c>
      <c r="F232" s="9"/>
      <c r="G232" s="33">
        <v>580000</v>
      </c>
      <c r="H232" s="9" t="s">
        <v>3273</v>
      </c>
      <c r="I232" s="33">
        <v>0</v>
      </c>
      <c r="J232" s="9"/>
      <c r="K232" s="33">
        <v>0</v>
      </c>
      <c r="L232" s="9"/>
      <c r="M232" s="33">
        <v>580000</v>
      </c>
      <c r="N232" s="9" t="s">
        <v>3274</v>
      </c>
      <c r="O232" s="33">
        <v>580000</v>
      </c>
      <c r="P232" s="22" t="s">
        <v>3188</v>
      </c>
      <c r="Q232" s="15"/>
      <c r="R232" s="17" t="s">
        <v>2678</v>
      </c>
      <c r="S232" s="3" t="str">
        <f ca="1">HYPERLINK("#"&amp;재료비목록표!G2&amp;"!A"&amp;ROW(재료비목록표!A231),"자재228 →")</f>
        <v>자재228 →</v>
      </c>
      <c r="T232" s="36">
        <v>580000</v>
      </c>
      <c r="U232" s="38">
        <f t="shared" si="9"/>
        <v>2</v>
      </c>
      <c r="V232" s="39">
        <f t="shared" si="10"/>
        <v>580000</v>
      </c>
      <c r="W232" s="40" t="str">
        <f t="shared" si="11"/>
        <v>물.자</v>
      </c>
    </row>
    <row r="233" spans="1:23" ht="34.700000000000003" customHeight="1" x14ac:dyDescent="0.3">
      <c r="A233" s="9" t="s">
        <v>2679</v>
      </c>
      <c r="B233" s="10" t="s">
        <v>2680</v>
      </c>
      <c r="C233" s="10" t="s">
        <v>2681</v>
      </c>
      <c r="D233" s="9" t="s">
        <v>2629</v>
      </c>
      <c r="E233" s="33">
        <v>0</v>
      </c>
      <c r="F233" s="9"/>
      <c r="G233" s="33">
        <v>210</v>
      </c>
      <c r="H233" s="9" t="s">
        <v>3279</v>
      </c>
      <c r="I233" s="33">
        <v>208</v>
      </c>
      <c r="J233" s="9" t="s">
        <v>3280</v>
      </c>
      <c r="K233" s="33">
        <v>0</v>
      </c>
      <c r="L233" s="9"/>
      <c r="M233" s="33">
        <v>185</v>
      </c>
      <c r="N233" s="9" t="s">
        <v>3281</v>
      </c>
      <c r="O233" s="33">
        <v>185</v>
      </c>
      <c r="P233" s="22" t="s">
        <v>3191</v>
      </c>
      <c r="Q233" s="15"/>
      <c r="R233" s="17" t="s">
        <v>2682</v>
      </c>
      <c r="S233" s="3" t="str">
        <f ca="1">HYPERLINK("#"&amp;재료비목록표!G2&amp;"!A"&amp;ROW(재료비목록표!A232),"자재229 →")</f>
        <v>자재229 →</v>
      </c>
      <c r="T233" s="36">
        <v>185</v>
      </c>
      <c r="U233" s="38">
        <f t="shared" si="9"/>
        <v>5</v>
      </c>
      <c r="V233" s="39">
        <f t="shared" si="10"/>
        <v>185</v>
      </c>
      <c r="W233" s="40" t="str">
        <f t="shared" si="11"/>
        <v>거래</v>
      </c>
    </row>
    <row r="234" spans="1:23" ht="34.700000000000003" customHeight="1" x14ac:dyDescent="0.3">
      <c r="A234" s="9" t="s">
        <v>2683</v>
      </c>
      <c r="B234" s="10" t="s">
        <v>2684</v>
      </c>
      <c r="C234" s="10" t="s">
        <v>2685</v>
      </c>
      <c r="D234" s="9" t="s">
        <v>2121</v>
      </c>
      <c r="E234" s="33">
        <v>0</v>
      </c>
      <c r="F234" s="9"/>
      <c r="G234" s="33">
        <v>4500</v>
      </c>
      <c r="H234" s="9" t="s">
        <v>3282</v>
      </c>
      <c r="I234" s="33">
        <v>0</v>
      </c>
      <c r="J234" s="9"/>
      <c r="K234" s="33">
        <v>0</v>
      </c>
      <c r="L234" s="9"/>
      <c r="M234" s="33">
        <v>7100</v>
      </c>
      <c r="N234" s="9" t="s">
        <v>3283</v>
      </c>
      <c r="O234" s="33">
        <v>4500</v>
      </c>
      <c r="P234" s="22" t="s">
        <v>3188</v>
      </c>
      <c r="Q234" s="15"/>
      <c r="R234" s="17" t="s">
        <v>2686</v>
      </c>
      <c r="S234" s="3" t="str">
        <f ca="1">HYPERLINK("#"&amp;재료비목록표!G2&amp;"!A"&amp;ROW(재료비목록표!A233),"자재230 →")</f>
        <v>자재230 →</v>
      </c>
      <c r="T234" s="36">
        <v>4500</v>
      </c>
      <c r="U234" s="38">
        <f t="shared" si="9"/>
        <v>2</v>
      </c>
      <c r="V234" s="39">
        <f t="shared" si="10"/>
        <v>4500</v>
      </c>
      <c r="W234" s="40" t="str">
        <f t="shared" si="11"/>
        <v>물.자</v>
      </c>
    </row>
    <row r="235" spans="1:23" ht="34.700000000000003" customHeight="1" x14ac:dyDescent="0.3">
      <c r="A235" s="9" t="s">
        <v>2687</v>
      </c>
      <c r="B235" s="10" t="s">
        <v>1415</v>
      </c>
      <c r="C235" s="10" t="s">
        <v>1416</v>
      </c>
      <c r="D235" s="9" t="s">
        <v>1010</v>
      </c>
      <c r="E235" s="33">
        <v>0</v>
      </c>
      <c r="F235" s="9"/>
      <c r="G235" s="33">
        <v>1040000</v>
      </c>
      <c r="H235" s="9" t="s">
        <v>3284</v>
      </c>
      <c r="I235" s="33">
        <v>1404000</v>
      </c>
      <c r="J235" s="9" t="s">
        <v>3285</v>
      </c>
      <c r="K235" s="33">
        <v>0</v>
      </c>
      <c r="L235" s="9"/>
      <c r="M235" s="33">
        <v>257000</v>
      </c>
      <c r="N235" s="9" t="s">
        <v>3286</v>
      </c>
      <c r="O235" s="33">
        <v>257000</v>
      </c>
      <c r="P235" s="22" t="s">
        <v>3191</v>
      </c>
      <c r="Q235" s="15"/>
      <c r="R235" s="17" t="s">
        <v>2688</v>
      </c>
      <c r="S235" s="3" t="str">
        <f ca="1">HYPERLINK("#"&amp;재료비목록표!G2&amp;"!A"&amp;ROW(재료비목록표!A234),"자재231 →")</f>
        <v>자재231 →</v>
      </c>
      <c r="T235" s="36">
        <v>257000</v>
      </c>
      <c r="U235" s="38">
        <f t="shared" si="9"/>
        <v>5</v>
      </c>
      <c r="V235" s="39">
        <f t="shared" si="10"/>
        <v>257000</v>
      </c>
      <c r="W235" s="40" t="str">
        <f t="shared" si="11"/>
        <v>거래</v>
      </c>
    </row>
    <row r="236" spans="1:23" ht="34.700000000000003" customHeight="1" x14ac:dyDescent="0.3">
      <c r="A236" s="9" t="s">
        <v>2689</v>
      </c>
      <c r="B236" s="10" t="s">
        <v>1415</v>
      </c>
      <c r="C236" s="10" t="s">
        <v>1419</v>
      </c>
      <c r="D236" s="9" t="s">
        <v>1010</v>
      </c>
      <c r="E236" s="33">
        <v>0</v>
      </c>
      <c r="F236" s="9"/>
      <c r="G236" s="33">
        <v>2312000</v>
      </c>
      <c r="H236" s="9" t="s">
        <v>3284</v>
      </c>
      <c r="I236" s="33">
        <v>2312000</v>
      </c>
      <c r="J236" s="9" t="s">
        <v>3285</v>
      </c>
      <c r="K236" s="33">
        <v>0</v>
      </c>
      <c r="L236" s="9"/>
      <c r="M236" s="33">
        <v>321000</v>
      </c>
      <c r="N236" s="9" t="s">
        <v>3286</v>
      </c>
      <c r="O236" s="33">
        <v>321000</v>
      </c>
      <c r="P236" s="22" t="s">
        <v>3191</v>
      </c>
      <c r="Q236" s="15"/>
      <c r="R236" s="17" t="s">
        <v>2690</v>
      </c>
      <c r="S236" s="3" t="str">
        <f ca="1">HYPERLINK("#"&amp;재료비목록표!G2&amp;"!A"&amp;ROW(재료비목록표!A235),"자재232 →")</f>
        <v>자재232 →</v>
      </c>
      <c r="T236" s="36">
        <v>321000</v>
      </c>
      <c r="U236" s="38">
        <f t="shared" si="9"/>
        <v>5</v>
      </c>
      <c r="V236" s="39">
        <f t="shared" si="10"/>
        <v>321000</v>
      </c>
      <c r="W236" s="40" t="str">
        <f t="shared" si="11"/>
        <v>거래</v>
      </c>
    </row>
    <row r="237" spans="1:23" ht="34.700000000000003" customHeight="1" x14ac:dyDescent="0.3">
      <c r="A237" s="9" t="s">
        <v>2691</v>
      </c>
      <c r="B237" s="10" t="s">
        <v>2692</v>
      </c>
      <c r="C237" s="10"/>
      <c r="D237" s="9" t="s">
        <v>2302</v>
      </c>
      <c r="E237" s="33">
        <v>0</v>
      </c>
      <c r="F237" s="9"/>
      <c r="G237" s="34">
        <v>5.2</v>
      </c>
      <c r="H237" s="9" t="s">
        <v>3287</v>
      </c>
      <c r="I237" s="34">
        <v>5.0999999999999996</v>
      </c>
      <c r="J237" s="9" t="s">
        <v>3288</v>
      </c>
      <c r="K237" s="33">
        <v>0</v>
      </c>
      <c r="L237" s="9"/>
      <c r="M237" s="34">
        <v>5.0999999999999996</v>
      </c>
      <c r="N237" s="9" t="s">
        <v>3289</v>
      </c>
      <c r="O237" s="34">
        <v>5.0999999999999996</v>
      </c>
      <c r="P237" s="22" t="s">
        <v>3189</v>
      </c>
      <c r="Q237" s="15"/>
      <c r="R237" s="17" t="s">
        <v>2693</v>
      </c>
      <c r="S237" s="3" t="str">
        <f ca="1">HYPERLINK("#"&amp;재료비목록표!G2&amp;"!A"&amp;ROW(재료비목록표!A236),"자재233 →")</f>
        <v>자재233 →</v>
      </c>
      <c r="T237" s="37">
        <v>5.0999999999999996</v>
      </c>
      <c r="U237" s="38">
        <f t="shared" si="9"/>
        <v>3</v>
      </c>
      <c r="V237" s="39">
        <f t="shared" si="10"/>
        <v>5.0999999999999996</v>
      </c>
      <c r="W237" s="40" t="str">
        <f t="shared" si="11"/>
        <v>물.정</v>
      </c>
    </row>
    <row r="238" spans="1:23" ht="34.700000000000003" customHeight="1" x14ac:dyDescent="0.3">
      <c r="A238" s="9" t="s">
        <v>2694</v>
      </c>
      <c r="B238" s="10" t="s">
        <v>2695</v>
      </c>
      <c r="C238" s="10" t="s">
        <v>2696</v>
      </c>
      <c r="D238" s="9" t="s">
        <v>1010</v>
      </c>
      <c r="E238" s="33">
        <v>0</v>
      </c>
      <c r="F238" s="9"/>
      <c r="G238" s="33">
        <v>0</v>
      </c>
      <c r="H238" s="9"/>
      <c r="I238" s="33">
        <v>0</v>
      </c>
      <c r="J238" s="9"/>
      <c r="K238" s="33">
        <v>0</v>
      </c>
      <c r="L238" s="9"/>
      <c r="M238" s="33">
        <v>1045000</v>
      </c>
      <c r="N238" s="9" t="s">
        <v>3212</v>
      </c>
      <c r="O238" s="33">
        <v>1045000</v>
      </c>
      <c r="P238" s="22" t="s">
        <v>3191</v>
      </c>
      <c r="Q238" s="15"/>
      <c r="R238" s="17" t="s">
        <v>2697</v>
      </c>
      <c r="S238" s="3" t="str">
        <f ca="1">HYPERLINK("#"&amp;재료비목록표!G2&amp;"!A"&amp;ROW(재료비목록표!A237),"자재234 →")</f>
        <v>자재234 →</v>
      </c>
      <c r="T238" s="36">
        <v>1045000</v>
      </c>
      <c r="U238" s="38">
        <f t="shared" si="9"/>
        <v>5</v>
      </c>
      <c r="V238" s="39">
        <f t="shared" si="10"/>
        <v>1045000</v>
      </c>
      <c r="W238" s="40" t="str">
        <f t="shared" si="11"/>
        <v>거래</v>
      </c>
    </row>
    <row r="239" spans="1:23" ht="34.700000000000003" customHeight="1" x14ac:dyDescent="0.3">
      <c r="A239" s="9" t="s">
        <v>2698</v>
      </c>
      <c r="B239" s="10" t="s">
        <v>2699</v>
      </c>
      <c r="C239" s="10" t="s">
        <v>2700</v>
      </c>
      <c r="D239" s="9" t="s">
        <v>2212</v>
      </c>
      <c r="E239" s="33">
        <v>0</v>
      </c>
      <c r="F239" s="9"/>
      <c r="G239" s="33">
        <v>0</v>
      </c>
      <c r="H239" s="9"/>
      <c r="I239" s="33">
        <v>64970</v>
      </c>
      <c r="J239" s="9" t="s">
        <v>3290</v>
      </c>
      <c r="K239" s="33">
        <v>0</v>
      </c>
      <c r="L239" s="9"/>
      <c r="M239" s="33">
        <v>0</v>
      </c>
      <c r="N239" s="9"/>
      <c r="O239" s="33">
        <v>64970</v>
      </c>
      <c r="P239" s="22" t="s">
        <v>3189</v>
      </c>
      <c r="Q239" s="15"/>
      <c r="R239" s="17" t="s">
        <v>2701</v>
      </c>
      <c r="S239" s="3" t="str">
        <f ca="1">HYPERLINK("#"&amp;재료비목록표!G2&amp;"!A"&amp;ROW(재료비목록표!A238),"자재235 →")</f>
        <v>자재235 →</v>
      </c>
      <c r="T239" s="36">
        <v>64970</v>
      </c>
      <c r="U239" s="38">
        <f t="shared" si="9"/>
        <v>3</v>
      </c>
      <c r="V239" s="39">
        <f t="shared" si="10"/>
        <v>64970</v>
      </c>
      <c r="W239" s="40" t="str">
        <f t="shared" si="11"/>
        <v>물.정</v>
      </c>
    </row>
    <row r="240" spans="1:23" ht="34.700000000000003" customHeight="1" x14ac:dyDescent="0.3">
      <c r="A240" s="9" t="s">
        <v>2702</v>
      </c>
      <c r="B240" s="10" t="s">
        <v>2703</v>
      </c>
      <c r="C240" s="10" t="s">
        <v>2449</v>
      </c>
      <c r="D240" s="9" t="s">
        <v>1010</v>
      </c>
      <c r="E240" s="33">
        <v>0</v>
      </c>
      <c r="F240" s="9"/>
      <c r="G240" s="33">
        <v>14100</v>
      </c>
      <c r="H240" s="9" t="s">
        <v>3262</v>
      </c>
      <c r="I240" s="33">
        <v>14100</v>
      </c>
      <c r="J240" s="9" t="s">
        <v>3263</v>
      </c>
      <c r="K240" s="33">
        <v>0</v>
      </c>
      <c r="L240" s="9"/>
      <c r="M240" s="33">
        <v>0</v>
      </c>
      <c r="N240" s="9"/>
      <c r="O240" s="33">
        <v>14100</v>
      </c>
      <c r="P240" s="22" t="s">
        <v>3188</v>
      </c>
      <c r="Q240" s="15"/>
      <c r="R240" s="17" t="s">
        <v>2704</v>
      </c>
      <c r="S240" s="3" t="str">
        <f ca="1">HYPERLINK("#"&amp;재료비목록표!G2&amp;"!A"&amp;ROW(재료비목록표!A239),"자재236 →")</f>
        <v>자재236 →</v>
      </c>
      <c r="T240" s="36">
        <v>14100</v>
      </c>
      <c r="U240" s="38">
        <f t="shared" si="9"/>
        <v>2</v>
      </c>
      <c r="V240" s="39">
        <f t="shared" si="10"/>
        <v>14100</v>
      </c>
      <c r="W240" s="40" t="str">
        <f t="shared" si="11"/>
        <v>물.자</v>
      </c>
    </row>
    <row r="241" spans="1:23" ht="34.700000000000003" customHeight="1" x14ac:dyDescent="0.3">
      <c r="A241" s="9" t="s">
        <v>2705</v>
      </c>
      <c r="B241" s="10" t="s">
        <v>2703</v>
      </c>
      <c r="C241" s="10" t="s">
        <v>2452</v>
      </c>
      <c r="D241" s="9" t="s">
        <v>1010</v>
      </c>
      <c r="E241" s="33">
        <v>0</v>
      </c>
      <c r="F241" s="9"/>
      <c r="G241" s="33">
        <v>20660</v>
      </c>
      <c r="H241" s="9" t="s">
        <v>3262</v>
      </c>
      <c r="I241" s="33">
        <v>20660</v>
      </c>
      <c r="J241" s="9" t="s">
        <v>3263</v>
      </c>
      <c r="K241" s="33">
        <v>0</v>
      </c>
      <c r="L241" s="9"/>
      <c r="M241" s="33">
        <v>0</v>
      </c>
      <c r="N241" s="9"/>
      <c r="O241" s="33">
        <v>20660</v>
      </c>
      <c r="P241" s="22" t="s">
        <v>3188</v>
      </c>
      <c r="Q241" s="15"/>
      <c r="R241" s="17" t="s">
        <v>2706</v>
      </c>
      <c r="S241" s="3" t="str">
        <f ca="1">HYPERLINK("#"&amp;재료비목록표!G2&amp;"!A"&amp;ROW(재료비목록표!A240),"자재237 →")</f>
        <v>자재237 →</v>
      </c>
      <c r="T241" s="36">
        <v>20660</v>
      </c>
      <c r="U241" s="38">
        <f t="shared" si="9"/>
        <v>2</v>
      </c>
      <c r="V241" s="39">
        <f t="shared" si="10"/>
        <v>20660</v>
      </c>
      <c r="W241" s="40" t="str">
        <f t="shared" si="11"/>
        <v>물.자</v>
      </c>
    </row>
    <row r="242" spans="1:23" ht="34.700000000000003" customHeight="1" x14ac:dyDescent="0.3">
      <c r="A242" s="9" t="s">
        <v>2707</v>
      </c>
      <c r="B242" s="10" t="s">
        <v>2703</v>
      </c>
      <c r="C242" s="10" t="s">
        <v>2455</v>
      </c>
      <c r="D242" s="9" t="s">
        <v>1010</v>
      </c>
      <c r="E242" s="33">
        <v>0</v>
      </c>
      <c r="F242" s="9"/>
      <c r="G242" s="33">
        <v>29900</v>
      </c>
      <c r="H242" s="9" t="s">
        <v>3262</v>
      </c>
      <c r="I242" s="33">
        <v>29900</v>
      </c>
      <c r="J242" s="9" t="s">
        <v>3263</v>
      </c>
      <c r="K242" s="33">
        <v>0</v>
      </c>
      <c r="L242" s="9"/>
      <c r="M242" s="33">
        <v>0</v>
      </c>
      <c r="N242" s="9"/>
      <c r="O242" s="33">
        <v>29900</v>
      </c>
      <c r="P242" s="22" t="s">
        <v>3188</v>
      </c>
      <c r="Q242" s="15"/>
      <c r="R242" s="17" t="s">
        <v>2708</v>
      </c>
      <c r="S242" s="3" t="str">
        <f ca="1">HYPERLINK("#"&amp;재료비목록표!G2&amp;"!A"&amp;ROW(재료비목록표!A241),"자재238 →")</f>
        <v>자재238 →</v>
      </c>
      <c r="T242" s="36">
        <v>29900</v>
      </c>
      <c r="U242" s="38">
        <f t="shared" si="9"/>
        <v>2</v>
      </c>
      <c r="V242" s="39">
        <f t="shared" si="10"/>
        <v>29900</v>
      </c>
      <c r="W242" s="40" t="str">
        <f t="shared" si="11"/>
        <v>물.자</v>
      </c>
    </row>
    <row r="243" spans="1:23" ht="34.700000000000003" customHeight="1" x14ac:dyDescent="0.3">
      <c r="A243" s="9" t="s">
        <v>2709</v>
      </c>
      <c r="B243" s="10" t="s">
        <v>2703</v>
      </c>
      <c r="C243" s="10" t="s">
        <v>2458</v>
      </c>
      <c r="D243" s="9" t="s">
        <v>1010</v>
      </c>
      <c r="E243" s="33">
        <v>0</v>
      </c>
      <c r="F243" s="9"/>
      <c r="G243" s="33">
        <v>39490</v>
      </c>
      <c r="H243" s="9" t="s">
        <v>3262</v>
      </c>
      <c r="I243" s="33">
        <v>39490</v>
      </c>
      <c r="J243" s="9" t="s">
        <v>3263</v>
      </c>
      <c r="K243" s="33">
        <v>0</v>
      </c>
      <c r="L243" s="9"/>
      <c r="M243" s="33">
        <v>0</v>
      </c>
      <c r="N243" s="9"/>
      <c r="O243" s="33">
        <v>39490</v>
      </c>
      <c r="P243" s="22" t="s">
        <v>3188</v>
      </c>
      <c r="Q243" s="15"/>
      <c r="R243" s="17" t="s">
        <v>2710</v>
      </c>
      <c r="S243" s="3" t="str">
        <f ca="1">HYPERLINK("#"&amp;재료비목록표!G2&amp;"!A"&amp;ROW(재료비목록표!A242),"자재239 →")</f>
        <v>자재239 →</v>
      </c>
      <c r="T243" s="36">
        <v>39490</v>
      </c>
      <c r="U243" s="38">
        <f t="shared" si="9"/>
        <v>2</v>
      </c>
      <c r="V243" s="39">
        <f t="shared" si="10"/>
        <v>39490</v>
      </c>
      <c r="W243" s="40" t="str">
        <f t="shared" si="11"/>
        <v>물.자</v>
      </c>
    </row>
    <row r="244" spans="1:23" ht="34.700000000000003" customHeight="1" x14ac:dyDescent="0.3">
      <c r="A244" s="9" t="s">
        <v>2711</v>
      </c>
      <c r="B244" s="10" t="s">
        <v>2712</v>
      </c>
      <c r="C244" s="10" t="s">
        <v>2713</v>
      </c>
      <c r="D244" s="9" t="s">
        <v>2121</v>
      </c>
      <c r="E244" s="33">
        <v>0</v>
      </c>
      <c r="F244" s="9"/>
      <c r="G244" s="33">
        <v>23969</v>
      </c>
      <c r="H244" s="9" t="s">
        <v>3291</v>
      </c>
      <c r="I244" s="33">
        <v>40643</v>
      </c>
      <c r="J244" s="9" t="s">
        <v>3292</v>
      </c>
      <c r="K244" s="33">
        <v>0</v>
      </c>
      <c r="L244" s="9"/>
      <c r="M244" s="33">
        <v>34190</v>
      </c>
      <c r="N244" s="9" t="s">
        <v>3293</v>
      </c>
      <c r="O244" s="33">
        <v>23969</v>
      </c>
      <c r="P244" s="22" t="s">
        <v>3188</v>
      </c>
      <c r="Q244" s="15"/>
      <c r="R244" s="17" t="s">
        <v>2714</v>
      </c>
      <c r="S244" s="3" t="str">
        <f ca="1">HYPERLINK("#"&amp;재료비목록표!G2&amp;"!A"&amp;ROW(재료비목록표!A243),"자재240 →")</f>
        <v>자재240 →</v>
      </c>
      <c r="T244" s="36">
        <v>23969</v>
      </c>
      <c r="U244" s="38">
        <f t="shared" si="9"/>
        <v>2</v>
      </c>
      <c r="V244" s="39">
        <f t="shared" si="10"/>
        <v>23969</v>
      </c>
      <c r="W244" s="40" t="str">
        <f t="shared" si="11"/>
        <v>물.자</v>
      </c>
    </row>
    <row r="245" spans="1:23" ht="34.700000000000003" customHeight="1" x14ac:dyDescent="0.3">
      <c r="A245" s="9" t="s">
        <v>2715</v>
      </c>
      <c r="B245" s="10" t="s">
        <v>2716</v>
      </c>
      <c r="C245" s="10" t="s">
        <v>2449</v>
      </c>
      <c r="D245" s="9" t="s">
        <v>1010</v>
      </c>
      <c r="E245" s="33">
        <v>0</v>
      </c>
      <c r="F245" s="9"/>
      <c r="G245" s="33">
        <v>11590</v>
      </c>
      <c r="H245" s="9" t="s">
        <v>3262</v>
      </c>
      <c r="I245" s="33">
        <v>11590</v>
      </c>
      <c r="J245" s="9" t="s">
        <v>3263</v>
      </c>
      <c r="K245" s="33">
        <v>0</v>
      </c>
      <c r="L245" s="9"/>
      <c r="M245" s="33">
        <v>0</v>
      </c>
      <c r="N245" s="9"/>
      <c r="O245" s="33">
        <v>11590</v>
      </c>
      <c r="P245" s="22" t="s">
        <v>3188</v>
      </c>
      <c r="Q245" s="15"/>
      <c r="R245" s="17" t="s">
        <v>2717</v>
      </c>
      <c r="S245" s="3" t="str">
        <f ca="1">HYPERLINK("#"&amp;재료비목록표!G2&amp;"!A"&amp;ROW(재료비목록표!A244),"자재241 →")</f>
        <v>자재241 →</v>
      </c>
      <c r="T245" s="36">
        <v>11590</v>
      </c>
      <c r="U245" s="38">
        <f t="shared" si="9"/>
        <v>2</v>
      </c>
      <c r="V245" s="39">
        <f t="shared" si="10"/>
        <v>11590</v>
      </c>
      <c r="W245" s="40" t="str">
        <f t="shared" si="11"/>
        <v>물.자</v>
      </c>
    </row>
    <row r="246" spans="1:23" ht="34.700000000000003" customHeight="1" x14ac:dyDescent="0.3">
      <c r="A246" s="9" t="s">
        <v>2718</v>
      </c>
      <c r="B246" s="10" t="s">
        <v>2716</v>
      </c>
      <c r="C246" s="10" t="s">
        <v>2452</v>
      </c>
      <c r="D246" s="9" t="s">
        <v>1010</v>
      </c>
      <c r="E246" s="33">
        <v>0</v>
      </c>
      <c r="F246" s="9"/>
      <c r="G246" s="33">
        <v>19570</v>
      </c>
      <c r="H246" s="9" t="s">
        <v>3262</v>
      </c>
      <c r="I246" s="33">
        <v>19570</v>
      </c>
      <c r="J246" s="9" t="s">
        <v>3263</v>
      </c>
      <c r="K246" s="33">
        <v>0</v>
      </c>
      <c r="L246" s="9"/>
      <c r="M246" s="33">
        <v>0</v>
      </c>
      <c r="N246" s="9"/>
      <c r="O246" s="33">
        <v>19570</v>
      </c>
      <c r="P246" s="22" t="s">
        <v>3188</v>
      </c>
      <c r="Q246" s="15"/>
      <c r="R246" s="17" t="s">
        <v>2719</v>
      </c>
      <c r="S246" s="3" t="str">
        <f ca="1">HYPERLINK("#"&amp;재료비목록표!G2&amp;"!A"&amp;ROW(재료비목록표!A245),"자재242 →")</f>
        <v>자재242 →</v>
      </c>
      <c r="T246" s="36">
        <v>19570</v>
      </c>
      <c r="U246" s="38">
        <f t="shared" si="9"/>
        <v>2</v>
      </c>
      <c r="V246" s="39">
        <f t="shared" si="10"/>
        <v>19570</v>
      </c>
      <c r="W246" s="40" t="str">
        <f t="shared" si="11"/>
        <v>물.자</v>
      </c>
    </row>
    <row r="247" spans="1:23" ht="34.700000000000003" customHeight="1" x14ac:dyDescent="0.3">
      <c r="A247" s="9" t="s">
        <v>2720</v>
      </c>
      <c r="B247" s="10" t="s">
        <v>2716</v>
      </c>
      <c r="C247" s="10" t="s">
        <v>2455</v>
      </c>
      <c r="D247" s="9" t="s">
        <v>1010</v>
      </c>
      <c r="E247" s="33">
        <v>0</v>
      </c>
      <c r="F247" s="9"/>
      <c r="G247" s="33">
        <v>32260</v>
      </c>
      <c r="H247" s="9" t="s">
        <v>3262</v>
      </c>
      <c r="I247" s="33">
        <v>32260</v>
      </c>
      <c r="J247" s="9" t="s">
        <v>3263</v>
      </c>
      <c r="K247" s="33">
        <v>0</v>
      </c>
      <c r="L247" s="9"/>
      <c r="M247" s="33">
        <v>0</v>
      </c>
      <c r="N247" s="9"/>
      <c r="O247" s="33">
        <v>32260</v>
      </c>
      <c r="P247" s="22" t="s">
        <v>3188</v>
      </c>
      <c r="Q247" s="15"/>
      <c r="R247" s="17" t="s">
        <v>2721</v>
      </c>
      <c r="S247" s="3" t="str">
        <f ca="1">HYPERLINK("#"&amp;재료비목록표!G2&amp;"!A"&amp;ROW(재료비목록표!A246),"자재243 →")</f>
        <v>자재243 →</v>
      </c>
      <c r="T247" s="36">
        <v>32260</v>
      </c>
      <c r="U247" s="38">
        <f t="shared" si="9"/>
        <v>2</v>
      </c>
      <c r="V247" s="39">
        <f t="shared" si="10"/>
        <v>32260</v>
      </c>
      <c r="W247" s="40" t="str">
        <f t="shared" si="11"/>
        <v>물.자</v>
      </c>
    </row>
    <row r="248" spans="1:23" ht="34.700000000000003" customHeight="1" x14ac:dyDescent="0.3">
      <c r="A248" s="9" t="s">
        <v>2722</v>
      </c>
      <c r="B248" s="10" t="s">
        <v>2716</v>
      </c>
      <c r="C248" s="10" t="s">
        <v>2458</v>
      </c>
      <c r="D248" s="9" t="s">
        <v>1010</v>
      </c>
      <c r="E248" s="33">
        <v>0</v>
      </c>
      <c r="F248" s="9"/>
      <c r="G248" s="33">
        <v>41450</v>
      </c>
      <c r="H248" s="9" t="s">
        <v>3262</v>
      </c>
      <c r="I248" s="33">
        <v>41450</v>
      </c>
      <c r="J248" s="9" t="s">
        <v>3263</v>
      </c>
      <c r="K248" s="33">
        <v>0</v>
      </c>
      <c r="L248" s="9"/>
      <c r="M248" s="33">
        <v>0</v>
      </c>
      <c r="N248" s="9"/>
      <c r="O248" s="33">
        <v>41450</v>
      </c>
      <c r="P248" s="22" t="s">
        <v>3188</v>
      </c>
      <c r="Q248" s="15"/>
      <c r="R248" s="17" t="s">
        <v>2723</v>
      </c>
      <c r="S248" s="3" t="str">
        <f ca="1">HYPERLINK("#"&amp;재료비목록표!G2&amp;"!A"&amp;ROW(재료비목록표!A247),"자재244 →")</f>
        <v>자재244 →</v>
      </c>
      <c r="T248" s="36">
        <v>41450</v>
      </c>
      <c r="U248" s="38">
        <f t="shared" si="9"/>
        <v>2</v>
      </c>
      <c r="V248" s="39">
        <f t="shared" si="10"/>
        <v>41450</v>
      </c>
      <c r="W248" s="40" t="str">
        <f t="shared" si="11"/>
        <v>물.자</v>
      </c>
    </row>
    <row r="249" spans="1:23" ht="34.700000000000003" customHeight="1" x14ac:dyDescent="0.3">
      <c r="A249" s="9" t="s">
        <v>2724</v>
      </c>
      <c r="B249" s="10" t="s">
        <v>2725</v>
      </c>
      <c r="C249" s="10" t="s">
        <v>2726</v>
      </c>
      <c r="D249" s="9" t="s">
        <v>1010</v>
      </c>
      <c r="E249" s="33">
        <v>0</v>
      </c>
      <c r="F249" s="9"/>
      <c r="G249" s="33">
        <v>2500</v>
      </c>
      <c r="H249" s="9" t="s">
        <v>3255</v>
      </c>
      <c r="I249" s="33">
        <v>0</v>
      </c>
      <c r="J249" s="9"/>
      <c r="K249" s="33">
        <v>0</v>
      </c>
      <c r="L249" s="9"/>
      <c r="M249" s="33">
        <v>0</v>
      </c>
      <c r="N249" s="9"/>
      <c r="O249" s="33">
        <v>2500</v>
      </c>
      <c r="P249" s="22" t="s">
        <v>3188</v>
      </c>
      <c r="Q249" s="15"/>
      <c r="R249" s="17" t="s">
        <v>2727</v>
      </c>
      <c r="S249" s="3" t="str">
        <f ca="1">HYPERLINK("#"&amp;재료비목록표!G2&amp;"!A"&amp;ROW(재료비목록표!A248),"자재245 →")</f>
        <v>자재245 →</v>
      </c>
      <c r="T249" s="36">
        <v>2500</v>
      </c>
      <c r="U249" s="38">
        <f t="shared" si="9"/>
        <v>2</v>
      </c>
      <c r="V249" s="39">
        <f t="shared" si="10"/>
        <v>2500</v>
      </c>
      <c r="W249" s="40" t="str">
        <f t="shared" si="11"/>
        <v>물.자</v>
      </c>
    </row>
    <row r="250" spans="1:23" ht="34.700000000000003" customHeight="1" x14ac:dyDescent="0.3">
      <c r="A250" s="9" t="s">
        <v>2728</v>
      </c>
      <c r="B250" s="10" t="s">
        <v>2729</v>
      </c>
      <c r="C250" s="10" t="s">
        <v>2730</v>
      </c>
      <c r="D250" s="9" t="s">
        <v>2039</v>
      </c>
      <c r="E250" s="33">
        <v>0</v>
      </c>
      <c r="F250" s="9"/>
      <c r="G250" s="33">
        <v>960</v>
      </c>
      <c r="H250" s="9" t="s">
        <v>3294</v>
      </c>
      <c r="I250" s="33">
        <v>0</v>
      </c>
      <c r="J250" s="9"/>
      <c r="K250" s="33">
        <v>0</v>
      </c>
      <c r="L250" s="9"/>
      <c r="M250" s="33">
        <v>930</v>
      </c>
      <c r="N250" s="9" t="s">
        <v>3295</v>
      </c>
      <c r="O250" s="33">
        <v>930</v>
      </c>
      <c r="P250" s="22" t="s">
        <v>3191</v>
      </c>
      <c r="Q250" s="15"/>
      <c r="R250" s="17" t="s">
        <v>2731</v>
      </c>
      <c r="S250" s="3" t="str">
        <f ca="1">HYPERLINK("#"&amp;재료비목록표!G2&amp;"!A"&amp;ROW(재료비목록표!A249),"자재246 →")</f>
        <v>자재246 →</v>
      </c>
      <c r="T250" s="36">
        <v>930</v>
      </c>
      <c r="U250" s="38">
        <f t="shared" si="9"/>
        <v>5</v>
      </c>
      <c r="V250" s="39">
        <f t="shared" si="10"/>
        <v>930</v>
      </c>
      <c r="W250" s="40" t="str">
        <f t="shared" si="11"/>
        <v>거래</v>
      </c>
    </row>
    <row r="251" spans="1:23" ht="34.700000000000003" customHeight="1" x14ac:dyDescent="0.3">
      <c r="A251" s="9" t="s">
        <v>2732</v>
      </c>
      <c r="B251" s="10" t="s">
        <v>2733</v>
      </c>
      <c r="C251" s="10" t="s">
        <v>2734</v>
      </c>
      <c r="D251" s="9" t="s">
        <v>2099</v>
      </c>
      <c r="E251" s="33">
        <v>0</v>
      </c>
      <c r="F251" s="9"/>
      <c r="G251" s="33">
        <v>14300</v>
      </c>
      <c r="H251" s="9" t="s">
        <v>3296</v>
      </c>
      <c r="I251" s="33">
        <v>16200</v>
      </c>
      <c r="J251" s="9" t="s">
        <v>3297</v>
      </c>
      <c r="K251" s="33">
        <v>0</v>
      </c>
      <c r="L251" s="9"/>
      <c r="M251" s="33">
        <v>14985</v>
      </c>
      <c r="N251" s="9" t="s">
        <v>3298</v>
      </c>
      <c r="O251" s="33">
        <v>14300</v>
      </c>
      <c r="P251" s="22" t="s">
        <v>3188</v>
      </c>
      <c r="Q251" s="15"/>
      <c r="R251" s="17" t="s">
        <v>2735</v>
      </c>
      <c r="S251" s="3" t="str">
        <f ca="1">HYPERLINK("#"&amp;재료비목록표!G2&amp;"!A"&amp;ROW(재료비목록표!A250),"자재247 →")</f>
        <v>자재247 →</v>
      </c>
      <c r="T251" s="36">
        <v>14300</v>
      </c>
      <c r="U251" s="38">
        <f t="shared" si="9"/>
        <v>2</v>
      </c>
      <c r="V251" s="39">
        <f t="shared" si="10"/>
        <v>14300</v>
      </c>
      <c r="W251" s="40" t="str">
        <f t="shared" si="11"/>
        <v>물.자</v>
      </c>
    </row>
    <row r="252" spans="1:23" ht="34.700000000000003" customHeight="1" x14ac:dyDescent="0.3">
      <c r="A252" s="9" t="s">
        <v>2736</v>
      </c>
      <c r="B252" s="10" t="s">
        <v>803</v>
      </c>
      <c r="C252" s="10" t="s">
        <v>2737</v>
      </c>
      <c r="D252" s="9" t="s">
        <v>1010</v>
      </c>
      <c r="E252" s="33">
        <v>0</v>
      </c>
      <c r="F252" s="9"/>
      <c r="G252" s="33">
        <v>1856000</v>
      </c>
      <c r="H252" s="9" t="s">
        <v>3299</v>
      </c>
      <c r="I252" s="33">
        <v>0</v>
      </c>
      <c r="J252" s="9"/>
      <c r="K252" s="33">
        <v>0</v>
      </c>
      <c r="L252" s="9"/>
      <c r="M252" s="33">
        <v>2132000</v>
      </c>
      <c r="N252" s="9" t="s">
        <v>3300</v>
      </c>
      <c r="O252" s="33">
        <v>1856000</v>
      </c>
      <c r="P252" s="22" t="s">
        <v>3188</v>
      </c>
      <c r="Q252" s="15"/>
      <c r="R252" s="17" t="s">
        <v>2738</v>
      </c>
      <c r="S252" s="3" t="str">
        <f ca="1">HYPERLINK("#"&amp;재료비목록표!G2&amp;"!A"&amp;ROW(재료비목록표!A251),"자재248 →")</f>
        <v>자재248 →</v>
      </c>
      <c r="T252" s="36">
        <v>1856000</v>
      </c>
      <c r="U252" s="38">
        <f t="shared" si="9"/>
        <v>2</v>
      </c>
      <c r="V252" s="39">
        <f t="shared" si="10"/>
        <v>1856000</v>
      </c>
      <c r="W252" s="40" t="str">
        <f t="shared" si="11"/>
        <v>물.자</v>
      </c>
    </row>
    <row r="253" spans="1:23" ht="34.700000000000003" customHeight="1" x14ac:dyDescent="0.3">
      <c r="A253" s="9" t="s">
        <v>2739</v>
      </c>
      <c r="B253" s="10" t="s">
        <v>803</v>
      </c>
      <c r="C253" s="10" t="s">
        <v>2740</v>
      </c>
      <c r="D253" s="9" t="s">
        <v>1010</v>
      </c>
      <c r="E253" s="33">
        <v>0</v>
      </c>
      <c r="F253" s="9"/>
      <c r="G253" s="33">
        <v>2497000</v>
      </c>
      <c r="H253" s="9" t="s">
        <v>3299</v>
      </c>
      <c r="I253" s="33">
        <v>0</v>
      </c>
      <c r="J253" s="9"/>
      <c r="K253" s="33">
        <v>0</v>
      </c>
      <c r="L253" s="9"/>
      <c r="M253" s="33">
        <v>2870000</v>
      </c>
      <c r="N253" s="9" t="s">
        <v>3300</v>
      </c>
      <c r="O253" s="33">
        <v>2497000</v>
      </c>
      <c r="P253" s="22" t="s">
        <v>3188</v>
      </c>
      <c r="Q253" s="15"/>
      <c r="R253" s="17" t="s">
        <v>2741</v>
      </c>
      <c r="S253" s="3" t="str">
        <f ca="1">HYPERLINK("#"&amp;재료비목록표!G2&amp;"!A"&amp;ROW(재료비목록표!A252),"자재249 →")</f>
        <v>자재249 →</v>
      </c>
      <c r="T253" s="36">
        <v>2497000</v>
      </c>
      <c r="U253" s="38">
        <f t="shared" si="9"/>
        <v>2</v>
      </c>
      <c r="V253" s="39">
        <f t="shared" si="10"/>
        <v>2497000</v>
      </c>
      <c r="W253" s="40" t="str">
        <f t="shared" si="11"/>
        <v>물.자</v>
      </c>
    </row>
    <row r="254" spans="1:23" ht="34.700000000000003" customHeight="1" x14ac:dyDescent="0.3">
      <c r="A254" s="9" t="s">
        <v>2742</v>
      </c>
      <c r="B254" s="10" t="s">
        <v>803</v>
      </c>
      <c r="C254" s="10" t="s">
        <v>2743</v>
      </c>
      <c r="D254" s="9" t="s">
        <v>1010</v>
      </c>
      <c r="E254" s="33">
        <v>0</v>
      </c>
      <c r="F254" s="9"/>
      <c r="G254" s="33">
        <v>3388000</v>
      </c>
      <c r="H254" s="9" t="s">
        <v>3299</v>
      </c>
      <c r="I254" s="33">
        <v>0</v>
      </c>
      <c r="J254" s="9"/>
      <c r="K254" s="33">
        <v>0</v>
      </c>
      <c r="L254" s="9"/>
      <c r="M254" s="33">
        <v>3892000</v>
      </c>
      <c r="N254" s="9" t="s">
        <v>3300</v>
      </c>
      <c r="O254" s="33">
        <v>3388000</v>
      </c>
      <c r="P254" s="22" t="s">
        <v>3188</v>
      </c>
      <c r="Q254" s="15"/>
      <c r="R254" s="17" t="s">
        <v>2744</v>
      </c>
      <c r="S254" s="3" t="str">
        <f ca="1">HYPERLINK("#"&amp;재료비목록표!G2&amp;"!A"&amp;ROW(재료비목록표!A253),"자재250 →")</f>
        <v>자재250 →</v>
      </c>
      <c r="T254" s="36">
        <v>3388000</v>
      </c>
      <c r="U254" s="38">
        <f t="shared" si="9"/>
        <v>2</v>
      </c>
      <c r="V254" s="39">
        <f t="shared" si="10"/>
        <v>3388000</v>
      </c>
      <c r="W254" s="40" t="str">
        <f t="shared" si="11"/>
        <v>물.자</v>
      </c>
    </row>
    <row r="255" spans="1:23" ht="34.700000000000003" customHeight="1" x14ac:dyDescent="0.3">
      <c r="A255" s="9" t="s">
        <v>2745</v>
      </c>
      <c r="B255" s="10" t="s">
        <v>803</v>
      </c>
      <c r="C255" s="10" t="s">
        <v>2746</v>
      </c>
      <c r="D255" s="9" t="s">
        <v>14</v>
      </c>
      <c r="E255" s="33">
        <v>0</v>
      </c>
      <c r="F255" s="9"/>
      <c r="G255" s="33">
        <v>708000</v>
      </c>
      <c r="H255" s="9" t="s">
        <v>3299</v>
      </c>
      <c r="I255" s="33">
        <v>0</v>
      </c>
      <c r="J255" s="9"/>
      <c r="K255" s="33">
        <v>0</v>
      </c>
      <c r="L255" s="9"/>
      <c r="M255" s="33">
        <v>811000</v>
      </c>
      <c r="N255" s="9" t="s">
        <v>3300</v>
      </c>
      <c r="O255" s="33">
        <v>708000</v>
      </c>
      <c r="P255" s="22" t="s">
        <v>3188</v>
      </c>
      <c r="Q255" s="15"/>
      <c r="R255" s="17" t="s">
        <v>2747</v>
      </c>
      <c r="S255" s="3" t="str">
        <f ca="1">HYPERLINK("#"&amp;재료비목록표!G2&amp;"!A"&amp;ROW(재료비목록표!A254),"자재251 →")</f>
        <v>자재251 →</v>
      </c>
      <c r="T255" s="36">
        <v>708000</v>
      </c>
      <c r="U255" s="38">
        <f t="shared" si="9"/>
        <v>2</v>
      </c>
      <c r="V255" s="39">
        <f t="shared" si="10"/>
        <v>708000</v>
      </c>
      <c r="W255" s="40" t="str">
        <f t="shared" si="11"/>
        <v>물.자</v>
      </c>
    </row>
    <row r="256" spans="1:23" ht="34.700000000000003" customHeight="1" x14ac:dyDescent="0.3">
      <c r="A256" s="9" t="s">
        <v>2748</v>
      </c>
      <c r="B256" s="10" t="s">
        <v>803</v>
      </c>
      <c r="C256" s="10" t="s">
        <v>2749</v>
      </c>
      <c r="D256" s="9" t="s">
        <v>1010</v>
      </c>
      <c r="E256" s="33">
        <v>0</v>
      </c>
      <c r="F256" s="9"/>
      <c r="G256" s="33">
        <v>5258000</v>
      </c>
      <c r="H256" s="9" t="s">
        <v>3299</v>
      </c>
      <c r="I256" s="33">
        <v>0</v>
      </c>
      <c r="J256" s="9"/>
      <c r="K256" s="33">
        <v>0</v>
      </c>
      <c r="L256" s="9"/>
      <c r="M256" s="33">
        <v>6042000</v>
      </c>
      <c r="N256" s="9" t="s">
        <v>3300</v>
      </c>
      <c r="O256" s="33">
        <v>5258000</v>
      </c>
      <c r="P256" s="22" t="s">
        <v>3188</v>
      </c>
      <c r="Q256" s="15"/>
      <c r="R256" s="17" t="s">
        <v>2750</v>
      </c>
      <c r="S256" s="3" t="str">
        <f ca="1">HYPERLINK("#"&amp;재료비목록표!G2&amp;"!A"&amp;ROW(재료비목록표!A255),"자재252 →")</f>
        <v>자재252 →</v>
      </c>
      <c r="T256" s="36">
        <v>5258000</v>
      </c>
      <c r="U256" s="38">
        <f t="shared" si="9"/>
        <v>2</v>
      </c>
      <c r="V256" s="39">
        <f t="shared" si="10"/>
        <v>5258000</v>
      </c>
      <c r="W256" s="40" t="str">
        <f t="shared" si="11"/>
        <v>물.자</v>
      </c>
    </row>
    <row r="257" spans="1:23" ht="34.700000000000003" customHeight="1" x14ac:dyDescent="0.3">
      <c r="A257" s="9" t="s">
        <v>2751</v>
      </c>
      <c r="B257" s="10" t="s">
        <v>803</v>
      </c>
      <c r="C257" s="10" t="s">
        <v>2752</v>
      </c>
      <c r="D257" s="9" t="s">
        <v>1010</v>
      </c>
      <c r="E257" s="33">
        <v>0</v>
      </c>
      <c r="F257" s="9"/>
      <c r="G257" s="33">
        <v>873000</v>
      </c>
      <c r="H257" s="9" t="s">
        <v>3299</v>
      </c>
      <c r="I257" s="33">
        <v>0</v>
      </c>
      <c r="J257" s="9"/>
      <c r="K257" s="33">
        <v>0</v>
      </c>
      <c r="L257" s="9"/>
      <c r="M257" s="33">
        <v>1001000</v>
      </c>
      <c r="N257" s="9" t="s">
        <v>3300</v>
      </c>
      <c r="O257" s="33">
        <v>873000</v>
      </c>
      <c r="P257" s="22" t="s">
        <v>3188</v>
      </c>
      <c r="Q257" s="15"/>
      <c r="R257" s="17" t="s">
        <v>2753</v>
      </c>
      <c r="S257" s="3" t="str">
        <f ca="1">HYPERLINK("#"&amp;재료비목록표!G2&amp;"!A"&amp;ROW(재료비목록표!A256),"자재253 →")</f>
        <v>자재253 →</v>
      </c>
      <c r="T257" s="36">
        <v>873000</v>
      </c>
      <c r="U257" s="38">
        <f t="shared" si="9"/>
        <v>2</v>
      </c>
      <c r="V257" s="39">
        <f t="shared" si="10"/>
        <v>873000</v>
      </c>
      <c r="W257" s="40" t="str">
        <f t="shared" si="11"/>
        <v>물.자</v>
      </c>
    </row>
    <row r="258" spans="1:23" ht="34.700000000000003" customHeight="1" x14ac:dyDescent="0.3">
      <c r="A258" s="9" t="s">
        <v>2754</v>
      </c>
      <c r="B258" s="10" t="s">
        <v>803</v>
      </c>
      <c r="C258" s="10" t="s">
        <v>2755</v>
      </c>
      <c r="D258" s="9" t="s">
        <v>1010</v>
      </c>
      <c r="E258" s="33">
        <v>0</v>
      </c>
      <c r="F258" s="9"/>
      <c r="G258" s="33">
        <v>7532000</v>
      </c>
      <c r="H258" s="9" t="s">
        <v>3299</v>
      </c>
      <c r="I258" s="33">
        <v>0</v>
      </c>
      <c r="J258" s="9"/>
      <c r="K258" s="33">
        <v>0</v>
      </c>
      <c r="L258" s="9"/>
      <c r="M258" s="33">
        <v>8653000</v>
      </c>
      <c r="N258" s="9" t="s">
        <v>3300</v>
      </c>
      <c r="O258" s="33">
        <v>7532000</v>
      </c>
      <c r="P258" s="22" t="s">
        <v>3188</v>
      </c>
      <c r="Q258" s="15"/>
      <c r="R258" s="17" t="s">
        <v>2756</v>
      </c>
      <c r="S258" s="3" t="str">
        <f ca="1">HYPERLINK("#"&amp;재료비목록표!G2&amp;"!A"&amp;ROW(재료비목록표!A257),"자재254 →")</f>
        <v>자재254 →</v>
      </c>
      <c r="T258" s="36">
        <v>7532000</v>
      </c>
      <c r="U258" s="38">
        <f t="shared" si="9"/>
        <v>2</v>
      </c>
      <c r="V258" s="39">
        <f t="shared" si="10"/>
        <v>7532000</v>
      </c>
      <c r="W258" s="40" t="str">
        <f t="shared" si="11"/>
        <v>물.자</v>
      </c>
    </row>
    <row r="259" spans="1:23" ht="34.700000000000003" customHeight="1" x14ac:dyDescent="0.3">
      <c r="A259" s="9" t="s">
        <v>2757</v>
      </c>
      <c r="B259" s="10" t="s">
        <v>803</v>
      </c>
      <c r="C259" s="10" t="s">
        <v>2758</v>
      </c>
      <c r="D259" s="9" t="s">
        <v>1010</v>
      </c>
      <c r="E259" s="33">
        <v>0</v>
      </c>
      <c r="F259" s="9"/>
      <c r="G259" s="33">
        <v>9786000</v>
      </c>
      <c r="H259" s="9" t="s">
        <v>3299</v>
      </c>
      <c r="I259" s="33">
        <v>0</v>
      </c>
      <c r="J259" s="9"/>
      <c r="K259" s="33">
        <v>0</v>
      </c>
      <c r="L259" s="9"/>
      <c r="M259" s="33">
        <v>9512000</v>
      </c>
      <c r="N259" s="9" t="s">
        <v>3300</v>
      </c>
      <c r="O259" s="33">
        <v>9512000</v>
      </c>
      <c r="P259" s="22" t="s">
        <v>3191</v>
      </c>
      <c r="Q259" s="15"/>
      <c r="R259" s="17" t="s">
        <v>2759</v>
      </c>
      <c r="S259" s="3" t="str">
        <f ca="1">HYPERLINK("#"&amp;재료비목록표!G2&amp;"!A"&amp;ROW(재료비목록표!A258),"자재255 →")</f>
        <v>자재255 →</v>
      </c>
      <c r="T259" s="36">
        <v>9512000</v>
      </c>
      <c r="U259" s="38">
        <f t="shared" si="9"/>
        <v>5</v>
      </c>
      <c r="V259" s="39">
        <f t="shared" si="10"/>
        <v>9512000</v>
      </c>
      <c r="W259" s="40" t="str">
        <f t="shared" si="11"/>
        <v>거래</v>
      </c>
    </row>
    <row r="260" spans="1:23" ht="34.700000000000003" customHeight="1" x14ac:dyDescent="0.3">
      <c r="A260" s="9" t="s">
        <v>2760</v>
      </c>
      <c r="B260" s="10" t="s">
        <v>803</v>
      </c>
      <c r="C260" s="10" t="s">
        <v>2761</v>
      </c>
      <c r="D260" s="9" t="s">
        <v>1010</v>
      </c>
      <c r="E260" s="33">
        <v>0</v>
      </c>
      <c r="F260" s="9"/>
      <c r="G260" s="33">
        <v>1070000</v>
      </c>
      <c r="H260" s="9" t="s">
        <v>3299</v>
      </c>
      <c r="I260" s="33">
        <v>0</v>
      </c>
      <c r="J260" s="9"/>
      <c r="K260" s="33">
        <v>0</v>
      </c>
      <c r="L260" s="9"/>
      <c r="M260" s="33">
        <v>1227000</v>
      </c>
      <c r="N260" s="9" t="s">
        <v>3300</v>
      </c>
      <c r="O260" s="33">
        <v>1070000</v>
      </c>
      <c r="P260" s="22" t="s">
        <v>3188</v>
      </c>
      <c r="Q260" s="15"/>
      <c r="R260" s="17" t="s">
        <v>2762</v>
      </c>
      <c r="S260" s="3" t="str">
        <f ca="1">HYPERLINK("#"&amp;재료비목록표!G2&amp;"!A"&amp;ROW(재료비목록표!A259),"자재256 →")</f>
        <v>자재256 →</v>
      </c>
      <c r="T260" s="36">
        <v>1070000</v>
      </c>
      <c r="U260" s="38">
        <f t="shared" si="9"/>
        <v>2</v>
      </c>
      <c r="V260" s="39">
        <f t="shared" si="10"/>
        <v>1070000</v>
      </c>
      <c r="W260" s="40" t="str">
        <f t="shared" si="11"/>
        <v>물.자</v>
      </c>
    </row>
    <row r="261" spans="1:23" ht="34.700000000000003" customHeight="1" x14ac:dyDescent="0.3">
      <c r="A261" s="9" t="s">
        <v>2763</v>
      </c>
      <c r="B261" s="10" t="s">
        <v>803</v>
      </c>
      <c r="C261" s="10" t="s">
        <v>2764</v>
      </c>
      <c r="D261" s="9" t="s">
        <v>1010</v>
      </c>
      <c r="E261" s="33">
        <v>0</v>
      </c>
      <c r="F261" s="9"/>
      <c r="G261" s="33">
        <v>8659000</v>
      </c>
      <c r="H261" s="9" t="s">
        <v>3299</v>
      </c>
      <c r="I261" s="33">
        <v>0</v>
      </c>
      <c r="J261" s="9"/>
      <c r="K261" s="33">
        <v>0</v>
      </c>
      <c r="L261" s="9"/>
      <c r="M261" s="33">
        <v>12724000</v>
      </c>
      <c r="N261" s="9" t="s">
        <v>3300</v>
      </c>
      <c r="O261" s="33">
        <v>8659000</v>
      </c>
      <c r="P261" s="22" t="s">
        <v>3188</v>
      </c>
      <c r="Q261" s="15"/>
      <c r="R261" s="17" t="s">
        <v>2765</v>
      </c>
      <c r="S261" s="3" t="str">
        <f ca="1">HYPERLINK("#"&amp;재료비목록표!G2&amp;"!A"&amp;ROW(재료비목록표!A260),"자재257 →")</f>
        <v>자재257 →</v>
      </c>
      <c r="T261" s="36">
        <v>8659000</v>
      </c>
      <c r="U261" s="38">
        <f t="shared" ref="U261:U324" si="12">IF(OR(V261=0,ISERROR(MATCH(V261,E261:M261,0))),"",CHOOSE(TRUNC((MATCH(V261,E261:M261,0)/2+1)),1,2,3,4,5))</f>
        <v>2</v>
      </c>
      <c r="V261" s="39">
        <f t="shared" ref="V261:V324" si="13">IF(AND(E261=0,G261=0,I261=0,K261=0,M261=0),T261,MIN(IF(E261=0,MAX(E261:M261),E261),IF(G261=0,MAX(E261:M261),G261),IF(I261=0,MAX(E261:M261),I261),IF(K261=0,MAX(E261:M261),K261),IF(M261=0,MAX(E261:M261),M261)))</f>
        <v>8659000</v>
      </c>
      <c r="W261" s="40" t="str">
        <f t="shared" ref="W261:W324" si="14">IF(OR(O261=0,U261=""),"",CHOOSE(U261,Y$5,Y$6,Y$7,Y$8,Y$9))</f>
        <v>물.자</v>
      </c>
    </row>
    <row r="262" spans="1:23" ht="34.700000000000003" customHeight="1" x14ac:dyDescent="0.3">
      <c r="A262" s="9" t="s">
        <v>2766</v>
      </c>
      <c r="B262" s="10" t="s">
        <v>803</v>
      </c>
      <c r="C262" s="10" t="s">
        <v>2767</v>
      </c>
      <c r="D262" s="9" t="s">
        <v>1010</v>
      </c>
      <c r="E262" s="33">
        <v>0</v>
      </c>
      <c r="F262" s="9"/>
      <c r="G262" s="33">
        <v>1595000</v>
      </c>
      <c r="H262" s="9" t="s">
        <v>3299</v>
      </c>
      <c r="I262" s="33">
        <v>0</v>
      </c>
      <c r="J262" s="9"/>
      <c r="K262" s="33">
        <v>0</v>
      </c>
      <c r="L262" s="9"/>
      <c r="M262" s="33">
        <v>1830000</v>
      </c>
      <c r="N262" s="9" t="s">
        <v>3300</v>
      </c>
      <c r="O262" s="33">
        <v>1595000</v>
      </c>
      <c r="P262" s="22" t="s">
        <v>3188</v>
      </c>
      <c r="Q262" s="15"/>
      <c r="R262" s="17" t="s">
        <v>2768</v>
      </c>
      <c r="S262" s="3" t="str">
        <f ca="1">HYPERLINK("#"&amp;재료비목록표!G2&amp;"!A"&amp;ROW(재료비목록표!A261),"자재258 →")</f>
        <v>자재258 →</v>
      </c>
      <c r="T262" s="36">
        <v>1595000</v>
      </c>
      <c r="U262" s="38">
        <f t="shared" si="12"/>
        <v>2</v>
      </c>
      <c r="V262" s="39">
        <f t="shared" si="13"/>
        <v>1595000</v>
      </c>
      <c r="W262" s="40" t="str">
        <f t="shared" si="14"/>
        <v>물.자</v>
      </c>
    </row>
    <row r="263" spans="1:23" ht="34.700000000000003" customHeight="1" x14ac:dyDescent="0.3">
      <c r="A263" s="9" t="s">
        <v>2769</v>
      </c>
      <c r="B263" s="10" t="s">
        <v>803</v>
      </c>
      <c r="C263" s="10" t="s">
        <v>2770</v>
      </c>
      <c r="D263" s="9" t="s">
        <v>1010</v>
      </c>
      <c r="E263" s="33">
        <v>0</v>
      </c>
      <c r="F263" s="9"/>
      <c r="G263" s="33">
        <v>16934000</v>
      </c>
      <c r="H263" s="9" t="s">
        <v>3299</v>
      </c>
      <c r="I263" s="33">
        <v>0</v>
      </c>
      <c r="J263" s="9"/>
      <c r="K263" s="33">
        <v>0</v>
      </c>
      <c r="L263" s="9"/>
      <c r="M263" s="33">
        <v>16461000</v>
      </c>
      <c r="N263" s="9" t="s">
        <v>3300</v>
      </c>
      <c r="O263" s="33">
        <v>16461000</v>
      </c>
      <c r="P263" s="22" t="s">
        <v>3191</v>
      </c>
      <c r="Q263" s="15"/>
      <c r="R263" s="17" t="s">
        <v>2771</v>
      </c>
      <c r="S263" s="3" t="str">
        <f ca="1">HYPERLINK("#"&amp;재료비목록표!G2&amp;"!A"&amp;ROW(재료비목록표!A262),"자재259 →")</f>
        <v>자재259 →</v>
      </c>
      <c r="T263" s="36">
        <v>16461000</v>
      </c>
      <c r="U263" s="38">
        <f t="shared" si="12"/>
        <v>5</v>
      </c>
      <c r="V263" s="39">
        <f t="shared" si="13"/>
        <v>16461000</v>
      </c>
      <c r="W263" s="40" t="str">
        <f t="shared" si="14"/>
        <v>거래</v>
      </c>
    </row>
    <row r="264" spans="1:23" ht="34.700000000000003" customHeight="1" x14ac:dyDescent="0.3">
      <c r="A264" s="9" t="s">
        <v>2772</v>
      </c>
      <c r="B264" s="10" t="s">
        <v>2773</v>
      </c>
      <c r="C264" s="10" t="s">
        <v>2774</v>
      </c>
      <c r="D264" s="9" t="s">
        <v>2302</v>
      </c>
      <c r="E264" s="33">
        <v>0</v>
      </c>
      <c r="F264" s="9"/>
      <c r="G264" s="33">
        <v>5110</v>
      </c>
      <c r="H264" s="9" t="s">
        <v>3301</v>
      </c>
      <c r="I264" s="33">
        <v>6850</v>
      </c>
      <c r="J264" s="9" t="s">
        <v>3302</v>
      </c>
      <c r="K264" s="33">
        <v>0</v>
      </c>
      <c r="L264" s="9"/>
      <c r="M264" s="33">
        <v>5110</v>
      </c>
      <c r="N264" s="9" t="s">
        <v>3303</v>
      </c>
      <c r="O264" s="33">
        <v>5110</v>
      </c>
      <c r="P264" s="22" t="s">
        <v>3188</v>
      </c>
      <c r="Q264" s="15"/>
      <c r="R264" s="17" t="s">
        <v>2775</v>
      </c>
      <c r="S264" s="3" t="str">
        <f ca="1">HYPERLINK("#"&amp;재료비목록표!G2&amp;"!A"&amp;ROW(재료비목록표!A263),"자재260 →")</f>
        <v>자재260 →</v>
      </c>
      <c r="T264" s="36">
        <v>5110</v>
      </c>
      <c r="U264" s="38">
        <f t="shared" si="12"/>
        <v>2</v>
      </c>
      <c r="V264" s="39">
        <f t="shared" si="13"/>
        <v>5110</v>
      </c>
      <c r="W264" s="40" t="str">
        <f t="shared" si="14"/>
        <v>물.자</v>
      </c>
    </row>
    <row r="265" spans="1:23" ht="34.700000000000003" customHeight="1" x14ac:dyDescent="0.3">
      <c r="A265" s="9" t="s">
        <v>2776</v>
      </c>
      <c r="B265" s="10" t="s">
        <v>2777</v>
      </c>
      <c r="C265" s="10" t="s">
        <v>533</v>
      </c>
      <c r="D265" s="9" t="s">
        <v>14</v>
      </c>
      <c r="E265" s="33">
        <v>0</v>
      </c>
      <c r="F265" s="9"/>
      <c r="G265" s="33">
        <v>1871000</v>
      </c>
      <c r="H265" s="9" t="s">
        <v>3304</v>
      </c>
      <c r="I265" s="33">
        <v>0</v>
      </c>
      <c r="J265" s="9"/>
      <c r="K265" s="33">
        <v>0</v>
      </c>
      <c r="L265" s="9"/>
      <c r="M265" s="33">
        <v>0</v>
      </c>
      <c r="N265" s="9"/>
      <c r="O265" s="33">
        <v>1871000</v>
      </c>
      <c r="P265" s="22" t="s">
        <v>3188</v>
      </c>
      <c r="Q265" s="15"/>
      <c r="R265" s="17" t="s">
        <v>2778</v>
      </c>
      <c r="S265" s="3" t="str">
        <f ca="1">HYPERLINK("#"&amp;재료비목록표!G2&amp;"!A"&amp;ROW(재료비목록표!A264),"자재261 →")</f>
        <v>자재261 →</v>
      </c>
      <c r="T265" s="36">
        <v>1871000</v>
      </c>
      <c r="U265" s="38">
        <f t="shared" si="12"/>
        <v>2</v>
      </c>
      <c r="V265" s="39">
        <f t="shared" si="13"/>
        <v>1871000</v>
      </c>
      <c r="W265" s="40" t="str">
        <f t="shared" si="14"/>
        <v>물.자</v>
      </c>
    </row>
    <row r="266" spans="1:23" ht="34.700000000000003" customHeight="1" x14ac:dyDescent="0.3">
      <c r="A266" s="9" t="s">
        <v>2779</v>
      </c>
      <c r="B266" s="10" t="s">
        <v>2780</v>
      </c>
      <c r="C266" s="10" t="s">
        <v>816</v>
      </c>
      <c r="D266" s="9" t="s">
        <v>14</v>
      </c>
      <c r="E266" s="33">
        <v>0</v>
      </c>
      <c r="F266" s="9"/>
      <c r="G266" s="33">
        <v>6824000</v>
      </c>
      <c r="H266" s="9" t="s">
        <v>3305</v>
      </c>
      <c r="I266" s="33">
        <v>5568000</v>
      </c>
      <c r="J266" s="9" t="s">
        <v>3261</v>
      </c>
      <c r="K266" s="33">
        <v>0</v>
      </c>
      <c r="L266" s="9"/>
      <c r="M266" s="33">
        <v>0</v>
      </c>
      <c r="N266" s="9"/>
      <c r="O266" s="33">
        <v>5568000</v>
      </c>
      <c r="P266" s="22" t="s">
        <v>3189</v>
      </c>
      <c r="Q266" s="15"/>
      <c r="R266" s="17" t="s">
        <v>2781</v>
      </c>
      <c r="S266" s="3" t="str">
        <f ca="1">HYPERLINK("#"&amp;재료비목록표!G2&amp;"!A"&amp;ROW(재료비목록표!A265),"자재262 →")</f>
        <v>자재262 →</v>
      </c>
      <c r="T266" s="36">
        <v>5568000</v>
      </c>
      <c r="U266" s="38">
        <f t="shared" si="12"/>
        <v>3</v>
      </c>
      <c r="V266" s="39">
        <f t="shared" si="13"/>
        <v>5568000</v>
      </c>
      <c r="W266" s="40" t="str">
        <f t="shared" si="14"/>
        <v>물.정</v>
      </c>
    </row>
    <row r="267" spans="1:23" ht="34.700000000000003" customHeight="1" x14ac:dyDescent="0.3">
      <c r="A267" s="9" t="s">
        <v>2782</v>
      </c>
      <c r="B267" s="10" t="s">
        <v>2780</v>
      </c>
      <c r="C267" s="10" t="s">
        <v>819</v>
      </c>
      <c r="D267" s="9" t="s">
        <v>14</v>
      </c>
      <c r="E267" s="33">
        <v>0</v>
      </c>
      <c r="F267" s="9"/>
      <c r="G267" s="33">
        <v>7507000</v>
      </c>
      <c r="H267" s="9" t="s">
        <v>3306</v>
      </c>
      <c r="I267" s="33">
        <v>6522000</v>
      </c>
      <c r="J267" s="9" t="s">
        <v>3261</v>
      </c>
      <c r="K267" s="33">
        <v>0</v>
      </c>
      <c r="L267" s="9"/>
      <c r="M267" s="33">
        <v>0</v>
      </c>
      <c r="N267" s="9"/>
      <c r="O267" s="33">
        <v>6522000</v>
      </c>
      <c r="P267" s="22" t="s">
        <v>3189</v>
      </c>
      <c r="Q267" s="15"/>
      <c r="R267" s="17" t="s">
        <v>2783</v>
      </c>
      <c r="S267" s="3" t="str">
        <f ca="1">HYPERLINK("#"&amp;재료비목록표!G2&amp;"!A"&amp;ROW(재료비목록표!A266),"자재263 →")</f>
        <v>자재263 →</v>
      </c>
      <c r="T267" s="36">
        <v>6522000</v>
      </c>
      <c r="U267" s="38">
        <f t="shared" si="12"/>
        <v>3</v>
      </c>
      <c r="V267" s="39">
        <f t="shared" si="13"/>
        <v>6522000</v>
      </c>
      <c r="W267" s="40" t="str">
        <f t="shared" si="14"/>
        <v>물.정</v>
      </c>
    </row>
    <row r="268" spans="1:23" ht="34.700000000000003" customHeight="1" x14ac:dyDescent="0.3">
      <c r="A268" s="9" t="s">
        <v>2784</v>
      </c>
      <c r="B268" s="10" t="s">
        <v>2780</v>
      </c>
      <c r="C268" s="10" t="s">
        <v>822</v>
      </c>
      <c r="D268" s="9" t="s">
        <v>14</v>
      </c>
      <c r="E268" s="33">
        <v>0</v>
      </c>
      <c r="F268" s="9"/>
      <c r="G268" s="33">
        <v>12688000</v>
      </c>
      <c r="H268" s="9" t="s">
        <v>3306</v>
      </c>
      <c r="I268" s="33">
        <v>8244000</v>
      </c>
      <c r="J268" s="9" t="s">
        <v>3261</v>
      </c>
      <c r="K268" s="33">
        <v>0</v>
      </c>
      <c r="L268" s="9"/>
      <c r="M268" s="33">
        <v>0</v>
      </c>
      <c r="N268" s="9"/>
      <c r="O268" s="33">
        <v>8244000</v>
      </c>
      <c r="P268" s="22" t="s">
        <v>3189</v>
      </c>
      <c r="Q268" s="15"/>
      <c r="R268" s="17" t="s">
        <v>2785</v>
      </c>
      <c r="S268" s="3" t="str">
        <f ca="1">HYPERLINK("#"&amp;재료비목록표!G2&amp;"!A"&amp;ROW(재료비목록표!A267),"자재264 →")</f>
        <v>자재264 →</v>
      </c>
      <c r="T268" s="36">
        <v>8244000</v>
      </c>
      <c r="U268" s="38">
        <f t="shared" si="12"/>
        <v>3</v>
      </c>
      <c r="V268" s="39">
        <f t="shared" si="13"/>
        <v>8244000</v>
      </c>
      <c r="W268" s="40" t="str">
        <f t="shared" si="14"/>
        <v>물.정</v>
      </c>
    </row>
    <row r="269" spans="1:23" ht="34.700000000000003" customHeight="1" x14ac:dyDescent="0.3">
      <c r="A269" s="9" t="s">
        <v>2786</v>
      </c>
      <c r="B269" s="10" t="s">
        <v>2780</v>
      </c>
      <c r="C269" s="10" t="s">
        <v>804</v>
      </c>
      <c r="D269" s="9" t="s">
        <v>14</v>
      </c>
      <c r="E269" s="33">
        <v>0</v>
      </c>
      <c r="F269" s="9"/>
      <c r="G269" s="33">
        <v>3384000</v>
      </c>
      <c r="H269" s="9" t="s">
        <v>3306</v>
      </c>
      <c r="I269" s="33">
        <v>2532000</v>
      </c>
      <c r="J269" s="9" t="s">
        <v>3261</v>
      </c>
      <c r="K269" s="33">
        <v>0</v>
      </c>
      <c r="L269" s="9"/>
      <c r="M269" s="33">
        <v>0</v>
      </c>
      <c r="N269" s="9"/>
      <c r="O269" s="33">
        <v>2532000</v>
      </c>
      <c r="P269" s="22" t="s">
        <v>3189</v>
      </c>
      <c r="Q269" s="15"/>
      <c r="R269" s="17" t="s">
        <v>2787</v>
      </c>
      <c r="S269" s="3" t="str">
        <f ca="1">HYPERLINK("#"&amp;재료비목록표!G2&amp;"!A"&amp;ROW(재료비목록표!A268),"자재265 →")</f>
        <v>자재265 →</v>
      </c>
      <c r="T269" s="36">
        <v>2532000</v>
      </c>
      <c r="U269" s="38">
        <f t="shared" si="12"/>
        <v>3</v>
      </c>
      <c r="V269" s="39">
        <f t="shared" si="13"/>
        <v>2532000</v>
      </c>
      <c r="W269" s="40" t="str">
        <f t="shared" si="14"/>
        <v>물.정</v>
      </c>
    </row>
    <row r="270" spans="1:23" ht="34.700000000000003" customHeight="1" x14ac:dyDescent="0.3">
      <c r="A270" s="9" t="s">
        <v>2788</v>
      </c>
      <c r="B270" s="10" t="s">
        <v>2780</v>
      </c>
      <c r="C270" s="10" t="s">
        <v>825</v>
      </c>
      <c r="D270" s="9" t="s">
        <v>14</v>
      </c>
      <c r="E270" s="33">
        <v>0</v>
      </c>
      <c r="F270" s="9"/>
      <c r="G270" s="33">
        <v>21438000</v>
      </c>
      <c r="H270" s="9" t="s">
        <v>3306</v>
      </c>
      <c r="I270" s="33">
        <v>14106000</v>
      </c>
      <c r="J270" s="9" t="s">
        <v>3261</v>
      </c>
      <c r="K270" s="33">
        <v>0</v>
      </c>
      <c r="L270" s="9"/>
      <c r="M270" s="33">
        <v>0</v>
      </c>
      <c r="N270" s="9"/>
      <c r="O270" s="33">
        <v>14106000</v>
      </c>
      <c r="P270" s="22" t="s">
        <v>3189</v>
      </c>
      <c r="Q270" s="15"/>
      <c r="R270" s="17" t="s">
        <v>2789</v>
      </c>
      <c r="S270" s="3" t="str">
        <f ca="1">HYPERLINK("#"&amp;재료비목록표!G2&amp;"!A"&amp;ROW(재료비목록표!A269),"자재266 →")</f>
        <v>자재266 →</v>
      </c>
      <c r="T270" s="36">
        <v>14106000</v>
      </c>
      <c r="U270" s="38">
        <f t="shared" si="12"/>
        <v>3</v>
      </c>
      <c r="V270" s="39">
        <f t="shared" si="13"/>
        <v>14106000</v>
      </c>
      <c r="W270" s="40" t="str">
        <f t="shared" si="14"/>
        <v>물.정</v>
      </c>
    </row>
    <row r="271" spans="1:23" ht="34.700000000000003" customHeight="1" x14ac:dyDescent="0.3">
      <c r="A271" s="9" t="s">
        <v>2790</v>
      </c>
      <c r="B271" s="10" t="s">
        <v>2780</v>
      </c>
      <c r="C271" s="10" t="s">
        <v>807</v>
      </c>
      <c r="D271" s="9" t="s">
        <v>14</v>
      </c>
      <c r="E271" s="33">
        <v>0</v>
      </c>
      <c r="F271" s="9"/>
      <c r="G271" s="33">
        <v>4549000</v>
      </c>
      <c r="H271" s="9" t="s">
        <v>3306</v>
      </c>
      <c r="I271" s="33">
        <v>2994000</v>
      </c>
      <c r="J271" s="9" t="s">
        <v>3261</v>
      </c>
      <c r="K271" s="33">
        <v>0</v>
      </c>
      <c r="L271" s="9"/>
      <c r="M271" s="33">
        <v>0</v>
      </c>
      <c r="N271" s="9"/>
      <c r="O271" s="33">
        <v>2994000</v>
      </c>
      <c r="P271" s="22" t="s">
        <v>3189</v>
      </c>
      <c r="Q271" s="15"/>
      <c r="R271" s="17" t="s">
        <v>2791</v>
      </c>
      <c r="S271" s="3" t="str">
        <f ca="1">HYPERLINK("#"&amp;재료비목록표!G2&amp;"!A"&amp;ROW(재료비목록표!A270),"자재267 →")</f>
        <v>자재267 →</v>
      </c>
      <c r="T271" s="36">
        <v>2994000</v>
      </c>
      <c r="U271" s="38">
        <f t="shared" si="12"/>
        <v>3</v>
      </c>
      <c r="V271" s="39">
        <f t="shared" si="13"/>
        <v>2994000</v>
      </c>
      <c r="W271" s="40" t="str">
        <f t="shared" si="14"/>
        <v>물.정</v>
      </c>
    </row>
    <row r="272" spans="1:23" ht="34.700000000000003" customHeight="1" x14ac:dyDescent="0.3">
      <c r="A272" s="9" t="s">
        <v>2792</v>
      </c>
      <c r="B272" s="10" t="s">
        <v>2780</v>
      </c>
      <c r="C272" s="10" t="s">
        <v>810</v>
      </c>
      <c r="D272" s="9" t="s">
        <v>14</v>
      </c>
      <c r="E272" s="33">
        <v>0</v>
      </c>
      <c r="F272" s="9"/>
      <c r="G272" s="33">
        <v>4978000</v>
      </c>
      <c r="H272" s="9" t="s">
        <v>3306</v>
      </c>
      <c r="I272" s="33">
        <v>3654000</v>
      </c>
      <c r="J272" s="9" t="s">
        <v>3261</v>
      </c>
      <c r="K272" s="33">
        <v>0</v>
      </c>
      <c r="L272" s="9"/>
      <c r="M272" s="33">
        <v>0</v>
      </c>
      <c r="N272" s="9"/>
      <c r="O272" s="33">
        <v>3654000</v>
      </c>
      <c r="P272" s="22" t="s">
        <v>3189</v>
      </c>
      <c r="Q272" s="15"/>
      <c r="R272" s="17" t="s">
        <v>2793</v>
      </c>
      <c r="S272" s="3" t="str">
        <f ca="1">HYPERLINK("#"&amp;재료비목록표!G2&amp;"!A"&amp;ROW(재료비목록표!A271),"자재268 →")</f>
        <v>자재268 →</v>
      </c>
      <c r="T272" s="36">
        <v>3654000</v>
      </c>
      <c r="U272" s="38">
        <f t="shared" si="12"/>
        <v>3</v>
      </c>
      <c r="V272" s="39">
        <f t="shared" si="13"/>
        <v>3654000</v>
      </c>
      <c r="W272" s="40" t="str">
        <f t="shared" si="14"/>
        <v>물.정</v>
      </c>
    </row>
    <row r="273" spans="1:23" ht="34.700000000000003" customHeight="1" x14ac:dyDescent="0.3">
      <c r="A273" s="9" t="s">
        <v>2794</v>
      </c>
      <c r="B273" s="10" t="s">
        <v>2780</v>
      </c>
      <c r="C273" s="10" t="s">
        <v>834</v>
      </c>
      <c r="D273" s="9" t="s">
        <v>14</v>
      </c>
      <c r="E273" s="33">
        <v>0</v>
      </c>
      <c r="F273" s="9"/>
      <c r="G273" s="33">
        <v>31473000</v>
      </c>
      <c r="H273" s="9" t="s">
        <v>3306</v>
      </c>
      <c r="I273" s="33">
        <v>23856000</v>
      </c>
      <c r="J273" s="9" t="s">
        <v>3261</v>
      </c>
      <c r="K273" s="33">
        <v>0</v>
      </c>
      <c r="L273" s="9"/>
      <c r="M273" s="33">
        <v>0</v>
      </c>
      <c r="N273" s="9"/>
      <c r="O273" s="33">
        <v>23856000</v>
      </c>
      <c r="P273" s="22" t="s">
        <v>3189</v>
      </c>
      <c r="Q273" s="15"/>
      <c r="R273" s="17" t="s">
        <v>2795</v>
      </c>
      <c r="S273" s="3" t="str">
        <f ca="1">HYPERLINK("#"&amp;재료비목록표!G2&amp;"!A"&amp;ROW(재료비목록표!A272),"자재269 →")</f>
        <v>자재269 →</v>
      </c>
      <c r="T273" s="36">
        <v>23856000</v>
      </c>
      <c r="U273" s="38">
        <f t="shared" si="12"/>
        <v>3</v>
      </c>
      <c r="V273" s="39">
        <f t="shared" si="13"/>
        <v>23856000</v>
      </c>
      <c r="W273" s="40" t="str">
        <f t="shared" si="14"/>
        <v>물.정</v>
      </c>
    </row>
    <row r="274" spans="1:23" ht="34.700000000000003" customHeight="1" x14ac:dyDescent="0.3">
      <c r="A274" s="9" t="s">
        <v>2796</v>
      </c>
      <c r="B274" s="10" t="s">
        <v>2780</v>
      </c>
      <c r="C274" s="10" t="s">
        <v>813</v>
      </c>
      <c r="D274" s="9" t="s">
        <v>14</v>
      </c>
      <c r="E274" s="33">
        <v>0</v>
      </c>
      <c r="F274" s="9"/>
      <c r="G274" s="33">
        <v>10014000</v>
      </c>
      <c r="H274" s="9" t="s">
        <v>3306</v>
      </c>
      <c r="I274" s="33">
        <v>6960000</v>
      </c>
      <c r="J274" s="9" t="s">
        <v>3261</v>
      </c>
      <c r="K274" s="33">
        <v>0</v>
      </c>
      <c r="L274" s="9"/>
      <c r="M274" s="33">
        <v>0</v>
      </c>
      <c r="N274" s="9"/>
      <c r="O274" s="33">
        <v>6960000</v>
      </c>
      <c r="P274" s="22" t="s">
        <v>3189</v>
      </c>
      <c r="Q274" s="15"/>
      <c r="R274" s="17" t="s">
        <v>2797</v>
      </c>
      <c r="S274" s="3" t="str">
        <f ca="1">HYPERLINK("#"&amp;재료비목록표!G2&amp;"!A"&amp;ROW(재료비목록표!A273),"자재270 →")</f>
        <v>자재270 →</v>
      </c>
      <c r="T274" s="36">
        <v>6960000</v>
      </c>
      <c r="U274" s="38">
        <f t="shared" si="12"/>
        <v>3</v>
      </c>
      <c r="V274" s="39">
        <f t="shared" si="13"/>
        <v>6960000</v>
      </c>
      <c r="W274" s="40" t="str">
        <f t="shared" si="14"/>
        <v>물.정</v>
      </c>
    </row>
    <row r="275" spans="1:23" ht="34.700000000000003" customHeight="1" x14ac:dyDescent="0.3">
      <c r="A275" s="9" t="s">
        <v>2798</v>
      </c>
      <c r="B275" s="10" t="s">
        <v>2780</v>
      </c>
      <c r="C275" s="10" t="s">
        <v>837</v>
      </c>
      <c r="D275" s="9" t="s">
        <v>14</v>
      </c>
      <c r="E275" s="33">
        <v>0</v>
      </c>
      <c r="F275" s="9"/>
      <c r="G275" s="33">
        <v>35353000</v>
      </c>
      <c r="H275" s="9" t="s">
        <v>3306</v>
      </c>
      <c r="I275" s="33">
        <v>35743000</v>
      </c>
      <c r="J275" s="9" t="s">
        <v>3261</v>
      </c>
      <c r="K275" s="33">
        <v>0</v>
      </c>
      <c r="L275" s="9"/>
      <c r="M275" s="33">
        <v>0</v>
      </c>
      <c r="N275" s="9"/>
      <c r="O275" s="33">
        <v>35353000</v>
      </c>
      <c r="P275" s="22" t="s">
        <v>3188</v>
      </c>
      <c r="Q275" s="15"/>
      <c r="R275" s="17" t="s">
        <v>2799</v>
      </c>
      <c r="S275" s="3" t="str">
        <f ca="1">HYPERLINK("#"&amp;재료비목록표!G2&amp;"!A"&amp;ROW(재료비목록표!A274),"자재271 →")</f>
        <v>자재271 →</v>
      </c>
      <c r="T275" s="36">
        <v>35353000</v>
      </c>
      <c r="U275" s="38">
        <f t="shared" si="12"/>
        <v>2</v>
      </c>
      <c r="V275" s="39">
        <f t="shared" si="13"/>
        <v>35353000</v>
      </c>
      <c r="W275" s="40" t="str">
        <f t="shared" si="14"/>
        <v>물.자</v>
      </c>
    </row>
    <row r="276" spans="1:23" ht="34.700000000000003" customHeight="1" x14ac:dyDescent="0.3">
      <c r="A276" s="9" t="s">
        <v>2800</v>
      </c>
      <c r="B276" s="10" t="s">
        <v>2801</v>
      </c>
      <c r="C276" s="10" t="s">
        <v>816</v>
      </c>
      <c r="D276" s="9" t="s">
        <v>14</v>
      </c>
      <c r="E276" s="33">
        <v>0</v>
      </c>
      <c r="F276" s="9"/>
      <c r="G276" s="33">
        <v>0</v>
      </c>
      <c r="H276" s="9"/>
      <c r="I276" s="33">
        <v>0</v>
      </c>
      <c r="J276" s="9"/>
      <c r="K276" s="33">
        <v>51000</v>
      </c>
      <c r="L276" s="9" t="s">
        <v>3227</v>
      </c>
      <c r="M276" s="33">
        <v>0</v>
      </c>
      <c r="N276" s="9"/>
      <c r="O276" s="33">
        <v>51000</v>
      </c>
      <c r="P276" s="22" t="s">
        <v>3190</v>
      </c>
      <c r="Q276" s="15"/>
      <c r="R276" s="17" t="s">
        <v>2802</v>
      </c>
      <c r="S276" s="3" t="str">
        <f ca="1">HYPERLINK("#"&amp;재료비목록표!G2&amp;"!A"&amp;ROW(재료비목록표!A275),"자재272 →")</f>
        <v>자재272 →</v>
      </c>
      <c r="T276" s="36">
        <v>51000</v>
      </c>
      <c r="U276" s="38">
        <f t="shared" si="12"/>
        <v>4</v>
      </c>
      <c r="V276" s="39">
        <f t="shared" si="13"/>
        <v>51000</v>
      </c>
      <c r="W276" s="40" t="str">
        <f t="shared" si="14"/>
        <v>견적 1</v>
      </c>
    </row>
    <row r="277" spans="1:23" ht="34.700000000000003" customHeight="1" x14ac:dyDescent="0.3">
      <c r="A277" s="9" t="s">
        <v>2803</v>
      </c>
      <c r="B277" s="10" t="s">
        <v>2801</v>
      </c>
      <c r="C277" s="10" t="s">
        <v>819</v>
      </c>
      <c r="D277" s="9" t="s">
        <v>14</v>
      </c>
      <c r="E277" s="33">
        <v>0</v>
      </c>
      <c r="F277" s="9"/>
      <c r="G277" s="33">
        <v>0</v>
      </c>
      <c r="H277" s="9"/>
      <c r="I277" s="33">
        <v>0</v>
      </c>
      <c r="J277" s="9"/>
      <c r="K277" s="33">
        <v>51000</v>
      </c>
      <c r="L277" s="9" t="s">
        <v>3227</v>
      </c>
      <c r="M277" s="33">
        <v>0</v>
      </c>
      <c r="N277" s="9"/>
      <c r="O277" s="33">
        <v>51000</v>
      </c>
      <c r="P277" s="22" t="s">
        <v>3190</v>
      </c>
      <c r="Q277" s="15"/>
      <c r="R277" s="17" t="s">
        <v>2804</v>
      </c>
      <c r="S277" s="3" t="str">
        <f ca="1">HYPERLINK("#"&amp;재료비목록표!G2&amp;"!A"&amp;ROW(재료비목록표!A276),"자재273 →")</f>
        <v>자재273 →</v>
      </c>
      <c r="T277" s="36">
        <v>51000</v>
      </c>
      <c r="U277" s="38">
        <f t="shared" si="12"/>
        <v>4</v>
      </c>
      <c r="V277" s="39">
        <f t="shared" si="13"/>
        <v>51000</v>
      </c>
      <c r="W277" s="40" t="str">
        <f t="shared" si="14"/>
        <v>견적 1</v>
      </c>
    </row>
    <row r="278" spans="1:23" ht="34.700000000000003" customHeight="1" x14ac:dyDescent="0.3">
      <c r="A278" s="9" t="s">
        <v>2805</v>
      </c>
      <c r="B278" s="10" t="s">
        <v>2801</v>
      </c>
      <c r="C278" s="10" t="s">
        <v>822</v>
      </c>
      <c r="D278" s="9" t="s">
        <v>14</v>
      </c>
      <c r="E278" s="33">
        <v>0</v>
      </c>
      <c r="F278" s="9"/>
      <c r="G278" s="33">
        <v>0</v>
      </c>
      <c r="H278" s="9"/>
      <c r="I278" s="33">
        <v>0</v>
      </c>
      <c r="J278" s="9"/>
      <c r="K278" s="33">
        <v>51000</v>
      </c>
      <c r="L278" s="9" t="s">
        <v>3227</v>
      </c>
      <c r="M278" s="33">
        <v>0</v>
      </c>
      <c r="N278" s="9"/>
      <c r="O278" s="33">
        <v>51000</v>
      </c>
      <c r="P278" s="22" t="s">
        <v>3190</v>
      </c>
      <c r="Q278" s="15"/>
      <c r="R278" s="17" t="s">
        <v>2806</v>
      </c>
      <c r="S278" s="3" t="str">
        <f ca="1">HYPERLINK("#"&amp;재료비목록표!G2&amp;"!A"&amp;ROW(재료비목록표!A277),"자재274 →")</f>
        <v>자재274 →</v>
      </c>
      <c r="T278" s="36">
        <v>51000</v>
      </c>
      <c r="U278" s="38">
        <f t="shared" si="12"/>
        <v>4</v>
      </c>
      <c r="V278" s="39">
        <f t="shared" si="13"/>
        <v>51000</v>
      </c>
      <c r="W278" s="40" t="str">
        <f t="shared" si="14"/>
        <v>견적 1</v>
      </c>
    </row>
    <row r="279" spans="1:23" ht="34.700000000000003" customHeight="1" x14ac:dyDescent="0.3">
      <c r="A279" s="9" t="s">
        <v>2807</v>
      </c>
      <c r="B279" s="10" t="s">
        <v>2801</v>
      </c>
      <c r="C279" s="10" t="s">
        <v>804</v>
      </c>
      <c r="D279" s="9" t="s">
        <v>14</v>
      </c>
      <c r="E279" s="33">
        <v>0</v>
      </c>
      <c r="F279" s="9"/>
      <c r="G279" s="33">
        <v>0</v>
      </c>
      <c r="H279" s="9"/>
      <c r="I279" s="33">
        <v>0</v>
      </c>
      <c r="J279" s="9"/>
      <c r="K279" s="33">
        <v>25000</v>
      </c>
      <c r="L279" s="9" t="s">
        <v>3227</v>
      </c>
      <c r="M279" s="33">
        <v>0</v>
      </c>
      <c r="N279" s="9"/>
      <c r="O279" s="33">
        <v>25000</v>
      </c>
      <c r="P279" s="22" t="s">
        <v>3190</v>
      </c>
      <c r="Q279" s="15"/>
      <c r="R279" s="17" t="s">
        <v>2808</v>
      </c>
      <c r="S279" s="3" t="str">
        <f ca="1">HYPERLINK("#"&amp;재료비목록표!G2&amp;"!A"&amp;ROW(재료비목록표!A278),"자재275 →")</f>
        <v>자재275 →</v>
      </c>
      <c r="T279" s="36">
        <v>25000</v>
      </c>
      <c r="U279" s="38">
        <f t="shared" si="12"/>
        <v>4</v>
      </c>
      <c r="V279" s="39">
        <f t="shared" si="13"/>
        <v>25000</v>
      </c>
      <c r="W279" s="40" t="str">
        <f t="shared" si="14"/>
        <v>견적 1</v>
      </c>
    </row>
    <row r="280" spans="1:23" ht="34.700000000000003" customHeight="1" x14ac:dyDescent="0.3">
      <c r="A280" s="9" t="s">
        <v>2809</v>
      </c>
      <c r="B280" s="10" t="s">
        <v>2801</v>
      </c>
      <c r="C280" s="10" t="s">
        <v>825</v>
      </c>
      <c r="D280" s="9" t="s">
        <v>14</v>
      </c>
      <c r="E280" s="33">
        <v>0</v>
      </c>
      <c r="F280" s="9"/>
      <c r="G280" s="33">
        <v>0</v>
      </c>
      <c r="H280" s="9"/>
      <c r="I280" s="33">
        <v>0</v>
      </c>
      <c r="J280" s="9"/>
      <c r="K280" s="33">
        <v>104000</v>
      </c>
      <c r="L280" s="9" t="s">
        <v>3227</v>
      </c>
      <c r="M280" s="33">
        <v>0</v>
      </c>
      <c r="N280" s="9"/>
      <c r="O280" s="33">
        <v>104000</v>
      </c>
      <c r="P280" s="22" t="s">
        <v>3190</v>
      </c>
      <c r="Q280" s="15"/>
      <c r="R280" s="17" t="s">
        <v>2810</v>
      </c>
      <c r="S280" s="3" t="str">
        <f ca="1">HYPERLINK("#"&amp;재료비목록표!G2&amp;"!A"&amp;ROW(재료비목록표!A279),"자재276 →")</f>
        <v>자재276 →</v>
      </c>
      <c r="T280" s="36">
        <v>104000</v>
      </c>
      <c r="U280" s="38">
        <f t="shared" si="12"/>
        <v>4</v>
      </c>
      <c r="V280" s="39">
        <f t="shared" si="13"/>
        <v>104000</v>
      </c>
      <c r="W280" s="40" t="str">
        <f t="shared" si="14"/>
        <v>견적 1</v>
      </c>
    </row>
    <row r="281" spans="1:23" ht="34.700000000000003" customHeight="1" x14ac:dyDescent="0.3">
      <c r="A281" s="9" t="s">
        <v>2811</v>
      </c>
      <c r="B281" s="10" t="s">
        <v>2801</v>
      </c>
      <c r="C281" s="10" t="s">
        <v>807</v>
      </c>
      <c r="D281" s="9" t="s">
        <v>14</v>
      </c>
      <c r="E281" s="33">
        <v>0</v>
      </c>
      <c r="F281" s="9"/>
      <c r="G281" s="33">
        <v>0</v>
      </c>
      <c r="H281" s="9"/>
      <c r="I281" s="33">
        <v>0</v>
      </c>
      <c r="J281" s="9"/>
      <c r="K281" s="33">
        <v>25000</v>
      </c>
      <c r="L281" s="9" t="s">
        <v>3227</v>
      </c>
      <c r="M281" s="33">
        <v>0</v>
      </c>
      <c r="N281" s="9"/>
      <c r="O281" s="33">
        <v>25000</v>
      </c>
      <c r="P281" s="22" t="s">
        <v>3190</v>
      </c>
      <c r="Q281" s="15"/>
      <c r="R281" s="17" t="s">
        <v>2812</v>
      </c>
      <c r="S281" s="3" t="str">
        <f ca="1">HYPERLINK("#"&amp;재료비목록표!G2&amp;"!A"&amp;ROW(재료비목록표!A280),"자재277 →")</f>
        <v>자재277 →</v>
      </c>
      <c r="T281" s="36">
        <v>25000</v>
      </c>
      <c r="U281" s="38">
        <f t="shared" si="12"/>
        <v>4</v>
      </c>
      <c r="V281" s="39">
        <f t="shared" si="13"/>
        <v>25000</v>
      </c>
      <c r="W281" s="40" t="str">
        <f t="shared" si="14"/>
        <v>견적 1</v>
      </c>
    </row>
    <row r="282" spans="1:23" ht="34.700000000000003" customHeight="1" x14ac:dyDescent="0.3">
      <c r="A282" s="9" t="s">
        <v>2813</v>
      </c>
      <c r="B282" s="10" t="s">
        <v>2801</v>
      </c>
      <c r="C282" s="10" t="s">
        <v>810</v>
      </c>
      <c r="D282" s="9" t="s">
        <v>14</v>
      </c>
      <c r="E282" s="33">
        <v>0</v>
      </c>
      <c r="F282" s="9"/>
      <c r="G282" s="33">
        <v>0</v>
      </c>
      <c r="H282" s="9"/>
      <c r="I282" s="33">
        <v>0</v>
      </c>
      <c r="J282" s="9"/>
      <c r="K282" s="33">
        <v>25000</v>
      </c>
      <c r="L282" s="9" t="s">
        <v>3227</v>
      </c>
      <c r="M282" s="33">
        <v>0</v>
      </c>
      <c r="N282" s="9"/>
      <c r="O282" s="33">
        <v>25000</v>
      </c>
      <c r="P282" s="22" t="s">
        <v>3190</v>
      </c>
      <c r="Q282" s="15"/>
      <c r="R282" s="17" t="s">
        <v>2814</v>
      </c>
      <c r="S282" s="3" t="str">
        <f ca="1">HYPERLINK("#"&amp;재료비목록표!G2&amp;"!A"&amp;ROW(재료비목록표!A281),"자재278 →")</f>
        <v>자재278 →</v>
      </c>
      <c r="T282" s="36">
        <v>25000</v>
      </c>
      <c r="U282" s="38">
        <f t="shared" si="12"/>
        <v>4</v>
      </c>
      <c r="V282" s="39">
        <f t="shared" si="13"/>
        <v>25000</v>
      </c>
      <c r="W282" s="40" t="str">
        <f t="shared" si="14"/>
        <v>견적 1</v>
      </c>
    </row>
    <row r="283" spans="1:23" ht="34.700000000000003" customHeight="1" x14ac:dyDescent="0.3">
      <c r="A283" s="9" t="s">
        <v>2815</v>
      </c>
      <c r="B283" s="10" t="s">
        <v>2801</v>
      </c>
      <c r="C283" s="10" t="s">
        <v>834</v>
      </c>
      <c r="D283" s="9" t="s">
        <v>14</v>
      </c>
      <c r="E283" s="33">
        <v>0</v>
      </c>
      <c r="F283" s="9"/>
      <c r="G283" s="33">
        <v>0</v>
      </c>
      <c r="H283" s="9"/>
      <c r="I283" s="33">
        <v>0</v>
      </c>
      <c r="J283" s="9"/>
      <c r="K283" s="33">
        <v>104000</v>
      </c>
      <c r="L283" s="9" t="s">
        <v>3227</v>
      </c>
      <c r="M283" s="33">
        <v>0</v>
      </c>
      <c r="N283" s="9"/>
      <c r="O283" s="33">
        <v>104000</v>
      </c>
      <c r="P283" s="22" t="s">
        <v>3190</v>
      </c>
      <c r="Q283" s="15"/>
      <c r="R283" s="17" t="s">
        <v>2816</v>
      </c>
      <c r="S283" s="3" t="str">
        <f ca="1">HYPERLINK("#"&amp;재료비목록표!G2&amp;"!A"&amp;ROW(재료비목록표!A282),"자재279 →")</f>
        <v>자재279 →</v>
      </c>
      <c r="T283" s="36">
        <v>104000</v>
      </c>
      <c r="U283" s="38">
        <f t="shared" si="12"/>
        <v>4</v>
      </c>
      <c r="V283" s="39">
        <f t="shared" si="13"/>
        <v>104000</v>
      </c>
      <c r="W283" s="40" t="str">
        <f t="shared" si="14"/>
        <v>견적 1</v>
      </c>
    </row>
    <row r="284" spans="1:23" ht="34.700000000000003" customHeight="1" x14ac:dyDescent="0.3">
      <c r="A284" s="9" t="s">
        <v>2817</v>
      </c>
      <c r="B284" s="10" t="s">
        <v>2801</v>
      </c>
      <c r="C284" s="10" t="s">
        <v>813</v>
      </c>
      <c r="D284" s="9" t="s">
        <v>14</v>
      </c>
      <c r="E284" s="33">
        <v>0</v>
      </c>
      <c r="F284" s="9"/>
      <c r="G284" s="33">
        <v>0</v>
      </c>
      <c r="H284" s="9"/>
      <c r="I284" s="33">
        <v>0</v>
      </c>
      <c r="J284" s="9"/>
      <c r="K284" s="33">
        <v>25000</v>
      </c>
      <c r="L284" s="9" t="s">
        <v>3227</v>
      </c>
      <c r="M284" s="33">
        <v>0</v>
      </c>
      <c r="N284" s="9"/>
      <c r="O284" s="33">
        <v>25000</v>
      </c>
      <c r="P284" s="22" t="s">
        <v>3190</v>
      </c>
      <c r="Q284" s="15"/>
      <c r="R284" s="17" t="s">
        <v>2818</v>
      </c>
      <c r="S284" s="3" t="str">
        <f ca="1">HYPERLINK("#"&amp;재료비목록표!G2&amp;"!A"&amp;ROW(재료비목록표!A283),"자재280 →")</f>
        <v>자재280 →</v>
      </c>
      <c r="T284" s="36">
        <v>25000</v>
      </c>
      <c r="U284" s="38">
        <f t="shared" si="12"/>
        <v>4</v>
      </c>
      <c r="V284" s="39">
        <f t="shared" si="13"/>
        <v>25000</v>
      </c>
      <c r="W284" s="40" t="str">
        <f t="shared" si="14"/>
        <v>견적 1</v>
      </c>
    </row>
    <row r="285" spans="1:23" ht="34.700000000000003" customHeight="1" x14ac:dyDescent="0.3">
      <c r="A285" s="9" t="s">
        <v>2819</v>
      </c>
      <c r="B285" s="10" t="s">
        <v>2801</v>
      </c>
      <c r="C285" s="10" t="s">
        <v>837</v>
      </c>
      <c r="D285" s="9" t="s">
        <v>14</v>
      </c>
      <c r="E285" s="33">
        <v>0</v>
      </c>
      <c r="F285" s="9"/>
      <c r="G285" s="33">
        <v>0</v>
      </c>
      <c r="H285" s="9"/>
      <c r="I285" s="33">
        <v>0</v>
      </c>
      <c r="J285" s="9"/>
      <c r="K285" s="33">
        <v>156000</v>
      </c>
      <c r="L285" s="9" t="s">
        <v>3236</v>
      </c>
      <c r="M285" s="33">
        <v>0</v>
      </c>
      <c r="N285" s="9"/>
      <c r="O285" s="33">
        <v>156000</v>
      </c>
      <c r="P285" s="22" t="s">
        <v>3190</v>
      </c>
      <c r="Q285" s="15"/>
      <c r="R285" s="17" t="s">
        <v>2820</v>
      </c>
      <c r="S285" s="3" t="str">
        <f ca="1">HYPERLINK("#"&amp;재료비목록표!G2&amp;"!A"&amp;ROW(재료비목록표!A284),"자재281 →")</f>
        <v>자재281 →</v>
      </c>
      <c r="T285" s="36">
        <v>156000</v>
      </c>
      <c r="U285" s="38">
        <f t="shared" si="12"/>
        <v>4</v>
      </c>
      <c r="V285" s="39">
        <f t="shared" si="13"/>
        <v>156000</v>
      </c>
      <c r="W285" s="40" t="str">
        <f t="shared" si="14"/>
        <v>견적 1</v>
      </c>
    </row>
    <row r="286" spans="1:23" ht="34.700000000000003" customHeight="1" x14ac:dyDescent="0.3">
      <c r="A286" s="9" t="s">
        <v>2821</v>
      </c>
      <c r="B286" s="10" t="s">
        <v>2822</v>
      </c>
      <c r="C286" s="10" t="s">
        <v>816</v>
      </c>
      <c r="D286" s="9" t="s">
        <v>14</v>
      </c>
      <c r="E286" s="33">
        <v>0</v>
      </c>
      <c r="F286" s="9"/>
      <c r="G286" s="33">
        <v>0</v>
      </c>
      <c r="H286" s="9"/>
      <c r="I286" s="33">
        <v>0</v>
      </c>
      <c r="J286" s="9"/>
      <c r="K286" s="33">
        <v>95000</v>
      </c>
      <c r="L286" s="9" t="s">
        <v>3236</v>
      </c>
      <c r="M286" s="33">
        <v>0</v>
      </c>
      <c r="N286" s="9"/>
      <c r="O286" s="33">
        <v>95000</v>
      </c>
      <c r="P286" s="22" t="s">
        <v>3190</v>
      </c>
      <c r="Q286" s="15"/>
      <c r="R286" s="17" t="s">
        <v>2823</v>
      </c>
      <c r="S286" s="3" t="str">
        <f ca="1">HYPERLINK("#"&amp;재료비목록표!G2&amp;"!A"&amp;ROW(재료비목록표!A285),"자재282 →")</f>
        <v>자재282 →</v>
      </c>
      <c r="T286" s="36">
        <v>95000</v>
      </c>
      <c r="U286" s="38">
        <f t="shared" si="12"/>
        <v>4</v>
      </c>
      <c r="V286" s="39">
        <f t="shared" si="13"/>
        <v>95000</v>
      </c>
      <c r="W286" s="40" t="str">
        <f t="shared" si="14"/>
        <v>견적 1</v>
      </c>
    </row>
    <row r="287" spans="1:23" ht="34.700000000000003" customHeight="1" x14ac:dyDescent="0.3">
      <c r="A287" s="9" t="s">
        <v>2824</v>
      </c>
      <c r="B287" s="10" t="s">
        <v>2822</v>
      </c>
      <c r="C287" s="10" t="s">
        <v>819</v>
      </c>
      <c r="D287" s="9" t="s">
        <v>14</v>
      </c>
      <c r="E287" s="33">
        <v>0</v>
      </c>
      <c r="F287" s="9"/>
      <c r="G287" s="33">
        <v>0</v>
      </c>
      <c r="H287" s="9"/>
      <c r="I287" s="33">
        <v>0</v>
      </c>
      <c r="J287" s="9"/>
      <c r="K287" s="33">
        <v>95000</v>
      </c>
      <c r="L287" s="9" t="s">
        <v>3236</v>
      </c>
      <c r="M287" s="33">
        <v>0</v>
      </c>
      <c r="N287" s="9"/>
      <c r="O287" s="33">
        <v>95000</v>
      </c>
      <c r="P287" s="22" t="s">
        <v>3190</v>
      </c>
      <c r="Q287" s="15"/>
      <c r="R287" s="17" t="s">
        <v>2825</v>
      </c>
      <c r="S287" s="3" t="str">
        <f ca="1">HYPERLINK("#"&amp;재료비목록표!G2&amp;"!A"&amp;ROW(재료비목록표!A286),"자재283 →")</f>
        <v>자재283 →</v>
      </c>
      <c r="T287" s="36">
        <v>95000</v>
      </c>
      <c r="U287" s="38">
        <f t="shared" si="12"/>
        <v>4</v>
      </c>
      <c r="V287" s="39">
        <f t="shared" si="13"/>
        <v>95000</v>
      </c>
      <c r="W287" s="40" t="str">
        <f t="shared" si="14"/>
        <v>견적 1</v>
      </c>
    </row>
    <row r="288" spans="1:23" ht="34.700000000000003" customHeight="1" x14ac:dyDescent="0.3">
      <c r="A288" s="9" t="s">
        <v>2826</v>
      </c>
      <c r="B288" s="10" t="s">
        <v>2822</v>
      </c>
      <c r="C288" s="10" t="s">
        <v>822</v>
      </c>
      <c r="D288" s="9" t="s">
        <v>14</v>
      </c>
      <c r="E288" s="33">
        <v>0</v>
      </c>
      <c r="F288" s="9"/>
      <c r="G288" s="33">
        <v>0</v>
      </c>
      <c r="H288" s="9"/>
      <c r="I288" s="33">
        <v>0</v>
      </c>
      <c r="J288" s="9"/>
      <c r="K288" s="33">
        <v>95000</v>
      </c>
      <c r="L288" s="9" t="s">
        <v>3236</v>
      </c>
      <c r="M288" s="33">
        <v>0</v>
      </c>
      <c r="N288" s="9"/>
      <c r="O288" s="33">
        <v>95000</v>
      </c>
      <c r="P288" s="22" t="s">
        <v>3190</v>
      </c>
      <c r="Q288" s="15"/>
      <c r="R288" s="17" t="s">
        <v>2827</v>
      </c>
      <c r="S288" s="3" t="str">
        <f ca="1">HYPERLINK("#"&amp;재료비목록표!G2&amp;"!A"&amp;ROW(재료비목록표!A287),"자재284 →")</f>
        <v>자재284 →</v>
      </c>
      <c r="T288" s="36">
        <v>95000</v>
      </c>
      <c r="U288" s="38">
        <f t="shared" si="12"/>
        <v>4</v>
      </c>
      <c r="V288" s="39">
        <f t="shared" si="13"/>
        <v>95000</v>
      </c>
      <c r="W288" s="40" t="str">
        <f t="shared" si="14"/>
        <v>견적 1</v>
      </c>
    </row>
    <row r="289" spans="1:23" ht="34.700000000000003" customHeight="1" x14ac:dyDescent="0.3">
      <c r="A289" s="9" t="s">
        <v>2828</v>
      </c>
      <c r="B289" s="10" t="s">
        <v>2822</v>
      </c>
      <c r="C289" s="10" t="s">
        <v>2829</v>
      </c>
      <c r="D289" s="9" t="s">
        <v>14</v>
      </c>
      <c r="E289" s="33">
        <v>0</v>
      </c>
      <c r="F289" s="9"/>
      <c r="G289" s="33">
        <v>0</v>
      </c>
      <c r="H289" s="9"/>
      <c r="I289" s="33">
        <v>0</v>
      </c>
      <c r="J289" s="9"/>
      <c r="K289" s="33">
        <v>95000</v>
      </c>
      <c r="L289" s="9" t="s">
        <v>3236</v>
      </c>
      <c r="M289" s="33">
        <v>0</v>
      </c>
      <c r="N289" s="9"/>
      <c r="O289" s="33">
        <v>95000</v>
      </c>
      <c r="P289" s="22" t="s">
        <v>3190</v>
      </c>
      <c r="Q289" s="15"/>
      <c r="R289" s="17" t="s">
        <v>2830</v>
      </c>
      <c r="S289" s="3" t="str">
        <f ca="1">HYPERLINK("#"&amp;재료비목록표!G2&amp;"!A"&amp;ROW(재료비목록표!A288),"자재285 →")</f>
        <v>자재285 →</v>
      </c>
      <c r="T289" s="36">
        <v>95000</v>
      </c>
      <c r="U289" s="38">
        <f t="shared" si="12"/>
        <v>4</v>
      </c>
      <c r="V289" s="39">
        <f t="shared" si="13"/>
        <v>95000</v>
      </c>
      <c r="W289" s="40" t="str">
        <f t="shared" si="14"/>
        <v>견적 1</v>
      </c>
    </row>
    <row r="290" spans="1:23" ht="34.700000000000003" customHeight="1" x14ac:dyDescent="0.3">
      <c r="A290" s="9" t="s">
        <v>2831</v>
      </c>
      <c r="B290" s="10" t="s">
        <v>2822</v>
      </c>
      <c r="C290" s="10" t="s">
        <v>804</v>
      </c>
      <c r="D290" s="9" t="s">
        <v>14</v>
      </c>
      <c r="E290" s="33">
        <v>0</v>
      </c>
      <c r="F290" s="9"/>
      <c r="G290" s="33">
        <v>0</v>
      </c>
      <c r="H290" s="9"/>
      <c r="I290" s="33">
        <v>0</v>
      </c>
      <c r="J290" s="9"/>
      <c r="K290" s="33">
        <v>56000</v>
      </c>
      <c r="L290" s="9" t="s">
        <v>3236</v>
      </c>
      <c r="M290" s="33">
        <v>0</v>
      </c>
      <c r="N290" s="9"/>
      <c r="O290" s="33">
        <v>56000</v>
      </c>
      <c r="P290" s="22" t="s">
        <v>3190</v>
      </c>
      <c r="Q290" s="15"/>
      <c r="R290" s="17" t="s">
        <v>2832</v>
      </c>
      <c r="S290" s="3" t="str">
        <f ca="1">HYPERLINK("#"&amp;재료비목록표!G2&amp;"!A"&amp;ROW(재료비목록표!A289),"자재286 →")</f>
        <v>자재286 →</v>
      </c>
      <c r="T290" s="36">
        <v>56000</v>
      </c>
      <c r="U290" s="38">
        <f t="shared" si="12"/>
        <v>4</v>
      </c>
      <c r="V290" s="39">
        <f t="shared" si="13"/>
        <v>56000</v>
      </c>
      <c r="W290" s="40" t="str">
        <f t="shared" si="14"/>
        <v>견적 1</v>
      </c>
    </row>
    <row r="291" spans="1:23" ht="34.700000000000003" customHeight="1" x14ac:dyDescent="0.3">
      <c r="A291" s="9" t="s">
        <v>2833</v>
      </c>
      <c r="B291" s="10" t="s">
        <v>2822</v>
      </c>
      <c r="C291" s="10" t="s">
        <v>825</v>
      </c>
      <c r="D291" s="9" t="s">
        <v>14</v>
      </c>
      <c r="E291" s="33">
        <v>0</v>
      </c>
      <c r="F291" s="9"/>
      <c r="G291" s="33">
        <v>0</v>
      </c>
      <c r="H291" s="9"/>
      <c r="I291" s="33">
        <v>0</v>
      </c>
      <c r="J291" s="9"/>
      <c r="K291" s="33">
        <v>169000</v>
      </c>
      <c r="L291" s="9" t="s">
        <v>3236</v>
      </c>
      <c r="M291" s="33">
        <v>0</v>
      </c>
      <c r="N291" s="9"/>
      <c r="O291" s="33">
        <v>169000</v>
      </c>
      <c r="P291" s="22" t="s">
        <v>3190</v>
      </c>
      <c r="Q291" s="15"/>
      <c r="R291" s="17" t="s">
        <v>2834</v>
      </c>
      <c r="S291" s="3" t="str">
        <f ca="1">HYPERLINK("#"&amp;재료비목록표!G2&amp;"!A"&amp;ROW(재료비목록표!A290),"자재287 →")</f>
        <v>자재287 →</v>
      </c>
      <c r="T291" s="36">
        <v>169000</v>
      </c>
      <c r="U291" s="38">
        <f t="shared" si="12"/>
        <v>4</v>
      </c>
      <c r="V291" s="39">
        <f t="shared" si="13"/>
        <v>169000</v>
      </c>
      <c r="W291" s="40" t="str">
        <f t="shared" si="14"/>
        <v>견적 1</v>
      </c>
    </row>
    <row r="292" spans="1:23" ht="34.700000000000003" customHeight="1" x14ac:dyDescent="0.3">
      <c r="A292" s="9" t="s">
        <v>2835</v>
      </c>
      <c r="B292" s="10" t="s">
        <v>2822</v>
      </c>
      <c r="C292" s="10" t="s">
        <v>807</v>
      </c>
      <c r="D292" s="9" t="s">
        <v>14</v>
      </c>
      <c r="E292" s="33">
        <v>0</v>
      </c>
      <c r="F292" s="9"/>
      <c r="G292" s="33">
        <v>0</v>
      </c>
      <c r="H292" s="9"/>
      <c r="I292" s="33">
        <v>0</v>
      </c>
      <c r="J292" s="9"/>
      <c r="K292" s="33">
        <v>56000</v>
      </c>
      <c r="L292" s="9" t="s">
        <v>3236</v>
      </c>
      <c r="M292" s="33">
        <v>0</v>
      </c>
      <c r="N292" s="9"/>
      <c r="O292" s="33">
        <v>56000</v>
      </c>
      <c r="P292" s="22" t="s">
        <v>3190</v>
      </c>
      <c r="Q292" s="15"/>
      <c r="R292" s="17" t="s">
        <v>2836</v>
      </c>
      <c r="S292" s="3" t="str">
        <f ca="1">HYPERLINK("#"&amp;재료비목록표!G2&amp;"!A"&amp;ROW(재료비목록표!A291),"자재288 →")</f>
        <v>자재288 →</v>
      </c>
      <c r="T292" s="36">
        <v>56000</v>
      </c>
      <c r="U292" s="38">
        <f t="shared" si="12"/>
        <v>4</v>
      </c>
      <c r="V292" s="39">
        <f t="shared" si="13"/>
        <v>56000</v>
      </c>
      <c r="W292" s="40" t="str">
        <f t="shared" si="14"/>
        <v>견적 1</v>
      </c>
    </row>
    <row r="293" spans="1:23" ht="34.700000000000003" customHeight="1" x14ac:dyDescent="0.3">
      <c r="A293" s="9" t="s">
        <v>2837</v>
      </c>
      <c r="B293" s="10" t="s">
        <v>2822</v>
      </c>
      <c r="C293" s="10" t="s">
        <v>810</v>
      </c>
      <c r="D293" s="9" t="s">
        <v>14</v>
      </c>
      <c r="E293" s="33">
        <v>0</v>
      </c>
      <c r="F293" s="9"/>
      <c r="G293" s="33">
        <v>0</v>
      </c>
      <c r="H293" s="9"/>
      <c r="I293" s="33">
        <v>0</v>
      </c>
      <c r="J293" s="9"/>
      <c r="K293" s="33">
        <v>56000</v>
      </c>
      <c r="L293" s="9" t="s">
        <v>3236</v>
      </c>
      <c r="M293" s="33">
        <v>0</v>
      </c>
      <c r="N293" s="9"/>
      <c r="O293" s="33">
        <v>56000</v>
      </c>
      <c r="P293" s="22" t="s">
        <v>3190</v>
      </c>
      <c r="Q293" s="15"/>
      <c r="R293" s="17" t="s">
        <v>2838</v>
      </c>
      <c r="S293" s="3" t="str">
        <f ca="1">HYPERLINK("#"&amp;재료비목록표!G2&amp;"!A"&amp;ROW(재료비목록표!A292),"자재289 →")</f>
        <v>자재289 →</v>
      </c>
      <c r="T293" s="36">
        <v>56000</v>
      </c>
      <c r="U293" s="38">
        <f t="shared" si="12"/>
        <v>4</v>
      </c>
      <c r="V293" s="39">
        <f t="shared" si="13"/>
        <v>56000</v>
      </c>
      <c r="W293" s="40" t="str">
        <f t="shared" si="14"/>
        <v>견적 1</v>
      </c>
    </row>
    <row r="294" spans="1:23" ht="34.700000000000003" customHeight="1" x14ac:dyDescent="0.3">
      <c r="A294" s="9" t="s">
        <v>2839</v>
      </c>
      <c r="B294" s="10" t="s">
        <v>2822</v>
      </c>
      <c r="C294" s="10" t="s">
        <v>834</v>
      </c>
      <c r="D294" s="9" t="s">
        <v>14</v>
      </c>
      <c r="E294" s="33">
        <v>0</v>
      </c>
      <c r="F294" s="9"/>
      <c r="G294" s="33">
        <v>0</v>
      </c>
      <c r="H294" s="9"/>
      <c r="I294" s="33">
        <v>0</v>
      </c>
      <c r="J294" s="9"/>
      <c r="K294" s="33">
        <v>293000</v>
      </c>
      <c r="L294" s="9" t="s">
        <v>3236</v>
      </c>
      <c r="M294" s="33">
        <v>0</v>
      </c>
      <c r="N294" s="9"/>
      <c r="O294" s="33">
        <v>293000</v>
      </c>
      <c r="P294" s="22" t="s">
        <v>3190</v>
      </c>
      <c r="Q294" s="15"/>
      <c r="R294" s="17" t="s">
        <v>2840</v>
      </c>
      <c r="S294" s="3" t="str">
        <f ca="1">HYPERLINK("#"&amp;재료비목록표!G2&amp;"!A"&amp;ROW(재료비목록표!A293),"자재290 →")</f>
        <v>자재290 →</v>
      </c>
      <c r="T294" s="36">
        <v>293000</v>
      </c>
      <c r="U294" s="38">
        <f t="shared" si="12"/>
        <v>4</v>
      </c>
      <c r="V294" s="39">
        <f t="shared" si="13"/>
        <v>293000</v>
      </c>
      <c r="W294" s="40" t="str">
        <f t="shared" si="14"/>
        <v>견적 1</v>
      </c>
    </row>
    <row r="295" spans="1:23" ht="34.700000000000003" customHeight="1" x14ac:dyDescent="0.3">
      <c r="A295" s="9" t="s">
        <v>2841</v>
      </c>
      <c r="B295" s="10" t="s">
        <v>2822</v>
      </c>
      <c r="C295" s="10" t="s">
        <v>837</v>
      </c>
      <c r="D295" s="9" t="s">
        <v>14</v>
      </c>
      <c r="E295" s="33">
        <v>0</v>
      </c>
      <c r="F295" s="9"/>
      <c r="G295" s="33">
        <v>0</v>
      </c>
      <c r="H295" s="9"/>
      <c r="I295" s="33">
        <v>0</v>
      </c>
      <c r="J295" s="9"/>
      <c r="K295" s="33">
        <v>284000</v>
      </c>
      <c r="L295" s="9" t="s">
        <v>3236</v>
      </c>
      <c r="M295" s="33">
        <v>0</v>
      </c>
      <c r="N295" s="9"/>
      <c r="O295" s="33">
        <v>284000</v>
      </c>
      <c r="P295" s="22" t="s">
        <v>3190</v>
      </c>
      <c r="Q295" s="15"/>
      <c r="R295" s="17" t="s">
        <v>2842</v>
      </c>
      <c r="S295" s="3" t="str">
        <f ca="1">HYPERLINK("#"&amp;재료비목록표!G2&amp;"!A"&amp;ROW(재료비목록표!A294),"자재291 →")</f>
        <v>자재291 →</v>
      </c>
      <c r="T295" s="36">
        <v>284000</v>
      </c>
      <c r="U295" s="38">
        <f t="shared" si="12"/>
        <v>4</v>
      </c>
      <c r="V295" s="39">
        <f t="shared" si="13"/>
        <v>284000</v>
      </c>
      <c r="W295" s="40" t="str">
        <f t="shared" si="14"/>
        <v>견적 1</v>
      </c>
    </row>
    <row r="296" spans="1:23" ht="34.700000000000003" customHeight="1" x14ac:dyDescent="0.3">
      <c r="A296" s="9" t="s">
        <v>2843</v>
      </c>
      <c r="B296" s="10" t="s">
        <v>2844</v>
      </c>
      <c r="C296" s="10" t="s">
        <v>2845</v>
      </c>
      <c r="D296" s="9" t="s">
        <v>1603</v>
      </c>
      <c r="E296" s="33">
        <v>0</v>
      </c>
      <c r="F296" s="9"/>
      <c r="G296" s="33">
        <v>30000</v>
      </c>
      <c r="H296" s="9" t="s">
        <v>3307</v>
      </c>
      <c r="I296" s="33">
        <v>0</v>
      </c>
      <c r="J296" s="9"/>
      <c r="K296" s="33">
        <v>0</v>
      </c>
      <c r="L296" s="9"/>
      <c r="M296" s="33">
        <v>34000</v>
      </c>
      <c r="N296" s="9" t="s">
        <v>3281</v>
      </c>
      <c r="O296" s="33">
        <v>30000</v>
      </c>
      <c r="P296" s="22" t="s">
        <v>3188</v>
      </c>
      <c r="Q296" s="15"/>
      <c r="R296" s="17" t="s">
        <v>2846</v>
      </c>
      <c r="S296" s="3" t="str">
        <f ca="1">HYPERLINK("#"&amp;재료비목록표!G2&amp;"!A"&amp;ROW(재료비목록표!A295),"자재292 →")</f>
        <v>자재292 →</v>
      </c>
      <c r="T296" s="36">
        <v>30000</v>
      </c>
      <c r="U296" s="38">
        <f t="shared" si="12"/>
        <v>2</v>
      </c>
      <c r="V296" s="39">
        <f t="shared" si="13"/>
        <v>30000</v>
      </c>
      <c r="W296" s="40" t="str">
        <f t="shared" si="14"/>
        <v>물.자</v>
      </c>
    </row>
    <row r="297" spans="1:23" ht="34.700000000000003" customHeight="1" x14ac:dyDescent="0.3">
      <c r="A297" s="9" t="s">
        <v>2847</v>
      </c>
      <c r="B297" s="10" t="s">
        <v>2848</v>
      </c>
      <c r="C297" s="10" t="s">
        <v>2849</v>
      </c>
      <c r="D297" s="9" t="s">
        <v>1010</v>
      </c>
      <c r="E297" s="33">
        <v>0</v>
      </c>
      <c r="F297" s="9"/>
      <c r="G297" s="33">
        <v>518000</v>
      </c>
      <c r="H297" s="9" t="s">
        <v>3203</v>
      </c>
      <c r="I297" s="33">
        <v>0</v>
      </c>
      <c r="J297" s="9"/>
      <c r="K297" s="33">
        <v>0</v>
      </c>
      <c r="L297" s="9"/>
      <c r="M297" s="33">
        <v>0</v>
      </c>
      <c r="N297" s="9"/>
      <c r="O297" s="33">
        <v>518000</v>
      </c>
      <c r="P297" s="22" t="s">
        <v>3188</v>
      </c>
      <c r="Q297" s="15"/>
      <c r="R297" s="17" t="s">
        <v>2850</v>
      </c>
      <c r="S297" s="3" t="str">
        <f ca="1">HYPERLINK("#"&amp;재료비목록표!G2&amp;"!A"&amp;ROW(재료비목록표!A296),"자재293 →")</f>
        <v>자재293 →</v>
      </c>
      <c r="T297" s="36">
        <v>518000</v>
      </c>
      <c r="U297" s="38">
        <f t="shared" si="12"/>
        <v>2</v>
      </c>
      <c r="V297" s="39">
        <f t="shared" si="13"/>
        <v>518000</v>
      </c>
      <c r="W297" s="40" t="str">
        <f t="shared" si="14"/>
        <v>물.자</v>
      </c>
    </row>
    <row r="298" spans="1:23" ht="34.700000000000003" customHeight="1" x14ac:dyDescent="0.3">
      <c r="A298" s="9" t="s">
        <v>2851</v>
      </c>
      <c r="B298" s="10" t="s">
        <v>2848</v>
      </c>
      <c r="C298" s="10" t="s">
        <v>1117</v>
      </c>
      <c r="D298" s="9" t="s">
        <v>1010</v>
      </c>
      <c r="E298" s="33">
        <v>0</v>
      </c>
      <c r="F298" s="9"/>
      <c r="G298" s="33">
        <v>966000</v>
      </c>
      <c r="H298" s="9" t="s">
        <v>3308</v>
      </c>
      <c r="I298" s="33">
        <v>0</v>
      </c>
      <c r="J298" s="9"/>
      <c r="K298" s="33">
        <v>0</v>
      </c>
      <c r="L298" s="9"/>
      <c r="M298" s="33">
        <v>0</v>
      </c>
      <c r="N298" s="9"/>
      <c r="O298" s="33">
        <v>966000</v>
      </c>
      <c r="P298" s="22" t="s">
        <v>3188</v>
      </c>
      <c r="Q298" s="15"/>
      <c r="R298" s="17" t="s">
        <v>2852</v>
      </c>
      <c r="S298" s="3" t="str">
        <f ca="1">HYPERLINK("#"&amp;재료비목록표!G2&amp;"!A"&amp;ROW(재료비목록표!A297),"자재294 →")</f>
        <v>자재294 →</v>
      </c>
      <c r="T298" s="36">
        <v>966000</v>
      </c>
      <c r="U298" s="38">
        <f t="shared" si="12"/>
        <v>2</v>
      </c>
      <c r="V298" s="39">
        <f t="shared" si="13"/>
        <v>966000</v>
      </c>
      <c r="W298" s="40" t="str">
        <f t="shared" si="14"/>
        <v>물.자</v>
      </c>
    </row>
    <row r="299" spans="1:23" ht="34.700000000000003" customHeight="1" x14ac:dyDescent="0.3">
      <c r="A299" s="9" t="s">
        <v>2853</v>
      </c>
      <c r="B299" s="10" t="s">
        <v>2848</v>
      </c>
      <c r="C299" s="10" t="s">
        <v>1120</v>
      </c>
      <c r="D299" s="9" t="s">
        <v>1010</v>
      </c>
      <c r="E299" s="33">
        <v>0</v>
      </c>
      <c r="F299" s="9"/>
      <c r="G299" s="33">
        <v>1522000</v>
      </c>
      <c r="H299" s="9" t="s">
        <v>3308</v>
      </c>
      <c r="I299" s="33">
        <v>0</v>
      </c>
      <c r="J299" s="9"/>
      <c r="K299" s="33">
        <v>0</v>
      </c>
      <c r="L299" s="9"/>
      <c r="M299" s="33">
        <v>0</v>
      </c>
      <c r="N299" s="9"/>
      <c r="O299" s="33">
        <v>1522000</v>
      </c>
      <c r="P299" s="22" t="s">
        <v>3188</v>
      </c>
      <c r="Q299" s="15"/>
      <c r="R299" s="17" t="s">
        <v>2854</v>
      </c>
      <c r="S299" s="3" t="str">
        <f ca="1">HYPERLINK("#"&amp;재료비목록표!G2&amp;"!A"&amp;ROW(재료비목록표!A298),"자재295 →")</f>
        <v>자재295 →</v>
      </c>
      <c r="T299" s="36">
        <v>1522000</v>
      </c>
      <c r="U299" s="38">
        <f t="shared" si="12"/>
        <v>2</v>
      </c>
      <c r="V299" s="39">
        <f t="shared" si="13"/>
        <v>1522000</v>
      </c>
      <c r="W299" s="40" t="str">
        <f t="shared" si="14"/>
        <v>물.자</v>
      </c>
    </row>
    <row r="300" spans="1:23" ht="34.700000000000003" customHeight="1" x14ac:dyDescent="0.3">
      <c r="A300" s="9" t="s">
        <v>2855</v>
      </c>
      <c r="B300" s="10" t="s">
        <v>2848</v>
      </c>
      <c r="C300" s="10" t="s">
        <v>1108</v>
      </c>
      <c r="D300" s="9" t="s">
        <v>1010</v>
      </c>
      <c r="E300" s="33">
        <v>0</v>
      </c>
      <c r="F300" s="9"/>
      <c r="G300" s="33">
        <v>273000</v>
      </c>
      <c r="H300" s="9" t="s">
        <v>3308</v>
      </c>
      <c r="I300" s="33">
        <v>0</v>
      </c>
      <c r="J300" s="9"/>
      <c r="K300" s="33">
        <v>0</v>
      </c>
      <c r="L300" s="9"/>
      <c r="M300" s="33">
        <v>0</v>
      </c>
      <c r="N300" s="9"/>
      <c r="O300" s="33">
        <v>273000</v>
      </c>
      <c r="P300" s="22" t="s">
        <v>3188</v>
      </c>
      <c r="Q300" s="15"/>
      <c r="R300" s="17" t="s">
        <v>2856</v>
      </c>
      <c r="S300" s="3" t="str">
        <f ca="1">HYPERLINK("#"&amp;재료비목록표!G2&amp;"!A"&amp;ROW(재료비목록표!A299),"자재296 →")</f>
        <v>자재296 →</v>
      </c>
      <c r="T300" s="36">
        <v>273000</v>
      </c>
      <c r="U300" s="38">
        <f t="shared" si="12"/>
        <v>2</v>
      </c>
      <c r="V300" s="39">
        <f t="shared" si="13"/>
        <v>273000</v>
      </c>
      <c r="W300" s="40" t="str">
        <f t="shared" si="14"/>
        <v>물.자</v>
      </c>
    </row>
    <row r="301" spans="1:23" ht="34.700000000000003" customHeight="1" x14ac:dyDescent="0.3">
      <c r="A301" s="9" t="s">
        <v>2857</v>
      </c>
      <c r="B301" s="10" t="s">
        <v>2848</v>
      </c>
      <c r="C301" s="10" t="s">
        <v>1111</v>
      </c>
      <c r="D301" s="9" t="s">
        <v>1010</v>
      </c>
      <c r="E301" s="33">
        <v>0</v>
      </c>
      <c r="F301" s="9"/>
      <c r="G301" s="33">
        <v>354000</v>
      </c>
      <c r="H301" s="9" t="s">
        <v>3308</v>
      </c>
      <c r="I301" s="33">
        <v>0</v>
      </c>
      <c r="J301" s="9"/>
      <c r="K301" s="33">
        <v>0</v>
      </c>
      <c r="L301" s="9"/>
      <c r="M301" s="33">
        <v>0</v>
      </c>
      <c r="N301" s="9"/>
      <c r="O301" s="33">
        <v>354000</v>
      </c>
      <c r="P301" s="22" t="s">
        <v>3188</v>
      </c>
      <c r="Q301" s="15"/>
      <c r="R301" s="17" t="s">
        <v>2858</v>
      </c>
      <c r="S301" s="3" t="str">
        <f ca="1">HYPERLINK("#"&amp;재료비목록표!G2&amp;"!A"&amp;ROW(재료비목록표!A300),"자재297 →")</f>
        <v>자재297 →</v>
      </c>
      <c r="T301" s="36">
        <v>354000</v>
      </c>
      <c r="U301" s="38">
        <f t="shared" si="12"/>
        <v>2</v>
      </c>
      <c r="V301" s="39">
        <f t="shared" si="13"/>
        <v>354000</v>
      </c>
      <c r="W301" s="40" t="str">
        <f t="shared" si="14"/>
        <v>물.자</v>
      </c>
    </row>
    <row r="302" spans="1:23" ht="34.700000000000003" customHeight="1" x14ac:dyDescent="0.3">
      <c r="A302" s="9" t="s">
        <v>2859</v>
      </c>
      <c r="B302" s="10" t="s">
        <v>2860</v>
      </c>
      <c r="C302" s="10"/>
      <c r="D302" s="9" t="s">
        <v>2212</v>
      </c>
      <c r="E302" s="33">
        <v>0</v>
      </c>
      <c r="F302" s="9"/>
      <c r="G302" s="33">
        <v>0</v>
      </c>
      <c r="H302" s="9"/>
      <c r="I302" s="33">
        <v>0</v>
      </c>
      <c r="J302" s="9"/>
      <c r="K302" s="33">
        <v>754000</v>
      </c>
      <c r="L302" s="9" t="s">
        <v>3236</v>
      </c>
      <c r="M302" s="33">
        <v>0</v>
      </c>
      <c r="N302" s="9"/>
      <c r="O302" s="33">
        <v>754000</v>
      </c>
      <c r="P302" s="22" t="s">
        <v>3190</v>
      </c>
      <c r="Q302" s="15"/>
      <c r="R302" s="17" t="s">
        <v>2861</v>
      </c>
      <c r="S302" s="3" t="str">
        <f ca="1">HYPERLINK("#"&amp;재료비목록표!G2&amp;"!A"&amp;ROW(재료비목록표!A301),"자재298 →")</f>
        <v>자재298 →</v>
      </c>
      <c r="T302" s="36">
        <v>754000</v>
      </c>
      <c r="U302" s="38">
        <f t="shared" si="12"/>
        <v>4</v>
      </c>
      <c r="V302" s="39">
        <f t="shared" si="13"/>
        <v>754000</v>
      </c>
      <c r="W302" s="40" t="str">
        <f t="shared" si="14"/>
        <v>견적 1</v>
      </c>
    </row>
    <row r="303" spans="1:23" ht="34.700000000000003" customHeight="1" x14ac:dyDescent="0.3">
      <c r="A303" s="9" t="s">
        <v>2862</v>
      </c>
      <c r="B303" s="10" t="s">
        <v>2863</v>
      </c>
      <c r="C303" s="10" t="s">
        <v>2864</v>
      </c>
      <c r="D303" s="9" t="s">
        <v>1010</v>
      </c>
      <c r="E303" s="33">
        <v>0</v>
      </c>
      <c r="F303" s="9"/>
      <c r="G303" s="33">
        <v>0</v>
      </c>
      <c r="H303" s="9"/>
      <c r="I303" s="33">
        <v>1400</v>
      </c>
      <c r="J303" s="9" t="s">
        <v>3309</v>
      </c>
      <c r="K303" s="33">
        <v>0</v>
      </c>
      <c r="L303" s="9"/>
      <c r="M303" s="33">
        <v>14000</v>
      </c>
      <c r="N303" s="9" t="s">
        <v>3310</v>
      </c>
      <c r="O303" s="33">
        <v>1400</v>
      </c>
      <c r="P303" s="22" t="s">
        <v>3189</v>
      </c>
      <c r="Q303" s="15"/>
      <c r="R303" s="17" t="s">
        <v>2865</v>
      </c>
      <c r="S303" s="3" t="str">
        <f ca="1">HYPERLINK("#"&amp;재료비목록표!G2&amp;"!A"&amp;ROW(재료비목록표!A302),"자재299 →")</f>
        <v>자재299 →</v>
      </c>
      <c r="T303" s="36">
        <v>1400</v>
      </c>
      <c r="U303" s="38">
        <f t="shared" si="12"/>
        <v>3</v>
      </c>
      <c r="V303" s="39">
        <f t="shared" si="13"/>
        <v>1400</v>
      </c>
      <c r="W303" s="40" t="str">
        <f t="shared" si="14"/>
        <v>물.정</v>
      </c>
    </row>
    <row r="304" spans="1:23" ht="34.700000000000003" customHeight="1" x14ac:dyDescent="0.3">
      <c r="A304" s="9" t="s">
        <v>2866</v>
      </c>
      <c r="B304" s="10" t="s">
        <v>2867</v>
      </c>
      <c r="C304" s="10" t="s">
        <v>2868</v>
      </c>
      <c r="D304" s="9" t="s">
        <v>1939</v>
      </c>
      <c r="E304" s="33">
        <v>0</v>
      </c>
      <c r="F304" s="9"/>
      <c r="G304" s="33">
        <v>41210</v>
      </c>
      <c r="H304" s="9" t="s">
        <v>3311</v>
      </c>
      <c r="I304" s="33">
        <v>0</v>
      </c>
      <c r="J304" s="9"/>
      <c r="K304" s="33">
        <v>0</v>
      </c>
      <c r="L304" s="9"/>
      <c r="M304" s="33">
        <v>0</v>
      </c>
      <c r="N304" s="9"/>
      <c r="O304" s="33">
        <v>41210</v>
      </c>
      <c r="P304" s="22" t="s">
        <v>3188</v>
      </c>
      <c r="Q304" s="15"/>
      <c r="R304" s="17" t="s">
        <v>2869</v>
      </c>
      <c r="S304" s="3" t="str">
        <f ca="1">HYPERLINK("#"&amp;재료비목록표!G2&amp;"!A"&amp;ROW(재료비목록표!A303),"자재300 →")</f>
        <v>자재300 →</v>
      </c>
      <c r="T304" s="36">
        <v>41210</v>
      </c>
      <c r="U304" s="38">
        <f t="shared" si="12"/>
        <v>2</v>
      </c>
      <c r="V304" s="39">
        <f t="shared" si="13"/>
        <v>41210</v>
      </c>
      <c r="W304" s="40" t="str">
        <f t="shared" si="14"/>
        <v>물.자</v>
      </c>
    </row>
    <row r="305" spans="1:23" ht="34.700000000000003" customHeight="1" x14ac:dyDescent="0.3">
      <c r="A305" s="9" t="s">
        <v>2870</v>
      </c>
      <c r="B305" s="10" t="s">
        <v>2871</v>
      </c>
      <c r="C305" s="10" t="s">
        <v>2872</v>
      </c>
      <c r="D305" s="9" t="s">
        <v>1939</v>
      </c>
      <c r="E305" s="33">
        <v>0</v>
      </c>
      <c r="F305" s="9"/>
      <c r="G305" s="33">
        <v>3270</v>
      </c>
      <c r="H305" s="9" t="s">
        <v>3311</v>
      </c>
      <c r="I305" s="33">
        <v>0</v>
      </c>
      <c r="J305" s="9"/>
      <c r="K305" s="33">
        <v>0</v>
      </c>
      <c r="L305" s="9"/>
      <c r="M305" s="33">
        <v>0</v>
      </c>
      <c r="N305" s="9"/>
      <c r="O305" s="33">
        <v>3270</v>
      </c>
      <c r="P305" s="22" t="s">
        <v>3188</v>
      </c>
      <c r="Q305" s="15"/>
      <c r="R305" s="17" t="s">
        <v>2873</v>
      </c>
      <c r="S305" s="3" t="str">
        <f ca="1">HYPERLINK("#"&amp;재료비목록표!G2&amp;"!A"&amp;ROW(재료비목록표!A304),"자재301 →")</f>
        <v>자재301 →</v>
      </c>
      <c r="T305" s="36">
        <v>3270</v>
      </c>
      <c r="U305" s="38">
        <f t="shared" si="12"/>
        <v>2</v>
      </c>
      <c r="V305" s="39">
        <f t="shared" si="13"/>
        <v>3270</v>
      </c>
      <c r="W305" s="40" t="str">
        <f t="shared" si="14"/>
        <v>물.자</v>
      </c>
    </row>
    <row r="306" spans="1:23" ht="34.700000000000003" customHeight="1" x14ac:dyDescent="0.3">
      <c r="A306" s="9" t="s">
        <v>2874</v>
      </c>
      <c r="B306" s="10" t="s">
        <v>2875</v>
      </c>
      <c r="C306" s="10" t="s">
        <v>2219</v>
      </c>
      <c r="D306" s="9" t="s">
        <v>1010</v>
      </c>
      <c r="E306" s="33">
        <v>0</v>
      </c>
      <c r="F306" s="9"/>
      <c r="G306" s="33">
        <v>0</v>
      </c>
      <c r="H306" s="9"/>
      <c r="I306" s="33">
        <v>6850</v>
      </c>
      <c r="J306" s="9" t="s">
        <v>3231</v>
      </c>
      <c r="K306" s="33">
        <v>0</v>
      </c>
      <c r="L306" s="9"/>
      <c r="M306" s="33">
        <v>0</v>
      </c>
      <c r="N306" s="9"/>
      <c r="O306" s="33">
        <v>6850</v>
      </c>
      <c r="P306" s="22" t="s">
        <v>3189</v>
      </c>
      <c r="Q306" s="15"/>
      <c r="R306" s="17" t="s">
        <v>2876</v>
      </c>
      <c r="S306" s="3" t="str">
        <f ca="1">HYPERLINK("#"&amp;재료비목록표!G2&amp;"!A"&amp;ROW(재료비목록표!A305),"자재302 →")</f>
        <v>자재302 →</v>
      </c>
      <c r="T306" s="36">
        <v>6850</v>
      </c>
      <c r="U306" s="38">
        <f t="shared" si="12"/>
        <v>3</v>
      </c>
      <c r="V306" s="39">
        <f t="shared" si="13"/>
        <v>6850</v>
      </c>
      <c r="W306" s="40" t="str">
        <f t="shared" si="14"/>
        <v>물.정</v>
      </c>
    </row>
    <row r="307" spans="1:23" ht="34.700000000000003" customHeight="1" x14ac:dyDescent="0.3">
      <c r="A307" s="9" t="s">
        <v>2877</v>
      </c>
      <c r="B307" s="10" t="s">
        <v>2875</v>
      </c>
      <c r="C307" s="10" t="s">
        <v>2222</v>
      </c>
      <c r="D307" s="9" t="s">
        <v>1010</v>
      </c>
      <c r="E307" s="33">
        <v>0</v>
      </c>
      <c r="F307" s="9"/>
      <c r="G307" s="33">
        <v>0</v>
      </c>
      <c r="H307" s="9"/>
      <c r="I307" s="33">
        <v>11750</v>
      </c>
      <c r="J307" s="9" t="s">
        <v>3231</v>
      </c>
      <c r="K307" s="33">
        <v>0</v>
      </c>
      <c r="L307" s="9"/>
      <c r="M307" s="33">
        <v>0</v>
      </c>
      <c r="N307" s="9"/>
      <c r="O307" s="33">
        <v>11750</v>
      </c>
      <c r="P307" s="22" t="s">
        <v>3189</v>
      </c>
      <c r="Q307" s="15"/>
      <c r="R307" s="17" t="s">
        <v>2878</v>
      </c>
      <c r="S307" s="3" t="str">
        <f ca="1">HYPERLINK("#"&amp;재료비목록표!G2&amp;"!A"&amp;ROW(재료비목록표!A306),"자재303 →")</f>
        <v>자재303 →</v>
      </c>
      <c r="T307" s="36">
        <v>11750</v>
      </c>
      <c r="U307" s="38">
        <f t="shared" si="12"/>
        <v>3</v>
      </c>
      <c r="V307" s="39">
        <f t="shared" si="13"/>
        <v>11750</v>
      </c>
      <c r="W307" s="40" t="str">
        <f t="shared" si="14"/>
        <v>물.정</v>
      </c>
    </row>
    <row r="308" spans="1:23" ht="34.700000000000003" customHeight="1" x14ac:dyDescent="0.3">
      <c r="A308" s="9" t="s">
        <v>2879</v>
      </c>
      <c r="B308" s="10" t="s">
        <v>2875</v>
      </c>
      <c r="C308" s="10" t="s">
        <v>2228</v>
      </c>
      <c r="D308" s="9" t="s">
        <v>1010</v>
      </c>
      <c r="E308" s="33">
        <v>0</v>
      </c>
      <c r="F308" s="9"/>
      <c r="G308" s="33">
        <v>0</v>
      </c>
      <c r="H308" s="9"/>
      <c r="I308" s="33">
        <v>19660</v>
      </c>
      <c r="J308" s="9" t="s">
        <v>3231</v>
      </c>
      <c r="K308" s="33">
        <v>0</v>
      </c>
      <c r="L308" s="9"/>
      <c r="M308" s="33">
        <v>0</v>
      </c>
      <c r="N308" s="9"/>
      <c r="O308" s="33">
        <v>19660</v>
      </c>
      <c r="P308" s="22" t="s">
        <v>3189</v>
      </c>
      <c r="Q308" s="15"/>
      <c r="R308" s="17" t="s">
        <v>2880</v>
      </c>
      <c r="S308" s="3" t="str">
        <f ca="1">HYPERLINK("#"&amp;재료비목록표!G2&amp;"!A"&amp;ROW(재료비목록표!A307),"자재304 →")</f>
        <v>자재304 →</v>
      </c>
      <c r="T308" s="36">
        <v>19660</v>
      </c>
      <c r="U308" s="38">
        <f t="shared" si="12"/>
        <v>3</v>
      </c>
      <c r="V308" s="39">
        <f t="shared" si="13"/>
        <v>19660</v>
      </c>
      <c r="W308" s="40" t="str">
        <f t="shared" si="14"/>
        <v>물.정</v>
      </c>
    </row>
    <row r="309" spans="1:23" ht="34.700000000000003" customHeight="1" x14ac:dyDescent="0.3">
      <c r="A309" s="9" t="s">
        <v>2881</v>
      </c>
      <c r="B309" s="10" t="s">
        <v>2875</v>
      </c>
      <c r="C309" s="10" t="s">
        <v>2882</v>
      </c>
      <c r="D309" s="9" t="s">
        <v>1010</v>
      </c>
      <c r="E309" s="33">
        <v>0</v>
      </c>
      <c r="F309" s="9"/>
      <c r="G309" s="33">
        <v>0</v>
      </c>
      <c r="H309" s="9"/>
      <c r="I309" s="33">
        <v>26970</v>
      </c>
      <c r="J309" s="9" t="s">
        <v>3231</v>
      </c>
      <c r="K309" s="33">
        <v>0</v>
      </c>
      <c r="L309" s="9"/>
      <c r="M309" s="33">
        <v>0</v>
      </c>
      <c r="N309" s="9"/>
      <c r="O309" s="33">
        <v>26970</v>
      </c>
      <c r="P309" s="22" t="s">
        <v>3189</v>
      </c>
      <c r="Q309" s="15"/>
      <c r="R309" s="17" t="s">
        <v>2883</v>
      </c>
      <c r="S309" s="3" t="str">
        <f ca="1">HYPERLINK("#"&amp;재료비목록표!G2&amp;"!A"&amp;ROW(재료비목록표!A308),"자재305 →")</f>
        <v>자재305 →</v>
      </c>
      <c r="T309" s="36">
        <v>26970</v>
      </c>
      <c r="U309" s="38">
        <f t="shared" si="12"/>
        <v>3</v>
      </c>
      <c r="V309" s="39">
        <f t="shared" si="13"/>
        <v>26970</v>
      </c>
      <c r="W309" s="40" t="str">
        <f t="shared" si="14"/>
        <v>물.정</v>
      </c>
    </row>
    <row r="310" spans="1:23" ht="34.700000000000003" customHeight="1" x14ac:dyDescent="0.3">
      <c r="A310" s="9" t="s">
        <v>2884</v>
      </c>
      <c r="B310" s="10" t="s">
        <v>2875</v>
      </c>
      <c r="C310" s="10" t="s">
        <v>2885</v>
      </c>
      <c r="D310" s="9" t="s">
        <v>1010</v>
      </c>
      <c r="E310" s="33">
        <v>0</v>
      </c>
      <c r="F310" s="9"/>
      <c r="G310" s="33">
        <v>0</v>
      </c>
      <c r="H310" s="9"/>
      <c r="I310" s="33">
        <v>30670</v>
      </c>
      <c r="J310" s="9" t="s">
        <v>3231</v>
      </c>
      <c r="K310" s="33">
        <v>0</v>
      </c>
      <c r="L310" s="9"/>
      <c r="M310" s="33">
        <v>0</v>
      </c>
      <c r="N310" s="9"/>
      <c r="O310" s="33">
        <v>30670</v>
      </c>
      <c r="P310" s="22" t="s">
        <v>3189</v>
      </c>
      <c r="Q310" s="15"/>
      <c r="R310" s="17" t="s">
        <v>2886</v>
      </c>
      <c r="S310" s="3" t="str">
        <f ca="1">HYPERLINK("#"&amp;재료비목록표!G2&amp;"!A"&amp;ROW(재료비목록표!A309),"자재306 →")</f>
        <v>자재306 →</v>
      </c>
      <c r="T310" s="36">
        <v>30670</v>
      </c>
      <c r="U310" s="38">
        <f t="shared" si="12"/>
        <v>3</v>
      </c>
      <c r="V310" s="39">
        <f t="shared" si="13"/>
        <v>30670</v>
      </c>
      <c r="W310" s="40" t="str">
        <f t="shared" si="14"/>
        <v>물.정</v>
      </c>
    </row>
    <row r="311" spans="1:23" ht="34.700000000000003" customHeight="1" x14ac:dyDescent="0.3">
      <c r="A311" s="9" t="s">
        <v>2887</v>
      </c>
      <c r="B311" s="10" t="s">
        <v>2875</v>
      </c>
      <c r="C311" s="10" t="s">
        <v>2241</v>
      </c>
      <c r="D311" s="9" t="s">
        <v>1010</v>
      </c>
      <c r="E311" s="33">
        <v>0</v>
      </c>
      <c r="F311" s="9"/>
      <c r="G311" s="33">
        <v>0</v>
      </c>
      <c r="H311" s="9"/>
      <c r="I311" s="33">
        <v>4340</v>
      </c>
      <c r="J311" s="9" t="s">
        <v>3231</v>
      </c>
      <c r="K311" s="33">
        <v>0</v>
      </c>
      <c r="L311" s="9"/>
      <c r="M311" s="33">
        <v>0</v>
      </c>
      <c r="N311" s="9"/>
      <c r="O311" s="33">
        <v>4340</v>
      </c>
      <c r="P311" s="22" t="s">
        <v>3189</v>
      </c>
      <c r="Q311" s="15"/>
      <c r="R311" s="17" t="s">
        <v>2888</v>
      </c>
      <c r="S311" s="3" t="str">
        <f ca="1">HYPERLINK("#"&amp;재료비목록표!G2&amp;"!A"&amp;ROW(재료비목록표!A310),"자재307 →")</f>
        <v>자재307 →</v>
      </c>
      <c r="T311" s="36">
        <v>4340</v>
      </c>
      <c r="U311" s="38">
        <f t="shared" si="12"/>
        <v>3</v>
      </c>
      <c r="V311" s="39">
        <f t="shared" si="13"/>
        <v>4340</v>
      </c>
      <c r="W311" s="40" t="str">
        <f t="shared" si="14"/>
        <v>물.정</v>
      </c>
    </row>
    <row r="312" spans="1:23" ht="34.700000000000003" customHeight="1" x14ac:dyDescent="0.3">
      <c r="A312" s="9" t="s">
        <v>2889</v>
      </c>
      <c r="B312" s="10" t="s">
        <v>2875</v>
      </c>
      <c r="C312" s="10" t="s">
        <v>2244</v>
      </c>
      <c r="D312" s="9" t="s">
        <v>1010</v>
      </c>
      <c r="E312" s="33">
        <v>0</v>
      </c>
      <c r="F312" s="9"/>
      <c r="G312" s="33">
        <v>0</v>
      </c>
      <c r="H312" s="9"/>
      <c r="I312" s="33">
        <v>5800</v>
      </c>
      <c r="J312" s="9" t="s">
        <v>3231</v>
      </c>
      <c r="K312" s="33">
        <v>0</v>
      </c>
      <c r="L312" s="9"/>
      <c r="M312" s="33">
        <v>0</v>
      </c>
      <c r="N312" s="9"/>
      <c r="O312" s="33">
        <v>5800</v>
      </c>
      <c r="P312" s="22" t="s">
        <v>3189</v>
      </c>
      <c r="Q312" s="15"/>
      <c r="R312" s="17" t="s">
        <v>2890</v>
      </c>
      <c r="S312" s="3" t="str">
        <f ca="1">HYPERLINK("#"&amp;재료비목록표!G2&amp;"!A"&amp;ROW(재료비목록표!A311),"자재308 →")</f>
        <v>자재308 →</v>
      </c>
      <c r="T312" s="36">
        <v>5800</v>
      </c>
      <c r="U312" s="38">
        <f t="shared" si="12"/>
        <v>3</v>
      </c>
      <c r="V312" s="39">
        <f t="shared" si="13"/>
        <v>5800</v>
      </c>
      <c r="W312" s="40" t="str">
        <f t="shared" si="14"/>
        <v>물.정</v>
      </c>
    </row>
    <row r="313" spans="1:23" ht="34.700000000000003" customHeight="1" x14ac:dyDescent="0.3">
      <c r="A313" s="9" t="s">
        <v>2891</v>
      </c>
      <c r="B313" s="10" t="s">
        <v>2892</v>
      </c>
      <c r="C313" s="10" t="s">
        <v>2893</v>
      </c>
      <c r="D313" s="9" t="s">
        <v>1010</v>
      </c>
      <c r="E313" s="33">
        <v>0</v>
      </c>
      <c r="F313" s="9"/>
      <c r="G313" s="33">
        <v>0</v>
      </c>
      <c r="H313" s="9"/>
      <c r="I313" s="33">
        <v>0</v>
      </c>
      <c r="J313" s="9"/>
      <c r="K313" s="33">
        <v>0</v>
      </c>
      <c r="L313" s="9"/>
      <c r="M313" s="33">
        <v>170000</v>
      </c>
      <c r="N313" s="9" t="s">
        <v>3312</v>
      </c>
      <c r="O313" s="33">
        <v>170000</v>
      </c>
      <c r="P313" s="22" t="s">
        <v>3191</v>
      </c>
      <c r="Q313" s="15"/>
      <c r="R313" s="17" t="s">
        <v>2894</v>
      </c>
      <c r="S313" s="3" t="str">
        <f ca="1">HYPERLINK("#"&amp;재료비목록표!G2&amp;"!A"&amp;ROW(재료비목록표!A312),"자재309 →")</f>
        <v>자재309 →</v>
      </c>
      <c r="T313" s="36">
        <v>170000</v>
      </c>
      <c r="U313" s="38">
        <f t="shared" si="12"/>
        <v>5</v>
      </c>
      <c r="V313" s="39">
        <f t="shared" si="13"/>
        <v>170000</v>
      </c>
      <c r="W313" s="40" t="str">
        <f t="shared" si="14"/>
        <v>거래</v>
      </c>
    </row>
    <row r="314" spans="1:23" ht="34.700000000000003" customHeight="1" x14ac:dyDescent="0.3">
      <c r="A314" s="9" t="s">
        <v>2895</v>
      </c>
      <c r="B314" s="10" t="s">
        <v>1375</v>
      </c>
      <c r="C314" s="10" t="s">
        <v>2896</v>
      </c>
      <c r="D314" s="9" t="s">
        <v>1010</v>
      </c>
      <c r="E314" s="33">
        <v>0</v>
      </c>
      <c r="F314" s="9"/>
      <c r="G314" s="33">
        <v>101300</v>
      </c>
      <c r="H314" s="9" t="s">
        <v>3313</v>
      </c>
      <c r="I314" s="33">
        <v>101300</v>
      </c>
      <c r="J314" s="9" t="s">
        <v>3314</v>
      </c>
      <c r="K314" s="33">
        <v>0</v>
      </c>
      <c r="L314" s="9"/>
      <c r="M314" s="33">
        <v>0</v>
      </c>
      <c r="N314" s="9"/>
      <c r="O314" s="33">
        <v>101300</v>
      </c>
      <c r="P314" s="22" t="s">
        <v>3188</v>
      </c>
      <c r="Q314" s="15"/>
      <c r="R314" s="17" t="s">
        <v>2897</v>
      </c>
      <c r="S314" s="3" t="str">
        <f ca="1">HYPERLINK("#"&amp;재료비목록표!G2&amp;"!A"&amp;ROW(재료비목록표!A313),"자재310 →")</f>
        <v>자재310 →</v>
      </c>
      <c r="T314" s="36">
        <v>101300</v>
      </c>
      <c r="U314" s="38">
        <f t="shared" si="12"/>
        <v>2</v>
      </c>
      <c r="V314" s="39">
        <f t="shared" si="13"/>
        <v>101300</v>
      </c>
      <c r="W314" s="40" t="str">
        <f t="shared" si="14"/>
        <v>물.자</v>
      </c>
    </row>
    <row r="315" spans="1:23" ht="34.700000000000003" customHeight="1" x14ac:dyDescent="0.3">
      <c r="A315" s="9" t="s">
        <v>2898</v>
      </c>
      <c r="B315" s="10" t="s">
        <v>1375</v>
      </c>
      <c r="C315" s="10" t="s">
        <v>2899</v>
      </c>
      <c r="D315" s="9" t="s">
        <v>1010</v>
      </c>
      <c r="E315" s="33">
        <v>0</v>
      </c>
      <c r="F315" s="9"/>
      <c r="G315" s="33">
        <v>158000</v>
      </c>
      <c r="H315" s="9" t="s">
        <v>3313</v>
      </c>
      <c r="I315" s="33">
        <v>158000</v>
      </c>
      <c r="J315" s="9" t="s">
        <v>3314</v>
      </c>
      <c r="K315" s="33">
        <v>0</v>
      </c>
      <c r="L315" s="9"/>
      <c r="M315" s="33">
        <v>0</v>
      </c>
      <c r="N315" s="9"/>
      <c r="O315" s="33">
        <v>158000</v>
      </c>
      <c r="P315" s="22" t="s">
        <v>3188</v>
      </c>
      <c r="Q315" s="15"/>
      <c r="R315" s="17" t="s">
        <v>2900</v>
      </c>
      <c r="S315" s="3" t="str">
        <f ca="1">HYPERLINK("#"&amp;재료비목록표!G2&amp;"!A"&amp;ROW(재료비목록표!A314),"자재311 →")</f>
        <v>자재311 →</v>
      </c>
      <c r="T315" s="36">
        <v>158000</v>
      </c>
      <c r="U315" s="38">
        <f t="shared" si="12"/>
        <v>2</v>
      </c>
      <c r="V315" s="39">
        <f t="shared" si="13"/>
        <v>158000</v>
      </c>
      <c r="W315" s="40" t="str">
        <f t="shared" si="14"/>
        <v>물.자</v>
      </c>
    </row>
    <row r="316" spans="1:23" ht="34.700000000000003" customHeight="1" x14ac:dyDescent="0.3">
      <c r="A316" s="9" t="s">
        <v>2901</v>
      </c>
      <c r="B316" s="10" t="s">
        <v>1375</v>
      </c>
      <c r="C316" s="10" t="s">
        <v>2902</v>
      </c>
      <c r="D316" s="9" t="s">
        <v>1010</v>
      </c>
      <c r="E316" s="33">
        <v>0</v>
      </c>
      <c r="F316" s="9"/>
      <c r="G316" s="33">
        <v>258800</v>
      </c>
      <c r="H316" s="9" t="s">
        <v>3313</v>
      </c>
      <c r="I316" s="33">
        <v>258800</v>
      </c>
      <c r="J316" s="9" t="s">
        <v>3314</v>
      </c>
      <c r="K316" s="33">
        <v>0</v>
      </c>
      <c r="L316" s="9"/>
      <c r="M316" s="33">
        <v>0</v>
      </c>
      <c r="N316" s="9"/>
      <c r="O316" s="33">
        <v>258800</v>
      </c>
      <c r="P316" s="22" t="s">
        <v>3188</v>
      </c>
      <c r="Q316" s="15"/>
      <c r="R316" s="17" t="s">
        <v>2903</v>
      </c>
      <c r="S316" s="3" t="str">
        <f ca="1">HYPERLINK("#"&amp;재료비목록표!G2&amp;"!A"&amp;ROW(재료비목록표!A315),"자재312 →")</f>
        <v>자재312 →</v>
      </c>
      <c r="T316" s="36">
        <v>258800</v>
      </c>
      <c r="U316" s="38">
        <f t="shared" si="12"/>
        <v>2</v>
      </c>
      <c r="V316" s="39">
        <f t="shared" si="13"/>
        <v>258800</v>
      </c>
      <c r="W316" s="40" t="str">
        <f t="shared" si="14"/>
        <v>물.자</v>
      </c>
    </row>
    <row r="317" spans="1:23" ht="34.700000000000003" customHeight="1" x14ac:dyDescent="0.3">
      <c r="A317" s="9" t="s">
        <v>2904</v>
      </c>
      <c r="B317" s="10" t="s">
        <v>1375</v>
      </c>
      <c r="C317" s="10" t="s">
        <v>2905</v>
      </c>
      <c r="D317" s="9" t="s">
        <v>1010</v>
      </c>
      <c r="E317" s="33">
        <v>0</v>
      </c>
      <c r="F317" s="9"/>
      <c r="G317" s="33">
        <v>98000</v>
      </c>
      <c r="H317" s="9" t="s">
        <v>3313</v>
      </c>
      <c r="I317" s="33">
        <v>98000</v>
      </c>
      <c r="J317" s="9" t="s">
        <v>3314</v>
      </c>
      <c r="K317" s="33">
        <v>0</v>
      </c>
      <c r="L317" s="9"/>
      <c r="M317" s="33">
        <v>0</v>
      </c>
      <c r="N317" s="9"/>
      <c r="O317" s="33">
        <v>98000</v>
      </c>
      <c r="P317" s="22" t="s">
        <v>3188</v>
      </c>
      <c r="Q317" s="15"/>
      <c r="R317" s="17" t="s">
        <v>2906</v>
      </c>
      <c r="S317" s="3" t="str">
        <f ca="1">HYPERLINK("#"&amp;재료비목록표!G2&amp;"!A"&amp;ROW(재료비목록표!A316),"자재313 →")</f>
        <v>자재313 →</v>
      </c>
      <c r="T317" s="36">
        <v>98000</v>
      </c>
      <c r="U317" s="38">
        <f t="shared" si="12"/>
        <v>2</v>
      </c>
      <c r="V317" s="39">
        <f t="shared" si="13"/>
        <v>98000</v>
      </c>
      <c r="W317" s="40" t="str">
        <f t="shared" si="14"/>
        <v>물.자</v>
      </c>
    </row>
    <row r="318" spans="1:23" ht="34.700000000000003" customHeight="1" x14ac:dyDescent="0.3">
      <c r="A318" s="9" t="s">
        <v>2907</v>
      </c>
      <c r="B318" s="10" t="s">
        <v>1156</v>
      </c>
      <c r="C318" s="10" t="s">
        <v>2908</v>
      </c>
      <c r="D318" s="9" t="s">
        <v>1010</v>
      </c>
      <c r="E318" s="33">
        <v>0</v>
      </c>
      <c r="F318" s="9"/>
      <c r="G318" s="33">
        <v>0</v>
      </c>
      <c r="H318" s="9"/>
      <c r="I318" s="33">
        <v>109000</v>
      </c>
      <c r="J318" s="9" t="s">
        <v>3315</v>
      </c>
      <c r="K318" s="33">
        <v>0</v>
      </c>
      <c r="L318" s="9"/>
      <c r="M318" s="33">
        <v>0</v>
      </c>
      <c r="N318" s="9"/>
      <c r="O318" s="33">
        <v>109000</v>
      </c>
      <c r="P318" s="22" t="s">
        <v>3189</v>
      </c>
      <c r="Q318" s="15"/>
      <c r="R318" s="17" t="s">
        <v>2909</v>
      </c>
      <c r="S318" s="3" t="str">
        <f ca="1">HYPERLINK("#"&amp;재료비목록표!G2&amp;"!A"&amp;ROW(재료비목록표!A317),"자재314 →")</f>
        <v>자재314 →</v>
      </c>
      <c r="T318" s="36">
        <v>109000</v>
      </c>
      <c r="U318" s="38">
        <f t="shared" si="12"/>
        <v>3</v>
      </c>
      <c r="V318" s="39">
        <f t="shared" si="13"/>
        <v>109000</v>
      </c>
      <c r="W318" s="40" t="str">
        <f t="shared" si="14"/>
        <v>물.정</v>
      </c>
    </row>
    <row r="319" spans="1:23" ht="34.700000000000003" customHeight="1" x14ac:dyDescent="0.3">
      <c r="A319" s="9" t="s">
        <v>2910</v>
      </c>
      <c r="B319" s="10" t="s">
        <v>1156</v>
      </c>
      <c r="C319" s="10" t="s">
        <v>2911</v>
      </c>
      <c r="D319" s="9" t="s">
        <v>1010</v>
      </c>
      <c r="E319" s="33">
        <v>0</v>
      </c>
      <c r="F319" s="9"/>
      <c r="G319" s="33">
        <v>0</v>
      </c>
      <c r="H319" s="9"/>
      <c r="I319" s="33">
        <v>151200</v>
      </c>
      <c r="J319" s="9" t="s">
        <v>3315</v>
      </c>
      <c r="K319" s="33">
        <v>0</v>
      </c>
      <c r="L319" s="9"/>
      <c r="M319" s="33">
        <v>0</v>
      </c>
      <c r="N319" s="9"/>
      <c r="O319" s="33">
        <v>151200</v>
      </c>
      <c r="P319" s="22" t="s">
        <v>3189</v>
      </c>
      <c r="Q319" s="15"/>
      <c r="R319" s="17" t="s">
        <v>2912</v>
      </c>
      <c r="S319" s="3" t="str">
        <f ca="1">HYPERLINK("#"&amp;재료비목록표!G2&amp;"!A"&amp;ROW(재료비목록표!A318),"자재315 →")</f>
        <v>자재315 →</v>
      </c>
      <c r="T319" s="36">
        <v>151200</v>
      </c>
      <c r="U319" s="38">
        <f t="shared" si="12"/>
        <v>3</v>
      </c>
      <c r="V319" s="39">
        <f t="shared" si="13"/>
        <v>151200</v>
      </c>
      <c r="W319" s="40" t="str">
        <f t="shared" si="14"/>
        <v>물.정</v>
      </c>
    </row>
    <row r="320" spans="1:23" ht="34.700000000000003" customHeight="1" x14ac:dyDescent="0.3">
      <c r="A320" s="9" t="s">
        <v>2913</v>
      </c>
      <c r="B320" s="10" t="s">
        <v>2914</v>
      </c>
      <c r="C320" s="10" t="s">
        <v>2915</v>
      </c>
      <c r="D320" s="9" t="s">
        <v>2279</v>
      </c>
      <c r="E320" s="33">
        <v>0</v>
      </c>
      <c r="F320" s="9"/>
      <c r="G320" s="33">
        <v>22000</v>
      </c>
      <c r="H320" s="9" t="s">
        <v>3316</v>
      </c>
      <c r="I320" s="33">
        <v>0</v>
      </c>
      <c r="J320" s="9"/>
      <c r="K320" s="33">
        <v>0</v>
      </c>
      <c r="L320" s="9"/>
      <c r="M320" s="33">
        <v>0</v>
      </c>
      <c r="N320" s="9"/>
      <c r="O320" s="33">
        <v>22000</v>
      </c>
      <c r="P320" s="22" t="s">
        <v>3188</v>
      </c>
      <c r="Q320" s="15"/>
      <c r="R320" s="17" t="s">
        <v>2916</v>
      </c>
      <c r="S320" s="3" t="str">
        <f ca="1">HYPERLINK("#"&amp;재료비목록표!G2&amp;"!A"&amp;ROW(재료비목록표!A319),"자재316 →")</f>
        <v>자재316 →</v>
      </c>
      <c r="T320" s="36">
        <v>22000</v>
      </c>
      <c r="U320" s="38">
        <f t="shared" si="12"/>
        <v>2</v>
      </c>
      <c r="V320" s="39">
        <f t="shared" si="13"/>
        <v>22000</v>
      </c>
      <c r="W320" s="40" t="str">
        <f t="shared" si="14"/>
        <v>물.자</v>
      </c>
    </row>
    <row r="321" spans="1:23" ht="34.700000000000003" customHeight="1" x14ac:dyDescent="0.3">
      <c r="A321" s="9" t="s">
        <v>2917</v>
      </c>
      <c r="B321" s="10" t="s">
        <v>2918</v>
      </c>
      <c r="C321" s="10" t="s">
        <v>2919</v>
      </c>
      <c r="D321" s="9" t="s">
        <v>2121</v>
      </c>
      <c r="E321" s="33">
        <v>0</v>
      </c>
      <c r="F321" s="9"/>
      <c r="G321" s="33">
        <v>0</v>
      </c>
      <c r="H321" s="9"/>
      <c r="I321" s="33">
        <v>8500</v>
      </c>
      <c r="J321" s="9" t="s">
        <v>3317</v>
      </c>
      <c r="K321" s="33">
        <v>0</v>
      </c>
      <c r="L321" s="9"/>
      <c r="M321" s="33">
        <v>7000</v>
      </c>
      <c r="N321" s="9" t="s">
        <v>3283</v>
      </c>
      <c r="O321" s="33">
        <v>7000</v>
      </c>
      <c r="P321" s="22" t="s">
        <v>3191</v>
      </c>
      <c r="Q321" s="15"/>
      <c r="R321" s="17" t="s">
        <v>2920</v>
      </c>
      <c r="S321" s="3" t="str">
        <f ca="1">HYPERLINK("#"&amp;재료비목록표!G2&amp;"!A"&amp;ROW(재료비목록표!A320),"자재317 →")</f>
        <v>자재317 →</v>
      </c>
      <c r="T321" s="36">
        <v>7000</v>
      </c>
      <c r="U321" s="38">
        <f t="shared" si="12"/>
        <v>5</v>
      </c>
      <c r="V321" s="39">
        <f t="shared" si="13"/>
        <v>7000</v>
      </c>
      <c r="W321" s="40" t="str">
        <f t="shared" si="14"/>
        <v>거래</v>
      </c>
    </row>
    <row r="322" spans="1:23" ht="34.700000000000003" customHeight="1" x14ac:dyDescent="0.3">
      <c r="A322" s="9" t="s">
        <v>2921</v>
      </c>
      <c r="B322" s="10" t="s">
        <v>2922</v>
      </c>
      <c r="C322" s="10" t="s">
        <v>2923</v>
      </c>
      <c r="D322" s="9" t="s">
        <v>1010</v>
      </c>
      <c r="E322" s="33">
        <v>0</v>
      </c>
      <c r="F322" s="9"/>
      <c r="G322" s="33">
        <v>0</v>
      </c>
      <c r="H322" s="9"/>
      <c r="I322" s="33">
        <v>0</v>
      </c>
      <c r="J322" s="9"/>
      <c r="K322" s="33">
        <v>0</v>
      </c>
      <c r="L322" s="9"/>
      <c r="M322" s="33">
        <v>459000</v>
      </c>
      <c r="N322" s="9" t="s">
        <v>3318</v>
      </c>
      <c r="O322" s="33">
        <v>459000</v>
      </c>
      <c r="P322" s="22" t="s">
        <v>3191</v>
      </c>
      <c r="Q322" s="15"/>
      <c r="R322" s="17" t="s">
        <v>2924</v>
      </c>
      <c r="S322" s="3" t="str">
        <f ca="1">HYPERLINK("#"&amp;재료비목록표!G2&amp;"!A"&amp;ROW(재료비목록표!A321),"자재318 →")</f>
        <v>자재318 →</v>
      </c>
      <c r="T322" s="36">
        <v>459000</v>
      </c>
      <c r="U322" s="38">
        <f t="shared" si="12"/>
        <v>5</v>
      </c>
      <c r="V322" s="39">
        <f t="shared" si="13"/>
        <v>459000</v>
      </c>
      <c r="W322" s="40" t="str">
        <f t="shared" si="14"/>
        <v>거래</v>
      </c>
    </row>
    <row r="323" spans="1:23" ht="34.700000000000003" customHeight="1" x14ac:dyDescent="0.3">
      <c r="A323" s="9" t="s">
        <v>2925</v>
      </c>
      <c r="B323" s="10" t="s">
        <v>2922</v>
      </c>
      <c r="C323" s="10" t="s">
        <v>2926</v>
      </c>
      <c r="D323" s="9" t="s">
        <v>1010</v>
      </c>
      <c r="E323" s="33">
        <v>0</v>
      </c>
      <c r="F323" s="9"/>
      <c r="G323" s="33">
        <v>0</v>
      </c>
      <c r="H323" s="9"/>
      <c r="I323" s="33">
        <v>0</v>
      </c>
      <c r="J323" s="9"/>
      <c r="K323" s="33">
        <v>0</v>
      </c>
      <c r="L323" s="9"/>
      <c r="M323" s="33">
        <v>574000</v>
      </c>
      <c r="N323" s="9" t="s">
        <v>3318</v>
      </c>
      <c r="O323" s="33">
        <v>574000</v>
      </c>
      <c r="P323" s="22" t="s">
        <v>3191</v>
      </c>
      <c r="Q323" s="15"/>
      <c r="R323" s="17" t="s">
        <v>2927</v>
      </c>
      <c r="S323" s="3" t="str">
        <f ca="1">HYPERLINK("#"&amp;재료비목록표!G2&amp;"!A"&amp;ROW(재료비목록표!A322),"자재319 →")</f>
        <v>자재319 →</v>
      </c>
      <c r="T323" s="36">
        <v>574000</v>
      </c>
      <c r="U323" s="38">
        <f t="shared" si="12"/>
        <v>5</v>
      </c>
      <c r="V323" s="39">
        <f t="shared" si="13"/>
        <v>574000</v>
      </c>
      <c r="W323" s="40" t="str">
        <f t="shared" si="14"/>
        <v>거래</v>
      </c>
    </row>
    <row r="324" spans="1:23" ht="34.700000000000003" customHeight="1" x14ac:dyDescent="0.3">
      <c r="A324" s="9" t="s">
        <v>2928</v>
      </c>
      <c r="B324" s="10" t="s">
        <v>2922</v>
      </c>
      <c r="C324" s="10" t="s">
        <v>2929</v>
      </c>
      <c r="D324" s="9" t="s">
        <v>1010</v>
      </c>
      <c r="E324" s="33">
        <v>0</v>
      </c>
      <c r="F324" s="9"/>
      <c r="G324" s="33">
        <v>0</v>
      </c>
      <c r="H324" s="9"/>
      <c r="I324" s="33">
        <v>0</v>
      </c>
      <c r="J324" s="9"/>
      <c r="K324" s="33">
        <v>0</v>
      </c>
      <c r="L324" s="9"/>
      <c r="M324" s="33">
        <v>688000</v>
      </c>
      <c r="N324" s="9" t="s">
        <v>3318</v>
      </c>
      <c r="O324" s="33">
        <v>688000</v>
      </c>
      <c r="P324" s="22" t="s">
        <v>3191</v>
      </c>
      <c r="Q324" s="15"/>
      <c r="R324" s="17" t="s">
        <v>2930</v>
      </c>
      <c r="S324" s="3" t="str">
        <f ca="1">HYPERLINK("#"&amp;재료비목록표!G2&amp;"!A"&amp;ROW(재료비목록표!A323),"자재320 →")</f>
        <v>자재320 →</v>
      </c>
      <c r="T324" s="36">
        <v>688000</v>
      </c>
      <c r="U324" s="38">
        <f t="shared" si="12"/>
        <v>5</v>
      </c>
      <c r="V324" s="39">
        <f t="shared" si="13"/>
        <v>688000</v>
      </c>
      <c r="W324" s="40" t="str">
        <f t="shared" si="14"/>
        <v>거래</v>
      </c>
    </row>
    <row r="325" spans="1:23" ht="34.700000000000003" customHeight="1" x14ac:dyDescent="0.3">
      <c r="A325" s="9" t="s">
        <v>2931</v>
      </c>
      <c r="B325" s="10" t="s">
        <v>2922</v>
      </c>
      <c r="C325" s="10" t="s">
        <v>2932</v>
      </c>
      <c r="D325" s="9" t="s">
        <v>1010</v>
      </c>
      <c r="E325" s="33">
        <v>0</v>
      </c>
      <c r="F325" s="9"/>
      <c r="G325" s="33">
        <v>0</v>
      </c>
      <c r="H325" s="9"/>
      <c r="I325" s="33">
        <v>0</v>
      </c>
      <c r="J325" s="9"/>
      <c r="K325" s="33">
        <v>0</v>
      </c>
      <c r="L325" s="9"/>
      <c r="M325" s="33">
        <v>704000</v>
      </c>
      <c r="N325" s="9" t="s">
        <v>3318</v>
      </c>
      <c r="O325" s="33">
        <v>704000</v>
      </c>
      <c r="P325" s="22" t="s">
        <v>3191</v>
      </c>
      <c r="Q325" s="15"/>
      <c r="R325" s="17" t="s">
        <v>2933</v>
      </c>
      <c r="S325" s="3" t="str">
        <f ca="1">HYPERLINK("#"&amp;재료비목록표!G2&amp;"!A"&amp;ROW(재료비목록표!A324),"자재321 →")</f>
        <v>자재321 →</v>
      </c>
      <c r="T325" s="36">
        <v>704000</v>
      </c>
      <c r="U325" s="38">
        <f t="shared" ref="U325:U371" si="15">IF(OR(V325=0,ISERROR(MATCH(V325,E325:M325,0))),"",CHOOSE(TRUNC((MATCH(V325,E325:M325,0)/2+1)),1,2,3,4,5))</f>
        <v>5</v>
      </c>
      <c r="V325" s="39">
        <f t="shared" ref="V325:V371" si="16">IF(AND(E325=0,G325=0,I325=0,K325=0,M325=0),T325,MIN(IF(E325=0,MAX(E325:M325),E325),IF(G325=0,MAX(E325:M325),G325),IF(I325=0,MAX(E325:M325),I325),IF(K325=0,MAX(E325:M325),K325),IF(M325=0,MAX(E325:M325),M325)))</f>
        <v>704000</v>
      </c>
      <c r="W325" s="40" t="str">
        <f t="shared" ref="W325:W371" si="17">IF(OR(O325=0,U325=""),"",CHOOSE(U325,Y$5,Y$6,Y$7,Y$8,Y$9))</f>
        <v>거래</v>
      </c>
    </row>
    <row r="326" spans="1:23" ht="34.700000000000003" customHeight="1" x14ac:dyDescent="0.3">
      <c r="A326" s="9" t="s">
        <v>2934</v>
      </c>
      <c r="B326" s="10" t="s">
        <v>2922</v>
      </c>
      <c r="C326" s="10" t="s">
        <v>2935</v>
      </c>
      <c r="D326" s="9" t="s">
        <v>1010</v>
      </c>
      <c r="E326" s="33">
        <v>0</v>
      </c>
      <c r="F326" s="9"/>
      <c r="G326" s="33">
        <v>0</v>
      </c>
      <c r="H326" s="9"/>
      <c r="I326" s="33">
        <v>0</v>
      </c>
      <c r="J326" s="9"/>
      <c r="K326" s="33">
        <v>0</v>
      </c>
      <c r="L326" s="9"/>
      <c r="M326" s="33">
        <v>873000</v>
      </c>
      <c r="N326" s="9" t="s">
        <v>3318</v>
      </c>
      <c r="O326" s="33">
        <v>873000</v>
      </c>
      <c r="P326" s="22" t="s">
        <v>3191</v>
      </c>
      <c r="Q326" s="15"/>
      <c r="R326" s="17" t="s">
        <v>2936</v>
      </c>
      <c r="S326" s="3" t="str">
        <f ca="1">HYPERLINK("#"&amp;재료비목록표!G2&amp;"!A"&amp;ROW(재료비목록표!A325),"자재322 →")</f>
        <v>자재322 →</v>
      </c>
      <c r="T326" s="36">
        <v>873000</v>
      </c>
      <c r="U326" s="38">
        <f t="shared" si="15"/>
        <v>5</v>
      </c>
      <c r="V326" s="39">
        <f t="shared" si="16"/>
        <v>873000</v>
      </c>
      <c r="W326" s="40" t="str">
        <f t="shared" si="17"/>
        <v>거래</v>
      </c>
    </row>
    <row r="327" spans="1:23" ht="34.700000000000003" customHeight="1" x14ac:dyDescent="0.3">
      <c r="A327" s="9" t="s">
        <v>2937</v>
      </c>
      <c r="B327" s="10" t="s">
        <v>2922</v>
      </c>
      <c r="C327" s="10" t="s">
        <v>2938</v>
      </c>
      <c r="D327" s="9" t="s">
        <v>1010</v>
      </c>
      <c r="E327" s="33">
        <v>0</v>
      </c>
      <c r="F327" s="9"/>
      <c r="G327" s="33">
        <v>0</v>
      </c>
      <c r="H327" s="9"/>
      <c r="I327" s="33">
        <v>0</v>
      </c>
      <c r="J327" s="9"/>
      <c r="K327" s="33">
        <v>0</v>
      </c>
      <c r="L327" s="9"/>
      <c r="M327" s="33">
        <v>1042000</v>
      </c>
      <c r="N327" s="9" t="s">
        <v>3318</v>
      </c>
      <c r="O327" s="33">
        <v>1042000</v>
      </c>
      <c r="P327" s="22" t="s">
        <v>3191</v>
      </c>
      <c r="Q327" s="15"/>
      <c r="R327" s="17" t="s">
        <v>2939</v>
      </c>
      <c r="S327" s="3" t="str">
        <f ca="1">HYPERLINK("#"&amp;재료비목록표!G2&amp;"!A"&amp;ROW(재료비목록표!A326),"자재323 →")</f>
        <v>자재323 →</v>
      </c>
      <c r="T327" s="36">
        <v>1042000</v>
      </c>
      <c r="U327" s="38">
        <f t="shared" si="15"/>
        <v>5</v>
      </c>
      <c r="V327" s="39">
        <f t="shared" si="16"/>
        <v>1042000</v>
      </c>
      <c r="W327" s="40" t="str">
        <f t="shared" si="17"/>
        <v>거래</v>
      </c>
    </row>
    <row r="328" spans="1:23" ht="34.700000000000003" customHeight="1" x14ac:dyDescent="0.3">
      <c r="A328" s="9" t="s">
        <v>2940</v>
      </c>
      <c r="B328" s="10" t="s">
        <v>2922</v>
      </c>
      <c r="C328" s="10" t="s">
        <v>2941</v>
      </c>
      <c r="D328" s="9" t="s">
        <v>1010</v>
      </c>
      <c r="E328" s="33">
        <v>0</v>
      </c>
      <c r="F328" s="9"/>
      <c r="G328" s="33">
        <v>0</v>
      </c>
      <c r="H328" s="9"/>
      <c r="I328" s="33">
        <v>0</v>
      </c>
      <c r="J328" s="9"/>
      <c r="K328" s="33">
        <v>0</v>
      </c>
      <c r="L328" s="9"/>
      <c r="M328" s="33">
        <v>1002000</v>
      </c>
      <c r="N328" s="9" t="s">
        <v>3318</v>
      </c>
      <c r="O328" s="33">
        <v>1002000</v>
      </c>
      <c r="P328" s="22" t="s">
        <v>3191</v>
      </c>
      <c r="Q328" s="15"/>
      <c r="R328" s="17" t="s">
        <v>2942</v>
      </c>
      <c r="S328" s="3" t="str">
        <f ca="1">HYPERLINK("#"&amp;재료비목록표!G2&amp;"!A"&amp;ROW(재료비목록표!A327),"자재324 →")</f>
        <v>자재324 →</v>
      </c>
      <c r="T328" s="36">
        <v>1002000</v>
      </c>
      <c r="U328" s="38">
        <f t="shared" si="15"/>
        <v>5</v>
      </c>
      <c r="V328" s="39">
        <f t="shared" si="16"/>
        <v>1002000</v>
      </c>
      <c r="W328" s="40" t="str">
        <f t="shared" si="17"/>
        <v>거래</v>
      </c>
    </row>
    <row r="329" spans="1:23" ht="34.700000000000003" customHeight="1" x14ac:dyDescent="0.3">
      <c r="A329" s="9" t="s">
        <v>2943</v>
      </c>
      <c r="B329" s="10" t="s">
        <v>2922</v>
      </c>
      <c r="C329" s="10" t="s">
        <v>2944</v>
      </c>
      <c r="D329" s="9" t="s">
        <v>1010</v>
      </c>
      <c r="E329" s="33">
        <v>0</v>
      </c>
      <c r="F329" s="9"/>
      <c r="G329" s="33">
        <v>0</v>
      </c>
      <c r="H329" s="9"/>
      <c r="I329" s="33">
        <v>0</v>
      </c>
      <c r="J329" s="9"/>
      <c r="K329" s="33">
        <v>0</v>
      </c>
      <c r="L329" s="9"/>
      <c r="M329" s="33">
        <v>1315000</v>
      </c>
      <c r="N329" s="9" t="s">
        <v>3318</v>
      </c>
      <c r="O329" s="33">
        <v>1315000</v>
      </c>
      <c r="P329" s="22" t="s">
        <v>3191</v>
      </c>
      <c r="Q329" s="15"/>
      <c r="R329" s="17" t="s">
        <v>2945</v>
      </c>
      <c r="S329" s="3" t="str">
        <f ca="1">HYPERLINK("#"&amp;재료비목록표!G2&amp;"!A"&amp;ROW(재료비목록표!A328),"자재325 →")</f>
        <v>자재325 →</v>
      </c>
      <c r="T329" s="36">
        <v>1315000</v>
      </c>
      <c r="U329" s="38">
        <f t="shared" si="15"/>
        <v>5</v>
      </c>
      <c r="V329" s="39">
        <f t="shared" si="16"/>
        <v>1315000</v>
      </c>
      <c r="W329" s="40" t="str">
        <f t="shared" si="17"/>
        <v>거래</v>
      </c>
    </row>
    <row r="330" spans="1:23" ht="34.700000000000003" customHeight="1" x14ac:dyDescent="0.3">
      <c r="A330" s="9" t="s">
        <v>2946</v>
      </c>
      <c r="B330" s="10" t="s">
        <v>2922</v>
      </c>
      <c r="C330" s="10" t="s">
        <v>2947</v>
      </c>
      <c r="D330" s="9" t="s">
        <v>1010</v>
      </c>
      <c r="E330" s="33">
        <v>0</v>
      </c>
      <c r="F330" s="9"/>
      <c r="G330" s="33">
        <v>0</v>
      </c>
      <c r="H330" s="9"/>
      <c r="I330" s="33">
        <v>0</v>
      </c>
      <c r="J330" s="9"/>
      <c r="K330" s="33">
        <v>0</v>
      </c>
      <c r="L330" s="9"/>
      <c r="M330" s="33">
        <v>1627000</v>
      </c>
      <c r="N330" s="9" t="s">
        <v>3212</v>
      </c>
      <c r="O330" s="33">
        <v>1627000</v>
      </c>
      <c r="P330" s="22" t="s">
        <v>3191</v>
      </c>
      <c r="Q330" s="15"/>
      <c r="R330" s="17" t="s">
        <v>2948</v>
      </c>
      <c r="S330" s="3" t="str">
        <f ca="1">HYPERLINK("#"&amp;재료비목록표!G2&amp;"!A"&amp;ROW(재료비목록표!A329),"자재326 →")</f>
        <v>자재326 →</v>
      </c>
      <c r="T330" s="36">
        <v>1627000</v>
      </c>
      <c r="U330" s="38">
        <f t="shared" si="15"/>
        <v>5</v>
      </c>
      <c r="V330" s="39">
        <f t="shared" si="16"/>
        <v>1627000</v>
      </c>
      <c r="W330" s="40" t="str">
        <f t="shared" si="17"/>
        <v>거래</v>
      </c>
    </row>
    <row r="331" spans="1:23" ht="34.700000000000003" customHeight="1" x14ac:dyDescent="0.3">
      <c r="A331" s="9" t="s">
        <v>2949</v>
      </c>
      <c r="B331" s="10" t="s">
        <v>2922</v>
      </c>
      <c r="C331" s="10" t="s">
        <v>2950</v>
      </c>
      <c r="D331" s="9" t="s">
        <v>1010</v>
      </c>
      <c r="E331" s="33">
        <v>0</v>
      </c>
      <c r="F331" s="9"/>
      <c r="G331" s="33">
        <v>0</v>
      </c>
      <c r="H331" s="9"/>
      <c r="I331" s="33">
        <v>0</v>
      </c>
      <c r="J331" s="9"/>
      <c r="K331" s="33">
        <v>0</v>
      </c>
      <c r="L331" s="9"/>
      <c r="M331" s="33">
        <v>1340000</v>
      </c>
      <c r="N331" s="9" t="s">
        <v>3212</v>
      </c>
      <c r="O331" s="33">
        <v>1340000</v>
      </c>
      <c r="P331" s="22" t="s">
        <v>3191</v>
      </c>
      <c r="Q331" s="15"/>
      <c r="R331" s="17" t="s">
        <v>2951</v>
      </c>
      <c r="S331" s="3" t="str">
        <f ca="1">HYPERLINK("#"&amp;재료비목록표!G2&amp;"!A"&amp;ROW(재료비목록표!A330),"자재327 →")</f>
        <v>자재327 →</v>
      </c>
      <c r="T331" s="36">
        <v>1340000</v>
      </c>
      <c r="U331" s="38">
        <f t="shared" si="15"/>
        <v>5</v>
      </c>
      <c r="V331" s="39">
        <f t="shared" si="16"/>
        <v>1340000</v>
      </c>
      <c r="W331" s="40" t="str">
        <f t="shared" si="17"/>
        <v>거래</v>
      </c>
    </row>
    <row r="332" spans="1:23" ht="34.700000000000003" customHeight="1" x14ac:dyDescent="0.3">
      <c r="A332" s="9" t="s">
        <v>2952</v>
      </c>
      <c r="B332" s="10" t="s">
        <v>2922</v>
      </c>
      <c r="C332" s="10" t="s">
        <v>2953</v>
      </c>
      <c r="D332" s="9" t="s">
        <v>1010</v>
      </c>
      <c r="E332" s="33">
        <v>0</v>
      </c>
      <c r="F332" s="9"/>
      <c r="G332" s="33">
        <v>0</v>
      </c>
      <c r="H332" s="9"/>
      <c r="I332" s="33">
        <v>0</v>
      </c>
      <c r="J332" s="9"/>
      <c r="K332" s="33">
        <v>0</v>
      </c>
      <c r="L332" s="9"/>
      <c r="M332" s="33">
        <v>1710000</v>
      </c>
      <c r="N332" s="9" t="s">
        <v>3212</v>
      </c>
      <c r="O332" s="33">
        <v>1710000</v>
      </c>
      <c r="P332" s="22" t="s">
        <v>3191</v>
      </c>
      <c r="Q332" s="15"/>
      <c r="R332" s="17" t="s">
        <v>2954</v>
      </c>
      <c r="S332" s="3" t="str">
        <f ca="1">HYPERLINK("#"&amp;재료비목록표!G2&amp;"!A"&amp;ROW(재료비목록표!A331),"자재328 →")</f>
        <v>자재328 →</v>
      </c>
      <c r="T332" s="36">
        <v>1710000</v>
      </c>
      <c r="U332" s="38">
        <f t="shared" si="15"/>
        <v>5</v>
      </c>
      <c r="V332" s="39">
        <f t="shared" si="16"/>
        <v>1710000</v>
      </c>
      <c r="W332" s="40" t="str">
        <f t="shared" si="17"/>
        <v>거래</v>
      </c>
    </row>
    <row r="333" spans="1:23" ht="34.700000000000003" customHeight="1" x14ac:dyDescent="0.3">
      <c r="A333" s="9" t="s">
        <v>2955</v>
      </c>
      <c r="B333" s="10" t="s">
        <v>2922</v>
      </c>
      <c r="C333" s="10" t="s">
        <v>2956</v>
      </c>
      <c r="D333" s="9" t="s">
        <v>1010</v>
      </c>
      <c r="E333" s="33">
        <v>0</v>
      </c>
      <c r="F333" s="9"/>
      <c r="G333" s="33">
        <v>0</v>
      </c>
      <c r="H333" s="9"/>
      <c r="I333" s="33">
        <v>0</v>
      </c>
      <c r="J333" s="9"/>
      <c r="K333" s="33">
        <v>0</v>
      </c>
      <c r="L333" s="9"/>
      <c r="M333" s="33">
        <v>2078000</v>
      </c>
      <c r="N333" s="9" t="s">
        <v>3212</v>
      </c>
      <c r="O333" s="33">
        <v>2078000</v>
      </c>
      <c r="P333" s="22" t="s">
        <v>3191</v>
      </c>
      <c r="Q333" s="15"/>
      <c r="R333" s="17" t="s">
        <v>2957</v>
      </c>
      <c r="S333" s="3" t="str">
        <f ca="1">HYPERLINK("#"&amp;재료비목록표!G2&amp;"!A"&amp;ROW(재료비목록표!A332),"자재329 →")</f>
        <v>자재329 →</v>
      </c>
      <c r="T333" s="36">
        <v>2078000</v>
      </c>
      <c r="U333" s="38">
        <f t="shared" si="15"/>
        <v>5</v>
      </c>
      <c r="V333" s="39">
        <f t="shared" si="16"/>
        <v>2078000</v>
      </c>
      <c r="W333" s="40" t="str">
        <f t="shared" si="17"/>
        <v>거래</v>
      </c>
    </row>
    <row r="334" spans="1:23" ht="34.700000000000003" customHeight="1" x14ac:dyDescent="0.3">
      <c r="A334" s="9" t="s">
        <v>2958</v>
      </c>
      <c r="B334" s="10" t="s">
        <v>2922</v>
      </c>
      <c r="C334" s="10" t="s">
        <v>2959</v>
      </c>
      <c r="D334" s="9" t="s">
        <v>1010</v>
      </c>
      <c r="E334" s="33">
        <v>0</v>
      </c>
      <c r="F334" s="9"/>
      <c r="G334" s="33">
        <v>0</v>
      </c>
      <c r="H334" s="9"/>
      <c r="I334" s="33">
        <v>0</v>
      </c>
      <c r="J334" s="9"/>
      <c r="K334" s="33">
        <v>0</v>
      </c>
      <c r="L334" s="9"/>
      <c r="M334" s="33">
        <v>1678000</v>
      </c>
      <c r="N334" s="9" t="s">
        <v>3212</v>
      </c>
      <c r="O334" s="33">
        <v>1678000</v>
      </c>
      <c r="P334" s="22" t="s">
        <v>3191</v>
      </c>
      <c r="Q334" s="15"/>
      <c r="R334" s="17" t="s">
        <v>2960</v>
      </c>
      <c r="S334" s="3" t="str">
        <f ca="1">HYPERLINK("#"&amp;재료비목록표!G2&amp;"!A"&amp;ROW(재료비목록표!A333),"자재330 →")</f>
        <v>자재330 →</v>
      </c>
      <c r="T334" s="36">
        <v>1678000</v>
      </c>
      <c r="U334" s="38">
        <f t="shared" si="15"/>
        <v>5</v>
      </c>
      <c r="V334" s="39">
        <f t="shared" si="16"/>
        <v>1678000</v>
      </c>
      <c r="W334" s="40" t="str">
        <f t="shared" si="17"/>
        <v>거래</v>
      </c>
    </row>
    <row r="335" spans="1:23" ht="34.700000000000003" customHeight="1" x14ac:dyDescent="0.3">
      <c r="A335" s="9" t="s">
        <v>2961</v>
      </c>
      <c r="B335" s="10" t="s">
        <v>2922</v>
      </c>
      <c r="C335" s="10" t="s">
        <v>2962</v>
      </c>
      <c r="D335" s="9" t="s">
        <v>1010</v>
      </c>
      <c r="E335" s="33">
        <v>0</v>
      </c>
      <c r="F335" s="9"/>
      <c r="G335" s="33">
        <v>0</v>
      </c>
      <c r="H335" s="9"/>
      <c r="I335" s="33">
        <v>0</v>
      </c>
      <c r="J335" s="9"/>
      <c r="K335" s="33">
        <v>0</v>
      </c>
      <c r="L335" s="9"/>
      <c r="M335" s="33">
        <v>2122000</v>
      </c>
      <c r="N335" s="9" t="s">
        <v>3212</v>
      </c>
      <c r="O335" s="33">
        <v>2122000</v>
      </c>
      <c r="P335" s="22" t="s">
        <v>3191</v>
      </c>
      <c r="Q335" s="15"/>
      <c r="R335" s="17" t="s">
        <v>2963</v>
      </c>
      <c r="S335" s="3" t="str">
        <f ca="1">HYPERLINK("#"&amp;재료비목록표!G2&amp;"!A"&amp;ROW(재료비목록표!A334),"자재331 →")</f>
        <v>자재331 →</v>
      </c>
      <c r="T335" s="36">
        <v>2122000</v>
      </c>
      <c r="U335" s="38">
        <f t="shared" si="15"/>
        <v>5</v>
      </c>
      <c r="V335" s="39">
        <f t="shared" si="16"/>
        <v>2122000</v>
      </c>
      <c r="W335" s="40" t="str">
        <f t="shared" si="17"/>
        <v>거래</v>
      </c>
    </row>
    <row r="336" spans="1:23" ht="34.700000000000003" customHeight="1" x14ac:dyDescent="0.3">
      <c r="A336" s="9" t="s">
        <v>2964</v>
      </c>
      <c r="B336" s="10" t="s">
        <v>2922</v>
      </c>
      <c r="C336" s="10" t="s">
        <v>2965</v>
      </c>
      <c r="D336" s="9" t="s">
        <v>1010</v>
      </c>
      <c r="E336" s="33">
        <v>0</v>
      </c>
      <c r="F336" s="9"/>
      <c r="G336" s="33">
        <v>0</v>
      </c>
      <c r="H336" s="9"/>
      <c r="I336" s="33">
        <v>0</v>
      </c>
      <c r="J336" s="9"/>
      <c r="K336" s="33">
        <v>0</v>
      </c>
      <c r="L336" s="9"/>
      <c r="M336" s="33">
        <v>2565000</v>
      </c>
      <c r="N336" s="9" t="s">
        <v>3212</v>
      </c>
      <c r="O336" s="33">
        <v>2565000</v>
      </c>
      <c r="P336" s="22" t="s">
        <v>3191</v>
      </c>
      <c r="Q336" s="15"/>
      <c r="R336" s="17" t="s">
        <v>2966</v>
      </c>
      <c r="S336" s="3" t="str">
        <f ca="1">HYPERLINK("#"&amp;재료비목록표!G2&amp;"!A"&amp;ROW(재료비목록표!A335),"자재332 →")</f>
        <v>자재332 →</v>
      </c>
      <c r="T336" s="36">
        <v>2565000</v>
      </c>
      <c r="U336" s="38">
        <f t="shared" si="15"/>
        <v>5</v>
      </c>
      <c r="V336" s="39">
        <f t="shared" si="16"/>
        <v>2565000</v>
      </c>
      <c r="W336" s="40" t="str">
        <f t="shared" si="17"/>
        <v>거래</v>
      </c>
    </row>
    <row r="337" spans="1:23" ht="34.700000000000003" customHeight="1" x14ac:dyDescent="0.3">
      <c r="A337" s="9" t="s">
        <v>2967</v>
      </c>
      <c r="B337" s="10" t="s">
        <v>2968</v>
      </c>
      <c r="C337" s="10" t="s">
        <v>2969</v>
      </c>
      <c r="D337" s="9" t="s">
        <v>1010</v>
      </c>
      <c r="E337" s="33">
        <v>0</v>
      </c>
      <c r="F337" s="9"/>
      <c r="G337" s="33">
        <v>58190</v>
      </c>
      <c r="H337" s="9" t="s">
        <v>3319</v>
      </c>
      <c r="I337" s="33">
        <v>46320</v>
      </c>
      <c r="J337" s="9" t="s">
        <v>3320</v>
      </c>
      <c r="K337" s="33">
        <v>0</v>
      </c>
      <c r="L337" s="9"/>
      <c r="M337" s="33">
        <v>66920</v>
      </c>
      <c r="N337" s="9" t="s">
        <v>3321</v>
      </c>
      <c r="O337" s="33">
        <v>46320</v>
      </c>
      <c r="P337" s="22" t="s">
        <v>3189</v>
      </c>
      <c r="Q337" s="15"/>
      <c r="R337" s="17" t="s">
        <v>2970</v>
      </c>
      <c r="S337" s="3" t="str">
        <f ca="1">HYPERLINK("#"&amp;재료비목록표!G2&amp;"!A"&amp;ROW(재료비목록표!A336),"자재333 →")</f>
        <v>자재333 →</v>
      </c>
      <c r="T337" s="36">
        <v>46320</v>
      </c>
      <c r="U337" s="38">
        <f t="shared" si="15"/>
        <v>3</v>
      </c>
      <c r="V337" s="39">
        <f t="shared" si="16"/>
        <v>46320</v>
      </c>
      <c r="W337" s="40" t="str">
        <f t="shared" si="17"/>
        <v>물.정</v>
      </c>
    </row>
    <row r="338" spans="1:23" ht="34.700000000000003" customHeight="1" x14ac:dyDescent="0.3">
      <c r="A338" s="9" t="s">
        <v>2971</v>
      </c>
      <c r="B338" s="10" t="s">
        <v>2968</v>
      </c>
      <c r="C338" s="10" t="s">
        <v>2972</v>
      </c>
      <c r="D338" s="9" t="s">
        <v>1010</v>
      </c>
      <c r="E338" s="33">
        <v>0</v>
      </c>
      <c r="F338" s="9"/>
      <c r="G338" s="33">
        <v>123950</v>
      </c>
      <c r="H338" s="9" t="s">
        <v>3319</v>
      </c>
      <c r="I338" s="33">
        <v>98580</v>
      </c>
      <c r="J338" s="9" t="s">
        <v>3320</v>
      </c>
      <c r="K338" s="33">
        <v>0</v>
      </c>
      <c r="L338" s="9"/>
      <c r="M338" s="33">
        <v>142540</v>
      </c>
      <c r="N338" s="9" t="s">
        <v>3321</v>
      </c>
      <c r="O338" s="33">
        <v>98580</v>
      </c>
      <c r="P338" s="22" t="s">
        <v>3189</v>
      </c>
      <c r="Q338" s="15"/>
      <c r="R338" s="17" t="s">
        <v>2973</v>
      </c>
      <c r="S338" s="3" t="str">
        <f ca="1">HYPERLINK("#"&amp;재료비목록표!G2&amp;"!A"&amp;ROW(재료비목록표!A337),"자재334 →")</f>
        <v>자재334 →</v>
      </c>
      <c r="T338" s="36">
        <v>98580</v>
      </c>
      <c r="U338" s="38">
        <f t="shared" si="15"/>
        <v>3</v>
      </c>
      <c r="V338" s="39">
        <f t="shared" si="16"/>
        <v>98580</v>
      </c>
      <c r="W338" s="40" t="str">
        <f t="shared" si="17"/>
        <v>물.정</v>
      </c>
    </row>
    <row r="339" spans="1:23" ht="34.700000000000003" customHeight="1" x14ac:dyDescent="0.3">
      <c r="A339" s="9" t="s">
        <v>2974</v>
      </c>
      <c r="B339" s="10" t="s">
        <v>2968</v>
      </c>
      <c r="C339" s="10" t="s">
        <v>2975</v>
      </c>
      <c r="D339" s="9" t="s">
        <v>1010</v>
      </c>
      <c r="E339" s="33">
        <v>0</v>
      </c>
      <c r="F339" s="9"/>
      <c r="G339" s="33">
        <v>180500</v>
      </c>
      <c r="H339" s="9" t="s">
        <v>3319</v>
      </c>
      <c r="I339" s="33">
        <v>143400</v>
      </c>
      <c r="J339" s="9" t="s">
        <v>3320</v>
      </c>
      <c r="K339" s="33">
        <v>0</v>
      </c>
      <c r="L339" s="9"/>
      <c r="M339" s="33">
        <v>207580</v>
      </c>
      <c r="N339" s="9" t="s">
        <v>3321</v>
      </c>
      <c r="O339" s="33">
        <v>143400</v>
      </c>
      <c r="P339" s="22" t="s">
        <v>3189</v>
      </c>
      <c r="Q339" s="15"/>
      <c r="R339" s="17" t="s">
        <v>2976</v>
      </c>
      <c r="S339" s="3" t="str">
        <f ca="1">HYPERLINK("#"&amp;재료비목록표!G2&amp;"!A"&amp;ROW(재료비목록표!A338),"자재335 →")</f>
        <v>자재335 →</v>
      </c>
      <c r="T339" s="36">
        <v>143400</v>
      </c>
      <c r="U339" s="38">
        <f t="shared" si="15"/>
        <v>3</v>
      </c>
      <c r="V339" s="39">
        <f t="shared" si="16"/>
        <v>143400</v>
      </c>
      <c r="W339" s="40" t="str">
        <f t="shared" si="17"/>
        <v>물.정</v>
      </c>
    </row>
    <row r="340" spans="1:23" ht="34.700000000000003" customHeight="1" x14ac:dyDescent="0.3">
      <c r="A340" s="9" t="s">
        <v>2977</v>
      </c>
      <c r="B340" s="10" t="s">
        <v>2978</v>
      </c>
      <c r="C340" s="10" t="s">
        <v>2969</v>
      </c>
      <c r="D340" s="9" t="s">
        <v>1010</v>
      </c>
      <c r="E340" s="33">
        <v>0</v>
      </c>
      <c r="F340" s="9"/>
      <c r="G340" s="33">
        <v>37320</v>
      </c>
      <c r="H340" s="9" t="s">
        <v>3319</v>
      </c>
      <c r="I340" s="33">
        <v>29700</v>
      </c>
      <c r="J340" s="9" t="s">
        <v>3320</v>
      </c>
      <c r="K340" s="33">
        <v>0</v>
      </c>
      <c r="L340" s="9"/>
      <c r="M340" s="33">
        <v>42920</v>
      </c>
      <c r="N340" s="9" t="s">
        <v>3321</v>
      </c>
      <c r="O340" s="33">
        <v>29700</v>
      </c>
      <c r="P340" s="22" t="s">
        <v>3189</v>
      </c>
      <c r="Q340" s="15"/>
      <c r="R340" s="17" t="s">
        <v>2979</v>
      </c>
      <c r="S340" s="3" t="str">
        <f ca="1">HYPERLINK("#"&amp;재료비목록표!G2&amp;"!A"&amp;ROW(재료비목록표!A339),"자재336 →")</f>
        <v>자재336 →</v>
      </c>
      <c r="T340" s="36">
        <v>29700</v>
      </c>
      <c r="U340" s="38">
        <f t="shared" si="15"/>
        <v>3</v>
      </c>
      <c r="V340" s="39">
        <f t="shared" si="16"/>
        <v>29700</v>
      </c>
      <c r="W340" s="40" t="str">
        <f t="shared" si="17"/>
        <v>물.정</v>
      </c>
    </row>
    <row r="341" spans="1:23" ht="34.700000000000003" customHeight="1" x14ac:dyDescent="0.3">
      <c r="A341" s="9" t="s">
        <v>2980</v>
      </c>
      <c r="B341" s="10" t="s">
        <v>2978</v>
      </c>
      <c r="C341" s="10" t="s">
        <v>2972</v>
      </c>
      <c r="D341" s="9" t="s">
        <v>1010</v>
      </c>
      <c r="E341" s="33">
        <v>0</v>
      </c>
      <c r="F341" s="9"/>
      <c r="G341" s="33">
        <v>70900</v>
      </c>
      <c r="H341" s="9" t="s">
        <v>3319</v>
      </c>
      <c r="I341" s="33">
        <v>56400</v>
      </c>
      <c r="J341" s="9" t="s">
        <v>3320</v>
      </c>
      <c r="K341" s="33">
        <v>0</v>
      </c>
      <c r="L341" s="9"/>
      <c r="M341" s="33">
        <v>81540</v>
      </c>
      <c r="N341" s="9" t="s">
        <v>3321</v>
      </c>
      <c r="O341" s="33">
        <v>56400</v>
      </c>
      <c r="P341" s="22" t="s">
        <v>3189</v>
      </c>
      <c r="Q341" s="15"/>
      <c r="R341" s="17" t="s">
        <v>2981</v>
      </c>
      <c r="S341" s="3" t="str">
        <f ca="1">HYPERLINK("#"&amp;재료비목록표!G2&amp;"!A"&amp;ROW(재료비목록표!A340),"자재337 →")</f>
        <v>자재337 →</v>
      </c>
      <c r="T341" s="36">
        <v>56400</v>
      </c>
      <c r="U341" s="38">
        <f t="shared" si="15"/>
        <v>3</v>
      </c>
      <c r="V341" s="39">
        <f t="shared" si="16"/>
        <v>56400</v>
      </c>
      <c r="W341" s="40" t="str">
        <f t="shared" si="17"/>
        <v>물.정</v>
      </c>
    </row>
    <row r="342" spans="1:23" ht="34.700000000000003" customHeight="1" x14ac:dyDescent="0.3">
      <c r="A342" s="9" t="s">
        <v>2982</v>
      </c>
      <c r="B342" s="10" t="s">
        <v>2978</v>
      </c>
      <c r="C342" s="10" t="s">
        <v>2975</v>
      </c>
      <c r="D342" s="9" t="s">
        <v>1010</v>
      </c>
      <c r="E342" s="33">
        <v>0</v>
      </c>
      <c r="F342" s="9"/>
      <c r="G342" s="33">
        <v>94330</v>
      </c>
      <c r="H342" s="9" t="s">
        <v>3319</v>
      </c>
      <c r="I342" s="33">
        <v>75000</v>
      </c>
      <c r="J342" s="9" t="s">
        <v>3320</v>
      </c>
      <c r="K342" s="33">
        <v>0</v>
      </c>
      <c r="L342" s="9"/>
      <c r="M342" s="33">
        <v>108480</v>
      </c>
      <c r="N342" s="9" t="s">
        <v>3321</v>
      </c>
      <c r="O342" s="33">
        <v>75000</v>
      </c>
      <c r="P342" s="22" t="s">
        <v>3189</v>
      </c>
      <c r="Q342" s="15"/>
      <c r="R342" s="17" t="s">
        <v>2983</v>
      </c>
      <c r="S342" s="3" t="str">
        <f ca="1">HYPERLINK("#"&amp;재료비목록표!G2&amp;"!A"&amp;ROW(재료비목록표!A341),"자재338 →")</f>
        <v>자재338 →</v>
      </c>
      <c r="T342" s="36">
        <v>75000</v>
      </c>
      <c r="U342" s="38">
        <f t="shared" si="15"/>
        <v>3</v>
      </c>
      <c r="V342" s="39">
        <f t="shared" si="16"/>
        <v>75000</v>
      </c>
      <c r="W342" s="40" t="str">
        <f t="shared" si="17"/>
        <v>물.정</v>
      </c>
    </row>
    <row r="343" spans="1:23" ht="34.700000000000003" customHeight="1" x14ac:dyDescent="0.3">
      <c r="A343" s="9" t="s">
        <v>2984</v>
      </c>
      <c r="B343" s="10" t="s">
        <v>2985</v>
      </c>
      <c r="C343" s="10" t="s">
        <v>2986</v>
      </c>
      <c r="D343" s="9" t="s">
        <v>1010</v>
      </c>
      <c r="E343" s="33">
        <v>0</v>
      </c>
      <c r="F343" s="9"/>
      <c r="G343" s="33">
        <v>0</v>
      </c>
      <c r="H343" s="9"/>
      <c r="I343" s="33">
        <v>400000</v>
      </c>
      <c r="J343" s="9" t="s">
        <v>3226</v>
      </c>
      <c r="K343" s="33">
        <v>0</v>
      </c>
      <c r="L343" s="9"/>
      <c r="M343" s="33">
        <v>491000</v>
      </c>
      <c r="N343" s="9" t="s">
        <v>3212</v>
      </c>
      <c r="O343" s="33">
        <v>400000</v>
      </c>
      <c r="P343" s="22" t="s">
        <v>3189</v>
      </c>
      <c r="Q343" s="15"/>
      <c r="R343" s="17" t="s">
        <v>2987</v>
      </c>
      <c r="S343" s="3" t="str">
        <f ca="1">HYPERLINK("#"&amp;재료비목록표!G2&amp;"!A"&amp;ROW(재료비목록표!A342),"자재339 →")</f>
        <v>자재339 →</v>
      </c>
      <c r="T343" s="36">
        <v>400000</v>
      </c>
      <c r="U343" s="38">
        <f t="shared" si="15"/>
        <v>3</v>
      </c>
      <c r="V343" s="39">
        <f t="shared" si="16"/>
        <v>400000</v>
      </c>
      <c r="W343" s="40" t="str">
        <f t="shared" si="17"/>
        <v>물.정</v>
      </c>
    </row>
    <row r="344" spans="1:23" ht="34.700000000000003" customHeight="1" x14ac:dyDescent="0.3">
      <c r="A344" s="9" t="s">
        <v>2988</v>
      </c>
      <c r="B344" s="10" t="s">
        <v>2985</v>
      </c>
      <c r="C344" s="10" t="s">
        <v>2989</v>
      </c>
      <c r="D344" s="9" t="s">
        <v>1010</v>
      </c>
      <c r="E344" s="33">
        <v>0</v>
      </c>
      <c r="F344" s="9"/>
      <c r="G344" s="33">
        <v>0</v>
      </c>
      <c r="H344" s="9"/>
      <c r="I344" s="33">
        <v>700000</v>
      </c>
      <c r="J344" s="9" t="s">
        <v>3226</v>
      </c>
      <c r="K344" s="33">
        <v>0</v>
      </c>
      <c r="L344" s="9"/>
      <c r="M344" s="33">
        <v>924000</v>
      </c>
      <c r="N344" s="9" t="s">
        <v>3212</v>
      </c>
      <c r="O344" s="33">
        <v>700000</v>
      </c>
      <c r="P344" s="22" t="s">
        <v>3189</v>
      </c>
      <c r="Q344" s="15"/>
      <c r="R344" s="17" t="s">
        <v>2990</v>
      </c>
      <c r="S344" s="3" t="str">
        <f ca="1">HYPERLINK("#"&amp;재료비목록표!G2&amp;"!A"&amp;ROW(재료비목록표!A343),"자재340 →")</f>
        <v>자재340 →</v>
      </c>
      <c r="T344" s="36">
        <v>700000</v>
      </c>
      <c r="U344" s="38">
        <f t="shared" si="15"/>
        <v>3</v>
      </c>
      <c r="V344" s="39">
        <f t="shared" si="16"/>
        <v>700000</v>
      </c>
      <c r="W344" s="40" t="str">
        <f t="shared" si="17"/>
        <v>물.정</v>
      </c>
    </row>
    <row r="345" spans="1:23" ht="34.700000000000003" customHeight="1" x14ac:dyDescent="0.3">
      <c r="A345" s="9" t="s">
        <v>2991</v>
      </c>
      <c r="B345" s="10" t="s">
        <v>2985</v>
      </c>
      <c r="C345" s="10" t="s">
        <v>2992</v>
      </c>
      <c r="D345" s="9" t="s">
        <v>1010</v>
      </c>
      <c r="E345" s="33">
        <v>0</v>
      </c>
      <c r="F345" s="9"/>
      <c r="G345" s="33">
        <v>0</v>
      </c>
      <c r="H345" s="9"/>
      <c r="I345" s="33">
        <v>1000000</v>
      </c>
      <c r="J345" s="9" t="s">
        <v>3226</v>
      </c>
      <c r="K345" s="33">
        <v>0</v>
      </c>
      <c r="L345" s="9"/>
      <c r="M345" s="33">
        <v>1350000</v>
      </c>
      <c r="N345" s="9" t="s">
        <v>3212</v>
      </c>
      <c r="O345" s="33">
        <v>1000000</v>
      </c>
      <c r="P345" s="22" t="s">
        <v>3189</v>
      </c>
      <c r="Q345" s="15"/>
      <c r="R345" s="17" t="s">
        <v>2993</v>
      </c>
      <c r="S345" s="3" t="str">
        <f ca="1">HYPERLINK("#"&amp;재료비목록표!G2&amp;"!A"&amp;ROW(재료비목록표!A344),"자재341 →")</f>
        <v>자재341 →</v>
      </c>
      <c r="T345" s="36">
        <v>1000000</v>
      </c>
      <c r="U345" s="38">
        <f t="shared" si="15"/>
        <v>3</v>
      </c>
      <c r="V345" s="39">
        <f t="shared" si="16"/>
        <v>1000000</v>
      </c>
      <c r="W345" s="40" t="str">
        <f t="shared" si="17"/>
        <v>물.정</v>
      </c>
    </row>
    <row r="346" spans="1:23" ht="34.700000000000003" customHeight="1" x14ac:dyDescent="0.3">
      <c r="A346" s="9" t="s">
        <v>2994</v>
      </c>
      <c r="B346" s="10" t="s">
        <v>2985</v>
      </c>
      <c r="C346" s="10" t="s">
        <v>2995</v>
      </c>
      <c r="D346" s="9" t="s">
        <v>1010</v>
      </c>
      <c r="E346" s="33">
        <v>0</v>
      </c>
      <c r="F346" s="9"/>
      <c r="G346" s="33">
        <v>0</v>
      </c>
      <c r="H346" s="9"/>
      <c r="I346" s="33">
        <v>1600000</v>
      </c>
      <c r="J346" s="9" t="s">
        <v>3226</v>
      </c>
      <c r="K346" s="33">
        <v>0</v>
      </c>
      <c r="L346" s="9"/>
      <c r="M346" s="33">
        <v>2163000</v>
      </c>
      <c r="N346" s="9" t="s">
        <v>3212</v>
      </c>
      <c r="O346" s="33">
        <v>1600000</v>
      </c>
      <c r="P346" s="22" t="s">
        <v>3189</v>
      </c>
      <c r="Q346" s="15"/>
      <c r="R346" s="17" t="s">
        <v>2996</v>
      </c>
      <c r="S346" s="3" t="str">
        <f ca="1">HYPERLINK("#"&amp;재료비목록표!G2&amp;"!A"&amp;ROW(재료비목록표!A345),"자재342 →")</f>
        <v>자재342 →</v>
      </c>
      <c r="T346" s="36">
        <v>1600000</v>
      </c>
      <c r="U346" s="38">
        <f t="shared" si="15"/>
        <v>3</v>
      </c>
      <c r="V346" s="39">
        <f t="shared" si="16"/>
        <v>1600000</v>
      </c>
      <c r="W346" s="40" t="str">
        <f t="shared" si="17"/>
        <v>물.정</v>
      </c>
    </row>
    <row r="347" spans="1:23" ht="34.700000000000003" customHeight="1" x14ac:dyDescent="0.3">
      <c r="A347" s="9" t="s">
        <v>2997</v>
      </c>
      <c r="B347" s="10" t="s">
        <v>2985</v>
      </c>
      <c r="C347" s="10" t="s">
        <v>2998</v>
      </c>
      <c r="D347" s="9" t="s">
        <v>1010</v>
      </c>
      <c r="E347" s="33">
        <v>0</v>
      </c>
      <c r="F347" s="9"/>
      <c r="G347" s="33">
        <v>0</v>
      </c>
      <c r="H347" s="9"/>
      <c r="I347" s="33">
        <v>2200000</v>
      </c>
      <c r="J347" s="9" t="s">
        <v>3226</v>
      </c>
      <c r="K347" s="33">
        <v>0</v>
      </c>
      <c r="L347" s="9"/>
      <c r="M347" s="33">
        <v>3048000</v>
      </c>
      <c r="N347" s="9" t="s">
        <v>3212</v>
      </c>
      <c r="O347" s="33">
        <v>2200000</v>
      </c>
      <c r="P347" s="22" t="s">
        <v>3189</v>
      </c>
      <c r="Q347" s="15"/>
      <c r="R347" s="17" t="s">
        <v>2999</v>
      </c>
      <c r="S347" s="3" t="str">
        <f ca="1">HYPERLINK("#"&amp;재료비목록표!G2&amp;"!A"&amp;ROW(재료비목록표!A346),"자재343 →")</f>
        <v>자재343 →</v>
      </c>
      <c r="T347" s="36">
        <v>2200000</v>
      </c>
      <c r="U347" s="38">
        <f t="shared" si="15"/>
        <v>3</v>
      </c>
      <c r="V347" s="39">
        <f t="shared" si="16"/>
        <v>2200000</v>
      </c>
      <c r="W347" s="40" t="str">
        <f t="shared" si="17"/>
        <v>물.정</v>
      </c>
    </row>
    <row r="348" spans="1:23" ht="34.700000000000003" customHeight="1" x14ac:dyDescent="0.3">
      <c r="A348" s="9" t="s">
        <v>3000</v>
      </c>
      <c r="B348" s="10" t="s">
        <v>2985</v>
      </c>
      <c r="C348" s="10" t="s">
        <v>3001</v>
      </c>
      <c r="D348" s="9" t="s">
        <v>1010</v>
      </c>
      <c r="E348" s="33">
        <v>0</v>
      </c>
      <c r="F348" s="9"/>
      <c r="G348" s="33">
        <v>0</v>
      </c>
      <c r="H348" s="9"/>
      <c r="I348" s="33">
        <v>250000</v>
      </c>
      <c r="J348" s="9" t="s">
        <v>3226</v>
      </c>
      <c r="K348" s="33">
        <v>0</v>
      </c>
      <c r="L348" s="9"/>
      <c r="M348" s="33">
        <v>216000</v>
      </c>
      <c r="N348" s="9" t="s">
        <v>3212</v>
      </c>
      <c r="O348" s="33">
        <v>216000</v>
      </c>
      <c r="P348" s="22" t="s">
        <v>3191</v>
      </c>
      <c r="Q348" s="15"/>
      <c r="R348" s="17" t="s">
        <v>3002</v>
      </c>
      <c r="S348" s="3" t="str">
        <f ca="1">HYPERLINK("#"&amp;재료비목록표!G2&amp;"!A"&amp;ROW(재료비목록표!A347),"자재344 →")</f>
        <v>자재344 →</v>
      </c>
      <c r="T348" s="36">
        <v>216000</v>
      </c>
      <c r="U348" s="38">
        <f t="shared" si="15"/>
        <v>5</v>
      </c>
      <c r="V348" s="39">
        <f t="shared" si="16"/>
        <v>216000</v>
      </c>
      <c r="W348" s="40" t="str">
        <f t="shared" si="17"/>
        <v>거래</v>
      </c>
    </row>
    <row r="349" spans="1:23" ht="34.700000000000003" customHeight="1" x14ac:dyDescent="0.3">
      <c r="A349" s="9" t="s">
        <v>3003</v>
      </c>
      <c r="B349" s="10" t="s">
        <v>2985</v>
      </c>
      <c r="C349" s="10" t="s">
        <v>3004</v>
      </c>
      <c r="D349" s="9" t="s">
        <v>1010</v>
      </c>
      <c r="E349" s="33">
        <v>0</v>
      </c>
      <c r="F349" s="9"/>
      <c r="G349" s="33">
        <v>0</v>
      </c>
      <c r="H349" s="9"/>
      <c r="I349" s="33">
        <v>350000</v>
      </c>
      <c r="J349" s="9" t="s">
        <v>3226</v>
      </c>
      <c r="K349" s="33">
        <v>0</v>
      </c>
      <c r="L349" s="9"/>
      <c r="M349" s="33">
        <v>435000</v>
      </c>
      <c r="N349" s="9" t="s">
        <v>3212</v>
      </c>
      <c r="O349" s="33">
        <v>350000</v>
      </c>
      <c r="P349" s="22" t="s">
        <v>3189</v>
      </c>
      <c r="Q349" s="15"/>
      <c r="R349" s="17" t="s">
        <v>3005</v>
      </c>
      <c r="S349" s="3" t="str">
        <f ca="1">HYPERLINK("#"&amp;재료비목록표!G2&amp;"!A"&amp;ROW(재료비목록표!A348),"자재345 →")</f>
        <v>자재345 →</v>
      </c>
      <c r="T349" s="36">
        <v>350000</v>
      </c>
      <c r="U349" s="38">
        <f t="shared" si="15"/>
        <v>3</v>
      </c>
      <c r="V349" s="39">
        <f t="shared" si="16"/>
        <v>350000</v>
      </c>
      <c r="W349" s="40" t="str">
        <f t="shared" si="17"/>
        <v>물.정</v>
      </c>
    </row>
    <row r="350" spans="1:23" ht="34.700000000000003" customHeight="1" x14ac:dyDescent="0.3">
      <c r="A350" s="9" t="s">
        <v>3006</v>
      </c>
      <c r="B350" s="10" t="s">
        <v>3007</v>
      </c>
      <c r="C350" s="10" t="s">
        <v>2986</v>
      </c>
      <c r="D350" s="9" t="s">
        <v>1010</v>
      </c>
      <c r="E350" s="33">
        <v>0</v>
      </c>
      <c r="F350" s="9"/>
      <c r="G350" s="33">
        <v>0</v>
      </c>
      <c r="H350" s="9"/>
      <c r="I350" s="33">
        <v>1300000</v>
      </c>
      <c r="J350" s="9" t="s">
        <v>3226</v>
      </c>
      <c r="K350" s="33">
        <v>0</v>
      </c>
      <c r="L350" s="9"/>
      <c r="M350" s="33">
        <v>1472000</v>
      </c>
      <c r="N350" s="9" t="s">
        <v>3212</v>
      </c>
      <c r="O350" s="33">
        <v>1300000</v>
      </c>
      <c r="P350" s="22" t="s">
        <v>3189</v>
      </c>
      <c r="Q350" s="15"/>
      <c r="R350" s="17" t="s">
        <v>3008</v>
      </c>
      <c r="S350" s="3" t="str">
        <f ca="1">HYPERLINK("#"&amp;재료비목록표!G2&amp;"!A"&amp;ROW(재료비목록표!A349),"자재346 →")</f>
        <v>자재346 →</v>
      </c>
      <c r="T350" s="36">
        <v>1300000</v>
      </c>
      <c r="U350" s="38">
        <f t="shared" si="15"/>
        <v>3</v>
      </c>
      <c r="V350" s="39">
        <f t="shared" si="16"/>
        <v>1300000</v>
      </c>
      <c r="W350" s="40" t="str">
        <f t="shared" si="17"/>
        <v>물.정</v>
      </c>
    </row>
    <row r="351" spans="1:23" ht="34.700000000000003" customHeight="1" x14ac:dyDescent="0.3">
      <c r="A351" s="9" t="s">
        <v>3009</v>
      </c>
      <c r="B351" s="10" t="s">
        <v>3007</v>
      </c>
      <c r="C351" s="10" t="s">
        <v>2989</v>
      </c>
      <c r="D351" s="9" t="s">
        <v>1010</v>
      </c>
      <c r="E351" s="33">
        <v>0</v>
      </c>
      <c r="F351" s="9"/>
      <c r="G351" s="33">
        <v>0</v>
      </c>
      <c r="H351" s="9"/>
      <c r="I351" s="33">
        <v>1800000</v>
      </c>
      <c r="J351" s="9" t="s">
        <v>3226</v>
      </c>
      <c r="K351" s="33">
        <v>0</v>
      </c>
      <c r="L351" s="9"/>
      <c r="M351" s="33">
        <v>2217000</v>
      </c>
      <c r="N351" s="9" t="s">
        <v>3212</v>
      </c>
      <c r="O351" s="33">
        <v>1800000</v>
      </c>
      <c r="P351" s="22" t="s">
        <v>3189</v>
      </c>
      <c r="Q351" s="15"/>
      <c r="R351" s="17" t="s">
        <v>3010</v>
      </c>
      <c r="S351" s="3" t="str">
        <f ca="1">HYPERLINK("#"&amp;재료비목록표!G2&amp;"!A"&amp;ROW(재료비목록표!A350),"자재347 →")</f>
        <v>자재347 →</v>
      </c>
      <c r="T351" s="36">
        <v>1800000</v>
      </c>
      <c r="U351" s="38">
        <f t="shared" si="15"/>
        <v>3</v>
      </c>
      <c r="V351" s="39">
        <f t="shared" si="16"/>
        <v>1800000</v>
      </c>
      <c r="W351" s="40" t="str">
        <f t="shared" si="17"/>
        <v>물.정</v>
      </c>
    </row>
    <row r="352" spans="1:23" ht="34.700000000000003" customHeight="1" x14ac:dyDescent="0.3">
      <c r="A352" s="9" t="s">
        <v>3011</v>
      </c>
      <c r="B352" s="10" t="s">
        <v>3007</v>
      </c>
      <c r="C352" s="10" t="s">
        <v>2992</v>
      </c>
      <c r="D352" s="9" t="s">
        <v>1010</v>
      </c>
      <c r="E352" s="33">
        <v>0</v>
      </c>
      <c r="F352" s="9"/>
      <c r="G352" s="33">
        <v>0</v>
      </c>
      <c r="H352" s="9"/>
      <c r="I352" s="33">
        <v>2300000</v>
      </c>
      <c r="J352" s="9" t="s">
        <v>3226</v>
      </c>
      <c r="K352" s="33">
        <v>0</v>
      </c>
      <c r="L352" s="9"/>
      <c r="M352" s="33">
        <v>2825000</v>
      </c>
      <c r="N352" s="9" t="s">
        <v>3212</v>
      </c>
      <c r="O352" s="33">
        <v>2300000</v>
      </c>
      <c r="P352" s="22" t="s">
        <v>3189</v>
      </c>
      <c r="Q352" s="15"/>
      <c r="R352" s="17" t="s">
        <v>3012</v>
      </c>
      <c r="S352" s="3" t="str">
        <f ca="1">HYPERLINK("#"&amp;재료비목록표!G2&amp;"!A"&amp;ROW(재료비목록표!A351),"자재348 →")</f>
        <v>자재348 →</v>
      </c>
      <c r="T352" s="36">
        <v>2300000</v>
      </c>
      <c r="U352" s="38">
        <f t="shared" si="15"/>
        <v>3</v>
      </c>
      <c r="V352" s="39">
        <f t="shared" si="16"/>
        <v>2300000</v>
      </c>
      <c r="W352" s="40" t="str">
        <f t="shared" si="17"/>
        <v>물.정</v>
      </c>
    </row>
    <row r="353" spans="1:23" ht="34.700000000000003" customHeight="1" x14ac:dyDescent="0.3">
      <c r="A353" s="9" t="s">
        <v>3013</v>
      </c>
      <c r="B353" s="10" t="s">
        <v>3007</v>
      </c>
      <c r="C353" s="10" t="s">
        <v>2995</v>
      </c>
      <c r="D353" s="9" t="s">
        <v>1010</v>
      </c>
      <c r="E353" s="33">
        <v>0</v>
      </c>
      <c r="F353" s="9"/>
      <c r="G353" s="33">
        <v>0</v>
      </c>
      <c r="H353" s="9"/>
      <c r="I353" s="33">
        <v>3500000</v>
      </c>
      <c r="J353" s="9" t="s">
        <v>3226</v>
      </c>
      <c r="K353" s="33">
        <v>0</v>
      </c>
      <c r="L353" s="9"/>
      <c r="M353" s="33">
        <v>3966000</v>
      </c>
      <c r="N353" s="9" t="s">
        <v>3212</v>
      </c>
      <c r="O353" s="33">
        <v>3500000</v>
      </c>
      <c r="P353" s="22" t="s">
        <v>3189</v>
      </c>
      <c r="Q353" s="15"/>
      <c r="R353" s="17" t="s">
        <v>3014</v>
      </c>
      <c r="S353" s="3" t="str">
        <f ca="1">HYPERLINK("#"&amp;재료비목록표!G2&amp;"!A"&amp;ROW(재료비목록표!A352),"자재349 →")</f>
        <v>자재349 →</v>
      </c>
      <c r="T353" s="36">
        <v>3500000</v>
      </c>
      <c r="U353" s="38">
        <f t="shared" si="15"/>
        <v>3</v>
      </c>
      <c r="V353" s="39">
        <f t="shared" si="16"/>
        <v>3500000</v>
      </c>
      <c r="W353" s="40" t="str">
        <f t="shared" si="17"/>
        <v>물.정</v>
      </c>
    </row>
    <row r="354" spans="1:23" ht="34.700000000000003" customHeight="1" x14ac:dyDescent="0.3">
      <c r="A354" s="9" t="s">
        <v>3015</v>
      </c>
      <c r="B354" s="10" t="s">
        <v>3007</v>
      </c>
      <c r="C354" s="10" t="s">
        <v>2998</v>
      </c>
      <c r="D354" s="9" t="s">
        <v>1010</v>
      </c>
      <c r="E354" s="33">
        <v>0</v>
      </c>
      <c r="F354" s="9"/>
      <c r="G354" s="33">
        <v>0</v>
      </c>
      <c r="H354" s="9"/>
      <c r="I354" s="33">
        <v>5000000</v>
      </c>
      <c r="J354" s="9" t="s">
        <v>3226</v>
      </c>
      <c r="K354" s="33">
        <v>0</v>
      </c>
      <c r="L354" s="9"/>
      <c r="M354" s="33">
        <v>5945000</v>
      </c>
      <c r="N354" s="9" t="s">
        <v>3212</v>
      </c>
      <c r="O354" s="33">
        <v>5000000</v>
      </c>
      <c r="P354" s="22" t="s">
        <v>3189</v>
      </c>
      <c r="Q354" s="15"/>
      <c r="R354" s="17" t="s">
        <v>3016</v>
      </c>
      <c r="S354" s="3" t="str">
        <f ca="1">HYPERLINK("#"&amp;재료비목록표!G2&amp;"!A"&amp;ROW(재료비목록표!A353),"자재350 →")</f>
        <v>자재350 →</v>
      </c>
      <c r="T354" s="36">
        <v>5000000</v>
      </c>
      <c r="U354" s="38">
        <f t="shared" si="15"/>
        <v>3</v>
      </c>
      <c r="V354" s="39">
        <f t="shared" si="16"/>
        <v>5000000</v>
      </c>
      <c r="W354" s="40" t="str">
        <f t="shared" si="17"/>
        <v>물.정</v>
      </c>
    </row>
    <row r="355" spans="1:23" ht="34.700000000000003" customHeight="1" x14ac:dyDescent="0.3">
      <c r="A355" s="9" t="s">
        <v>3017</v>
      </c>
      <c r="B355" s="10" t="s">
        <v>3007</v>
      </c>
      <c r="C355" s="10" t="s">
        <v>3004</v>
      </c>
      <c r="D355" s="9" t="s">
        <v>1010</v>
      </c>
      <c r="E355" s="33">
        <v>0</v>
      </c>
      <c r="F355" s="9"/>
      <c r="G355" s="33">
        <v>0</v>
      </c>
      <c r="H355" s="9"/>
      <c r="I355" s="33">
        <v>1000000</v>
      </c>
      <c r="J355" s="9" t="s">
        <v>3226</v>
      </c>
      <c r="K355" s="33">
        <v>0</v>
      </c>
      <c r="L355" s="9"/>
      <c r="M355" s="33">
        <v>1128000</v>
      </c>
      <c r="N355" s="9" t="s">
        <v>3212</v>
      </c>
      <c r="O355" s="33">
        <v>1000000</v>
      </c>
      <c r="P355" s="22" t="s">
        <v>3189</v>
      </c>
      <c r="Q355" s="15"/>
      <c r="R355" s="17" t="s">
        <v>3018</v>
      </c>
      <c r="S355" s="3" t="str">
        <f ca="1">HYPERLINK("#"&amp;재료비목록표!G2&amp;"!A"&amp;ROW(재료비목록표!A354),"자재351 →")</f>
        <v>자재351 →</v>
      </c>
      <c r="T355" s="36">
        <v>1000000</v>
      </c>
      <c r="U355" s="38">
        <f t="shared" si="15"/>
        <v>3</v>
      </c>
      <c r="V355" s="39">
        <f t="shared" si="16"/>
        <v>1000000</v>
      </c>
      <c r="W355" s="40" t="str">
        <f t="shared" si="17"/>
        <v>물.정</v>
      </c>
    </row>
    <row r="356" spans="1:23" ht="34.700000000000003" customHeight="1" x14ac:dyDescent="0.3">
      <c r="A356" s="9" t="s">
        <v>3019</v>
      </c>
      <c r="B356" s="10" t="s">
        <v>3020</v>
      </c>
      <c r="C356" s="10" t="s">
        <v>1641</v>
      </c>
      <c r="D356" s="9" t="s">
        <v>3021</v>
      </c>
      <c r="E356" s="33">
        <v>0</v>
      </c>
      <c r="F356" s="9"/>
      <c r="G356" s="33">
        <v>0</v>
      </c>
      <c r="H356" s="9"/>
      <c r="I356" s="33">
        <v>0</v>
      </c>
      <c r="J356" s="9"/>
      <c r="K356" s="33">
        <v>2228000</v>
      </c>
      <c r="L356" s="9" t="s">
        <v>3236</v>
      </c>
      <c r="M356" s="33">
        <v>0</v>
      </c>
      <c r="N356" s="9"/>
      <c r="O356" s="33">
        <v>2228000</v>
      </c>
      <c r="P356" s="22" t="s">
        <v>3190</v>
      </c>
      <c r="Q356" s="15"/>
      <c r="R356" s="17" t="s">
        <v>3022</v>
      </c>
      <c r="S356" s="3" t="str">
        <f ca="1">HYPERLINK("#"&amp;재료비목록표!G2&amp;"!A"&amp;ROW(재료비목록표!A355),"자재352 →")</f>
        <v>자재352 →</v>
      </c>
      <c r="T356" s="36">
        <v>2228000</v>
      </c>
      <c r="U356" s="38">
        <f t="shared" si="15"/>
        <v>4</v>
      </c>
      <c r="V356" s="39">
        <f t="shared" si="16"/>
        <v>2228000</v>
      </c>
      <c r="W356" s="40" t="str">
        <f t="shared" si="17"/>
        <v>견적 1</v>
      </c>
    </row>
    <row r="357" spans="1:23" ht="34.700000000000003" customHeight="1" x14ac:dyDescent="0.3">
      <c r="A357" s="9" t="s">
        <v>3023</v>
      </c>
      <c r="B357" s="10" t="s">
        <v>3024</v>
      </c>
      <c r="C357" s="10" t="s">
        <v>3025</v>
      </c>
      <c r="D357" s="9" t="s">
        <v>1676</v>
      </c>
      <c r="E357" s="33">
        <v>15283</v>
      </c>
      <c r="F357" s="9" t="s">
        <v>3197</v>
      </c>
      <c r="G357" s="33">
        <v>14750</v>
      </c>
      <c r="H357" s="9" t="s">
        <v>3322</v>
      </c>
      <c r="I357" s="33">
        <v>0</v>
      </c>
      <c r="J357" s="9"/>
      <c r="K357" s="33">
        <v>0</v>
      </c>
      <c r="L357" s="9"/>
      <c r="M357" s="33">
        <v>15184</v>
      </c>
      <c r="N357" s="9" t="s">
        <v>3323</v>
      </c>
      <c r="O357" s="33">
        <v>14750</v>
      </c>
      <c r="P357" s="22" t="s">
        <v>3188</v>
      </c>
      <c r="Q357" s="15" t="s">
        <v>3196</v>
      </c>
      <c r="R357" s="17" t="s">
        <v>3026</v>
      </c>
      <c r="S357" s="3" t="str">
        <f ca="1">HYPERLINK("#"&amp;재료비목록표!G2&amp;"!A"&amp;ROW(재료비목록표!A356),"자재353 →")</f>
        <v>자재353 →</v>
      </c>
      <c r="T357" s="36">
        <v>14750</v>
      </c>
      <c r="U357" s="38">
        <f t="shared" si="15"/>
        <v>2</v>
      </c>
      <c r="V357" s="39">
        <f t="shared" si="16"/>
        <v>14750</v>
      </c>
      <c r="W357" s="40" t="str">
        <f t="shared" si="17"/>
        <v>물.자</v>
      </c>
    </row>
    <row r="358" spans="1:23" ht="34.700000000000003" customHeight="1" x14ac:dyDescent="0.3">
      <c r="A358" s="9" t="s">
        <v>3027</v>
      </c>
      <c r="B358" s="10" t="s">
        <v>3028</v>
      </c>
      <c r="C358" s="10" t="s">
        <v>501</v>
      </c>
      <c r="D358" s="9" t="s">
        <v>14</v>
      </c>
      <c r="E358" s="33">
        <v>0</v>
      </c>
      <c r="F358" s="9"/>
      <c r="G358" s="33">
        <v>1906000</v>
      </c>
      <c r="H358" s="9" t="s">
        <v>3324</v>
      </c>
      <c r="I358" s="33">
        <v>1906000</v>
      </c>
      <c r="J358" s="9" t="s">
        <v>3325</v>
      </c>
      <c r="K358" s="33">
        <v>0</v>
      </c>
      <c r="L358" s="9"/>
      <c r="M358" s="33">
        <v>0</v>
      </c>
      <c r="N358" s="9"/>
      <c r="O358" s="33">
        <v>1906000</v>
      </c>
      <c r="P358" s="22" t="s">
        <v>3188</v>
      </c>
      <c r="Q358" s="15"/>
      <c r="R358" s="17" t="s">
        <v>3029</v>
      </c>
      <c r="S358" s="3" t="str">
        <f ca="1">HYPERLINK("#"&amp;재료비목록표!G2&amp;"!A"&amp;ROW(재료비목록표!A357),"자재354 →")</f>
        <v>자재354 →</v>
      </c>
      <c r="T358" s="36">
        <v>1906000</v>
      </c>
      <c r="U358" s="38">
        <f t="shared" si="15"/>
        <v>2</v>
      </c>
      <c r="V358" s="39">
        <f t="shared" si="16"/>
        <v>1906000</v>
      </c>
      <c r="W358" s="40" t="str">
        <f t="shared" si="17"/>
        <v>물.자</v>
      </c>
    </row>
    <row r="359" spans="1:23" ht="34.700000000000003" customHeight="1" x14ac:dyDescent="0.3">
      <c r="A359" s="9" t="s">
        <v>3030</v>
      </c>
      <c r="B359" s="10" t="s">
        <v>3028</v>
      </c>
      <c r="C359" s="10" t="s">
        <v>3031</v>
      </c>
      <c r="D359" s="9" t="s">
        <v>14</v>
      </c>
      <c r="E359" s="33">
        <v>0</v>
      </c>
      <c r="F359" s="9"/>
      <c r="G359" s="33">
        <v>2296000</v>
      </c>
      <c r="H359" s="9" t="s">
        <v>3324</v>
      </c>
      <c r="I359" s="33">
        <v>2296000</v>
      </c>
      <c r="J359" s="9" t="s">
        <v>3325</v>
      </c>
      <c r="K359" s="33">
        <v>0</v>
      </c>
      <c r="L359" s="9"/>
      <c r="M359" s="33">
        <v>0</v>
      </c>
      <c r="N359" s="9"/>
      <c r="O359" s="33">
        <v>2296000</v>
      </c>
      <c r="P359" s="22" t="s">
        <v>3188</v>
      </c>
      <c r="Q359" s="15"/>
      <c r="R359" s="17" t="s">
        <v>3032</v>
      </c>
      <c r="S359" s="3" t="str">
        <f ca="1">HYPERLINK("#"&amp;재료비목록표!G2&amp;"!A"&amp;ROW(재료비목록표!A358),"자재355 →")</f>
        <v>자재355 →</v>
      </c>
      <c r="T359" s="36">
        <v>2296000</v>
      </c>
      <c r="U359" s="38">
        <f t="shared" si="15"/>
        <v>2</v>
      </c>
      <c r="V359" s="39">
        <f t="shared" si="16"/>
        <v>2296000</v>
      </c>
      <c r="W359" s="40" t="str">
        <f t="shared" si="17"/>
        <v>물.자</v>
      </c>
    </row>
    <row r="360" spans="1:23" ht="34.700000000000003" customHeight="1" x14ac:dyDescent="0.3">
      <c r="A360" s="9" t="s">
        <v>3033</v>
      </c>
      <c r="B360" s="10" t="s">
        <v>3028</v>
      </c>
      <c r="C360" s="10" t="s">
        <v>3034</v>
      </c>
      <c r="D360" s="9" t="s">
        <v>14</v>
      </c>
      <c r="E360" s="33">
        <v>0</v>
      </c>
      <c r="F360" s="9"/>
      <c r="G360" s="33">
        <v>2512000</v>
      </c>
      <c r="H360" s="9" t="s">
        <v>3324</v>
      </c>
      <c r="I360" s="33">
        <v>2512000</v>
      </c>
      <c r="J360" s="9" t="s">
        <v>3325</v>
      </c>
      <c r="K360" s="33">
        <v>0</v>
      </c>
      <c r="L360" s="9"/>
      <c r="M360" s="33">
        <v>0</v>
      </c>
      <c r="N360" s="9"/>
      <c r="O360" s="33">
        <v>2512000</v>
      </c>
      <c r="P360" s="22" t="s">
        <v>3188</v>
      </c>
      <c r="Q360" s="15"/>
      <c r="R360" s="17" t="s">
        <v>3035</v>
      </c>
      <c r="S360" s="3" t="str">
        <f ca="1">HYPERLINK("#"&amp;재료비목록표!G2&amp;"!A"&amp;ROW(재료비목록표!A359),"자재356 →")</f>
        <v>자재356 →</v>
      </c>
      <c r="T360" s="36">
        <v>2512000</v>
      </c>
      <c r="U360" s="38">
        <f t="shared" si="15"/>
        <v>2</v>
      </c>
      <c r="V360" s="39">
        <f t="shared" si="16"/>
        <v>2512000</v>
      </c>
      <c r="W360" s="40" t="str">
        <f t="shared" si="17"/>
        <v>물.자</v>
      </c>
    </row>
    <row r="361" spans="1:23" ht="34.700000000000003" customHeight="1" x14ac:dyDescent="0.3">
      <c r="A361" s="9" t="s">
        <v>3036</v>
      </c>
      <c r="B361" s="10" t="s">
        <v>3037</v>
      </c>
      <c r="C361" s="10" t="s">
        <v>3038</v>
      </c>
      <c r="D361" s="9" t="s">
        <v>14</v>
      </c>
      <c r="E361" s="33">
        <v>0</v>
      </c>
      <c r="F361" s="9"/>
      <c r="G361" s="33">
        <v>1650000</v>
      </c>
      <c r="H361" s="9" t="s">
        <v>3304</v>
      </c>
      <c r="I361" s="33">
        <v>0</v>
      </c>
      <c r="J361" s="9"/>
      <c r="K361" s="33">
        <v>0</v>
      </c>
      <c r="L361" s="9"/>
      <c r="M361" s="33">
        <v>0</v>
      </c>
      <c r="N361" s="9"/>
      <c r="O361" s="33">
        <v>1650000</v>
      </c>
      <c r="P361" s="22" t="s">
        <v>3188</v>
      </c>
      <c r="Q361" s="15"/>
      <c r="R361" s="17" t="s">
        <v>3039</v>
      </c>
      <c r="S361" s="3" t="str">
        <f ca="1">HYPERLINK("#"&amp;재료비목록표!G2&amp;"!A"&amp;ROW(재료비목록표!A360),"자재357 →")</f>
        <v>자재357 →</v>
      </c>
      <c r="T361" s="36">
        <v>1650000</v>
      </c>
      <c r="U361" s="38">
        <f t="shared" si="15"/>
        <v>2</v>
      </c>
      <c r="V361" s="39">
        <f t="shared" si="16"/>
        <v>1650000</v>
      </c>
      <c r="W361" s="40" t="str">
        <f t="shared" si="17"/>
        <v>물.자</v>
      </c>
    </row>
    <row r="362" spans="1:23" ht="34.700000000000003" customHeight="1" x14ac:dyDescent="0.3">
      <c r="A362" s="9" t="s">
        <v>3040</v>
      </c>
      <c r="B362" s="10" t="s">
        <v>3037</v>
      </c>
      <c r="C362" s="10" t="s">
        <v>467</v>
      </c>
      <c r="D362" s="9" t="s">
        <v>14</v>
      </c>
      <c r="E362" s="33">
        <v>0</v>
      </c>
      <c r="F362" s="9"/>
      <c r="G362" s="33">
        <v>1871000</v>
      </c>
      <c r="H362" s="9" t="s">
        <v>3304</v>
      </c>
      <c r="I362" s="33">
        <v>0</v>
      </c>
      <c r="J362" s="9"/>
      <c r="K362" s="33">
        <v>0</v>
      </c>
      <c r="L362" s="9"/>
      <c r="M362" s="33">
        <v>0</v>
      </c>
      <c r="N362" s="9"/>
      <c r="O362" s="33">
        <v>1871000</v>
      </c>
      <c r="P362" s="22" t="s">
        <v>3188</v>
      </c>
      <c r="Q362" s="15"/>
      <c r="R362" s="17" t="s">
        <v>3041</v>
      </c>
      <c r="S362" s="3" t="str">
        <f ca="1">HYPERLINK("#"&amp;재료비목록표!G2&amp;"!A"&amp;ROW(재료비목록표!A361),"자재358 →")</f>
        <v>자재358 →</v>
      </c>
      <c r="T362" s="36">
        <v>1871000</v>
      </c>
      <c r="U362" s="38">
        <f t="shared" si="15"/>
        <v>2</v>
      </c>
      <c r="V362" s="39">
        <f t="shared" si="16"/>
        <v>1871000</v>
      </c>
      <c r="W362" s="40" t="str">
        <f t="shared" si="17"/>
        <v>물.자</v>
      </c>
    </row>
    <row r="363" spans="1:23" ht="34.700000000000003" customHeight="1" x14ac:dyDescent="0.3">
      <c r="A363" s="9" t="s">
        <v>3042</v>
      </c>
      <c r="B363" s="10" t="s">
        <v>3043</v>
      </c>
      <c r="C363" s="10" t="s">
        <v>3044</v>
      </c>
      <c r="D363" s="9" t="s">
        <v>1010</v>
      </c>
      <c r="E363" s="33">
        <v>0</v>
      </c>
      <c r="F363" s="9"/>
      <c r="G363" s="33">
        <v>182000</v>
      </c>
      <c r="H363" s="9" t="s">
        <v>3326</v>
      </c>
      <c r="I363" s="33">
        <v>191000</v>
      </c>
      <c r="J363" s="9" t="s">
        <v>3327</v>
      </c>
      <c r="K363" s="33">
        <v>0</v>
      </c>
      <c r="L363" s="9"/>
      <c r="M363" s="33">
        <v>140000</v>
      </c>
      <c r="N363" s="9" t="s">
        <v>3328</v>
      </c>
      <c r="O363" s="33">
        <v>140000</v>
      </c>
      <c r="P363" s="22" t="s">
        <v>3191</v>
      </c>
      <c r="Q363" s="15"/>
      <c r="R363" s="17" t="s">
        <v>3045</v>
      </c>
      <c r="S363" s="3" t="str">
        <f ca="1">HYPERLINK("#"&amp;재료비목록표!G2&amp;"!A"&amp;ROW(재료비목록표!A362),"자재359 →")</f>
        <v>자재359 →</v>
      </c>
      <c r="T363" s="36">
        <v>140000</v>
      </c>
      <c r="U363" s="38">
        <f t="shared" si="15"/>
        <v>5</v>
      </c>
      <c r="V363" s="39">
        <f t="shared" si="16"/>
        <v>140000</v>
      </c>
      <c r="W363" s="40" t="str">
        <f t="shared" si="17"/>
        <v>거래</v>
      </c>
    </row>
    <row r="364" spans="1:23" ht="34.700000000000003" customHeight="1" x14ac:dyDescent="0.3">
      <c r="A364" s="9" t="s">
        <v>3046</v>
      </c>
      <c r="B364" s="10" t="s">
        <v>3043</v>
      </c>
      <c r="C364" s="10" t="s">
        <v>3047</v>
      </c>
      <c r="D364" s="9" t="s">
        <v>1010</v>
      </c>
      <c r="E364" s="33">
        <v>0</v>
      </c>
      <c r="F364" s="9"/>
      <c r="G364" s="33">
        <v>331500</v>
      </c>
      <c r="H364" s="9" t="s">
        <v>3326</v>
      </c>
      <c r="I364" s="33">
        <v>332000</v>
      </c>
      <c r="J364" s="9" t="s">
        <v>3327</v>
      </c>
      <c r="K364" s="33">
        <v>0</v>
      </c>
      <c r="L364" s="9"/>
      <c r="M364" s="33">
        <v>289000</v>
      </c>
      <c r="N364" s="9" t="s">
        <v>3328</v>
      </c>
      <c r="O364" s="33">
        <v>289000</v>
      </c>
      <c r="P364" s="22" t="s">
        <v>3191</v>
      </c>
      <c r="Q364" s="15"/>
      <c r="R364" s="17" t="s">
        <v>3048</v>
      </c>
      <c r="S364" s="3" t="str">
        <f ca="1">HYPERLINK("#"&amp;재료비목록표!G2&amp;"!A"&amp;ROW(재료비목록표!A363),"자재360 →")</f>
        <v>자재360 →</v>
      </c>
      <c r="T364" s="36">
        <v>289000</v>
      </c>
      <c r="U364" s="38">
        <f t="shared" si="15"/>
        <v>5</v>
      </c>
      <c r="V364" s="39">
        <f t="shared" si="16"/>
        <v>289000</v>
      </c>
      <c r="W364" s="40" t="str">
        <f t="shared" si="17"/>
        <v>거래</v>
      </c>
    </row>
    <row r="365" spans="1:23" ht="34.700000000000003" customHeight="1" x14ac:dyDescent="0.3">
      <c r="A365" s="9" t="s">
        <v>3049</v>
      </c>
      <c r="B365" s="10" t="s">
        <v>3043</v>
      </c>
      <c r="C365" s="10" t="s">
        <v>3050</v>
      </c>
      <c r="D365" s="9" t="s">
        <v>1010</v>
      </c>
      <c r="E365" s="33">
        <v>0</v>
      </c>
      <c r="F365" s="9"/>
      <c r="G365" s="33">
        <v>325000</v>
      </c>
      <c r="H365" s="9" t="s">
        <v>3329</v>
      </c>
      <c r="I365" s="33">
        <v>345000</v>
      </c>
      <c r="J365" s="9" t="s">
        <v>3330</v>
      </c>
      <c r="K365" s="33">
        <v>0</v>
      </c>
      <c r="L365" s="9"/>
      <c r="M365" s="33">
        <v>250000</v>
      </c>
      <c r="N365" s="9" t="s">
        <v>3331</v>
      </c>
      <c r="O365" s="33">
        <v>250000</v>
      </c>
      <c r="P365" s="22" t="s">
        <v>3191</v>
      </c>
      <c r="Q365" s="15"/>
      <c r="R365" s="17" t="s">
        <v>3051</v>
      </c>
      <c r="S365" s="3" t="str">
        <f ca="1">HYPERLINK("#"&amp;재료비목록표!G2&amp;"!A"&amp;ROW(재료비목록표!A364),"자재361 →")</f>
        <v>자재361 →</v>
      </c>
      <c r="T365" s="36">
        <v>250000</v>
      </c>
      <c r="U365" s="38">
        <f t="shared" si="15"/>
        <v>5</v>
      </c>
      <c r="V365" s="39">
        <f t="shared" si="16"/>
        <v>250000</v>
      </c>
      <c r="W365" s="40" t="str">
        <f t="shared" si="17"/>
        <v>거래</v>
      </c>
    </row>
    <row r="366" spans="1:23" ht="34.700000000000003" customHeight="1" x14ac:dyDescent="0.3">
      <c r="A366" s="9" t="s">
        <v>3052</v>
      </c>
      <c r="B366" s="10" t="s">
        <v>3053</v>
      </c>
      <c r="C366" s="10" t="s">
        <v>3054</v>
      </c>
      <c r="D366" s="9" t="s">
        <v>1010</v>
      </c>
      <c r="E366" s="33">
        <v>0</v>
      </c>
      <c r="F366" s="9"/>
      <c r="G366" s="33">
        <v>378300</v>
      </c>
      <c r="H366" s="9" t="s">
        <v>3326</v>
      </c>
      <c r="I366" s="33">
        <v>438000</v>
      </c>
      <c r="J366" s="9" t="s">
        <v>3327</v>
      </c>
      <c r="K366" s="33">
        <v>0</v>
      </c>
      <c r="L366" s="9"/>
      <c r="M366" s="33">
        <v>291000</v>
      </c>
      <c r="N366" s="9" t="s">
        <v>3328</v>
      </c>
      <c r="O366" s="33">
        <v>291000</v>
      </c>
      <c r="P366" s="22" t="s">
        <v>3191</v>
      </c>
      <c r="Q366" s="15"/>
      <c r="R366" s="17" t="s">
        <v>3055</v>
      </c>
      <c r="S366" s="3" t="str">
        <f ca="1">HYPERLINK("#"&amp;재료비목록표!G2&amp;"!A"&amp;ROW(재료비목록표!A365),"자재362 →")</f>
        <v>자재362 →</v>
      </c>
      <c r="T366" s="36">
        <v>291000</v>
      </c>
      <c r="U366" s="38">
        <f t="shared" si="15"/>
        <v>5</v>
      </c>
      <c r="V366" s="39">
        <f t="shared" si="16"/>
        <v>291000</v>
      </c>
      <c r="W366" s="40" t="str">
        <f t="shared" si="17"/>
        <v>거래</v>
      </c>
    </row>
    <row r="367" spans="1:23" ht="34.700000000000003" customHeight="1" x14ac:dyDescent="0.3">
      <c r="A367" s="9" t="s">
        <v>3056</v>
      </c>
      <c r="B367" s="10" t="s">
        <v>3053</v>
      </c>
      <c r="C367" s="10" t="s">
        <v>3057</v>
      </c>
      <c r="D367" s="9" t="s">
        <v>1010</v>
      </c>
      <c r="E367" s="33">
        <v>0</v>
      </c>
      <c r="F367" s="9"/>
      <c r="G367" s="33">
        <v>650000</v>
      </c>
      <c r="H367" s="9" t="s">
        <v>3326</v>
      </c>
      <c r="I367" s="33">
        <v>791000</v>
      </c>
      <c r="J367" s="9" t="s">
        <v>3327</v>
      </c>
      <c r="K367" s="33">
        <v>0</v>
      </c>
      <c r="L367" s="9"/>
      <c r="M367" s="33">
        <v>555000</v>
      </c>
      <c r="N367" s="9" t="s">
        <v>3328</v>
      </c>
      <c r="O367" s="33">
        <v>555000</v>
      </c>
      <c r="P367" s="22" t="s">
        <v>3191</v>
      </c>
      <c r="Q367" s="15"/>
      <c r="R367" s="17" t="s">
        <v>3058</v>
      </c>
      <c r="S367" s="3" t="str">
        <f ca="1">HYPERLINK("#"&amp;재료비목록표!G2&amp;"!A"&amp;ROW(재료비목록표!A366),"자재363 →")</f>
        <v>자재363 →</v>
      </c>
      <c r="T367" s="36">
        <v>555000</v>
      </c>
      <c r="U367" s="38">
        <f t="shared" si="15"/>
        <v>5</v>
      </c>
      <c r="V367" s="39">
        <f t="shared" si="16"/>
        <v>555000</v>
      </c>
      <c r="W367" s="40" t="str">
        <f t="shared" si="17"/>
        <v>거래</v>
      </c>
    </row>
    <row r="368" spans="1:23" ht="34.700000000000003" customHeight="1" x14ac:dyDescent="0.3">
      <c r="A368" s="9" t="s">
        <v>3059</v>
      </c>
      <c r="B368" s="10" t="s">
        <v>3053</v>
      </c>
      <c r="C368" s="10" t="s">
        <v>3060</v>
      </c>
      <c r="D368" s="9" t="s">
        <v>1010</v>
      </c>
      <c r="E368" s="33">
        <v>0</v>
      </c>
      <c r="F368" s="9"/>
      <c r="G368" s="33">
        <v>97500</v>
      </c>
      <c r="H368" s="9" t="s">
        <v>3329</v>
      </c>
      <c r="I368" s="33">
        <v>101000</v>
      </c>
      <c r="J368" s="9" t="s">
        <v>3330</v>
      </c>
      <c r="K368" s="33">
        <v>0</v>
      </c>
      <c r="L368" s="9"/>
      <c r="M368" s="33">
        <v>75000</v>
      </c>
      <c r="N368" s="9" t="s">
        <v>3331</v>
      </c>
      <c r="O368" s="33">
        <v>75000</v>
      </c>
      <c r="P368" s="22" t="s">
        <v>3191</v>
      </c>
      <c r="Q368" s="15"/>
      <c r="R368" s="17" t="s">
        <v>3061</v>
      </c>
      <c r="S368" s="3" t="str">
        <f ca="1">HYPERLINK("#"&amp;재료비목록표!G2&amp;"!A"&amp;ROW(재료비목록표!A367),"자재364 →")</f>
        <v>자재364 →</v>
      </c>
      <c r="T368" s="36">
        <v>75000</v>
      </c>
      <c r="U368" s="38">
        <f t="shared" si="15"/>
        <v>5</v>
      </c>
      <c r="V368" s="39">
        <f t="shared" si="16"/>
        <v>75000</v>
      </c>
      <c r="W368" s="40" t="str">
        <f t="shared" si="17"/>
        <v>거래</v>
      </c>
    </row>
    <row r="369" spans="1:23" ht="34.700000000000003" customHeight="1" x14ac:dyDescent="0.3">
      <c r="A369" s="9" t="s">
        <v>3062</v>
      </c>
      <c r="B369" s="10" t="s">
        <v>3053</v>
      </c>
      <c r="C369" s="10" t="s">
        <v>3063</v>
      </c>
      <c r="D369" s="9" t="s">
        <v>1010</v>
      </c>
      <c r="E369" s="33">
        <v>0</v>
      </c>
      <c r="F369" s="9"/>
      <c r="G369" s="33">
        <v>156000</v>
      </c>
      <c r="H369" s="9" t="s">
        <v>3326</v>
      </c>
      <c r="I369" s="33">
        <v>162000</v>
      </c>
      <c r="J369" s="9" t="s">
        <v>3327</v>
      </c>
      <c r="K369" s="33">
        <v>0</v>
      </c>
      <c r="L369" s="9"/>
      <c r="M369" s="33">
        <v>120000</v>
      </c>
      <c r="N369" s="9" t="s">
        <v>3328</v>
      </c>
      <c r="O369" s="33">
        <v>120000</v>
      </c>
      <c r="P369" s="22" t="s">
        <v>3191</v>
      </c>
      <c r="Q369" s="15"/>
      <c r="R369" s="17" t="s">
        <v>3064</v>
      </c>
      <c r="S369" s="3" t="str">
        <f ca="1">HYPERLINK("#"&amp;재료비목록표!G2&amp;"!A"&amp;ROW(재료비목록표!A368),"자재365 →")</f>
        <v>자재365 →</v>
      </c>
      <c r="T369" s="36">
        <v>120000</v>
      </c>
      <c r="U369" s="38">
        <f t="shared" si="15"/>
        <v>5</v>
      </c>
      <c r="V369" s="39">
        <f t="shared" si="16"/>
        <v>120000</v>
      </c>
      <c r="W369" s="40" t="str">
        <f t="shared" si="17"/>
        <v>거래</v>
      </c>
    </row>
    <row r="370" spans="1:23" ht="34.700000000000003" customHeight="1" x14ac:dyDescent="0.3">
      <c r="A370" s="9" t="s">
        <v>3065</v>
      </c>
      <c r="B370" s="10" t="s">
        <v>3066</v>
      </c>
      <c r="C370" s="10" t="s">
        <v>3067</v>
      </c>
      <c r="D370" s="9" t="s">
        <v>1010</v>
      </c>
      <c r="E370" s="33">
        <v>0</v>
      </c>
      <c r="F370" s="9"/>
      <c r="G370" s="33">
        <v>320</v>
      </c>
      <c r="H370" s="9" t="s">
        <v>3255</v>
      </c>
      <c r="I370" s="33">
        <v>0</v>
      </c>
      <c r="J370" s="9"/>
      <c r="K370" s="33">
        <v>0</v>
      </c>
      <c r="L370" s="9"/>
      <c r="M370" s="33">
        <v>0</v>
      </c>
      <c r="N370" s="9"/>
      <c r="O370" s="33">
        <v>320</v>
      </c>
      <c r="P370" s="22" t="s">
        <v>3188</v>
      </c>
      <c r="Q370" s="15"/>
      <c r="R370" s="17" t="s">
        <v>3068</v>
      </c>
      <c r="S370" s="3" t="str">
        <f ca="1">HYPERLINK("#"&amp;재료비목록표!G2&amp;"!A"&amp;ROW(재료비목록표!A369),"자재366 →")</f>
        <v>자재366 →</v>
      </c>
      <c r="T370" s="36">
        <v>320</v>
      </c>
      <c r="U370" s="38">
        <f t="shared" si="15"/>
        <v>2</v>
      </c>
      <c r="V370" s="39">
        <f t="shared" si="16"/>
        <v>320</v>
      </c>
      <c r="W370" s="40" t="str">
        <f t="shared" si="17"/>
        <v>물.자</v>
      </c>
    </row>
    <row r="371" spans="1:23" ht="34.700000000000003" customHeight="1" x14ac:dyDescent="0.3">
      <c r="A371" s="9" t="s">
        <v>3069</v>
      </c>
      <c r="B371" s="10" t="s">
        <v>3066</v>
      </c>
      <c r="C371" s="10" t="s">
        <v>3070</v>
      </c>
      <c r="D371" s="9" t="s">
        <v>1010</v>
      </c>
      <c r="E371" s="33">
        <v>0</v>
      </c>
      <c r="F371" s="9"/>
      <c r="G371" s="33">
        <v>540</v>
      </c>
      <c r="H371" s="9" t="s">
        <v>3255</v>
      </c>
      <c r="I371" s="33">
        <v>0</v>
      </c>
      <c r="J371" s="9"/>
      <c r="K371" s="33">
        <v>0</v>
      </c>
      <c r="L371" s="9"/>
      <c r="M371" s="33">
        <v>0</v>
      </c>
      <c r="N371" s="9"/>
      <c r="O371" s="33">
        <v>540</v>
      </c>
      <c r="P371" s="22" t="s">
        <v>3188</v>
      </c>
      <c r="Q371" s="15"/>
      <c r="R371" s="17" t="s">
        <v>3071</v>
      </c>
      <c r="S371" s="3" t="str">
        <f ca="1">HYPERLINK("#"&amp;재료비목록표!G2&amp;"!A"&amp;ROW(재료비목록표!A370),"자재367 →")</f>
        <v>자재367 →</v>
      </c>
      <c r="T371" s="36">
        <v>540</v>
      </c>
      <c r="U371" s="38">
        <f t="shared" si="15"/>
        <v>2</v>
      </c>
      <c r="V371" s="39">
        <f t="shared" si="16"/>
        <v>540</v>
      </c>
      <c r="W371" s="40" t="str">
        <f t="shared" si="17"/>
        <v>물.자</v>
      </c>
    </row>
  </sheetData>
  <mergeCells count="13">
    <mergeCell ref="O3:P3"/>
    <mergeCell ref="Q3:Q4"/>
    <mergeCell ref="U3:W3"/>
    <mergeCell ref="A1:Q1"/>
    <mergeCell ref="A3:A4"/>
    <mergeCell ref="B3:B4"/>
    <mergeCell ref="C3:C4"/>
    <mergeCell ref="D3:D4"/>
    <mergeCell ref="E3:F3"/>
    <mergeCell ref="G3:H3"/>
    <mergeCell ref="I3:J3"/>
    <mergeCell ref="K3:L3"/>
    <mergeCell ref="M3:N3"/>
  </mergeCells>
  <phoneticPr fontId="25" type="noConversion"/>
  <conditionalFormatting sqref="V5:V371">
    <cfRule type="expression" dxfId="0" priority="1" stopIfTrue="1">
      <formula>$O5&lt;&gt;$V5</formula>
    </cfRule>
  </conditionalFormatting>
  <hyperlinks>
    <hyperlink ref="S1" r:id="rId1" tooltip="설계예산시스템(STmate w26.07)으로 작성 하였으며,_x000a_엑셀 인쇄품질 600 dpi에 최적화 되어 있습니다._x000a_경영정보(주) http://www.stma.co.kr_x000a_Tel) 070-4350-0040_x000a_Fax) 0505-300-3948" xr:uid="{A8681174-3D10-4C48-9CBB-026FEF76C315}"/>
    <hyperlink ref="R1" r:id="rId2" tooltip="설계예산시스템(STmate w26.07)으로 작성 하였으며,_x000a_엑셀 인쇄품질 600 dpi에 최적화 되어 있습니다._x000a_경영정보(주) http://www.stma.co.kr_x000a_Tel) 070-4350-0040_x000a_Fax) 0505-300-3948" xr:uid="{064736FE-B2D5-41DF-87AE-07F119ECF259}"/>
  </hyperlinks>
  <printOptions horizontalCentered="1"/>
  <pageMargins left="0.78740157480314965" right="0.78740157480314965" top="0.59055118110236215" bottom="0.55118110236220474" header="0" footer="0.35433070866141736"/>
  <pageSetup paperSize="9" scale="61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6EEBF-C853-4FAA-964F-368BF5F84F3C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108" customWidth="1"/>
    <col min="2" max="2" width="16.75" style="108" customWidth="1"/>
    <col min="3" max="3" width="15.25" style="108" customWidth="1"/>
    <col min="4" max="24" width="2.5" style="108" customWidth="1"/>
    <col min="25" max="16384" width="9.125" style="108"/>
  </cols>
  <sheetData>
    <row r="2" spans="2:24" ht="19.5" x14ac:dyDescent="0.3">
      <c r="B2" s="155" t="s">
        <v>9098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</row>
    <row r="4" spans="2:24" hidden="1" x14ac:dyDescent="0.3">
      <c r="B4" s="109" t="s">
        <v>9099</v>
      </c>
      <c r="C4" s="112" t="b">
        <f ca="1">ISERROR(SUM(C6:X15,C18:X23))</f>
        <v>0</v>
      </c>
      <c r="D4" s="115">
        <f>ROW(C24)</f>
        <v>24</v>
      </c>
    </row>
    <row r="5" spans="2:24" hidden="1" x14ac:dyDescent="0.3">
      <c r="B5" s="110" t="s">
        <v>9100</v>
      </c>
      <c r="C5" s="110" t="s">
        <v>9101</v>
      </c>
      <c r="D5" s="110" t="s">
        <v>9102</v>
      </c>
      <c r="E5" s="110" t="s">
        <v>9103</v>
      </c>
      <c r="F5" s="110" t="s">
        <v>9104</v>
      </c>
      <c r="G5" s="110" t="s">
        <v>9105</v>
      </c>
      <c r="H5" s="110" t="s">
        <v>8880</v>
      </c>
      <c r="I5" s="110" t="s">
        <v>9106</v>
      </c>
      <c r="J5" s="110" t="s">
        <v>9107</v>
      </c>
      <c r="K5" s="110" t="s">
        <v>9108</v>
      </c>
      <c r="L5" s="110" t="s">
        <v>9109</v>
      </c>
      <c r="M5" s="110" t="s">
        <v>9110</v>
      </c>
      <c r="N5" s="110" t="s">
        <v>9111</v>
      </c>
      <c r="O5" s="110" t="s">
        <v>9112</v>
      </c>
      <c r="P5" s="110" t="s">
        <v>9113</v>
      </c>
      <c r="Q5" s="110" t="s">
        <v>9114</v>
      </c>
      <c r="R5" s="110" t="s">
        <v>9115</v>
      </c>
      <c r="S5" s="110" t="s">
        <v>9116</v>
      </c>
      <c r="T5" s="110" t="s">
        <v>9117</v>
      </c>
      <c r="U5" s="110" t="s">
        <v>9118</v>
      </c>
      <c r="V5" s="110" t="s">
        <v>9119</v>
      </c>
      <c r="W5" s="110" t="s">
        <v>9120</v>
      </c>
      <c r="X5" s="110" t="s">
        <v>9121</v>
      </c>
    </row>
    <row r="6" spans="2:24" hidden="1" x14ac:dyDescent="0.3">
      <c r="B6" s="111" t="s">
        <v>9122</v>
      </c>
      <c r="C6" s="113" t="str">
        <f ca="1">IF(D6="","재료비목록표",MID(D6,FIND("]",D6)+1,LEN(D6)))</f>
        <v>재료비목록표</v>
      </c>
      <c r="D6" s="113" t="str">
        <f ca="1">CELL("filename",재료비목록표!A1)</f>
        <v>C:\Users\Administrator\Desktop\무인화기계2차 발주\[2026년도 무인화시설물 유지보수(기계) 연간단가공사(1권역) (2).xlsx]재료비목록표</v>
      </c>
      <c r="E6" s="116"/>
      <c r="F6" s="117">
        <f ca="1">HYPERLINK("#"&amp;C6&amp;"!"&amp;ADDRESS(3,COLUMN(재료비목록표!B1),1),COLUMN(재료비목록표!B1))</f>
        <v>2</v>
      </c>
      <c r="G6" s="117">
        <f ca="1">HYPERLINK("#"&amp;C6&amp;"!"&amp;ADDRESS(3,COLUMN(재료비목록표!C1),1),COLUMN(재료비목록표!C1))</f>
        <v>3</v>
      </c>
      <c r="H6" s="116"/>
      <c r="I6" s="117">
        <f ca="1">HYPERLINK("#"&amp;C6&amp;"!"&amp;ADDRESS(3,COLUMN(재료비목록표!D1),1),COLUMN(재료비목록표!D1))</f>
        <v>4</v>
      </c>
      <c r="J6" s="117">
        <f ca="1">HYPERLINK("#"&amp;C6&amp;"!A"&amp;ROW(재료비목록표!A4),ROW(재료비목록표!A4))</f>
        <v>4</v>
      </c>
      <c r="K6" s="117">
        <f ca="1">HYPERLINK("#"&amp;C6&amp;"!A"&amp;ROW(재료비목록표!A370),ROW(재료비목록표!A370))</f>
        <v>370</v>
      </c>
      <c r="L6" s="117">
        <f ca="1">HYPERLINK("#"&amp;C6&amp;"!"&amp;ADDRESS(3,COLUMN(재료비목록표!E1),1),COLUMN(재료비목록표!E1))</f>
        <v>5</v>
      </c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7">
        <f ca="1">HYPERLINK("#"&amp;C6&amp;"!"&amp;ADDRESS(3,COLUMN(재료비목록표!G1),1),COLUMN(재료비목록표!G1))</f>
        <v>7</v>
      </c>
    </row>
    <row r="7" spans="2:24" hidden="1" x14ac:dyDescent="0.3">
      <c r="B7" s="111" t="s">
        <v>9123</v>
      </c>
      <c r="C7" s="113" t="str">
        <f ca="1">IF(D7="","노무비목록표",MID(D7,FIND("]",D7)+1,LEN(D7)))</f>
        <v>노무비목록표</v>
      </c>
      <c r="D7" s="113" t="str">
        <f ca="1">CELL("filename",노무비목록표!A1)</f>
        <v>C:\Users\Administrator\Desktop\무인화기계2차 발주\[2026년도 무인화시설물 유지보수(기계) 연간단가공사(1권역) (2).xlsx]노무비목록표</v>
      </c>
      <c r="E7" s="116"/>
      <c r="F7" s="117">
        <f ca="1">HYPERLINK("#"&amp;C7&amp;"!"&amp;ADDRESS(3,COLUMN(노무비목록표!B1),1),COLUMN(노무비목록표!B1))</f>
        <v>2</v>
      </c>
      <c r="G7" s="117">
        <f ca="1">HYPERLINK("#"&amp;C7&amp;"!"&amp;ADDRESS(3,COLUMN(노무비목록표!C1),1),COLUMN(노무비목록표!C1))</f>
        <v>3</v>
      </c>
      <c r="H7" s="116"/>
      <c r="I7" s="117">
        <f ca="1">HYPERLINK("#"&amp;C7&amp;"!"&amp;ADDRESS(3,COLUMN(노무비목록표!D1),1),COLUMN(노무비목록표!D1))</f>
        <v>4</v>
      </c>
      <c r="J7" s="117">
        <f ca="1">HYPERLINK("#"&amp;C7&amp;"!A"&amp;ROW(노무비목록표!A4),ROW(노무비목록표!A4))</f>
        <v>4</v>
      </c>
      <c r="K7" s="117">
        <f ca="1">HYPERLINK("#"&amp;C7&amp;"!A"&amp;ROW(노무비목록표!A24),ROW(노무비목록표!A24))</f>
        <v>24</v>
      </c>
      <c r="L7" s="117">
        <f ca="1">HYPERLINK("#"&amp;C7&amp;"!"&amp;ADDRESS(3,COLUMN(노무비목록표!E1),1),COLUMN(노무비목록표!E1))</f>
        <v>5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7">
        <f ca="1">HYPERLINK("#"&amp;C7&amp;"!"&amp;ADDRESS(3,COLUMN(노무비목록표!G1),1),COLUMN(노무비목록표!G1))</f>
        <v>7</v>
      </c>
    </row>
    <row r="8" spans="2:24" hidden="1" x14ac:dyDescent="0.3">
      <c r="B8" s="111" t="s">
        <v>9124</v>
      </c>
      <c r="C8" s="113" t="str">
        <f ca="1">IF(D8="","경비목록표",MID(D8,FIND("]",D8)+1,LEN(D8)))</f>
        <v>경비목록표</v>
      </c>
      <c r="D8" s="113" t="str">
        <f ca="1">CELL("filename",경비목록표!A1)</f>
        <v>C:\Users\Administrator\Desktop\무인화기계2차 발주\[2026년도 무인화시설물 유지보수(기계) 연간단가공사(1권역) (2).xlsx]경비목록표</v>
      </c>
      <c r="E8" s="116"/>
      <c r="F8" s="117">
        <f ca="1">HYPERLINK("#"&amp;C8&amp;"!"&amp;ADDRESS(3,COLUMN(경비목록표!B1),1),COLUMN(경비목록표!B1))</f>
        <v>2</v>
      </c>
      <c r="G8" s="117">
        <f ca="1">HYPERLINK("#"&amp;C8&amp;"!"&amp;ADDRESS(3,COLUMN(경비목록표!C1),1),COLUMN(경비목록표!C1))</f>
        <v>3</v>
      </c>
      <c r="H8" s="116"/>
      <c r="I8" s="117">
        <f ca="1">HYPERLINK("#"&amp;C8&amp;"!"&amp;ADDRESS(3,COLUMN(경비목록표!D1),1),COLUMN(경비목록표!D1))</f>
        <v>4</v>
      </c>
      <c r="J8" s="117">
        <f ca="1">HYPERLINK("#"&amp;C8&amp;"!A"&amp;ROW(경비목록표!A4),ROW(경비목록표!A4))</f>
        <v>4</v>
      </c>
      <c r="K8" s="117">
        <f ca="1">HYPERLINK("#"&amp;C8&amp;"!A"&amp;ROW(경비목록표!A8),ROW(경비목록표!A8))</f>
        <v>8</v>
      </c>
      <c r="L8" s="117">
        <f ca="1">HYPERLINK("#"&amp;C8&amp;"!"&amp;ADDRESS(3,COLUMN(경비목록표!E1),1),COLUMN(경비목록표!E1))</f>
        <v>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7">
        <f ca="1">HYPERLINK("#"&amp;C8&amp;"!"&amp;ADDRESS(3,COLUMN(경비목록표!G1),1),COLUMN(경비목록표!G1))</f>
        <v>7</v>
      </c>
    </row>
    <row r="9" spans="2:24" hidden="1" x14ac:dyDescent="0.3">
      <c r="B9" s="111" t="s">
        <v>9125</v>
      </c>
      <c r="C9" s="113" t="str">
        <f ca="1">IF(D9="","일식견적목록표",MID(D9,FIND("]",D9)+1,LEN(D9)))</f>
        <v>일식견적목록표</v>
      </c>
      <c r="D9" s="113" t="str">
        <f ca="1">CELL("filename",일식견적목록표!A1)</f>
        <v>C:\Users\Administrator\Desktop\무인화기계2차 발주\[2026년도 무인화시설물 유지보수(기계) 연간단가공사(1권역) (2).xlsx]일식견적목록표</v>
      </c>
      <c r="E9" s="116"/>
      <c r="F9" s="117">
        <f ca="1">HYPERLINK("#"&amp;C9&amp;"!"&amp;ADDRESS(3,COLUMN(일식견적목록표!B1),1),COLUMN(일식견적목록표!B1))</f>
        <v>2</v>
      </c>
      <c r="G9" s="117">
        <f ca="1">HYPERLINK("#"&amp;C9&amp;"!"&amp;ADDRESS(3,COLUMN(일식견적목록표!C1),1),COLUMN(일식견적목록표!C1))</f>
        <v>3</v>
      </c>
      <c r="H9" s="116"/>
      <c r="I9" s="117">
        <f ca="1">HYPERLINK("#"&amp;C9&amp;"!"&amp;ADDRESS(3,COLUMN(일식견적목록표!D1),1),COLUMN(일식견적목록표!D1))</f>
        <v>4</v>
      </c>
      <c r="J9" s="117">
        <f ca="1">HYPERLINK("#"&amp;C9&amp;"!A"&amp;ROW(일식견적목록표!A4),ROW(일식견적목록표!A4))</f>
        <v>4</v>
      </c>
      <c r="K9" s="117">
        <f ca="1">HYPERLINK("#"&amp;C9&amp;"!A"&amp;ROW(일식견적목록표!A20),ROW(일식견적목록표!A20))</f>
        <v>20</v>
      </c>
      <c r="L9" s="117">
        <f ca="1">HYPERLINK("#"&amp;C9&amp;"!"&amp;ADDRESS(3,COLUMN(일식견적목록표!E1),1),COLUMN(일식견적목록표!E1))</f>
        <v>5</v>
      </c>
      <c r="M9" s="116"/>
      <c r="N9" s="117">
        <f ca="1">HYPERLINK("#"&amp;C9&amp;"!"&amp;ADDRESS(3,COLUMN(일식견적목록표!G1),1),COLUMN(일식견적목록표!G1))</f>
        <v>7</v>
      </c>
      <c r="O9" s="116"/>
      <c r="P9" s="117">
        <f ca="1">HYPERLINK("#"&amp;C9&amp;"!"&amp;ADDRESS(3,COLUMN(일식견적목록표!F1),1),COLUMN(일식견적목록표!F1))</f>
        <v>6</v>
      </c>
      <c r="Q9" s="116"/>
      <c r="R9" s="117">
        <f ca="1">HYPERLINK("#"&amp;C9&amp;"!"&amp;ADDRESS(3,COLUMN(일식견적목록표!H1),1),COLUMN(일식견적목록표!H1))</f>
        <v>8</v>
      </c>
      <c r="S9" s="116"/>
      <c r="T9" s="116"/>
      <c r="U9" s="116"/>
      <c r="V9" s="116"/>
      <c r="W9" s="116"/>
      <c r="X9" s="117">
        <f ca="1">HYPERLINK("#"&amp;C9&amp;"!"&amp;ADDRESS(3,COLUMN(일식견적목록표!J1),1),COLUMN(일식견적목록표!J1))</f>
        <v>10</v>
      </c>
    </row>
    <row r="10" spans="2:24" hidden="1" x14ac:dyDescent="0.3">
      <c r="B10" s="111" t="s">
        <v>9126</v>
      </c>
      <c r="C10" s="113" t="str">
        <f ca="1">IF(D10="","환율및기초자료",MID(D10,FIND("]",D10)+1,LEN(D10)))</f>
        <v>환율및기초자료</v>
      </c>
      <c r="D10" s="113" t="str">
        <f ca="1">CELL("filename",환율및기초자료!A1)</f>
        <v>C:\Users\Administrator\Desktop\무인화기계2차 발주\[2026년도 무인화시설물 유지보수(기계) 연간단가공사(1권역) (2).xlsx]환율및기초자료</v>
      </c>
      <c r="E10" s="117">
        <f ca="1">HYPERLINK("#"&amp;C10&amp;"!"&amp;ADDRESS(5,COLUMN(환율및기초자료!B1),1),COLUMN(환율및기초자료!B1))</f>
        <v>2</v>
      </c>
      <c r="F10" s="117">
        <f ca="1">HYPERLINK("#"&amp;C10&amp;"!"&amp;ADDRESS(5,COLUMN(환율및기초자료!C1),1),COLUMN(환율및기초자료!C1))</f>
        <v>3</v>
      </c>
      <c r="G10" s="117">
        <f ca="1">HYPERLINK("#"&amp;C10&amp;"!"&amp;ADDRESS(5,COLUMN(환율및기초자료!D1),1),COLUMN(환율및기초자료!D1))</f>
        <v>4</v>
      </c>
      <c r="H10" s="116"/>
      <c r="I10" s="117">
        <f ca="1">HYPERLINK("#"&amp;C10&amp;"!"&amp;ADDRESS(5,COLUMN(환율및기초자료!E1),1),COLUMN(환율및기초자료!E1))</f>
        <v>5</v>
      </c>
      <c r="J10" s="117">
        <f ca="1">HYPERLINK("#"&amp;C10&amp;"!A"&amp;ROW(환율및기초자료!A6),ROW(환율및기초자료!A6))</f>
        <v>6</v>
      </c>
      <c r="K10" s="117">
        <f ca="1">HYPERLINK("#"&amp;C10&amp;"!A"&amp;ROW(환율및기초자료!A13),ROW(환율및기초자료!A13))</f>
        <v>13</v>
      </c>
      <c r="L10" s="117">
        <f ca="1">HYPERLINK("#"&amp;C10&amp;"!"&amp;ADDRESS(5,COLUMN(환율및기초자료!F1),1),COLUMN(환율및기초자료!F1))</f>
        <v>6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7">
        <f ca="1">HYPERLINK("#"&amp;C10&amp;"!"&amp;ADDRESS(5,COLUMN(환율및기초자료!I1),1),COLUMN(환율및기초자료!I1))</f>
        <v>9</v>
      </c>
    </row>
    <row r="11" spans="2:24" hidden="1" x14ac:dyDescent="0.3">
      <c r="B11" s="111" t="s">
        <v>9127</v>
      </c>
      <c r="C11" s="113" t="str">
        <f ca="1">IF(D11="","중기목록표",MID(D11,FIND("]",D11)+1,LEN(D11)))</f>
        <v>중기목록표</v>
      </c>
      <c r="D11" s="113" t="str">
        <f ca="1">CELL("filename",중기목록표!A1)</f>
        <v>C:\Users\Administrator\Desktop\무인화기계2차 발주\[2026년도 무인화시설물 유지보수(기계) 연간단가공사(1권역) (2).xlsx]중기목록표</v>
      </c>
      <c r="E11" s="116"/>
      <c r="F11" s="117">
        <f ca="1">HYPERLINK("#"&amp;C11&amp;"!"&amp;ADDRESS(3,COLUMN(중기목록표!B1),1),COLUMN(중기목록표!B1))</f>
        <v>2</v>
      </c>
      <c r="G11" s="117">
        <f ca="1">HYPERLINK("#"&amp;C11&amp;"!"&amp;ADDRESS(3,COLUMN(중기목록표!C1),1),COLUMN(중기목록표!C1))</f>
        <v>3</v>
      </c>
      <c r="H11" s="116"/>
      <c r="I11" s="117">
        <f ca="1">HYPERLINK("#"&amp;C11&amp;"!"&amp;ADDRESS(3,COLUMN(중기목록표!D1),1),COLUMN(중기목록표!D1))</f>
        <v>4</v>
      </c>
      <c r="J11" s="117">
        <f ca="1">HYPERLINK("#"&amp;C11&amp;"!A"&amp;ROW(중기목록표!A4),ROW(중기목록표!A4))</f>
        <v>4</v>
      </c>
      <c r="K11" s="117">
        <f ca="1">HYPERLINK("#"&amp;C11&amp;"!A"&amp;ROW(중기목록표!A8),ROW(중기목록표!A8))</f>
        <v>8</v>
      </c>
      <c r="L11" s="117">
        <f ca="1">HYPERLINK("#"&amp;C11&amp;"!"&amp;ADDRESS(3,COLUMN(중기목록표!E1),1),COLUMN(중기목록표!E1))</f>
        <v>5</v>
      </c>
      <c r="M11" s="116"/>
      <c r="N11" s="117">
        <f ca="1">HYPERLINK("#"&amp;C11&amp;"!"&amp;ADDRESS(3,COLUMN(중기목록표!G1),1),COLUMN(중기목록표!G1))</f>
        <v>7</v>
      </c>
      <c r="O11" s="116"/>
      <c r="P11" s="117">
        <f ca="1">HYPERLINK("#"&amp;C11&amp;"!"&amp;ADDRESS(3,COLUMN(중기목록표!F1),1),COLUMN(중기목록표!F1))</f>
        <v>6</v>
      </c>
      <c r="Q11" s="116"/>
      <c r="R11" s="117">
        <f ca="1">HYPERLINK("#"&amp;C11&amp;"!"&amp;ADDRESS(3,COLUMN(중기목록표!H1),1),COLUMN(중기목록표!H1))</f>
        <v>8</v>
      </c>
      <c r="S11" s="116"/>
      <c r="T11" s="116"/>
      <c r="U11" s="116"/>
      <c r="V11" s="116"/>
      <c r="W11" s="116"/>
      <c r="X11" s="117">
        <f ca="1">HYPERLINK("#"&amp;C11&amp;"!"&amp;ADDRESS(3,COLUMN(중기목록표!J1),1),COLUMN(중기목록표!J1))</f>
        <v>10</v>
      </c>
    </row>
    <row r="12" spans="2:24" hidden="1" x14ac:dyDescent="0.3">
      <c r="B12" s="111" t="s">
        <v>9128</v>
      </c>
      <c r="C12" s="111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</row>
    <row r="13" spans="2:24" hidden="1" x14ac:dyDescent="0.3">
      <c r="B13" s="111" t="s">
        <v>9129</v>
      </c>
      <c r="C13" s="113" t="str">
        <f ca="1">IF(D13="","일위대가목록표",MID(D13,FIND("]",D13)+1,LEN(D13)))</f>
        <v>일위대가목록표</v>
      </c>
      <c r="D13" s="113" t="str">
        <f ca="1">CELL("filename",일위대가목록표!A1)</f>
        <v>C:\Users\Administrator\Desktop\무인화기계2차 발주\[2026년도 무인화시설물 유지보수(기계) 연간단가공사(1권역) (2).xlsx]일위대가목록표</v>
      </c>
      <c r="E13" s="116"/>
      <c r="F13" s="117">
        <f ca="1">HYPERLINK("#"&amp;C13&amp;"!"&amp;ADDRESS(3,COLUMN(일위대가목록표!B1),1),COLUMN(일위대가목록표!B1))</f>
        <v>2</v>
      </c>
      <c r="G13" s="117">
        <f ca="1">HYPERLINK("#"&amp;C13&amp;"!"&amp;ADDRESS(3,COLUMN(일위대가목록표!C1),1),COLUMN(일위대가목록표!C1))</f>
        <v>3</v>
      </c>
      <c r="H13" s="116"/>
      <c r="I13" s="117">
        <f ca="1">HYPERLINK("#"&amp;C13&amp;"!"&amp;ADDRESS(3,COLUMN(일위대가목록표!D1),1),COLUMN(일위대가목록표!D1))</f>
        <v>4</v>
      </c>
      <c r="J13" s="117">
        <f ca="1">HYPERLINK("#"&amp;C13&amp;"!A"&amp;ROW(일위대가목록표!A4),ROW(일위대가목록표!A4))</f>
        <v>4</v>
      </c>
      <c r="K13" s="117">
        <f ca="1">HYPERLINK("#"&amp;C13&amp;"!A"&amp;ROW(일위대가목록표!A764),ROW(일위대가목록표!A764))</f>
        <v>764</v>
      </c>
      <c r="L13" s="117">
        <f ca="1">HYPERLINK("#"&amp;C13&amp;"!"&amp;ADDRESS(3,COLUMN(일위대가목록표!E1),1),COLUMN(일위대가목록표!E1))</f>
        <v>5</v>
      </c>
      <c r="M13" s="116"/>
      <c r="N13" s="117">
        <f ca="1">HYPERLINK("#"&amp;C13&amp;"!"&amp;ADDRESS(3,COLUMN(일위대가목록표!G1),1),COLUMN(일위대가목록표!G1))</f>
        <v>7</v>
      </c>
      <c r="O13" s="116"/>
      <c r="P13" s="117">
        <f ca="1">HYPERLINK("#"&amp;C13&amp;"!"&amp;ADDRESS(3,COLUMN(일위대가목록표!F1),1),COLUMN(일위대가목록표!F1))</f>
        <v>6</v>
      </c>
      <c r="Q13" s="116"/>
      <c r="R13" s="117">
        <f ca="1">HYPERLINK("#"&amp;C13&amp;"!"&amp;ADDRESS(3,COLUMN(일위대가목록표!H1),1),COLUMN(일위대가목록표!H1))</f>
        <v>8</v>
      </c>
      <c r="S13" s="116"/>
      <c r="T13" s="116"/>
      <c r="U13" s="116"/>
      <c r="V13" s="116"/>
      <c r="W13" s="116"/>
      <c r="X13" s="117">
        <f ca="1">HYPERLINK("#"&amp;C13&amp;"!"&amp;ADDRESS(3,COLUMN(일위대가목록표!J1),1),COLUMN(일위대가목록표!J1))</f>
        <v>10</v>
      </c>
    </row>
    <row r="14" spans="2:24" hidden="1" x14ac:dyDescent="0.3">
      <c r="B14" s="111" t="s">
        <v>9130</v>
      </c>
      <c r="C14" s="113" t="str">
        <f ca="1">IF(D14="","단가산출근거목록표",MID(D14,FIND("]",D14)+1,LEN(D14)))</f>
        <v>단가산출근거목록표</v>
      </c>
      <c r="D14" s="113" t="str">
        <f ca="1">CELL("filename",단가산출근거목록표!A1)</f>
        <v>C:\Users\Administrator\Desktop\무인화기계2차 발주\[2026년도 무인화시설물 유지보수(기계) 연간단가공사(1권역) (2).xlsx]단가산출근거목록표</v>
      </c>
      <c r="E14" s="116"/>
      <c r="F14" s="117">
        <f ca="1">HYPERLINK("#"&amp;C14&amp;"!"&amp;ADDRESS(3,COLUMN(단가산출근거목록표!B1),1),COLUMN(단가산출근거목록표!B1))</f>
        <v>2</v>
      </c>
      <c r="G14" s="117">
        <f ca="1">HYPERLINK("#"&amp;C14&amp;"!"&amp;ADDRESS(3,COLUMN(단가산출근거목록표!C1),1),COLUMN(단가산출근거목록표!C1))</f>
        <v>3</v>
      </c>
      <c r="H14" s="116"/>
      <c r="I14" s="117">
        <f ca="1">HYPERLINK("#"&amp;C14&amp;"!"&amp;ADDRESS(3,COLUMN(단가산출근거목록표!D1),1),COLUMN(단가산출근거목록표!D1))</f>
        <v>4</v>
      </c>
      <c r="J14" s="117">
        <f ca="1">HYPERLINK("#"&amp;C14&amp;"!A"&amp;ROW(단가산출근거목록표!A4),ROW(단가산출근거목록표!A4))</f>
        <v>4</v>
      </c>
      <c r="K14" s="117">
        <f ca="1">HYPERLINK("#"&amp;C14&amp;"!A"&amp;ROW(단가산출근거목록표!A16),ROW(단가산출근거목록표!A16))</f>
        <v>16</v>
      </c>
      <c r="L14" s="117">
        <f ca="1">HYPERLINK("#"&amp;C14&amp;"!"&amp;ADDRESS(3,COLUMN(단가산출근거목록표!E1),1),COLUMN(단가산출근거목록표!E1))</f>
        <v>5</v>
      </c>
      <c r="M14" s="116"/>
      <c r="N14" s="117">
        <f ca="1">HYPERLINK("#"&amp;C14&amp;"!"&amp;ADDRESS(3,COLUMN(단가산출근거목록표!G1),1),COLUMN(단가산출근거목록표!G1))</f>
        <v>7</v>
      </c>
      <c r="O14" s="116"/>
      <c r="P14" s="117">
        <f ca="1">HYPERLINK("#"&amp;C14&amp;"!"&amp;ADDRESS(3,COLUMN(단가산출근거목록표!F1),1),COLUMN(단가산출근거목록표!F1))</f>
        <v>6</v>
      </c>
      <c r="Q14" s="116"/>
      <c r="R14" s="117">
        <f ca="1">HYPERLINK("#"&amp;C14&amp;"!"&amp;ADDRESS(3,COLUMN(단가산출근거목록표!H1),1),COLUMN(단가산출근거목록표!H1))</f>
        <v>8</v>
      </c>
      <c r="S14" s="116"/>
      <c r="T14" s="116"/>
      <c r="U14" s="116"/>
      <c r="V14" s="116"/>
      <c r="W14" s="116"/>
      <c r="X14" s="117">
        <f ca="1">HYPERLINK("#"&amp;C14&amp;"!"&amp;ADDRESS(3,COLUMN(단가산출근거목록표!J1),1),COLUMN(단가산출근거목록표!J1))</f>
        <v>10</v>
      </c>
    </row>
    <row r="15" spans="2:24" hidden="1" x14ac:dyDescent="0.3">
      <c r="B15" s="111" t="s">
        <v>9131</v>
      </c>
      <c r="C15" s="113" t="str">
        <f ca="1">IF(D15="","자재단가대비표",MID(D15,FIND("]",D15)+1,LEN(D15)))</f>
        <v>자재단가대비표</v>
      </c>
      <c r="D15" s="113" t="str">
        <f ca="1">CELL("filename",자재단가대비표!A1)</f>
        <v>C:\Users\Administrator\Desktop\무인화기계2차 발주\[2026년도 무인화시설물 유지보수(기계) 연간단가공사(1권역) (2).xlsx]자재단가대비표</v>
      </c>
      <c r="E15" s="116"/>
      <c r="F15" s="117">
        <f ca="1">HYPERLINK("#"&amp;C15&amp;"!"&amp;ADDRESS(4,COLUMN(자재단가대비표!B1),1),COLUMN(자재단가대비표!B1))</f>
        <v>2</v>
      </c>
      <c r="G15" s="117">
        <f ca="1">HYPERLINK("#"&amp;C15&amp;"!"&amp;ADDRESS(4,COLUMN(자재단가대비표!C1),1),COLUMN(자재단가대비표!C1))</f>
        <v>3</v>
      </c>
      <c r="H15" s="116"/>
      <c r="I15" s="117">
        <f ca="1">HYPERLINK("#"&amp;C15&amp;"!"&amp;ADDRESS(4,COLUMN(자재단가대비표!D1),1),COLUMN(자재단가대비표!D1))</f>
        <v>4</v>
      </c>
      <c r="J15" s="117">
        <f ca="1">HYPERLINK("#"&amp;C15&amp;"!A"&amp;ROW(자재단가대비표!A5),ROW(자재단가대비표!A5))</f>
        <v>5</v>
      </c>
      <c r="K15" s="117">
        <f ca="1">HYPERLINK("#"&amp;C15&amp;"!A"&amp;ROW(자재단가대비표!A371),ROW(자재단가대비표!A371))</f>
        <v>371</v>
      </c>
      <c r="L15" s="117">
        <f ca="1">HYPERLINK("#"&amp;C15&amp;"!"&amp;ADDRESS(4,COLUMN(자재단가대비표!E1),1),COLUMN(자재단가대비표!E1))</f>
        <v>5</v>
      </c>
      <c r="M15" s="117">
        <f ca="1">HYPERLINK("#"&amp;C15&amp;"!"&amp;ADDRESS(4,COLUMN(자재단가대비표!F1),1),COLUMN(자재단가대비표!F1))</f>
        <v>6</v>
      </c>
      <c r="N15" s="117">
        <f ca="1">HYPERLINK("#"&amp;C15&amp;"!"&amp;ADDRESS(4,COLUMN(자재단가대비표!G1),1),COLUMN(자재단가대비표!G1))</f>
        <v>7</v>
      </c>
      <c r="O15" s="117">
        <f ca="1">HYPERLINK("#"&amp;C15&amp;"!"&amp;ADDRESS(4,COLUMN(자재단가대비표!H1),1),COLUMN(자재단가대비표!H1))</f>
        <v>8</v>
      </c>
      <c r="P15" s="117">
        <f ca="1">HYPERLINK("#"&amp;C15&amp;"!"&amp;ADDRESS(4,COLUMN(자재단가대비표!I1),1),COLUMN(자재단가대비표!I1))</f>
        <v>9</v>
      </c>
      <c r="Q15" s="117">
        <f ca="1">HYPERLINK("#"&amp;C15&amp;"!"&amp;ADDRESS(4,COLUMN(자재단가대비표!J1),1),COLUMN(자재단가대비표!J1))</f>
        <v>10</v>
      </c>
      <c r="R15" s="117">
        <f ca="1">HYPERLINK("#"&amp;C15&amp;"!"&amp;ADDRESS(4,COLUMN(자재단가대비표!K1),1),COLUMN(자재단가대비표!K1))</f>
        <v>11</v>
      </c>
      <c r="S15" s="117">
        <f ca="1">HYPERLINK("#"&amp;C15&amp;"!"&amp;ADDRESS(4,COLUMN(자재단가대비표!L1),1),COLUMN(자재단가대비표!L1))</f>
        <v>12</v>
      </c>
      <c r="T15" s="117">
        <f ca="1">HYPERLINK("#"&amp;C15&amp;"!"&amp;ADDRESS(4,COLUMN(자재단가대비표!M1),1),COLUMN(자재단가대비표!M1))</f>
        <v>13</v>
      </c>
      <c r="U15" s="117">
        <f ca="1">HYPERLINK("#"&amp;C15&amp;"!"&amp;ADDRESS(4,COLUMN(자재단가대비표!N1),1),COLUMN(자재단가대비표!N1))</f>
        <v>14</v>
      </c>
      <c r="V15" s="117">
        <f ca="1">HYPERLINK("#"&amp;C15&amp;"!"&amp;ADDRESS(4,COLUMN(자재단가대비표!O1),1),COLUMN(자재단가대비표!O1))</f>
        <v>15</v>
      </c>
      <c r="W15" s="117">
        <f ca="1">HYPERLINK("#"&amp;C15&amp;"!"&amp;ADDRESS(4,COLUMN(자재단가대비표!P1),1),COLUMN(자재단가대비표!P1))</f>
        <v>16</v>
      </c>
      <c r="X15" s="117">
        <f ca="1">HYPERLINK("#"&amp;C15&amp;"!"&amp;ADDRESS(4,COLUMN(자재단가대비표!R1),1),COLUMN(자재단가대비표!R1))</f>
        <v>18</v>
      </c>
    </row>
    <row r="16" spans="2:24" hidden="1" x14ac:dyDescent="0.3">
      <c r="B16" s="111" t="s">
        <v>9132</v>
      </c>
      <c r="C16" s="113" t="str">
        <f ca="1">IF(D16="","설계내역서",MID(D16,FIND("]",D16)+1,LEN(D16)))</f>
        <v>설계내역서</v>
      </c>
      <c r="D16" s="113" t="str">
        <f ca="1">CELL("filename",설계내역서!A1)</f>
        <v>C:\Users\Administrator\Desktop\무인화기계2차 발주\[2026년도 무인화시설물 유지보수(기계) 연간단가공사(1권역) (2).xlsx]설계내역서</v>
      </c>
      <c r="E16" s="117">
        <f ca="1">HYPERLINK("#"&amp;C16&amp;"!"&amp;ADDRESS(4,COLUMN(설계내역서!A1),1),COLUMN(설계내역서!A1))</f>
        <v>1</v>
      </c>
      <c r="F16" s="117">
        <f ca="1">HYPERLINK("#"&amp;C16&amp;"!"&amp;ADDRESS(4,COLUMN(설계내역서!B1),1),COLUMN(설계내역서!B1))</f>
        <v>2</v>
      </c>
      <c r="G16" s="117">
        <f ca="1">HYPERLINK("#"&amp;C16&amp;"!"&amp;ADDRESS(4,COLUMN(설계내역서!C1),1),COLUMN(설계내역서!C1))</f>
        <v>3</v>
      </c>
      <c r="H16" s="117">
        <f ca="1">HYPERLINK("#"&amp;C16&amp;"!"&amp;ADDRESS(4,COLUMN(설계내역서!D1),1),COLUMN(설계내역서!D1))</f>
        <v>4</v>
      </c>
      <c r="I16" s="117">
        <f ca="1">HYPERLINK("#"&amp;C16&amp;"!"&amp;ADDRESS(4,COLUMN(설계내역서!E1),1),COLUMN(설계내역서!E1))</f>
        <v>5</v>
      </c>
      <c r="J16" s="117">
        <f ca="1">HYPERLINK("#"&amp;C16&amp;"!A"&amp;ROW(설계내역서!A5),ROW(설계내역서!A5))</f>
        <v>5</v>
      </c>
      <c r="K16" s="117">
        <f ca="1">HYPERLINK("#"&amp;C16&amp;"!A"&amp;ROW(설계내역서!A1025),ROW(설계내역서!A1025))</f>
        <v>1025</v>
      </c>
      <c r="L16" s="117">
        <f ca="1">HYPERLINK("#"&amp;C16&amp;"!"&amp;ADDRESS(4,COLUMN(설계내역서!F1),1),COLUMN(설계내역서!F1))</f>
        <v>6</v>
      </c>
      <c r="M16" s="117">
        <f ca="1">HYPERLINK("#"&amp;C16&amp;"!"&amp;ADDRESS(4,COLUMN(설계내역서!G1),1),COLUMN(설계내역서!G1))</f>
        <v>7</v>
      </c>
      <c r="N16" s="117">
        <f ca="1">HYPERLINK("#"&amp;C16&amp;"!"&amp;ADDRESS(4,COLUMN(설계내역서!J1),1),COLUMN(설계내역서!J1))</f>
        <v>10</v>
      </c>
      <c r="O16" s="117">
        <f ca="1">HYPERLINK("#"&amp;C16&amp;"!"&amp;ADDRESS(4,COLUMN(설계내역서!K1),1),COLUMN(설계내역서!K1))</f>
        <v>11</v>
      </c>
      <c r="P16" s="117">
        <f ca="1">HYPERLINK("#"&amp;C16&amp;"!"&amp;ADDRESS(4,COLUMN(설계내역서!H1),1),COLUMN(설계내역서!H1))</f>
        <v>8</v>
      </c>
      <c r="Q16" s="117">
        <f ca="1">HYPERLINK("#"&amp;C16&amp;"!"&amp;ADDRESS(4,COLUMN(설계내역서!I1),1),COLUMN(설계내역서!I1))</f>
        <v>9</v>
      </c>
      <c r="R16" s="117">
        <f ca="1">HYPERLINK("#"&amp;C16&amp;"!"&amp;ADDRESS(4,COLUMN(설계내역서!L1),1),COLUMN(설계내역서!L1))</f>
        <v>12</v>
      </c>
      <c r="S16" s="117">
        <f ca="1">HYPERLINK("#"&amp;C16&amp;"!"&amp;ADDRESS(4,COLUMN(설계내역서!M1),1),COLUMN(설계내역서!M1))</f>
        <v>13</v>
      </c>
      <c r="T16" s="116"/>
      <c r="U16" s="116"/>
      <c r="V16" s="116"/>
      <c r="W16" s="116"/>
      <c r="X16" s="117">
        <f ca="1">HYPERLINK("#"&amp;C16&amp;"!"&amp;ADDRESS(4,COLUMN(설계내역서!O1),1),COLUMN(설계내역서!O1))</f>
        <v>15</v>
      </c>
    </row>
    <row r="17" spans="2:24" hidden="1" x14ac:dyDescent="0.3">
      <c r="B17" s="111" t="s">
        <v>9133</v>
      </c>
      <c r="C17" s="113" t="str">
        <f ca="1">IF(D17="","총괄내역서",MID(D17,FIND("]",D17)+1,LEN(D17)))</f>
        <v>총괄내역서</v>
      </c>
      <c r="D17" s="113" t="str">
        <f ca="1">CELL("filename",총괄내역서!A1)</f>
        <v>C:\Users\Administrator\Desktop\무인화기계2차 발주\[2026년도 무인화시설물 유지보수(기계) 연간단가공사(1권역) (2).xlsx]총괄내역서</v>
      </c>
      <c r="E17" s="117">
        <f ca="1">HYPERLINK("#"&amp;C17&amp;"!"&amp;ADDRESS(3,COLUMN(총괄내역서!A1),1),COLUMN(총괄내역서!A1))</f>
        <v>1</v>
      </c>
      <c r="F17" s="117">
        <f ca="1">HYPERLINK("#"&amp;C17&amp;"!"&amp;ADDRESS(3,COLUMN(총괄내역서!B1),1),COLUMN(총괄내역서!B1))</f>
        <v>2</v>
      </c>
      <c r="G17" s="117">
        <f ca="1">HYPERLINK("#"&amp;C17&amp;"!"&amp;ADDRESS(3,COLUMN(총괄내역서!C1),1),COLUMN(총괄내역서!C1))</f>
        <v>3</v>
      </c>
      <c r="H17" s="116"/>
      <c r="I17" s="117">
        <f ca="1">HYPERLINK("#"&amp;C17&amp;"!"&amp;ADDRESS(3,COLUMN(총괄내역서!E1),1),COLUMN(총괄내역서!E1))</f>
        <v>5</v>
      </c>
      <c r="J17" s="117">
        <f ca="1">HYPERLINK("#"&amp;C17&amp;"!A"&amp;ROW(총괄내역서!A4),ROW(총괄내역서!A4))</f>
        <v>4</v>
      </c>
      <c r="K17" s="117">
        <f ca="1">HYPERLINK("#"&amp;C17&amp;"!A"&amp;ROW(총괄내역서!A24),ROW(총괄내역서!A24))</f>
        <v>24</v>
      </c>
      <c r="L17" s="117">
        <f ca="1">HYPERLINK("#"&amp;C17&amp;"!"&amp;ADDRESS(3,COLUMN(총괄내역서!D1),1),COLUMN(총괄내역서!D1))</f>
        <v>4</v>
      </c>
      <c r="M17" s="117">
        <f ca="1">HYPERLINK("#"&amp;C17&amp;"!"&amp;ADDRESS(3,COLUMN(총괄내역서!I1),1),COLUMN(총괄내역서!I1))</f>
        <v>9</v>
      </c>
      <c r="N17" s="117">
        <f ca="1">HYPERLINK("#"&amp;C17&amp;"!"&amp;ADDRESS(3,COLUMN(총괄내역서!M1),1),COLUMN(총괄내역서!M1))</f>
        <v>13</v>
      </c>
      <c r="O17" s="117">
        <f ca="1">HYPERLINK("#"&amp;C17&amp;"!"&amp;ADDRESS(3,COLUMN(총괄내역서!N1),1),COLUMN(총괄내역서!N1))</f>
        <v>14</v>
      </c>
      <c r="P17" s="117">
        <f ca="1">HYPERLINK("#"&amp;C17&amp;"!"&amp;ADDRESS(3,COLUMN(총괄내역서!O1),1),COLUMN(총괄내역서!O1))</f>
        <v>15</v>
      </c>
      <c r="Q17" s="117">
        <f ca="1">HYPERLINK("#"&amp;C17&amp;"!"&amp;ADDRESS(3,COLUMN(총괄내역서!P1),1),COLUMN(총괄내역서!P1))</f>
        <v>16</v>
      </c>
      <c r="R17" s="116"/>
      <c r="S17" s="116"/>
      <c r="T17" s="116"/>
      <c r="U17" s="116"/>
      <c r="V17" s="116"/>
      <c r="W17" s="116"/>
      <c r="X17" s="117">
        <f ca="1">HYPERLINK("#"&amp;C17&amp;"!"&amp;ADDRESS(3,COLUMN(총괄내역서!H1),1),COLUMN(총괄내역서!H1))</f>
        <v>8</v>
      </c>
    </row>
    <row r="18" spans="2:24" hidden="1" x14ac:dyDescent="0.3">
      <c r="B18" s="111" t="s">
        <v>9134</v>
      </c>
      <c r="C18" s="113" t="str">
        <f ca="1">IF(D18="","중기사용료",MID(D18,FIND("]",D18)+1,LEN(D18)))</f>
        <v>중기사용료</v>
      </c>
      <c r="D18" s="113" t="str">
        <f ca="1">CELL("filename",중기사용료!A1)</f>
        <v>C:\Users\Administrator\Desktop\무인화기계2차 발주\[2026년도 무인화시설물 유지보수(기계) 연간단가공사(1권역) (2).xlsx]중기사용료</v>
      </c>
      <c r="E18" s="116"/>
      <c r="F18" s="117">
        <f ca="1">HYPERLINK("#"&amp;C18&amp;"!"&amp;ADDRESS(4,COLUMN(중기사용료!A1),1),COLUMN(중기사용료!A1))</f>
        <v>1</v>
      </c>
      <c r="G18" s="117">
        <f ca="1">HYPERLINK("#"&amp;C18&amp;"!"&amp;ADDRESS(4,COLUMN(중기사용료!B1),1),COLUMN(중기사용료!B1))</f>
        <v>2</v>
      </c>
      <c r="H18" s="117">
        <f ca="1">HYPERLINK("#"&amp;C18&amp;"!"&amp;ADDRESS(4,COLUMN(중기사용료!C1),1),COLUMN(중기사용료!C1))</f>
        <v>3</v>
      </c>
      <c r="I18" s="117">
        <f ca="1">HYPERLINK("#"&amp;C18&amp;"!"&amp;ADDRESS(4,COLUMN(중기사용료!D1),1),COLUMN(중기사용료!D1))</f>
        <v>4</v>
      </c>
      <c r="J18" s="117">
        <f ca="1">HYPERLINK("#"&amp;C18&amp;"!A"&amp;ROW(중기사용료!A5),ROW(중기사용료!A5))</f>
        <v>5</v>
      </c>
      <c r="K18" s="117">
        <f ca="1">HYPERLINK("#"&amp;C18&amp;"!A"&amp;ROW(중기사용료!A36),ROW(중기사용료!A36))</f>
        <v>36</v>
      </c>
      <c r="L18" s="117">
        <f ca="1">HYPERLINK("#"&amp;C18&amp;"!"&amp;ADDRESS(4,COLUMN(중기사용료!E1),1),COLUMN(중기사용료!E1))</f>
        <v>5</v>
      </c>
      <c r="M18" s="117">
        <f ca="1">HYPERLINK("#"&amp;C18&amp;"!"&amp;ADDRESS(4,COLUMN(중기사용료!F1),1),COLUMN(중기사용료!F1))</f>
        <v>6</v>
      </c>
      <c r="N18" s="117">
        <f ca="1">HYPERLINK("#"&amp;C18&amp;"!"&amp;ADDRESS(4,COLUMN(중기사용료!I1),1),COLUMN(중기사용료!I1))</f>
        <v>9</v>
      </c>
      <c r="O18" s="117">
        <f ca="1">HYPERLINK("#"&amp;C18&amp;"!"&amp;ADDRESS(4,COLUMN(중기사용료!J1),1),COLUMN(중기사용료!J1))</f>
        <v>10</v>
      </c>
      <c r="P18" s="117">
        <f ca="1">HYPERLINK("#"&amp;C18&amp;"!"&amp;ADDRESS(4,COLUMN(중기사용료!G1),1),COLUMN(중기사용료!G1))</f>
        <v>7</v>
      </c>
      <c r="Q18" s="117">
        <f ca="1">HYPERLINK("#"&amp;C18&amp;"!"&amp;ADDRESS(4,COLUMN(중기사용료!H1),1),COLUMN(중기사용료!H1))</f>
        <v>8</v>
      </c>
      <c r="R18" s="117">
        <f ca="1">HYPERLINK("#"&amp;C18&amp;"!"&amp;ADDRESS(4,COLUMN(중기사용료!K1),1),COLUMN(중기사용료!K1))</f>
        <v>11</v>
      </c>
      <c r="S18" s="117">
        <f ca="1">HYPERLINK("#"&amp;C18&amp;"!"&amp;ADDRESS(4,COLUMN(중기사용료!L1),1),COLUMN(중기사용료!L1))</f>
        <v>12</v>
      </c>
      <c r="T18" s="116"/>
      <c r="U18" s="116"/>
      <c r="V18" s="116"/>
      <c r="W18" s="116"/>
      <c r="X18" s="117">
        <f ca="1">HYPERLINK("#"&amp;C18&amp;"!"&amp;ADDRESS(4,COLUMN(중기사용료!N1),1),COLUMN(중기사용료!N1))</f>
        <v>14</v>
      </c>
    </row>
    <row r="19" spans="2:24" hidden="1" x14ac:dyDescent="0.3">
      <c r="B19" s="111" t="s">
        <v>9135</v>
      </c>
      <c r="C19" s="113" t="str">
        <f ca="1">IF(D19="","일위대가표",MID(D19,FIND("]",D19)+1,LEN(D19)))</f>
        <v>일위대가표</v>
      </c>
      <c r="D19" s="113" t="str">
        <f ca="1">CELL("filename",일위대가표!A1)</f>
        <v>C:\Users\Administrator\Desktop\무인화기계2차 발주\[2026년도 무인화시설물 유지보수(기계) 연간단가공사(1권역) (2).xlsx]일위대가표</v>
      </c>
      <c r="E19" s="116"/>
      <c r="F19" s="117">
        <f ca="1">HYPERLINK("#"&amp;C19&amp;"!"&amp;ADDRESS(4,COLUMN(일위대가표!A1),1),COLUMN(일위대가표!A1))</f>
        <v>1</v>
      </c>
      <c r="G19" s="117">
        <f ca="1">HYPERLINK("#"&amp;C19&amp;"!"&amp;ADDRESS(4,COLUMN(일위대가표!B1),1),COLUMN(일위대가표!B1))</f>
        <v>2</v>
      </c>
      <c r="H19" s="117">
        <f ca="1">HYPERLINK("#"&amp;C19&amp;"!"&amp;ADDRESS(4,COLUMN(일위대가표!C1),1),COLUMN(일위대가표!C1))</f>
        <v>3</v>
      </c>
      <c r="I19" s="117">
        <f ca="1">HYPERLINK("#"&amp;C19&amp;"!"&amp;ADDRESS(4,COLUMN(일위대가표!D1),1),COLUMN(일위대가표!D1))</f>
        <v>4</v>
      </c>
      <c r="J19" s="117">
        <f ca="1">HYPERLINK("#"&amp;C19&amp;"!A"&amp;ROW(일위대가표!A5),ROW(일위대가표!A5))</f>
        <v>5</v>
      </c>
      <c r="K19" s="117">
        <f ca="1">HYPERLINK("#"&amp;C19&amp;"!A"&amp;ROW(일위대가표!A3614),ROW(일위대가표!A3614))</f>
        <v>3614</v>
      </c>
      <c r="L19" s="117">
        <f ca="1">HYPERLINK("#"&amp;C19&amp;"!"&amp;ADDRESS(4,COLUMN(일위대가표!E1),1),COLUMN(일위대가표!E1))</f>
        <v>5</v>
      </c>
      <c r="M19" s="117">
        <f ca="1">HYPERLINK("#"&amp;C19&amp;"!"&amp;ADDRESS(4,COLUMN(일위대가표!F1),1),COLUMN(일위대가표!F1))</f>
        <v>6</v>
      </c>
      <c r="N19" s="117">
        <f ca="1">HYPERLINK("#"&amp;C19&amp;"!"&amp;ADDRESS(4,COLUMN(일위대가표!I1),1),COLUMN(일위대가표!I1))</f>
        <v>9</v>
      </c>
      <c r="O19" s="117">
        <f ca="1">HYPERLINK("#"&amp;C19&amp;"!"&amp;ADDRESS(4,COLUMN(일위대가표!J1),1),COLUMN(일위대가표!J1))</f>
        <v>10</v>
      </c>
      <c r="P19" s="117">
        <f ca="1">HYPERLINK("#"&amp;C19&amp;"!"&amp;ADDRESS(4,COLUMN(일위대가표!G1),1),COLUMN(일위대가표!G1))</f>
        <v>7</v>
      </c>
      <c r="Q19" s="117">
        <f ca="1">HYPERLINK("#"&amp;C19&amp;"!"&amp;ADDRESS(4,COLUMN(일위대가표!H1),1),COLUMN(일위대가표!H1))</f>
        <v>8</v>
      </c>
      <c r="R19" s="117">
        <f ca="1">HYPERLINK("#"&amp;C19&amp;"!"&amp;ADDRESS(4,COLUMN(일위대가표!K1),1),COLUMN(일위대가표!K1))</f>
        <v>11</v>
      </c>
      <c r="S19" s="117">
        <f ca="1">HYPERLINK("#"&amp;C19&amp;"!"&amp;ADDRESS(4,COLUMN(일위대가표!L1),1),COLUMN(일위대가표!L1))</f>
        <v>12</v>
      </c>
      <c r="T19" s="116"/>
      <c r="U19" s="116"/>
      <c r="V19" s="116"/>
      <c r="W19" s="116"/>
      <c r="X19" s="117">
        <f ca="1">HYPERLINK("#"&amp;C19&amp;"!"&amp;ADDRESS(4,COLUMN(일위대가표!N1),1),COLUMN(일위대가표!N1))</f>
        <v>14</v>
      </c>
    </row>
    <row r="20" spans="2:24" hidden="1" x14ac:dyDescent="0.3">
      <c r="B20" s="111" t="s">
        <v>9136</v>
      </c>
      <c r="C20" s="113" t="str">
        <f ca="1">IF(D20="","단가산출근거",MID(D20,FIND("]",D20)+1,LEN(D20)))</f>
        <v>단가산출근거</v>
      </c>
      <c r="D20" s="113" t="str">
        <f ca="1">CELL("filename",단가산출근거!A1)</f>
        <v>C:\Users\Administrator\Desktop\무인화기계2차 발주\[2026년도 무인화시설물 유지보수(기계) 연간단가공사(1권역) (2).xlsx]단가산출근거</v>
      </c>
      <c r="E20" s="117">
        <f ca="1">HYPERLINK("#"&amp;C20&amp;"!"&amp;ADDRESS(4,COLUMN(단가산출근거!A1),1),COLUMN(단가산출근거!A1))</f>
        <v>1</v>
      </c>
      <c r="F20" s="117">
        <f ca="1">HYPERLINK("#"&amp;C20&amp;"!"&amp;ADDRESS(4,COLUMN(단가산출근거!B1),1),COLUMN(단가산출근거!B1))</f>
        <v>2</v>
      </c>
      <c r="G20" s="116"/>
      <c r="H20" s="116"/>
      <c r="I20" s="116"/>
      <c r="J20" s="117">
        <f ca="1">HYPERLINK("#"&amp;C20&amp;"!A"&amp;ROW(단가산출근거!A5),ROW(단가산출근거!A5))</f>
        <v>5</v>
      </c>
      <c r="K20" s="117">
        <f ca="1">HYPERLINK("#"&amp;C20&amp;"!A"&amp;ROW(단가산출근거!A754),ROW(단가산출근거!A754))</f>
        <v>754</v>
      </c>
      <c r="L20" s="117">
        <f ca="1">HYPERLINK("#"&amp;C20&amp;"!"&amp;ADDRESS(4,COLUMN(단가산출근거!C1),1),COLUMN(단가산출근거!C1))</f>
        <v>3</v>
      </c>
      <c r="M20" s="116"/>
      <c r="N20" s="117">
        <f ca="1">HYPERLINK("#"&amp;C20&amp;"!"&amp;ADDRESS(4,COLUMN(단가산출근거!E1),1),COLUMN(단가산출근거!E1))</f>
        <v>5</v>
      </c>
      <c r="O20" s="116"/>
      <c r="P20" s="117">
        <f ca="1">HYPERLINK("#"&amp;C20&amp;"!"&amp;ADDRESS(4,COLUMN(단가산출근거!D1),1),COLUMN(단가산출근거!D1))</f>
        <v>4</v>
      </c>
      <c r="Q20" s="116"/>
      <c r="R20" s="117">
        <f ca="1">HYPERLINK("#"&amp;C20&amp;"!"&amp;ADDRESS(4,COLUMN(단가산출근거!F1),1),COLUMN(단가산출근거!F1))</f>
        <v>6</v>
      </c>
      <c r="S20" s="116"/>
      <c r="T20" s="116"/>
      <c r="U20" s="116"/>
      <c r="V20" s="116"/>
      <c r="W20" s="116"/>
      <c r="X20" s="117">
        <f ca="1">HYPERLINK("#"&amp;C20&amp;"!"&amp;ADDRESS(4,COLUMN(단가산출근거!G1),1),COLUMN(단가산출근거!G1))</f>
        <v>7</v>
      </c>
    </row>
    <row r="21" spans="2:24" hidden="1" x14ac:dyDescent="0.3">
      <c r="B21" s="111" t="s">
        <v>9137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</row>
    <row r="22" spans="2:24" hidden="1" x14ac:dyDescent="0.3">
      <c r="B22" s="111" t="s">
        <v>9138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</row>
    <row r="23" spans="2:24" hidden="1" x14ac:dyDescent="0.3">
      <c r="B23" s="111" t="s">
        <v>9139</v>
      </c>
      <c r="C23" s="111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</row>
    <row r="24" spans="2:24" hidden="1" x14ac:dyDescent="0.3">
      <c r="B24" s="109" t="s">
        <v>9140</v>
      </c>
      <c r="D24" s="115">
        <f>ROW(C33)</f>
        <v>33</v>
      </c>
    </row>
    <row r="25" spans="2:24" hidden="1" x14ac:dyDescent="0.3">
      <c r="B25" s="111" t="s">
        <v>9141</v>
      </c>
      <c r="C25" s="111" t="s">
        <v>9142</v>
      </c>
    </row>
    <row r="26" spans="2:24" hidden="1" x14ac:dyDescent="0.3">
      <c r="B26" s="111" t="s">
        <v>9143</v>
      </c>
      <c r="C26" s="111" t="s">
        <v>9144</v>
      </c>
    </row>
    <row r="27" spans="2:24" hidden="1" x14ac:dyDescent="0.3">
      <c r="B27" s="111" t="s">
        <v>9145</v>
      </c>
      <c r="C27" s="111" t="s">
        <v>9146</v>
      </c>
    </row>
    <row r="28" spans="2:24" hidden="1" x14ac:dyDescent="0.3">
      <c r="B28" s="111" t="s">
        <v>9147</v>
      </c>
      <c r="C28" s="111" t="s">
        <v>9146</v>
      </c>
    </row>
    <row r="29" spans="2:24" hidden="1" x14ac:dyDescent="0.3">
      <c r="B29" s="111" t="s">
        <v>9148</v>
      </c>
      <c r="C29" s="111" t="s">
        <v>9146</v>
      </c>
    </row>
    <row r="30" spans="2:24" hidden="1" x14ac:dyDescent="0.3">
      <c r="B30" s="111" t="s">
        <v>9149</v>
      </c>
      <c r="C30" s="113" t="s">
        <v>9150</v>
      </c>
    </row>
    <row r="31" spans="2:24" hidden="1" x14ac:dyDescent="0.3">
      <c r="B31" s="111" t="s">
        <v>9151</v>
      </c>
      <c r="C31" s="111" t="s">
        <v>3170</v>
      </c>
    </row>
    <row r="32" spans="2:24" hidden="1" x14ac:dyDescent="0.3">
      <c r="B32" s="111" t="s">
        <v>9152</v>
      </c>
      <c r="C32" s="111" t="s">
        <v>3171</v>
      </c>
    </row>
    <row r="33" spans="2:10" hidden="1" x14ac:dyDescent="0.3">
      <c r="B33" s="109" t="s">
        <v>9153</v>
      </c>
      <c r="D33" s="115">
        <f>ROW(C52)</f>
        <v>52</v>
      </c>
    </row>
    <row r="34" spans="2:10" hidden="1" x14ac:dyDescent="0.3">
      <c r="B34" s="111" t="s">
        <v>9154</v>
      </c>
      <c r="C34" s="111" t="s">
        <v>3170</v>
      </c>
      <c r="D34" s="111" t="s">
        <v>3170</v>
      </c>
      <c r="E34" s="111" t="s">
        <v>9146</v>
      </c>
      <c r="F34" s="111" t="s">
        <v>9146</v>
      </c>
      <c r="G34" s="111" t="s">
        <v>9146</v>
      </c>
      <c r="H34" s="111" t="s">
        <v>9146</v>
      </c>
    </row>
    <row r="35" spans="2:10" hidden="1" x14ac:dyDescent="0.3">
      <c r="B35" s="111" t="s">
        <v>9155</v>
      </c>
      <c r="C35" s="114">
        <f>환율및기초자료!C3</f>
        <v>1507</v>
      </c>
      <c r="D35" s="114">
        <f>환율및기초자료!D3</f>
        <v>1507</v>
      </c>
      <c r="E35" s="114">
        <f>환율및기초자료!C3</f>
        <v>1507</v>
      </c>
      <c r="F35" s="114">
        <f>환율및기초자료!D3</f>
        <v>1507</v>
      </c>
      <c r="G35" s="114">
        <f>환율및기초자료!E3</f>
        <v>1717.96</v>
      </c>
      <c r="H35" s="114">
        <f>환율및기초자료!E3</f>
        <v>1717.96</v>
      </c>
      <c r="I35" s="114">
        <f>환율및기초자료!G3</f>
        <v>952</v>
      </c>
      <c r="J35" s="114">
        <f>환율및기초자료!G3</f>
        <v>952</v>
      </c>
    </row>
    <row r="36" spans="2:10" hidden="1" x14ac:dyDescent="0.3">
      <c r="B36" s="111" t="s">
        <v>9157</v>
      </c>
      <c r="C36" s="113" t="s">
        <v>9150</v>
      </c>
    </row>
    <row r="37" spans="2:10" hidden="1" x14ac:dyDescent="0.3">
      <c r="B37" s="111" t="s">
        <v>9156</v>
      </c>
      <c r="C37" s="111" t="s">
        <v>9158</v>
      </c>
      <c r="D37" s="111"/>
      <c r="E37" s="111"/>
      <c r="F37" s="111" t="s">
        <v>9159</v>
      </c>
      <c r="G37" s="111"/>
      <c r="H37" s="111"/>
    </row>
    <row r="38" spans="2:10" hidden="1" x14ac:dyDescent="0.3">
      <c r="B38" s="111" t="s">
        <v>9160</v>
      </c>
      <c r="C38" s="111" t="s">
        <v>9161</v>
      </c>
      <c r="D38" s="111"/>
      <c r="E38" s="111"/>
      <c r="F38" s="111"/>
      <c r="G38" s="111"/>
      <c r="H38" s="111"/>
    </row>
    <row r="39" spans="2:10" hidden="1" x14ac:dyDescent="0.3">
      <c r="B39" s="111" t="s">
        <v>9162</v>
      </c>
      <c r="C39" s="111" t="s">
        <v>3170</v>
      </c>
    </row>
    <row r="40" spans="2:10" hidden="1" x14ac:dyDescent="0.3">
      <c r="B40" s="111" t="s">
        <v>9163</v>
      </c>
      <c r="C40" s="111" t="s">
        <v>3170</v>
      </c>
    </row>
    <row r="41" spans="2:10" hidden="1" x14ac:dyDescent="0.3">
      <c r="B41" s="111" t="s">
        <v>9164</v>
      </c>
      <c r="C41" s="111" t="s">
        <v>9146</v>
      </c>
    </row>
    <row r="42" spans="2:10" hidden="1" x14ac:dyDescent="0.3">
      <c r="B42" s="111" t="s">
        <v>9165</v>
      </c>
      <c r="C42" s="111" t="s">
        <v>3170</v>
      </c>
    </row>
    <row r="43" spans="2:10" hidden="1" x14ac:dyDescent="0.3">
      <c r="B43" s="111" t="s">
        <v>9166</v>
      </c>
      <c r="C43" s="111" t="s">
        <v>3170</v>
      </c>
    </row>
    <row r="44" spans="2:10" hidden="1" x14ac:dyDescent="0.3">
      <c r="B44" s="111" t="s">
        <v>9167</v>
      </c>
      <c r="C44" s="111" t="s">
        <v>3172</v>
      </c>
    </row>
    <row r="45" spans="2:10" hidden="1" x14ac:dyDescent="0.3">
      <c r="B45" s="111" t="s">
        <v>9168</v>
      </c>
      <c r="C45" s="113" t="s">
        <v>9150</v>
      </c>
    </row>
    <row r="46" spans="2:10" hidden="1" x14ac:dyDescent="0.3">
      <c r="B46" s="111" t="s">
        <v>9169</v>
      </c>
      <c r="C46" s="113" t="s">
        <v>9150</v>
      </c>
    </row>
    <row r="47" spans="2:10" hidden="1" x14ac:dyDescent="0.3">
      <c r="B47" s="111" t="s">
        <v>9170</v>
      </c>
      <c r="C47" s="113" t="s">
        <v>9150</v>
      </c>
    </row>
    <row r="48" spans="2:10" hidden="1" x14ac:dyDescent="0.3">
      <c r="B48" s="111" t="s">
        <v>9171</v>
      </c>
      <c r="C48" s="113" t="s">
        <v>9172</v>
      </c>
    </row>
    <row r="49" spans="2:6" hidden="1" x14ac:dyDescent="0.3">
      <c r="B49" s="111" t="s">
        <v>9173</v>
      </c>
      <c r="C49" s="111" t="s">
        <v>9174</v>
      </c>
    </row>
    <row r="50" spans="2:6" hidden="1" x14ac:dyDescent="0.3">
      <c r="B50" s="111" t="s">
        <v>9175</v>
      </c>
      <c r="C50" s="113" t="s">
        <v>9172</v>
      </c>
    </row>
    <row r="51" spans="2:6" hidden="1" x14ac:dyDescent="0.3">
      <c r="B51" s="111" t="s">
        <v>9176</v>
      </c>
      <c r="C51" s="111"/>
    </row>
    <row r="52" spans="2:6" hidden="1" x14ac:dyDescent="0.3">
      <c r="B52" s="109" t="s">
        <v>9177</v>
      </c>
      <c r="D52" s="115">
        <f>ROW(C75)</f>
        <v>75</v>
      </c>
    </row>
    <row r="53" spans="2:6" hidden="1" x14ac:dyDescent="0.3">
      <c r="B53" s="111" t="s">
        <v>9178</v>
      </c>
      <c r="C53" s="111" t="s">
        <v>8</v>
      </c>
      <c r="D53" s="111" t="s">
        <v>7</v>
      </c>
      <c r="E53" s="111" t="s">
        <v>9</v>
      </c>
      <c r="F53" s="111" t="s">
        <v>6</v>
      </c>
    </row>
    <row r="54" spans="2:6" hidden="1" x14ac:dyDescent="0.3">
      <c r="B54" s="111" t="s">
        <v>9179</v>
      </c>
      <c r="C54" s="111" t="s">
        <v>9180</v>
      </c>
    </row>
    <row r="55" spans="2:6" hidden="1" x14ac:dyDescent="0.3">
      <c r="B55" s="111" t="s">
        <v>9181</v>
      </c>
      <c r="C55" s="111" t="s">
        <v>9182</v>
      </c>
    </row>
    <row r="56" spans="2:6" hidden="1" x14ac:dyDescent="0.3">
      <c r="B56" s="111" t="s">
        <v>9183</v>
      </c>
      <c r="C56" s="111" t="s">
        <v>3175</v>
      </c>
      <c r="D56" s="111" t="s">
        <v>3187</v>
      </c>
    </row>
    <row r="57" spans="2:6" hidden="1" x14ac:dyDescent="0.3">
      <c r="B57" s="111" t="s">
        <v>9184</v>
      </c>
      <c r="C57" s="111" t="s">
        <v>3177</v>
      </c>
      <c r="D57" s="111" t="s">
        <v>3188</v>
      </c>
    </row>
    <row r="58" spans="2:6" hidden="1" x14ac:dyDescent="0.3">
      <c r="B58" s="111" t="s">
        <v>9185</v>
      </c>
      <c r="C58" s="111" t="s">
        <v>3178</v>
      </c>
      <c r="D58" s="111" t="s">
        <v>3189</v>
      </c>
    </row>
    <row r="59" spans="2:6" hidden="1" x14ac:dyDescent="0.3">
      <c r="B59" s="111" t="s">
        <v>9186</v>
      </c>
      <c r="C59" s="111" t="s">
        <v>3179</v>
      </c>
      <c r="D59" s="111" t="s">
        <v>3190</v>
      </c>
    </row>
    <row r="60" spans="2:6" hidden="1" x14ac:dyDescent="0.3">
      <c r="B60" s="111" t="s">
        <v>9187</v>
      </c>
      <c r="C60" s="111" t="s">
        <v>3180</v>
      </c>
      <c r="D60" s="111" t="s">
        <v>3191</v>
      </c>
    </row>
    <row r="61" spans="2:6" hidden="1" x14ac:dyDescent="0.3">
      <c r="B61" s="111" t="s">
        <v>9188</v>
      </c>
      <c r="C61" s="111" t="s">
        <v>3181</v>
      </c>
    </row>
    <row r="62" spans="2:6" hidden="1" x14ac:dyDescent="0.3">
      <c r="B62" s="111" t="s">
        <v>9189</v>
      </c>
      <c r="C62" s="111" t="s">
        <v>9190</v>
      </c>
    </row>
    <row r="63" spans="2:6" hidden="1" x14ac:dyDescent="0.3">
      <c r="B63" s="111" t="s">
        <v>9191</v>
      </c>
      <c r="C63" s="111" t="s">
        <v>2</v>
      </c>
    </row>
    <row r="64" spans="2:6" hidden="1" x14ac:dyDescent="0.3">
      <c r="B64" s="111" t="s">
        <v>9192</v>
      </c>
      <c r="C64" s="111" t="s">
        <v>9193</v>
      </c>
    </row>
    <row r="65" spans="2:4" hidden="1" x14ac:dyDescent="0.3">
      <c r="B65" s="111" t="s">
        <v>9194</v>
      </c>
      <c r="C65" s="111" t="s">
        <v>9195</v>
      </c>
    </row>
    <row r="66" spans="2:4" hidden="1" x14ac:dyDescent="0.3">
      <c r="B66" s="111" t="s">
        <v>9196</v>
      </c>
      <c r="C66" s="111" t="s">
        <v>3333</v>
      </c>
    </row>
    <row r="67" spans="2:4" hidden="1" x14ac:dyDescent="0.3">
      <c r="B67" s="111" t="s">
        <v>9197</v>
      </c>
      <c r="C67" s="111" t="s">
        <v>3</v>
      </c>
    </row>
    <row r="68" spans="2:4" hidden="1" x14ac:dyDescent="0.3">
      <c r="B68" s="111" t="s">
        <v>9198</v>
      </c>
      <c r="C68" s="111" t="s">
        <v>4</v>
      </c>
    </row>
    <row r="69" spans="2:4" hidden="1" x14ac:dyDescent="0.3">
      <c r="B69" s="111" t="s">
        <v>9199</v>
      </c>
      <c r="C69" s="111" t="s">
        <v>3334</v>
      </c>
    </row>
    <row r="70" spans="2:4" hidden="1" x14ac:dyDescent="0.3">
      <c r="B70" s="111" t="s">
        <v>9200</v>
      </c>
      <c r="C70" s="111" t="s">
        <v>5</v>
      </c>
    </row>
    <row r="71" spans="2:4" hidden="1" x14ac:dyDescent="0.3">
      <c r="B71" s="111" t="s">
        <v>9201</v>
      </c>
      <c r="C71" s="111" t="s">
        <v>2035</v>
      </c>
    </row>
    <row r="72" spans="2:4" hidden="1" x14ac:dyDescent="0.3">
      <c r="B72" s="111" t="s">
        <v>9202</v>
      </c>
      <c r="C72" s="111" t="s">
        <v>3176</v>
      </c>
    </row>
    <row r="73" spans="2:4" hidden="1" x14ac:dyDescent="0.3">
      <c r="B73" s="111" t="s">
        <v>9203</v>
      </c>
      <c r="C73" s="111" t="s">
        <v>3335</v>
      </c>
    </row>
    <row r="74" spans="2:4" hidden="1" x14ac:dyDescent="0.3">
      <c r="B74" s="111" t="s">
        <v>9204</v>
      </c>
      <c r="C74" s="111" t="s">
        <v>10</v>
      </c>
    </row>
    <row r="75" spans="2:4" hidden="1" x14ac:dyDescent="0.3">
      <c r="B75" s="109" t="s">
        <v>9205</v>
      </c>
      <c r="D75" s="115">
        <f>ROW(C79)</f>
        <v>79</v>
      </c>
    </row>
    <row r="76" spans="2:4" hidden="1" x14ac:dyDescent="0.3">
      <c r="B76" s="111" t="s">
        <v>9206</v>
      </c>
      <c r="C76" s="111" t="s">
        <v>9207</v>
      </c>
    </row>
    <row r="77" spans="2:4" hidden="1" x14ac:dyDescent="0.3">
      <c r="B77" s="111" t="s">
        <v>9208</v>
      </c>
      <c r="C77" s="111" t="s">
        <v>9209</v>
      </c>
    </row>
    <row r="78" spans="2:4" hidden="1" x14ac:dyDescent="0.3">
      <c r="B78" s="111" t="s">
        <v>9210</v>
      </c>
      <c r="C78" s="111" t="s">
        <v>9211</v>
      </c>
    </row>
    <row r="79" spans="2:4" hidden="1" x14ac:dyDescent="0.3">
      <c r="B79" s="109" t="s">
        <v>9212</v>
      </c>
    </row>
    <row r="80" spans="2:4" hidden="1" x14ac:dyDescent="0.3"/>
  </sheetData>
  <sheetProtection algorithmName="SHA-512" hashValue="2RfaoZcH9LsmU9STLkYjtd9QNFtI7pgol7CuTLh4E4Z7Q+SedvqH5VcV0HofrlwZ3RAz1WpMHV5mtaV24n8Ypw==" saltValue="iEogJMuhlhCBDmOsyMm5yw==" spinCount="100000" sheet="1" objects="1" scenarios="1" selectLockedCells="1"/>
  <mergeCells count="1">
    <mergeCell ref="B2:X2"/>
  </mergeCells>
  <phoneticPr fontId="25" type="noConversion"/>
  <pageMargins left="0.39370078740157483" right="0.78740157480314954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30</vt:i4>
      </vt:variant>
    </vt:vector>
  </HeadingPairs>
  <TitlesOfParts>
    <vt:vector size="47" baseType="lpstr">
      <vt:lpstr>〓 목 차 〓</vt:lpstr>
      <vt:lpstr>※※안내※※</vt:lpstr>
      <vt:lpstr>공사원가계산서</vt:lpstr>
      <vt:lpstr>총괄내역서</vt:lpstr>
      <vt:lpstr>설계내역서</vt:lpstr>
      <vt:lpstr>일위대가목록표</vt:lpstr>
      <vt:lpstr>일위대가표</vt:lpstr>
      <vt:lpstr>단가산출근거목록표</vt:lpstr>
      <vt:lpstr>단가산출근거</vt:lpstr>
      <vt:lpstr>환율및기초자료</vt:lpstr>
      <vt:lpstr>중기목록표</vt:lpstr>
      <vt:lpstr>중기사용료</vt:lpstr>
      <vt:lpstr>재료비목록표</vt:lpstr>
      <vt:lpstr>노무비목록표</vt:lpstr>
      <vt:lpstr>경비목록표</vt:lpstr>
      <vt:lpstr>일식견적목록표</vt:lpstr>
      <vt:lpstr>자재단가대비표</vt:lpstr>
      <vt:lpstr>'〓 목 차 〓'!Print_Area</vt:lpstr>
      <vt:lpstr>경비목록표!Print_Area</vt:lpstr>
      <vt:lpstr>공사원가계산서!Print_Area</vt:lpstr>
      <vt:lpstr>노무비목록표!Print_Area</vt:lpstr>
      <vt:lpstr>단가산출근거!Print_Area</vt:lpstr>
      <vt:lpstr>단가산출근거목록표!Print_Area</vt:lpstr>
      <vt:lpstr>설계내역서!Print_Area</vt:lpstr>
      <vt:lpstr>일식견적목록표!Print_Area</vt:lpstr>
      <vt:lpstr>일위대가목록표!Print_Area</vt:lpstr>
      <vt:lpstr>일위대가표!Print_Area</vt:lpstr>
      <vt:lpstr>자재단가대비표!Print_Area</vt:lpstr>
      <vt:lpstr>재료비목록표!Print_Area</vt:lpstr>
      <vt:lpstr>중기목록표!Print_Area</vt:lpstr>
      <vt:lpstr>중기사용료!Print_Area</vt:lpstr>
      <vt:lpstr>총괄내역서!Print_Area</vt:lpstr>
      <vt:lpstr>환율및기초자료!Print_Area</vt:lpstr>
      <vt:lpstr>경비목록표!Print_Titles</vt:lpstr>
      <vt:lpstr>공사원가계산서!Print_Titles</vt:lpstr>
      <vt:lpstr>노무비목록표!Print_Titles</vt:lpstr>
      <vt:lpstr>단가산출근거!Print_Titles</vt:lpstr>
      <vt:lpstr>단가산출근거목록표!Print_Titles</vt:lpstr>
      <vt:lpstr>설계내역서!Print_Titles</vt:lpstr>
      <vt:lpstr>일식견적목록표!Print_Titles</vt:lpstr>
      <vt:lpstr>일위대가목록표!Print_Titles</vt:lpstr>
      <vt:lpstr>일위대가표!Print_Titles</vt:lpstr>
      <vt:lpstr>자재단가대비표!Print_Titles</vt:lpstr>
      <vt:lpstr>재료비목록표!Print_Titles</vt:lpstr>
      <vt:lpstr>중기목록표!Print_Titles</vt:lpstr>
      <vt:lpstr>중기사용료!Print_Titles</vt:lpstr>
      <vt:lpstr>총괄내역서!Print_Titles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2026년도 무인화시설물 유지보수(기계) 연간단가공사(1권역)</dc:title>
  <dc:creator>Administrator</dc:creator>
  <dc:description>STmate w26.07로 작성</dc:description>
  <cp:lastModifiedBy>Administrator</cp:lastModifiedBy>
  <dcterms:created xsi:type="dcterms:W3CDTF">2026-07-29T00:41:04Z</dcterms:created>
  <dcterms:modified xsi:type="dcterms:W3CDTF">2026-08-03T01:24:47Z</dcterms:modified>
</cp:coreProperties>
</file>